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codeName="ThisWorkbook" defaultThemeVersion="124226"/>
  <mc:AlternateContent xmlns:mc="http://schemas.openxmlformats.org/markup-compatibility/2006">
    <mc:Choice Requires="x15">
      <x15ac:absPath xmlns:x15ac="http://schemas.microsoft.com/office/spreadsheetml/2010/11/ac" url="C:\Users\ADM_ANARVAEZ\Desktop\NOTAS\"/>
    </mc:Choice>
  </mc:AlternateContent>
  <xr:revisionPtr revIDLastSave="0" documentId="13_ncr:1_{5B265BFC-D240-4917-9243-8FAE838FD22F}" xr6:coauthVersionLast="47" xr6:coauthVersionMax="47" xr10:uidLastSave="{00000000-0000-0000-0000-000000000000}"/>
  <bookViews>
    <workbookView xWindow="-120" yWindow="-120" windowWidth="29040" windowHeight="15720" tabRatio="740" activeTab="2" xr2:uid="{00000000-000D-0000-FFFF-FFFF00000000}"/>
  </bookViews>
  <sheets>
    <sheet name="INSTRUCTIVO " sheetId="32" r:id="rId1"/>
    <sheet name="INDICADORES" sheetId="30" r:id="rId2"/>
    <sheet name="CPN 2022" sheetId="5" r:id="rId3"/>
  </sheets>
  <externalReferences>
    <externalReference r:id="rId4"/>
  </externalReferences>
  <definedNames>
    <definedName name="_06_05_2011" localSheetId="0">'[1]CPN 2022'!#REF!</definedName>
    <definedName name="_06_05_2011">'CPN 2022'!#REF!</definedName>
    <definedName name="_29_11_1984" localSheetId="0">'[1]CPN 2022'!#REF!</definedName>
    <definedName name="_29_11_1984">'CPN 2022'!#REF!</definedName>
    <definedName name="_xlnm._FilterDatabase" localSheetId="2" hidden="1">'CPN 2022'!#REF!</definedName>
    <definedName name="AIC" localSheetId="0">'[1]CPN 2022'!#REF!</definedName>
    <definedName name="AIC">'CPN 2022'!#REF!</definedName>
    <definedName name="AIDA" localSheetId="0">'[1]CPN 2022'!#REF!</definedName>
    <definedName name="AIDA">'CPN 2022'!#REF!</definedName>
    <definedName name="CC" localSheetId="0">'[1]CPN 2022'!#REF!</definedName>
    <definedName name="CC">'CPN 2022'!#REF!</definedName>
    <definedName name="CCC" localSheetId="0">'[1]CPN 2022'!#REF!</definedName>
    <definedName name="CCC">'CPN 2022'!#REF!</definedName>
    <definedName name="CHOCUE" localSheetId="0">'[1]CPN 2022'!#REF!</definedName>
    <definedName name="CHOCUE">'CPN 2022'!#REF!</definedName>
    <definedName name="EL_HOGAR" localSheetId="0">'[1]CPN 2022'!#REF!</definedName>
    <definedName name="EL_HOGAR">'CPN 2022'!#REF!</definedName>
    <definedName name="INDIGENA" localSheetId="0">'[1]CPN 2022'!#REF!</definedName>
    <definedName name="INDIGENA">'CPN 2022'!#REF!</definedName>
    <definedName name="LA_PLAYA_MIRASOLES" localSheetId="0">'[1]CPN 2022'!#REF!</definedName>
    <definedName name="LA_PLAYA_MIRASOLES">'CPN 2022'!#REF!</definedName>
    <definedName name="LORENA" localSheetId="0">'[1]CPN 2022'!#REF!</definedName>
    <definedName name="LORENA">'CPN 2022'!#REF!</definedName>
    <definedName name="MESTIZA" localSheetId="0">'[1]CPN 2022'!#REF!</definedName>
    <definedName name="MESTIZA">'CPN 2022'!#REF!</definedName>
    <definedName name="RIVERA" localSheetId="0">'[1]CPN 2022'!#REF!</definedName>
    <definedName name="RIVERA">'CPN 2022'!#REF!</definedName>
    <definedName name="RURAL" localSheetId="0">'[1]CPN 2022'!#REF!</definedName>
    <definedName name="RURAL">'CPN 2022'!#REF!</definedName>
    <definedName name="SIN_RIESGO_POR_EDAD" localSheetId="0">'[1]CPN 2022'!#REF!</definedName>
    <definedName name="SIN_RIESGO_POR_EDAD">'CPN 2022'!#REF!</definedName>
    <definedName name="SUB" localSheetId="0">'[1]CPN 2022'!#REF!</definedName>
    <definedName name="SUB">'CPN 2022'!#REF!</definedName>
    <definedName name="UNION_L" localSheetId="0">'[1]CPN 2022'!#REF!</definedName>
    <definedName name="UNION_L">'CPN 2022'!#REF!</definedName>
    <definedName name="Z_87C82D0B_BF3B_4D48_8D40_9A69123EBFA4_.wvu.Cols" localSheetId="2" hidden="1">'CPN 2022'!#REF!,'CPN 2022'!#REF!,'CPN 2022'!#REF!,'CPN 2022'!#REF!,'CPN 2022'!#REF!,'CPN 2022'!#REF!,'CPN 2022'!#REF!,'CPN 2022'!$DC:$DC,'CPN 2022'!#REF!,'CPN 2022'!#REF!,'CPN 2022'!#REF!,'CPN 2022'!#REF!,'CPN 2022'!#REF!,'CPN 2022'!#REF!,'CPN 2022'!#REF!,'CPN 2022'!#REF!,'CPN 2022'!#REF!,'CPN 2022'!#REF!,'CPN 2022'!#REF!,'CPN 2022'!#REF!,'CPN 2022'!#REF!,'CPN 2022'!#REF!,'CPN 2022'!#REF!,'CPN 2022'!#REF!,'CPN 2022'!#REF!,'CPN 2022'!#REF!,'CPN 2022'!#REF!,'CPN 2022'!#REF!,'CPN 2022'!#REF!,'CPN 2022'!#REF!,'CPN 2022'!#REF!,'CPN 2022'!$GZ:$GZ,'CPN 2022'!$IW:$IX,'CPN 2022'!$JU:$KD,'CPN 2022'!#REF!,'CPN 2022'!#REF!,'CPN 2022'!#REF!</definedName>
    <definedName name="Z_87C82D0B_BF3B_4D48_8D40_9A69123EBFA4_.wvu.FilterData" localSheetId="2" hidden="1">'CPN 2022'!$D$1:$KN$5</definedName>
    <definedName name="Z_87C82D0B_BF3B_4D48_8D40_9A69123EBFA4_.wvu.Rows" localSheetId="2" hidden="1">'CPN 2022'!#REF!</definedName>
  </definedNames>
  <calcPr calcId="191029"/>
  <customWorkbookViews>
    <customWorkbookView name="electrom pc - Vista personalizada" guid="{87C82D0B-BF3B-4D48-8D40-9A69123EBFA4}" mergeInterval="0" personalView="1" maximized="1" xWindow="1" yWindow="1" windowWidth="1366" windowHeight="496" tabRatio="599" activeSheetId="5"/>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Q8" i="5" l="1"/>
  <c r="PO8" i="5"/>
  <c r="PP8" i="5" s="1"/>
  <c r="PM8" i="5"/>
  <c r="PL8" i="5"/>
  <c r="PN8" i="5" s="1"/>
  <c r="OH8" i="5"/>
  <c r="OF8" i="5"/>
  <c r="NZ8" i="5"/>
  <c r="NX8" i="5"/>
  <c r="NW8" i="5"/>
  <c r="NV8" i="5"/>
  <c r="NU8" i="5"/>
  <c r="NT8" i="5"/>
  <c r="NS8" i="5"/>
  <c r="NR8" i="5"/>
  <c r="DT8" i="5" s="1"/>
  <c r="NQ8" i="5"/>
  <c r="NP8" i="5"/>
  <c r="AK8" i="5" s="1"/>
  <c r="NO8" i="5"/>
  <c r="NL8" i="5"/>
  <c r="NK8" i="5"/>
  <c r="NJ8" i="5"/>
  <c r="NI8" i="5"/>
  <c r="NG8" i="5"/>
  <c r="NF8" i="5"/>
  <c r="NE8" i="5"/>
  <c r="ND8" i="5"/>
  <c r="NC8" i="5"/>
  <c r="MZ8" i="5"/>
  <c r="NB8" i="5" s="1"/>
  <c r="MX8" i="5"/>
  <c r="MW8" i="5"/>
  <c r="MY8" i="5" s="1"/>
  <c r="MV8" i="5"/>
  <c r="MU8" i="5"/>
  <c r="MT8" i="5"/>
  <c r="MR8" i="5"/>
  <c r="MQ8" i="5"/>
  <c r="KI8" i="5"/>
  <c r="KG8" i="5"/>
  <c r="IY8" i="5"/>
  <c r="JX8" i="5" s="1"/>
  <c r="IP8" i="5"/>
  <c r="HR8" i="5"/>
  <c r="HK8" i="5"/>
  <c r="HC8" i="5"/>
  <c r="HA8" i="5"/>
  <c r="HB8" i="5" s="1"/>
  <c r="GS8" i="5"/>
  <c r="FP8" i="5"/>
  <c r="EU8" i="5"/>
  <c r="EQ8" i="5"/>
  <c r="EL8" i="5"/>
  <c r="DW8" i="5"/>
  <c r="DX8" i="5" s="1"/>
  <c r="DU8" i="5"/>
  <c r="DV8" i="5" s="1"/>
  <c r="DS8" i="5"/>
  <c r="DR8" i="5"/>
  <c r="CZ8" i="5"/>
  <c r="CU8" i="5"/>
  <c r="CR8" i="5"/>
  <c r="CM8" i="5"/>
  <c r="CL8" i="5"/>
  <c r="CH8" i="5"/>
  <c r="CG8" i="5"/>
  <c r="CC8" i="5"/>
  <c r="CD8" i="5" s="1"/>
  <c r="BQ8" i="5"/>
  <c r="IN8" i="5" s="1"/>
  <c r="OG8" i="5" s="1"/>
  <c r="BO8" i="5"/>
  <c r="BN8" i="5"/>
  <c r="BM8" i="5"/>
  <c r="NN8" i="5" s="1"/>
  <c r="HO8" i="5" s="1"/>
  <c r="HM8" i="5" s="1"/>
  <c r="P8" i="5"/>
  <c r="N8" i="5"/>
  <c r="PQ7" i="5"/>
  <c r="PO7" i="5"/>
  <c r="PP7" i="5" s="1"/>
  <c r="PM7" i="5"/>
  <c r="PL7" i="5"/>
  <c r="PN7" i="5" s="1"/>
  <c r="OH7" i="5"/>
  <c r="OF7" i="5"/>
  <c r="NX7" i="5"/>
  <c r="NW7" i="5"/>
  <c r="NV7" i="5"/>
  <c r="NU7" i="5"/>
  <c r="NT7" i="5"/>
  <c r="NS7" i="5"/>
  <c r="NR7" i="5"/>
  <c r="DT7" i="5" s="1"/>
  <c r="NQ7" i="5"/>
  <c r="NP7" i="5"/>
  <c r="AK7" i="5" s="1"/>
  <c r="NO7" i="5"/>
  <c r="NL7" i="5"/>
  <c r="NK7" i="5"/>
  <c r="NJ7" i="5"/>
  <c r="NI7" i="5"/>
  <c r="NG7" i="5"/>
  <c r="NF7" i="5"/>
  <c r="NE7" i="5"/>
  <c r="ND7" i="5"/>
  <c r="NC7" i="5"/>
  <c r="MZ7" i="5"/>
  <c r="NB7" i="5" s="1"/>
  <c r="MX7" i="5"/>
  <c r="MW7" i="5"/>
  <c r="MY7" i="5" s="1"/>
  <c r="MV7" i="5"/>
  <c r="MU7" i="5"/>
  <c r="MT7" i="5"/>
  <c r="MR7" i="5"/>
  <c r="MQ7" i="5"/>
  <c r="KI7" i="5"/>
  <c r="KG7" i="5"/>
  <c r="IY7" i="5"/>
  <c r="JN7" i="5" s="1"/>
  <c r="IP7" i="5"/>
  <c r="HR7" i="5"/>
  <c r="HK7" i="5"/>
  <c r="HC7" i="5"/>
  <c r="HA7" i="5"/>
  <c r="HB7" i="5" s="1"/>
  <c r="GS7" i="5"/>
  <c r="FP7" i="5"/>
  <c r="EU7" i="5"/>
  <c r="EQ7" i="5"/>
  <c r="EL7" i="5"/>
  <c r="DW7" i="5"/>
  <c r="DX7" i="5" s="1"/>
  <c r="DU7" i="5"/>
  <c r="DV7" i="5" s="1"/>
  <c r="DS7" i="5"/>
  <c r="DR7" i="5"/>
  <c r="CZ7" i="5"/>
  <c r="CU7" i="5"/>
  <c r="CR7" i="5"/>
  <c r="HP7" i="5" s="1"/>
  <c r="CM7" i="5"/>
  <c r="CL7" i="5"/>
  <c r="CH7" i="5"/>
  <c r="CG7" i="5"/>
  <c r="CC7" i="5"/>
  <c r="CD7" i="5" s="1"/>
  <c r="BQ7" i="5"/>
  <c r="NH7" i="5" s="1"/>
  <c r="BO7" i="5"/>
  <c r="OA7" i="5" s="1"/>
  <c r="BN7" i="5"/>
  <c r="BM7" i="5"/>
  <c r="P7" i="5"/>
  <c r="N7" i="5"/>
  <c r="PQ6" i="5"/>
  <c r="PO6" i="5"/>
  <c r="PP6" i="5" s="1"/>
  <c r="PM6" i="5"/>
  <c r="IK6" i="5" s="1"/>
  <c r="PL6" i="5"/>
  <c r="PN6" i="5" s="1"/>
  <c r="OH6" i="5"/>
  <c r="OF6" i="5"/>
  <c r="NZ6" i="5"/>
  <c r="NX6" i="5"/>
  <c r="NW6" i="5"/>
  <c r="NV6" i="5"/>
  <c r="NU6" i="5"/>
  <c r="NT6" i="5"/>
  <c r="NS6" i="5"/>
  <c r="NR6" i="5"/>
  <c r="DT6" i="5" s="1"/>
  <c r="NQ6" i="5"/>
  <c r="NP6" i="5"/>
  <c r="AK6" i="5" s="1"/>
  <c r="NO6" i="5"/>
  <c r="NL6" i="5"/>
  <c r="NK6" i="5"/>
  <c r="NJ6" i="5"/>
  <c r="NI6" i="5"/>
  <c r="NG6" i="5"/>
  <c r="NF6" i="5"/>
  <c r="NE6" i="5"/>
  <c r="ND6" i="5"/>
  <c r="NC6" i="5"/>
  <c r="MZ6" i="5"/>
  <c r="NA6" i="5" s="1"/>
  <c r="MX6" i="5"/>
  <c r="MW6" i="5"/>
  <c r="MY6" i="5" s="1"/>
  <c r="MV6" i="5"/>
  <c r="MU6" i="5"/>
  <c r="MT6" i="5"/>
  <c r="MR6" i="5"/>
  <c r="MQ6" i="5"/>
  <c r="KI6" i="5"/>
  <c r="KG6" i="5"/>
  <c r="IY6" i="5"/>
  <c r="JN6" i="5" s="1"/>
  <c r="IP6" i="5"/>
  <c r="HR6" i="5"/>
  <c r="HK6" i="5"/>
  <c r="HC6" i="5"/>
  <c r="HA6" i="5"/>
  <c r="HB6" i="5" s="1"/>
  <c r="GS6" i="5"/>
  <c r="FP6" i="5"/>
  <c r="EU6" i="5"/>
  <c r="EQ6" i="5"/>
  <c r="EL6" i="5"/>
  <c r="DW6" i="5"/>
  <c r="DX6" i="5" s="1"/>
  <c r="DU6" i="5"/>
  <c r="DV6" i="5" s="1"/>
  <c r="DS6" i="5"/>
  <c r="DR6" i="5"/>
  <c r="CZ6" i="5"/>
  <c r="CU6" i="5"/>
  <c r="CR6" i="5"/>
  <c r="CM6" i="5"/>
  <c r="PD6" i="5" s="1"/>
  <c r="CL6" i="5"/>
  <c r="CH6" i="5"/>
  <c r="CG6" i="5"/>
  <c r="CC6" i="5"/>
  <c r="CD6" i="5" s="1"/>
  <c r="BQ6" i="5"/>
  <c r="NH6" i="5" s="1"/>
  <c r="BO6" i="5"/>
  <c r="BP6" i="5" s="1"/>
  <c r="BN6" i="5"/>
  <c r="BM6" i="5"/>
  <c r="P6" i="5"/>
  <c r="N6" i="5"/>
  <c r="KI3" i="5"/>
  <c r="KI4" i="5"/>
  <c r="KI5" i="5"/>
  <c r="KG3" i="5"/>
  <c r="KG4" i="5"/>
  <c r="KG5" i="5"/>
  <c r="IY3" i="5"/>
  <c r="IY4" i="5"/>
  <c r="IY5" i="5"/>
  <c r="IP3" i="5"/>
  <c r="IP4" i="5"/>
  <c r="IP5" i="5"/>
  <c r="HK3" i="5"/>
  <c r="HR3" i="5"/>
  <c r="HK4" i="5"/>
  <c r="HR4" i="5"/>
  <c r="HK5" i="5"/>
  <c r="HR5" i="5"/>
  <c r="HA3" i="5"/>
  <c r="HB3" i="5" s="1"/>
  <c r="HC3" i="5"/>
  <c r="HA4" i="5"/>
  <c r="HB4" i="5" s="1"/>
  <c r="HC4" i="5"/>
  <c r="HA5" i="5"/>
  <c r="HB5" i="5" s="1"/>
  <c r="HC5" i="5"/>
  <c r="GS3" i="5"/>
  <c r="GS4" i="5"/>
  <c r="GS5" i="5"/>
  <c r="FP3" i="5"/>
  <c r="FP4" i="5"/>
  <c r="FP5" i="5"/>
  <c r="EU3" i="5"/>
  <c r="EU4" i="5"/>
  <c r="EU5" i="5"/>
  <c r="EQ3" i="5"/>
  <c r="EQ4" i="5"/>
  <c r="EQ5" i="5"/>
  <c r="EL3" i="5"/>
  <c r="EL4" i="5"/>
  <c r="EL5" i="5"/>
  <c r="DU3" i="5"/>
  <c r="DV3" i="5" s="1"/>
  <c r="DW3" i="5"/>
  <c r="DX3" i="5" s="1"/>
  <c r="DU4" i="5"/>
  <c r="DV4" i="5" s="1"/>
  <c r="DW4" i="5"/>
  <c r="DX4" i="5" s="1"/>
  <c r="DU5" i="5"/>
  <c r="DV5" i="5" s="1"/>
  <c r="DW5" i="5"/>
  <c r="DX5" i="5" s="1"/>
  <c r="DR3" i="5"/>
  <c r="DR4" i="5"/>
  <c r="DR5" i="5"/>
  <c r="CZ3" i="5"/>
  <c r="CZ4" i="5"/>
  <c r="CZ5" i="5"/>
  <c r="CU3" i="5"/>
  <c r="CU4" i="5"/>
  <c r="CU5" i="5"/>
  <c r="CR3" i="5"/>
  <c r="CR4" i="5"/>
  <c r="CR5" i="5"/>
  <c r="HP5" i="5" s="1"/>
  <c r="CL3" i="5"/>
  <c r="CM3" i="5"/>
  <c r="CN3" i="5" s="1"/>
  <c r="CL4" i="5"/>
  <c r="CM4" i="5"/>
  <c r="CL5" i="5"/>
  <c r="CM5" i="5"/>
  <c r="CG3" i="5"/>
  <c r="CH3" i="5"/>
  <c r="CI3" i="5" s="1"/>
  <c r="CG4" i="5"/>
  <c r="CH4" i="5"/>
  <c r="CG5" i="5"/>
  <c r="CH5" i="5"/>
  <c r="CC3" i="5"/>
  <c r="CD3" i="5" s="1"/>
  <c r="CC4" i="5"/>
  <c r="CD4" i="5" s="1"/>
  <c r="CC5" i="5"/>
  <c r="CD5" i="5" s="1"/>
  <c r="BM3" i="5"/>
  <c r="BN3" i="5"/>
  <c r="BO3" i="5"/>
  <c r="DY3" i="5" s="1"/>
  <c r="BQ3" i="5"/>
  <c r="BM4" i="5"/>
  <c r="BO4" i="5"/>
  <c r="DY4" i="5" s="1"/>
  <c r="BQ4" i="5"/>
  <c r="BM5" i="5"/>
  <c r="BO5" i="5"/>
  <c r="DY5" i="5" s="1"/>
  <c r="BQ5" i="5"/>
  <c r="P3" i="5"/>
  <c r="P4" i="5"/>
  <c r="P5" i="5"/>
  <c r="N3" i="5"/>
  <c r="N4" i="5"/>
  <c r="N5" i="5"/>
  <c r="BP8" i="5" l="1"/>
  <c r="EX8" i="5" s="1"/>
  <c r="PK6" i="5"/>
  <c r="OT7" i="5"/>
  <c r="HP6" i="5"/>
  <c r="PK7" i="5"/>
  <c r="NZ7" i="5"/>
  <c r="HP8" i="5"/>
  <c r="IK7" i="5"/>
  <c r="OL6" i="5"/>
  <c r="NY6" i="5"/>
  <c r="PC7" i="5"/>
  <c r="OK8" i="5"/>
  <c r="JX6" i="5"/>
  <c r="DY7" i="5"/>
  <c r="DZ7" i="5" s="1"/>
  <c r="PA8" i="5"/>
  <c r="PC6" i="5"/>
  <c r="DY6" i="5"/>
  <c r="DZ6" i="5" s="1"/>
  <c r="IK8" i="5"/>
  <c r="JX7" i="5"/>
  <c r="PB6" i="5"/>
  <c r="DY8" i="5"/>
  <c r="DZ8" i="5" s="1"/>
  <c r="MS8" i="5"/>
  <c r="NN7" i="5"/>
  <c r="HO7" i="5" s="1"/>
  <c r="HM7" i="5" s="1"/>
  <c r="OU7" i="5"/>
  <c r="PJ7" i="5"/>
  <c r="NH8" i="5"/>
  <c r="IN7" i="5"/>
  <c r="OG7" i="5" s="1"/>
  <c r="HQ8" i="5"/>
  <c r="HQ7" i="5"/>
  <c r="HQ6" i="5"/>
  <c r="MS6" i="5"/>
  <c r="FG8" i="5"/>
  <c r="FD8" i="5"/>
  <c r="FB8" i="5" s="1"/>
  <c r="NM8" i="5" s="1"/>
  <c r="DQ8" i="5"/>
  <c r="IQ8" i="5"/>
  <c r="IR8" i="5" s="1"/>
  <c r="GU8" i="5"/>
  <c r="GV8" i="5" s="1"/>
  <c r="ET8" i="5"/>
  <c r="GP8" i="5"/>
  <c r="EP8" i="5"/>
  <c r="IC8" i="5"/>
  <c r="GG8" i="5"/>
  <c r="GD8" i="5"/>
  <c r="EK8" i="5"/>
  <c r="EM8" i="5" s="1"/>
  <c r="FV8" i="5"/>
  <c r="FS8" i="5"/>
  <c r="FM8" i="5"/>
  <c r="FJ8" i="5"/>
  <c r="FM6" i="5"/>
  <c r="FG6" i="5"/>
  <c r="EX6" i="5"/>
  <c r="ET6" i="5"/>
  <c r="FS6" i="5"/>
  <c r="FJ6" i="5"/>
  <c r="GU6" i="5"/>
  <c r="GV6" i="5" s="1"/>
  <c r="FD6" i="5"/>
  <c r="FB6" i="5" s="1"/>
  <c r="DQ6" i="5"/>
  <c r="GP6" i="5"/>
  <c r="EP6" i="5"/>
  <c r="IC6" i="5"/>
  <c r="GG6" i="5"/>
  <c r="GD6" i="5"/>
  <c r="GA6" i="5"/>
  <c r="EK6" i="5"/>
  <c r="EM6" i="5" s="1"/>
  <c r="FV6" i="5"/>
  <c r="IQ6" i="5"/>
  <c r="IR6" i="5" s="1"/>
  <c r="IN6" i="5" s="1"/>
  <c r="OG6" i="5" s="1"/>
  <c r="OV7" i="5"/>
  <c r="OL8" i="5"/>
  <c r="PB8" i="5"/>
  <c r="OO6" i="5"/>
  <c r="PE6" i="5"/>
  <c r="OP6" i="5"/>
  <c r="PF6" i="5"/>
  <c r="OA6" i="5"/>
  <c r="OQ6" i="5"/>
  <c r="PG6" i="5"/>
  <c r="NA7" i="5"/>
  <c r="OM8" i="5"/>
  <c r="PC8" i="5"/>
  <c r="CN6" i="5"/>
  <c r="OW7" i="5"/>
  <c r="OR6" i="5"/>
  <c r="PH6" i="5"/>
  <c r="BP7" i="5"/>
  <c r="MS7" i="5" s="1"/>
  <c r="OX7" i="5"/>
  <c r="CI8" i="5"/>
  <c r="ON8" i="5"/>
  <c r="PD8" i="5"/>
  <c r="OS6" i="5"/>
  <c r="PI6" i="5"/>
  <c r="OI7" i="5"/>
  <c r="OY7" i="5"/>
  <c r="NY8" i="5"/>
  <c r="OO8" i="5"/>
  <c r="PE8" i="5"/>
  <c r="NN6" i="5"/>
  <c r="HO6" i="5" s="1"/>
  <c r="HM6" i="5" s="1"/>
  <c r="OT6" i="5"/>
  <c r="PJ6" i="5"/>
  <c r="OJ7" i="5"/>
  <c r="OZ7" i="5"/>
  <c r="OP8" i="5"/>
  <c r="PF8" i="5"/>
  <c r="OK7" i="5"/>
  <c r="PA7" i="5"/>
  <c r="CN8" i="5"/>
  <c r="OA8" i="5"/>
  <c r="OQ8" i="5"/>
  <c r="PG8" i="5"/>
  <c r="OV6" i="5"/>
  <c r="OL7" i="5"/>
  <c r="PB7" i="5"/>
  <c r="OR8" i="5"/>
  <c r="PH8" i="5"/>
  <c r="OS8" i="5"/>
  <c r="PI8" i="5"/>
  <c r="OM7" i="5"/>
  <c r="NB6" i="5"/>
  <c r="OX6" i="5"/>
  <c r="CI7" i="5"/>
  <c r="ON7" i="5"/>
  <c r="PD7" i="5"/>
  <c r="OT8" i="5"/>
  <c r="PJ8" i="5"/>
  <c r="OI6" i="5"/>
  <c r="OY6" i="5"/>
  <c r="NY7" i="5"/>
  <c r="OO7" i="5"/>
  <c r="PE7" i="5"/>
  <c r="OU8" i="5"/>
  <c r="PK8" i="5"/>
  <c r="OM6" i="5"/>
  <c r="CI6" i="5"/>
  <c r="OZ6" i="5"/>
  <c r="OV8" i="5"/>
  <c r="OK6" i="5"/>
  <c r="PA6" i="5"/>
  <c r="CN7" i="5"/>
  <c r="OQ7" i="5"/>
  <c r="PG7" i="5"/>
  <c r="NA8" i="5"/>
  <c r="OW8" i="5"/>
  <c r="ON6" i="5"/>
  <c r="OU6" i="5"/>
  <c r="OW6" i="5"/>
  <c r="OJ6" i="5"/>
  <c r="OP7" i="5"/>
  <c r="PF7" i="5"/>
  <c r="OR7" i="5"/>
  <c r="PH7" i="5"/>
  <c r="OX8" i="5"/>
  <c r="OS7" i="5"/>
  <c r="PI7" i="5"/>
  <c r="JN8" i="5"/>
  <c r="OI8" i="5"/>
  <c r="OY8" i="5"/>
  <c r="OJ8" i="5"/>
  <c r="OZ8" i="5"/>
  <c r="HP4" i="5"/>
  <c r="HP3" i="5"/>
  <c r="DZ4" i="5"/>
  <c r="DZ3" i="5"/>
  <c r="JN5" i="5"/>
  <c r="JX5" i="5"/>
  <c r="JN4" i="5"/>
  <c r="JX4" i="5"/>
  <c r="JN3" i="5"/>
  <c r="JX3" i="5"/>
  <c r="DZ5" i="5"/>
  <c r="CO3" i="5"/>
  <c r="HL3" i="5" s="1"/>
  <c r="CO8" i="5" l="1"/>
  <c r="HL8" i="5" s="1"/>
  <c r="GA8" i="5"/>
  <c r="OC8" i="5" s="1"/>
  <c r="OE8" i="5" s="1"/>
  <c r="CO6" i="5"/>
  <c r="HL6" i="5" s="1"/>
  <c r="CO7" i="5"/>
  <c r="HL7" i="5" s="1"/>
  <c r="OC6" i="5"/>
  <c r="OB6" i="5"/>
  <c r="OB8" i="5"/>
  <c r="OD8" i="5" s="1"/>
  <c r="OE6" i="5"/>
  <c r="OD6" i="5"/>
  <c r="IQ7" i="5"/>
  <c r="IR7" i="5" s="1"/>
  <c r="HN8" i="5"/>
  <c r="IC7" i="5"/>
  <c r="GG7" i="5"/>
  <c r="GD7" i="5"/>
  <c r="GA7" i="5"/>
  <c r="EK7" i="5"/>
  <c r="EM7" i="5" s="1"/>
  <c r="FJ7" i="5"/>
  <c r="EP7" i="5"/>
  <c r="FV7" i="5"/>
  <c r="FS7" i="5"/>
  <c r="GP7" i="5"/>
  <c r="FM7" i="5"/>
  <c r="FG7" i="5"/>
  <c r="FD7" i="5"/>
  <c r="FB7" i="5" s="1"/>
  <c r="EX7" i="5"/>
  <c r="DQ7" i="5"/>
  <c r="GU7" i="5"/>
  <c r="GV7" i="5" s="1"/>
  <c r="ET7" i="5"/>
  <c r="HN6" i="5"/>
  <c r="NM6" i="5"/>
  <c r="HM2" i="5"/>
  <c r="KG2" i="5"/>
  <c r="KI2" i="5"/>
  <c r="BP3" i="5"/>
  <c r="BP4" i="5"/>
  <c r="BP5" i="5"/>
  <c r="OC7" i="5" l="1"/>
  <c r="OE7" i="5" s="1"/>
  <c r="NM7" i="5"/>
  <c r="HN7" i="5"/>
  <c r="OB7" i="5"/>
  <c r="OD7" i="5" s="1"/>
  <c r="IQ5" i="5"/>
  <c r="IR5" i="5" s="1"/>
  <c r="IC5" i="5"/>
  <c r="IC4" i="5"/>
  <c r="IQ4" i="5"/>
  <c r="IR4" i="5" s="1"/>
  <c r="IC3" i="5"/>
  <c r="IQ3" i="5"/>
  <c r="IR3" i="5" s="1"/>
  <c r="GU5" i="5"/>
  <c r="GV5" i="5" s="1"/>
  <c r="GP5" i="5"/>
  <c r="GU4" i="5"/>
  <c r="GV4" i="5" s="1"/>
  <c r="GP4" i="5"/>
  <c r="GU3" i="5"/>
  <c r="GV3" i="5" s="1"/>
  <c r="GP3" i="5"/>
  <c r="GD3" i="5"/>
  <c r="GG3" i="5"/>
  <c r="GD5" i="5"/>
  <c r="GG5" i="5"/>
  <c r="GG4" i="5"/>
  <c r="GD4" i="5"/>
  <c r="FV3" i="5"/>
  <c r="GA3" i="5"/>
  <c r="FV5" i="5"/>
  <c r="GA5" i="5"/>
  <c r="FV4" i="5"/>
  <c r="GA4" i="5"/>
  <c r="FS5" i="5"/>
  <c r="FS3" i="5"/>
  <c r="FS4" i="5"/>
  <c r="FJ5" i="5"/>
  <c r="FM5" i="5"/>
  <c r="FJ3" i="5"/>
  <c r="FM3" i="5"/>
  <c r="FJ4" i="5"/>
  <c r="FM4" i="5"/>
  <c r="FD5" i="5"/>
  <c r="FB5" i="5" s="1"/>
  <c r="EX5" i="5"/>
  <c r="FG5" i="5"/>
  <c r="FD4" i="5"/>
  <c r="FB4" i="5" s="1"/>
  <c r="EX4" i="5"/>
  <c r="FG4" i="5"/>
  <c r="FD3" i="5"/>
  <c r="FB3" i="5" s="1"/>
  <c r="EX3" i="5"/>
  <c r="FG3" i="5"/>
  <c r="EP5" i="5"/>
  <c r="ET5" i="5"/>
  <c r="EP4" i="5"/>
  <c r="ET4" i="5"/>
  <c r="EP3" i="5"/>
  <c r="ET3" i="5"/>
  <c r="DQ3" i="5"/>
  <c r="EK3" i="5"/>
  <c r="EM3" i="5" s="1"/>
  <c r="DQ4" i="5"/>
  <c r="EK4" i="5"/>
  <c r="EM4" i="5" s="1"/>
  <c r="DQ5" i="5"/>
  <c r="EK5" i="5"/>
  <c r="EM5" i="5" s="1"/>
  <c r="OG2" i="5"/>
  <c r="OF2" i="5" l="1"/>
  <c r="OF3" i="5"/>
  <c r="OF4" i="5"/>
  <c r="OF5" i="5"/>
  <c r="OA2" i="5"/>
  <c r="XFD105" i="30"/>
  <c r="IY2" i="5" l="1"/>
  <c r="OE2" i="5" l="1"/>
  <c r="OD2" i="5"/>
  <c r="NM2" i="5"/>
  <c r="HN2" i="5"/>
  <c r="NZ2" i="5" l="1"/>
  <c r="NZ3" i="5"/>
  <c r="NZ4" i="5"/>
  <c r="NZ5" i="5"/>
  <c r="NJ2" i="5" l="1"/>
  <c r="NJ3" i="5"/>
  <c r="NJ4" i="5"/>
  <c r="NJ5" i="5"/>
  <c r="NL2" i="5" l="1"/>
  <c r="NL3" i="5"/>
  <c r="NL4" i="5"/>
  <c r="NL5" i="5"/>
  <c r="NK2" i="5"/>
  <c r="NK3" i="5"/>
  <c r="NK4" i="5"/>
  <c r="NK5" i="5"/>
  <c r="FP2" i="5"/>
  <c r="DR2" i="5" l="1"/>
  <c r="PO2" i="5"/>
  <c r="PL3" i="5"/>
  <c r="PL4" i="5"/>
  <c r="PL5" i="5"/>
  <c r="PL2" i="5"/>
  <c r="PN2" i="5" s="1"/>
  <c r="PQ4" i="5"/>
  <c r="PQ5" i="5"/>
  <c r="NR2" i="5" l="1"/>
  <c r="DS3" i="5"/>
  <c r="DS4" i="5"/>
  <c r="DS5" i="5"/>
  <c r="B29" i="30" l="1"/>
  <c r="B18" i="30"/>
  <c r="D29" i="30"/>
  <c r="D30" i="30"/>
  <c r="B30" i="30"/>
  <c r="B27" i="30"/>
  <c r="D27" i="30"/>
  <c r="B26" i="30"/>
  <c r="D26" i="30"/>
  <c r="D24" i="30"/>
  <c r="B24" i="30"/>
  <c r="D21" i="30"/>
  <c r="B17" i="30"/>
  <c r="C17" i="30" s="1"/>
  <c r="D18" i="30"/>
  <c r="B21" i="30"/>
  <c r="D17" i="30"/>
  <c r="OA5" i="5"/>
  <c r="OA4" i="5"/>
  <c r="OA3" i="5"/>
  <c r="NR3" i="5"/>
  <c r="NR5" i="5"/>
  <c r="NR4" i="5"/>
  <c r="PN3" i="5"/>
  <c r="PM3" i="5"/>
  <c r="PO3" i="5"/>
  <c r="PP3" i="5" s="1"/>
  <c r="PQ3" i="5" s="1"/>
  <c r="PN4" i="5"/>
  <c r="PM4" i="5"/>
  <c r="PO4" i="5"/>
  <c r="PP4" i="5" s="1"/>
  <c r="PN5" i="5"/>
  <c r="PM5" i="5"/>
  <c r="PO5" i="5"/>
  <c r="PP5" i="5" s="1"/>
  <c r="OH3" i="5"/>
  <c r="OI3" i="5"/>
  <c r="OJ3" i="5"/>
  <c r="OK3" i="5"/>
  <c r="OL3" i="5"/>
  <c r="OM3" i="5"/>
  <c r="ON3" i="5"/>
  <c r="OO3" i="5"/>
  <c r="OP3" i="5"/>
  <c r="OQ3" i="5"/>
  <c r="OR3" i="5"/>
  <c r="OS3" i="5"/>
  <c r="OT3" i="5"/>
  <c r="OU3" i="5"/>
  <c r="OV3" i="5"/>
  <c r="OW3" i="5"/>
  <c r="OX3" i="5"/>
  <c r="OY3" i="5"/>
  <c r="OZ3" i="5"/>
  <c r="PA3" i="5"/>
  <c r="PB3" i="5"/>
  <c r="PC3" i="5"/>
  <c r="PD3" i="5"/>
  <c r="PE3" i="5"/>
  <c r="PF3" i="5"/>
  <c r="PG3" i="5"/>
  <c r="PH3" i="5"/>
  <c r="PI3" i="5"/>
  <c r="PJ3" i="5"/>
  <c r="PK3" i="5"/>
  <c r="OH4" i="5"/>
  <c r="OI4" i="5"/>
  <c r="OJ4" i="5"/>
  <c r="OK4" i="5"/>
  <c r="OL4" i="5"/>
  <c r="OM4" i="5"/>
  <c r="ON4" i="5"/>
  <c r="OO4" i="5"/>
  <c r="OP4" i="5"/>
  <c r="OQ4" i="5"/>
  <c r="OR4" i="5"/>
  <c r="OS4" i="5"/>
  <c r="OT4" i="5"/>
  <c r="OU4" i="5"/>
  <c r="OV4" i="5"/>
  <c r="OW4" i="5"/>
  <c r="OX4" i="5"/>
  <c r="OY4" i="5"/>
  <c r="OZ4" i="5"/>
  <c r="PA4" i="5"/>
  <c r="PB4" i="5"/>
  <c r="PC4" i="5"/>
  <c r="PD4" i="5"/>
  <c r="PE4" i="5"/>
  <c r="PF4" i="5"/>
  <c r="PG4" i="5"/>
  <c r="PH4" i="5"/>
  <c r="PI4" i="5"/>
  <c r="PJ4" i="5"/>
  <c r="PK4" i="5"/>
  <c r="OH5" i="5"/>
  <c r="OI5" i="5"/>
  <c r="OJ5" i="5"/>
  <c r="OK5" i="5"/>
  <c r="OL5" i="5"/>
  <c r="OM5" i="5"/>
  <c r="ON5" i="5"/>
  <c r="OO5" i="5"/>
  <c r="OP5" i="5"/>
  <c r="OQ5" i="5"/>
  <c r="OR5" i="5"/>
  <c r="OS5" i="5"/>
  <c r="OT5" i="5"/>
  <c r="OU5" i="5"/>
  <c r="OV5" i="5"/>
  <c r="OW5" i="5"/>
  <c r="OX5" i="5"/>
  <c r="OY5" i="5"/>
  <c r="OZ5" i="5"/>
  <c r="PA5" i="5"/>
  <c r="PB5" i="5"/>
  <c r="PC5" i="5"/>
  <c r="PD5" i="5"/>
  <c r="PE5" i="5"/>
  <c r="PF5" i="5"/>
  <c r="PG5" i="5"/>
  <c r="PH5" i="5"/>
  <c r="PI5" i="5"/>
  <c r="PJ5" i="5"/>
  <c r="PK5" i="5"/>
  <c r="NV3" i="5"/>
  <c r="NW3" i="5"/>
  <c r="NX3" i="5"/>
  <c r="NY3" i="5"/>
  <c r="NV4" i="5"/>
  <c r="NW4" i="5"/>
  <c r="NX4" i="5"/>
  <c r="NY4" i="5"/>
  <c r="NV5" i="5"/>
  <c r="NW5" i="5"/>
  <c r="NX5" i="5"/>
  <c r="NY5" i="5"/>
  <c r="NS3" i="5"/>
  <c r="NT3" i="5"/>
  <c r="NU3" i="5"/>
  <c r="NS4" i="5"/>
  <c r="NT4" i="5"/>
  <c r="NU4" i="5"/>
  <c r="NS5" i="5"/>
  <c r="NT5" i="5"/>
  <c r="NU5" i="5"/>
  <c r="NO3" i="5"/>
  <c r="IN3" i="5" s="1"/>
  <c r="NP3" i="5"/>
  <c r="AK3" i="5" s="1"/>
  <c r="NQ3" i="5"/>
  <c r="NO4" i="5"/>
  <c r="IN4" i="5" s="1"/>
  <c r="NP4" i="5"/>
  <c r="AK4" i="5" s="1"/>
  <c r="NQ4" i="5"/>
  <c r="BN4" i="5" s="1"/>
  <c r="NO5" i="5"/>
  <c r="IN5" i="5" s="1"/>
  <c r="NP5" i="5"/>
  <c r="AK5" i="5" s="1"/>
  <c r="NQ5" i="5"/>
  <c r="BN5" i="5" s="1"/>
  <c r="NG3" i="5"/>
  <c r="NI3" i="5"/>
  <c r="NG4" i="5"/>
  <c r="NI4" i="5"/>
  <c r="NG5" i="5"/>
  <c r="NI5" i="5"/>
  <c r="NC3" i="5"/>
  <c r="ND3" i="5"/>
  <c r="NE3" i="5"/>
  <c r="NF3" i="5"/>
  <c r="NC4" i="5"/>
  <c r="ND4" i="5"/>
  <c r="NE4" i="5"/>
  <c r="NF4" i="5"/>
  <c r="NC5" i="5"/>
  <c r="ND5" i="5"/>
  <c r="NE5" i="5"/>
  <c r="NF5" i="5"/>
  <c r="MZ3" i="5"/>
  <c r="NA3" i="5" s="1"/>
  <c r="MZ4" i="5"/>
  <c r="NN4" i="5" s="1"/>
  <c r="HO4" i="5" s="1"/>
  <c r="MZ5" i="5"/>
  <c r="NN5" i="5" s="1"/>
  <c r="HO5" i="5" s="1"/>
  <c r="MU3" i="5"/>
  <c r="MV3" i="5"/>
  <c r="MW3" i="5"/>
  <c r="MY3" i="5" s="1"/>
  <c r="MX3" i="5"/>
  <c r="MU4" i="5"/>
  <c r="MV4" i="5"/>
  <c r="MW4" i="5"/>
  <c r="MY4" i="5" s="1"/>
  <c r="MX4" i="5"/>
  <c r="MU5" i="5"/>
  <c r="MV5" i="5"/>
  <c r="MW5" i="5"/>
  <c r="MY5" i="5" s="1"/>
  <c r="MX5" i="5"/>
  <c r="MQ3" i="5"/>
  <c r="MR3" i="5"/>
  <c r="MT3" i="5"/>
  <c r="MQ4" i="5"/>
  <c r="MR4" i="5"/>
  <c r="MT4" i="5"/>
  <c r="MQ5" i="5"/>
  <c r="MR5" i="5"/>
  <c r="MT5" i="5"/>
  <c r="NH3" i="5"/>
  <c r="NH4" i="5"/>
  <c r="NH5" i="5"/>
  <c r="IK4" i="5" l="1"/>
  <c r="HN3" i="5"/>
  <c r="CN5" i="5"/>
  <c r="IK5" i="5"/>
  <c r="IK3" i="5"/>
  <c r="DT3" i="5"/>
  <c r="HQ3" i="5"/>
  <c r="DT4" i="5"/>
  <c r="HQ4" i="5"/>
  <c r="DT5" i="5"/>
  <c r="HQ5" i="5"/>
  <c r="CN4" i="5"/>
  <c r="CI5" i="5"/>
  <c r="CI4" i="5"/>
  <c r="C29" i="30"/>
  <c r="E17" i="30"/>
  <c r="C26" i="30"/>
  <c r="E29" i="30"/>
  <c r="OG5" i="5"/>
  <c r="E26" i="30"/>
  <c r="OG4" i="5"/>
  <c r="OG3" i="5"/>
  <c r="OB4" i="5"/>
  <c r="OD4" i="5" s="1"/>
  <c r="OB5" i="5"/>
  <c r="OD5" i="5" s="1"/>
  <c r="OC4" i="5"/>
  <c r="OE4" i="5" s="1"/>
  <c r="NA5" i="5"/>
  <c r="HN5" i="5" s="1"/>
  <c r="NN3" i="5"/>
  <c r="HO3" i="5" s="1"/>
  <c r="NB5" i="5"/>
  <c r="NA4" i="5"/>
  <c r="NM4" i="5" s="1"/>
  <c r="NB4" i="5"/>
  <c r="NB3" i="5"/>
  <c r="PP2" i="5"/>
  <c r="PQ2" i="5" s="1"/>
  <c r="PM2" i="5"/>
  <c r="NO2" i="5"/>
  <c r="CO5" i="5" l="1"/>
  <c r="HL5" i="5" s="1"/>
  <c r="HN4" i="5"/>
  <c r="CO4" i="5"/>
  <c r="HL4" i="5" s="1"/>
  <c r="HM4" i="5" s="1"/>
  <c r="NM5" i="5"/>
  <c r="NM3" i="5"/>
  <c r="HM3" i="5" s="1"/>
  <c r="OC3" i="5"/>
  <c r="OE3" i="5" s="1"/>
  <c r="OC5" i="5"/>
  <c r="OE5" i="5" s="1"/>
  <c r="OB3" i="5"/>
  <c r="OD3" i="5" s="1"/>
  <c r="BO2" i="5"/>
  <c r="HM5" i="5" l="1"/>
  <c r="F10" i="30"/>
  <c r="G7" i="30"/>
  <c r="M9" i="30"/>
  <c r="C7" i="30"/>
  <c r="I9" i="30"/>
  <c r="J10" i="30"/>
  <c r="E9" i="30"/>
  <c r="K7" i="30"/>
  <c r="L10" i="30"/>
  <c r="H9" i="30"/>
  <c r="M10" i="30"/>
  <c r="L7" i="30"/>
  <c r="F9" i="30"/>
  <c r="K10" i="30"/>
  <c r="K9" i="30"/>
  <c r="I10" i="30"/>
  <c r="G9" i="30"/>
  <c r="B10" i="30"/>
  <c r="L9" i="30"/>
  <c r="B9" i="30"/>
  <c r="J9" i="30"/>
  <c r="E7" i="30"/>
  <c r="D10" i="30"/>
  <c r="D9" i="30"/>
  <c r="F7" i="30"/>
  <c r="E10" i="30"/>
  <c r="D7" i="30"/>
  <c r="C10" i="30"/>
  <c r="I7" i="30"/>
  <c r="C9" i="30"/>
  <c r="H10" i="30"/>
  <c r="J7" i="30"/>
  <c r="H7" i="30"/>
  <c r="G10" i="30"/>
  <c r="M7" i="30"/>
  <c r="BQ2" i="5"/>
  <c r="IK2" i="5" l="1"/>
  <c r="MS4" i="5"/>
  <c r="MS5" i="5"/>
  <c r="MS3" i="5"/>
  <c r="N2" i="5"/>
  <c r="B14" i="30" l="1"/>
  <c r="B15" i="30"/>
  <c r="B23" i="30"/>
  <c r="C23" i="30" s="1"/>
  <c r="D14" i="30"/>
  <c r="D15" i="30"/>
  <c r="B20" i="30"/>
  <c r="C20" i="30" s="1"/>
  <c r="D23" i="30"/>
  <c r="E23" i="30" s="1"/>
  <c r="D20" i="30"/>
  <c r="E20" i="30" s="1"/>
  <c r="C14" i="30" l="1"/>
  <c r="E14" i="30"/>
  <c r="OH2" i="5"/>
  <c r="P2" i="5" l="1"/>
  <c r="BM2" i="5"/>
  <c r="BN2" i="5"/>
  <c r="CC2" i="5"/>
  <c r="CD2" i="5" s="1"/>
  <c r="CG2" i="5"/>
  <c r="CH2" i="5"/>
  <c r="CL2" i="5"/>
  <c r="CM2" i="5"/>
  <c r="CR2" i="5"/>
  <c r="CU2" i="5"/>
  <c r="CZ2" i="5"/>
  <c r="DU2" i="5"/>
  <c r="DW2" i="5"/>
  <c r="EL2" i="5"/>
  <c r="EQ2" i="5"/>
  <c r="EU2" i="5"/>
  <c r="GS2" i="5"/>
  <c r="HA2" i="5"/>
  <c r="HB2" i="5" s="1"/>
  <c r="HC2" i="5"/>
  <c r="HK2" i="5"/>
  <c r="HR2" i="5"/>
  <c r="IP2" i="5"/>
  <c r="JN2" i="5" l="1"/>
  <c r="HP2" i="5"/>
  <c r="BP2" i="5"/>
  <c r="NY2" i="5"/>
  <c r="B7" i="30"/>
  <c r="DX2" i="5"/>
  <c r="DV2" i="5"/>
  <c r="DS2" i="5" s="1"/>
  <c r="CN2" i="5"/>
  <c r="OX2" i="5"/>
  <c r="PB2" i="5"/>
  <c r="PF2" i="5"/>
  <c r="PJ2" i="5"/>
  <c r="OY2" i="5"/>
  <c r="PC2" i="5"/>
  <c r="PG2" i="5"/>
  <c r="PK2" i="5"/>
  <c r="OZ2" i="5"/>
  <c r="PD2" i="5"/>
  <c r="PH2" i="5"/>
  <c r="PA2" i="5"/>
  <c r="PE2" i="5"/>
  <c r="PI2" i="5"/>
  <c r="CI2" i="5"/>
  <c r="OL2" i="5"/>
  <c r="OP2" i="5"/>
  <c r="OT2" i="5"/>
  <c r="OI2" i="5"/>
  <c r="OM2" i="5"/>
  <c r="OQ2" i="5"/>
  <c r="OU2" i="5"/>
  <c r="OJ2" i="5"/>
  <c r="ON2" i="5"/>
  <c r="OR2" i="5"/>
  <c r="OV2" i="5"/>
  <c r="OK2" i="5"/>
  <c r="OO2" i="5"/>
  <c r="OS2" i="5"/>
  <c r="OW2" i="5"/>
  <c r="DY2" i="5"/>
  <c r="JX2" i="5"/>
  <c r="GG2" i="5" l="1"/>
  <c r="GA2" i="5"/>
  <c r="GD2" i="5"/>
  <c r="FM2" i="5"/>
  <c r="FJ2" i="5"/>
  <c r="FG2" i="5"/>
  <c r="DQ2" i="5"/>
  <c r="GP2" i="5"/>
  <c r="IC2" i="5"/>
  <c r="EX2" i="5"/>
  <c r="FS2" i="5"/>
  <c r="GU2" i="5"/>
  <c r="GV2" i="5" s="1"/>
  <c r="FD2" i="5"/>
  <c r="FB2" i="5" s="1"/>
  <c r="ET2" i="5"/>
  <c r="EP2" i="5"/>
  <c r="FV2" i="5"/>
  <c r="EK2" i="5"/>
  <c r="EM2" i="5" s="1"/>
  <c r="IQ2" i="5"/>
  <c r="DZ2" i="5"/>
  <c r="CO2" i="5"/>
  <c r="HL2" i="5" s="1"/>
  <c r="OC2" i="5" l="1"/>
  <c r="OB2" i="5"/>
  <c r="IR2" i="5"/>
  <c r="IN2" i="5" s="1"/>
  <c r="NP2" i="5"/>
  <c r="AK2" i="5" s="1"/>
  <c r="NQ2" i="5" l="1"/>
  <c r="NT2" i="5" l="1"/>
  <c r="B126" i="30" s="1"/>
  <c r="NS2" i="5"/>
  <c r="B61" i="30" l="1"/>
  <c r="B115" i="30"/>
  <c r="B58" i="30"/>
  <c r="B117" i="30"/>
  <c r="D83" i="30"/>
  <c r="L121" i="30"/>
  <c r="H121" i="30"/>
  <c r="D121" i="30"/>
  <c r="M119" i="30"/>
  <c r="I119" i="30"/>
  <c r="E119" i="30"/>
  <c r="K83" i="30"/>
  <c r="G83" i="30"/>
  <c r="C83" i="30"/>
  <c r="L81" i="30"/>
  <c r="G81" i="30"/>
  <c r="J121" i="30"/>
  <c r="G119" i="30"/>
  <c r="C119" i="30"/>
  <c r="E83" i="30"/>
  <c r="I81" i="30"/>
  <c r="M121" i="30"/>
  <c r="J119" i="30"/>
  <c r="B119" i="30"/>
  <c r="H81" i="30"/>
  <c r="K121" i="30"/>
  <c r="G121" i="30"/>
  <c r="C121" i="30"/>
  <c r="L119" i="30"/>
  <c r="H119" i="30"/>
  <c r="D119" i="30"/>
  <c r="J83" i="30"/>
  <c r="F83" i="30"/>
  <c r="B83" i="30"/>
  <c r="J81" i="30"/>
  <c r="F81" i="30"/>
  <c r="F121" i="30"/>
  <c r="K119" i="30"/>
  <c r="M83" i="30"/>
  <c r="I83" i="30"/>
  <c r="B79" i="30"/>
  <c r="E81" i="30"/>
  <c r="I121" i="30"/>
  <c r="F119" i="30"/>
  <c r="L83" i="30"/>
  <c r="M81" i="30"/>
  <c r="B121" i="30"/>
  <c r="E121" i="30"/>
  <c r="H83" i="30"/>
  <c r="K81" i="30"/>
  <c r="D81" i="30"/>
  <c r="C81" i="30"/>
  <c r="B81" i="30"/>
  <c r="K79" i="30"/>
  <c r="G79" i="30"/>
  <c r="C79" i="30"/>
  <c r="J79" i="30"/>
  <c r="F79" i="30"/>
  <c r="H79" i="30"/>
  <c r="D79" i="30"/>
  <c r="M79" i="30"/>
  <c r="I79" i="30"/>
  <c r="E79" i="30"/>
  <c r="L79" i="30"/>
  <c r="J77" i="30"/>
  <c r="F77" i="30"/>
  <c r="I77" i="30"/>
  <c r="E77" i="30"/>
  <c r="G77" i="30"/>
  <c r="M77" i="30"/>
  <c r="H77" i="30"/>
  <c r="L77" i="30"/>
  <c r="K77" i="30"/>
  <c r="D77" i="30"/>
  <c r="C77" i="30"/>
  <c r="B77" i="30"/>
  <c r="B75" i="30"/>
  <c r="J75" i="30"/>
  <c r="F75" i="30"/>
  <c r="K73" i="30"/>
  <c r="G73" i="30"/>
  <c r="C73" i="30"/>
  <c r="C75" i="30"/>
  <c r="M75" i="30"/>
  <c r="I75" i="30"/>
  <c r="E75" i="30"/>
  <c r="B73" i="30"/>
  <c r="J73" i="30"/>
  <c r="F73" i="30"/>
  <c r="H73" i="30"/>
  <c r="L75" i="30"/>
  <c r="H75" i="30"/>
  <c r="D75" i="30"/>
  <c r="M73" i="30"/>
  <c r="I73" i="30"/>
  <c r="E73" i="30"/>
  <c r="L73" i="30"/>
  <c r="D73" i="30"/>
  <c r="K75" i="30"/>
  <c r="G75" i="30"/>
  <c r="B67" i="30"/>
  <c r="J71" i="30"/>
  <c r="F71" i="30"/>
  <c r="B71" i="30"/>
  <c r="M71" i="30"/>
  <c r="I71" i="30"/>
  <c r="E71" i="30"/>
  <c r="L71" i="30"/>
  <c r="H71" i="30"/>
  <c r="D71" i="30"/>
  <c r="K71" i="30"/>
  <c r="G71" i="30"/>
  <c r="C71" i="30"/>
  <c r="M112" i="30"/>
  <c r="I112" i="30"/>
  <c r="E112" i="30"/>
  <c r="D112" i="30"/>
  <c r="F112" i="30"/>
  <c r="L112" i="30"/>
  <c r="H112" i="30"/>
  <c r="J112" i="30"/>
  <c r="K112" i="30"/>
  <c r="G112" i="30"/>
  <c r="C112" i="30"/>
  <c r="B112" i="30"/>
  <c r="M113" i="30"/>
  <c r="M114" i="30" s="1"/>
  <c r="I113" i="30"/>
  <c r="I114" i="30" s="1"/>
  <c r="G113" i="30"/>
  <c r="G114" i="30" s="1"/>
  <c r="J113" i="30"/>
  <c r="J114" i="30" s="1"/>
  <c r="D113" i="30"/>
  <c r="L113" i="30"/>
  <c r="L114" i="30" s="1"/>
  <c r="H113" i="30"/>
  <c r="H114" i="30" s="1"/>
  <c r="F113" i="30"/>
  <c r="F114" i="30" s="1"/>
  <c r="K113" i="30"/>
  <c r="C113" i="30"/>
  <c r="E113" i="30"/>
  <c r="E114" i="30" s="1"/>
  <c r="B113" i="30"/>
  <c r="M110" i="30"/>
  <c r="M111" i="30" s="1"/>
  <c r="I110" i="30"/>
  <c r="I111" i="30" s="1"/>
  <c r="E110" i="30"/>
  <c r="E111" i="30" s="1"/>
  <c r="J110" i="30"/>
  <c r="J111" i="30" s="1"/>
  <c r="L110" i="30"/>
  <c r="L111" i="30" s="1"/>
  <c r="H110" i="30"/>
  <c r="H111" i="30" s="1"/>
  <c r="D110" i="30"/>
  <c r="D111" i="30" s="1"/>
  <c r="B110" i="30"/>
  <c r="K110" i="30"/>
  <c r="K111" i="30" s="1"/>
  <c r="G110" i="30"/>
  <c r="G111" i="30" s="1"/>
  <c r="C110" i="30"/>
  <c r="F110" i="30"/>
  <c r="F111" i="30" s="1"/>
  <c r="B65" i="30"/>
  <c r="L109" i="30"/>
  <c r="H109" i="30"/>
  <c r="D109" i="30"/>
  <c r="L53" i="30"/>
  <c r="L49" i="30" s="1"/>
  <c r="H53" i="30"/>
  <c r="H49" i="30" s="1"/>
  <c r="D53" i="30"/>
  <c r="M53" i="30"/>
  <c r="M49" i="30" s="1"/>
  <c r="C109" i="30"/>
  <c r="K109" i="30"/>
  <c r="G109" i="30"/>
  <c r="B109" i="30"/>
  <c r="K53" i="30"/>
  <c r="K49" i="30" s="1"/>
  <c r="G53" i="30"/>
  <c r="G49" i="30" s="1"/>
  <c r="C53" i="30"/>
  <c r="F53" i="30"/>
  <c r="F49" i="30" s="1"/>
  <c r="B53" i="30"/>
  <c r="I109" i="30"/>
  <c r="E109" i="30"/>
  <c r="I53" i="30"/>
  <c r="I49" i="30" s="1"/>
  <c r="B60" i="30"/>
  <c r="B62" i="30" s="1"/>
  <c r="J109" i="30"/>
  <c r="F109" i="30"/>
  <c r="B104" i="30"/>
  <c r="J53" i="30"/>
  <c r="J49" i="30" s="1"/>
  <c r="M109" i="30"/>
  <c r="E53" i="30"/>
  <c r="E49" i="30" s="1"/>
  <c r="M69" i="30"/>
  <c r="I69" i="30"/>
  <c r="E69" i="30"/>
  <c r="J107" i="30"/>
  <c r="F107" i="30"/>
  <c r="M106" i="30"/>
  <c r="I106" i="30"/>
  <c r="E106" i="30"/>
  <c r="B106" i="30"/>
  <c r="C126" i="30"/>
  <c r="K104" i="30"/>
  <c r="G104" i="30"/>
  <c r="C104" i="30"/>
  <c r="K107" i="30"/>
  <c r="J106" i="30"/>
  <c r="D104" i="30"/>
  <c r="L69" i="30"/>
  <c r="H69" i="30"/>
  <c r="D69" i="30"/>
  <c r="M107" i="30"/>
  <c r="I107" i="30"/>
  <c r="E107" i="30"/>
  <c r="L106" i="30"/>
  <c r="H106" i="30"/>
  <c r="D106" i="30"/>
  <c r="J104" i="30"/>
  <c r="F104" i="30"/>
  <c r="B69" i="30"/>
  <c r="C107" i="30"/>
  <c r="B107" i="30"/>
  <c r="H104" i="30"/>
  <c r="K69" i="30"/>
  <c r="G69" i="30"/>
  <c r="C69" i="30"/>
  <c r="L107" i="30"/>
  <c r="H107" i="30"/>
  <c r="D107" i="30"/>
  <c r="K106" i="30"/>
  <c r="G106" i="30"/>
  <c r="C106" i="30"/>
  <c r="M104" i="30"/>
  <c r="I104" i="30"/>
  <c r="E104" i="30"/>
  <c r="J69" i="30"/>
  <c r="F69" i="30"/>
  <c r="G107" i="30"/>
  <c r="F106" i="30"/>
  <c r="L104" i="30"/>
  <c r="J58" i="30"/>
  <c r="F58" i="30"/>
  <c r="K56" i="30"/>
  <c r="G56" i="30"/>
  <c r="C56" i="30"/>
  <c r="M58" i="30"/>
  <c r="I58" i="30"/>
  <c r="E58" i="30"/>
  <c r="B56" i="30"/>
  <c r="J56" i="30"/>
  <c r="F56" i="30"/>
  <c r="L58" i="30"/>
  <c r="H58" i="30"/>
  <c r="D58" i="30"/>
  <c r="M56" i="30"/>
  <c r="I56" i="30"/>
  <c r="E56" i="30"/>
  <c r="K58" i="30"/>
  <c r="G58" i="30"/>
  <c r="C58" i="30"/>
  <c r="L56" i="30"/>
  <c r="H56" i="30"/>
  <c r="D56" i="30"/>
  <c r="B55" i="30"/>
  <c r="M55" i="30"/>
  <c r="I55" i="30"/>
  <c r="E55" i="30"/>
  <c r="B90" i="30"/>
  <c r="L55" i="30"/>
  <c r="H55" i="30"/>
  <c r="D55" i="30"/>
  <c r="J55" i="30"/>
  <c r="G55" i="30"/>
  <c r="F55" i="30"/>
  <c r="K55" i="30"/>
  <c r="C55" i="30"/>
  <c r="L61" i="30"/>
  <c r="K61" i="30"/>
  <c r="F61" i="30"/>
  <c r="B89" i="30"/>
  <c r="H61" i="30"/>
  <c r="G61" i="30"/>
  <c r="D61" i="30"/>
  <c r="C61" i="30"/>
  <c r="M61" i="30"/>
  <c r="I61" i="30"/>
  <c r="J61" i="30"/>
  <c r="E61" i="30"/>
  <c r="K117" i="30"/>
  <c r="G117" i="30"/>
  <c r="C117" i="30"/>
  <c r="M115" i="30"/>
  <c r="I115" i="30"/>
  <c r="E115" i="30"/>
  <c r="B123" i="30"/>
  <c r="K67" i="30"/>
  <c r="G67" i="30"/>
  <c r="C67" i="30"/>
  <c r="C115" i="30"/>
  <c r="H117" i="30"/>
  <c r="F115" i="30"/>
  <c r="D67" i="30"/>
  <c r="J117" i="30"/>
  <c r="F117" i="30"/>
  <c r="L115" i="30"/>
  <c r="H115" i="30"/>
  <c r="D115" i="30"/>
  <c r="M67" i="30"/>
  <c r="J67" i="30"/>
  <c r="F67" i="30"/>
  <c r="G115" i="30"/>
  <c r="E67" i="30"/>
  <c r="D117" i="30"/>
  <c r="M117" i="30"/>
  <c r="I117" i="30"/>
  <c r="E117" i="30"/>
  <c r="B125" i="30"/>
  <c r="K115" i="30"/>
  <c r="I67" i="30"/>
  <c r="L117" i="30"/>
  <c r="J115" i="30"/>
  <c r="L67" i="30"/>
  <c r="H67" i="30"/>
  <c r="H139" i="30"/>
  <c r="C136" i="30"/>
  <c r="J136" i="30"/>
  <c r="J138" i="30" s="1"/>
  <c r="E136" i="30"/>
  <c r="E138" i="30" s="1"/>
  <c r="I139" i="30"/>
  <c r="C134" i="30"/>
  <c r="E134" i="30"/>
  <c r="L134" i="30"/>
  <c r="B139" i="30"/>
  <c r="I125" i="30"/>
  <c r="E126" i="30"/>
  <c r="D125" i="30"/>
  <c r="F126" i="30"/>
  <c r="K126" i="30"/>
  <c r="F125" i="30"/>
  <c r="E65" i="30"/>
  <c r="J132" i="30"/>
  <c r="K63" i="30"/>
  <c r="L65" i="30"/>
  <c r="I63" i="30"/>
  <c r="E60" i="30"/>
  <c r="E54" i="30" s="1"/>
  <c r="H132" i="30"/>
  <c r="G60" i="30"/>
  <c r="G54" i="30" s="1"/>
  <c r="L63" i="30"/>
  <c r="H60" i="30"/>
  <c r="H54" i="30" s="1"/>
  <c r="C63" i="30"/>
  <c r="G123" i="30"/>
  <c r="D123" i="30"/>
  <c r="B134" i="30"/>
  <c r="J134" i="30"/>
  <c r="D139" i="30"/>
  <c r="M134" i="30"/>
  <c r="J139" i="30"/>
  <c r="H134" i="30"/>
  <c r="L136" i="30"/>
  <c r="L138" i="30" s="1"/>
  <c r="D134" i="30"/>
  <c r="D136" i="30"/>
  <c r="D138" i="30" s="1"/>
  <c r="E125" i="30"/>
  <c r="D126" i="30"/>
  <c r="L126" i="30"/>
  <c r="K125" i="30"/>
  <c r="G126" i="30"/>
  <c r="J126" i="30"/>
  <c r="B63" i="30"/>
  <c r="J60" i="30"/>
  <c r="J54" i="30" s="1"/>
  <c r="F132" i="30"/>
  <c r="K60" i="30"/>
  <c r="K54" i="30" s="1"/>
  <c r="H65" i="30"/>
  <c r="E63" i="30"/>
  <c r="M132" i="30"/>
  <c r="D132" i="30"/>
  <c r="C132" i="30"/>
  <c r="H63" i="30"/>
  <c r="D60" i="30"/>
  <c r="D54" i="30" s="1"/>
  <c r="K132" i="30"/>
  <c r="M123" i="30"/>
  <c r="C123" i="30"/>
  <c r="K123" i="30"/>
  <c r="E139" i="30"/>
  <c r="K136" i="30"/>
  <c r="K138" i="30" s="1"/>
  <c r="F134" i="30"/>
  <c r="G139" i="30"/>
  <c r="I134" i="30"/>
  <c r="F139" i="30"/>
  <c r="H136" i="30"/>
  <c r="H138" i="30" s="1"/>
  <c r="K139" i="30"/>
  <c r="C139" i="30"/>
  <c r="G134" i="30"/>
  <c r="M126" i="30"/>
  <c r="L125" i="30"/>
  <c r="H126" i="30"/>
  <c r="G125" i="30"/>
  <c r="M65" i="30"/>
  <c r="J63" i="30"/>
  <c r="F60" i="30"/>
  <c r="F54" i="30" s="1"/>
  <c r="B132" i="30"/>
  <c r="C60" i="30"/>
  <c r="D65" i="30"/>
  <c r="M60" i="30"/>
  <c r="M54" i="30" s="1"/>
  <c r="I132" i="30"/>
  <c r="K65" i="30"/>
  <c r="D63" i="30"/>
  <c r="L132" i="30"/>
  <c r="I123" i="30"/>
  <c r="L123" i="30"/>
  <c r="J123" i="30"/>
  <c r="C65" i="30"/>
  <c r="L139" i="30"/>
  <c r="G136" i="30"/>
  <c r="G138" i="30" s="1"/>
  <c r="B136" i="30"/>
  <c r="I136" i="30"/>
  <c r="I138" i="30" s="1"/>
  <c r="K134" i="30"/>
  <c r="F136" i="30"/>
  <c r="F138" i="30" s="1"/>
  <c r="M136" i="30"/>
  <c r="M138" i="30" s="1"/>
  <c r="M139" i="30"/>
  <c r="M125" i="30"/>
  <c r="I126" i="30"/>
  <c r="H125" i="30"/>
  <c r="C125" i="30"/>
  <c r="J125" i="30"/>
  <c r="I65" i="30"/>
  <c r="F63" i="30"/>
  <c r="B96" i="30"/>
  <c r="J65" i="30"/>
  <c r="G132" i="30"/>
  <c r="M63" i="30"/>
  <c r="I60" i="30"/>
  <c r="I54" i="30" s="1"/>
  <c r="E132" i="30"/>
  <c r="G63" i="30"/>
  <c r="G65" i="30"/>
  <c r="L60" i="30"/>
  <c r="L54" i="30" s="1"/>
  <c r="F65" i="30"/>
  <c r="E123" i="30"/>
  <c r="H123" i="30"/>
  <c r="F123" i="30"/>
  <c r="M102" i="30"/>
  <c r="I102" i="30"/>
  <c r="E102" i="30"/>
  <c r="L102" i="30"/>
  <c r="H102" i="30"/>
  <c r="D102" i="30"/>
  <c r="K102" i="30"/>
  <c r="G102" i="30"/>
  <c r="C102" i="30"/>
  <c r="C120" i="30" s="1"/>
  <c r="J102" i="30"/>
  <c r="F102" i="30"/>
  <c r="B102" i="30"/>
  <c r="I130" i="30"/>
  <c r="E130" i="30"/>
  <c r="M130" i="30"/>
  <c r="B129" i="30"/>
  <c r="I129" i="30"/>
  <c r="I131" i="30" s="1"/>
  <c r="E129" i="30"/>
  <c r="B128" i="30"/>
  <c r="J130" i="30"/>
  <c r="F129" i="30"/>
  <c r="L130" i="30"/>
  <c r="H130" i="30"/>
  <c r="D130" i="30"/>
  <c r="L129" i="30"/>
  <c r="H129" i="30"/>
  <c r="D129" i="30"/>
  <c r="F130" i="30"/>
  <c r="J129" i="30"/>
  <c r="K130" i="30"/>
  <c r="G130" i="30"/>
  <c r="B130" i="30"/>
  <c r="K129" i="30"/>
  <c r="G129" i="30"/>
  <c r="C129" i="30"/>
  <c r="B98" i="30"/>
  <c r="C130" i="30"/>
  <c r="M129" i="30"/>
  <c r="L128" i="30"/>
  <c r="H128" i="30"/>
  <c r="D128" i="30"/>
  <c r="K128" i="30"/>
  <c r="G128" i="30"/>
  <c r="C128" i="30"/>
  <c r="F128" i="30"/>
  <c r="J128" i="30"/>
  <c r="I128" i="30"/>
  <c r="E128" i="30"/>
  <c r="M128" i="30"/>
  <c r="J94" i="30"/>
  <c r="F94" i="30"/>
  <c r="B94" i="30"/>
  <c r="E96" i="30"/>
  <c r="I96" i="30"/>
  <c r="M96" i="30"/>
  <c r="F98" i="30"/>
  <c r="J98" i="30"/>
  <c r="E100" i="30"/>
  <c r="I100" i="30"/>
  <c r="M94" i="30"/>
  <c r="I94" i="30"/>
  <c r="E94" i="30"/>
  <c r="F96" i="30"/>
  <c r="J96" i="30"/>
  <c r="C98" i="30"/>
  <c r="G98" i="30"/>
  <c r="K98" i="30"/>
  <c r="F100" i="30"/>
  <c r="J100" i="30"/>
  <c r="L94" i="30"/>
  <c r="H94" i="30"/>
  <c r="D94" i="30"/>
  <c r="C96" i="30"/>
  <c r="G96" i="30"/>
  <c r="K96" i="30"/>
  <c r="D98" i="30"/>
  <c r="H98" i="30"/>
  <c r="L98" i="30"/>
  <c r="G100" i="30"/>
  <c r="K100" i="30"/>
  <c r="K94" i="30"/>
  <c r="G94" i="30"/>
  <c r="C94" i="30"/>
  <c r="D96" i="30"/>
  <c r="H96" i="30"/>
  <c r="L96" i="30"/>
  <c r="E98" i="30"/>
  <c r="I98" i="30"/>
  <c r="M98" i="30"/>
  <c r="H100" i="30"/>
  <c r="L100" i="30"/>
  <c r="C90" i="30"/>
  <c r="G90" i="30"/>
  <c r="K90" i="30"/>
  <c r="C89" i="30"/>
  <c r="G89" i="30"/>
  <c r="K89" i="30"/>
  <c r="F90" i="30"/>
  <c r="J89" i="30"/>
  <c r="D90" i="30"/>
  <c r="H90" i="30"/>
  <c r="L90" i="30"/>
  <c r="D89" i="30"/>
  <c r="H89" i="30"/>
  <c r="L89" i="30"/>
  <c r="J90" i="30"/>
  <c r="F89" i="30"/>
  <c r="E90" i="30"/>
  <c r="I90" i="30"/>
  <c r="M90" i="30"/>
  <c r="E89" i="30"/>
  <c r="I89" i="30"/>
  <c r="M89" i="30"/>
  <c r="B108" i="30" l="1"/>
  <c r="B105" i="30"/>
  <c r="B116" i="30"/>
  <c r="B54" i="30"/>
  <c r="B64" i="30"/>
  <c r="B66" i="30"/>
  <c r="N81" i="30"/>
  <c r="H105" i="30"/>
  <c r="H120" i="30"/>
  <c r="M105" i="30"/>
  <c r="M120" i="30"/>
  <c r="D108" i="30"/>
  <c r="D122" i="30"/>
  <c r="D118" i="30"/>
  <c r="C122" i="30"/>
  <c r="C118" i="30"/>
  <c r="I108" i="30"/>
  <c r="I122" i="30"/>
  <c r="I118" i="30"/>
  <c r="K108" i="30"/>
  <c r="K122" i="30"/>
  <c r="K118" i="30"/>
  <c r="N83" i="30"/>
  <c r="G105" i="30"/>
  <c r="G120" i="30"/>
  <c r="H108" i="30"/>
  <c r="H118" i="30"/>
  <c r="H122" i="30"/>
  <c r="M108" i="30"/>
  <c r="M118" i="30"/>
  <c r="M122" i="30"/>
  <c r="F108" i="30"/>
  <c r="F118" i="30"/>
  <c r="F122" i="30"/>
  <c r="L105" i="30"/>
  <c r="L120" i="30"/>
  <c r="F105" i="30"/>
  <c r="F120" i="30"/>
  <c r="K105" i="30"/>
  <c r="K120" i="30"/>
  <c r="E105" i="30"/>
  <c r="E120" i="30"/>
  <c r="L108" i="30"/>
  <c r="L122" i="30"/>
  <c r="L118" i="30"/>
  <c r="J108" i="30"/>
  <c r="J118" i="30"/>
  <c r="J122" i="30"/>
  <c r="B120" i="30"/>
  <c r="N119" i="30"/>
  <c r="J105" i="30"/>
  <c r="J120" i="30"/>
  <c r="D105" i="30"/>
  <c r="D120" i="30"/>
  <c r="I105" i="30"/>
  <c r="I120" i="30"/>
  <c r="G108" i="30"/>
  <c r="G122" i="30"/>
  <c r="G118" i="30"/>
  <c r="E108" i="30"/>
  <c r="E122" i="30"/>
  <c r="E118" i="30"/>
  <c r="B122" i="30"/>
  <c r="N121" i="30"/>
  <c r="B118" i="30"/>
  <c r="N79" i="30"/>
  <c r="N77" i="30"/>
  <c r="N73" i="30"/>
  <c r="N75" i="30"/>
  <c r="C138" i="30"/>
  <c r="N71" i="30"/>
  <c r="N113" i="30"/>
  <c r="C111" i="30"/>
  <c r="B111" i="30"/>
  <c r="N110" i="30"/>
  <c r="N112" i="30"/>
  <c r="C105" i="30"/>
  <c r="C108" i="30"/>
  <c r="N53" i="30"/>
  <c r="N49" i="30" s="1"/>
  <c r="N109" i="30"/>
  <c r="C64" i="30"/>
  <c r="C54" i="30"/>
  <c r="N104" i="30"/>
  <c r="N106" i="30"/>
  <c r="N107" i="30"/>
  <c r="K114" i="30"/>
  <c r="D114" i="30"/>
  <c r="C114" i="30"/>
  <c r="N56" i="30"/>
  <c r="N58" i="30"/>
  <c r="F59" i="30"/>
  <c r="F57" i="30"/>
  <c r="H57" i="30"/>
  <c r="H59" i="30"/>
  <c r="I59" i="30"/>
  <c r="I57" i="30"/>
  <c r="G59" i="30"/>
  <c r="G57" i="30"/>
  <c r="L57" i="30"/>
  <c r="L59" i="30"/>
  <c r="M59" i="30"/>
  <c r="M57" i="30"/>
  <c r="C59" i="30"/>
  <c r="C57" i="30"/>
  <c r="J59" i="30"/>
  <c r="J57" i="30"/>
  <c r="K59" i="30"/>
  <c r="K57" i="30"/>
  <c r="D57" i="30"/>
  <c r="D59" i="30"/>
  <c r="E59" i="30"/>
  <c r="E57" i="30"/>
  <c r="B59" i="30"/>
  <c r="B57" i="30"/>
  <c r="N55" i="30"/>
  <c r="C124" i="30"/>
  <c r="C116" i="30"/>
  <c r="H124" i="30"/>
  <c r="H116" i="30"/>
  <c r="M124" i="30"/>
  <c r="M116" i="30"/>
  <c r="I127" i="30"/>
  <c r="N65" i="30"/>
  <c r="C62" i="30"/>
  <c r="C66" i="30"/>
  <c r="M127" i="30"/>
  <c r="K62" i="30"/>
  <c r="K66" i="30"/>
  <c r="K64" i="30"/>
  <c r="J127" i="30"/>
  <c r="D127" i="30"/>
  <c r="E127" i="30"/>
  <c r="N69" i="30"/>
  <c r="B114" i="30"/>
  <c r="B124" i="30"/>
  <c r="L124" i="30"/>
  <c r="L116" i="30"/>
  <c r="L62" i="30"/>
  <c r="L66" i="30"/>
  <c r="L64" i="30"/>
  <c r="I62" i="30"/>
  <c r="I64" i="30"/>
  <c r="I66" i="30"/>
  <c r="B138" i="30"/>
  <c r="N136" i="30"/>
  <c r="D62" i="30"/>
  <c r="D66" i="30"/>
  <c r="D64" i="30"/>
  <c r="G127" i="30"/>
  <c r="H62" i="30"/>
  <c r="H66" i="30"/>
  <c r="H64" i="30"/>
  <c r="E62" i="30"/>
  <c r="E64" i="30"/>
  <c r="E66" i="30"/>
  <c r="K127" i="30"/>
  <c r="N123" i="30"/>
  <c r="G124" i="30"/>
  <c r="G116" i="30"/>
  <c r="F124" i="30"/>
  <c r="F116" i="30"/>
  <c r="K124" i="30"/>
  <c r="K116" i="30"/>
  <c r="E124" i="30"/>
  <c r="E116" i="30"/>
  <c r="C127" i="30"/>
  <c r="B127" i="30"/>
  <c r="N126" i="30"/>
  <c r="N61" i="30"/>
  <c r="M62" i="30"/>
  <c r="M64" i="30"/>
  <c r="M66" i="30"/>
  <c r="F62" i="30"/>
  <c r="F66" i="30"/>
  <c r="F64" i="30"/>
  <c r="H127" i="30"/>
  <c r="J62" i="30"/>
  <c r="J66" i="30"/>
  <c r="J64" i="30"/>
  <c r="N60" i="30"/>
  <c r="N54" i="30" s="1"/>
  <c r="F127" i="30"/>
  <c r="B140" i="30"/>
  <c r="N139" i="30"/>
  <c r="N125" i="30"/>
  <c r="N117" i="30"/>
  <c r="J124" i="30"/>
  <c r="J116" i="30"/>
  <c r="D124" i="30"/>
  <c r="D116" i="30"/>
  <c r="I124" i="30"/>
  <c r="I116" i="30"/>
  <c r="N63" i="30"/>
  <c r="L127" i="30"/>
  <c r="G62" i="30"/>
  <c r="G66" i="30"/>
  <c r="G64" i="30"/>
  <c r="N115" i="30"/>
  <c r="N67" i="30"/>
  <c r="B91" i="30"/>
  <c r="B68" i="30" s="1"/>
  <c r="M131" i="30"/>
  <c r="L131" i="30"/>
  <c r="K131" i="30"/>
  <c r="J131" i="30"/>
  <c r="H131" i="30"/>
  <c r="G131" i="30"/>
  <c r="F131" i="30"/>
  <c r="E131" i="30"/>
  <c r="C131" i="30"/>
  <c r="D131" i="30"/>
  <c r="N132" i="30"/>
  <c r="K91" i="30"/>
  <c r="K84" i="30" s="1"/>
  <c r="N134" i="30"/>
  <c r="N130" i="30"/>
  <c r="N129" i="30"/>
  <c r="B131" i="30"/>
  <c r="F91" i="30"/>
  <c r="C91" i="30"/>
  <c r="C84" i="30" s="1"/>
  <c r="N94" i="30"/>
  <c r="N128" i="30"/>
  <c r="N135" i="30" s="1"/>
  <c r="N102" i="30"/>
  <c r="N96" i="30"/>
  <c r="N98" i="30"/>
  <c r="J91" i="30"/>
  <c r="N90" i="30"/>
  <c r="N89" i="30"/>
  <c r="L91" i="30"/>
  <c r="H91" i="30"/>
  <c r="G91" i="30"/>
  <c r="M91" i="30"/>
  <c r="I91" i="30"/>
  <c r="E91" i="30"/>
  <c r="D91" i="30"/>
  <c r="D84" i="30" s="1"/>
  <c r="N57" i="30" l="1"/>
  <c r="N59" i="30"/>
  <c r="K82" i="30"/>
  <c r="C82" i="30"/>
  <c r="E82" i="30"/>
  <c r="E84" i="30"/>
  <c r="H84" i="30"/>
  <c r="H82" i="30"/>
  <c r="J84" i="30"/>
  <c r="J82" i="30"/>
  <c r="B80" i="30"/>
  <c r="B84" i="30"/>
  <c r="B82" i="30"/>
  <c r="D82" i="30"/>
  <c r="G82" i="30"/>
  <c r="G84" i="30"/>
  <c r="N120" i="30"/>
  <c r="F84" i="30"/>
  <c r="F82" i="30"/>
  <c r="I82" i="30"/>
  <c r="I84" i="30"/>
  <c r="L82" i="30"/>
  <c r="L84" i="30"/>
  <c r="M82" i="30"/>
  <c r="M84" i="30"/>
  <c r="N122" i="30"/>
  <c r="N118" i="30"/>
  <c r="F78" i="30"/>
  <c r="F80" i="30"/>
  <c r="M78" i="30"/>
  <c r="M80" i="30"/>
  <c r="C76" i="30"/>
  <c r="C80" i="30"/>
  <c r="D76" i="30"/>
  <c r="D80" i="30"/>
  <c r="G78" i="30"/>
  <c r="G80" i="30"/>
  <c r="E78" i="30"/>
  <c r="E80" i="30"/>
  <c r="H78" i="30"/>
  <c r="H80" i="30"/>
  <c r="J78" i="30"/>
  <c r="J80" i="30"/>
  <c r="K76" i="30"/>
  <c r="K80" i="30"/>
  <c r="I78" i="30"/>
  <c r="I80" i="30"/>
  <c r="L78" i="30"/>
  <c r="L80" i="30"/>
  <c r="B78" i="30"/>
  <c r="B74" i="30"/>
  <c r="B76" i="30"/>
  <c r="K78" i="30"/>
  <c r="D78" i="30"/>
  <c r="C78" i="30"/>
  <c r="D72" i="30"/>
  <c r="D74" i="30"/>
  <c r="E72" i="30"/>
  <c r="E74" i="30"/>
  <c r="E76" i="30"/>
  <c r="I72" i="30"/>
  <c r="I76" i="30"/>
  <c r="I74" i="30"/>
  <c r="M72" i="30"/>
  <c r="M74" i="30"/>
  <c r="M76" i="30"/>
  <c r="G72" i="30"/>
  <c r="G76" i="30"/>
  <c r="G74" i="30"/>
  <c r="H72" i="30"/>
  <c r="H74" i="30"/>
  <c r="H76" i="30"/>
  <c r="L72" i="30"/>
  <c r="L76" i="30"/>
  <c r="L74" i="30"/>
  <c r="J72" i="30"/>
  <c r="J76" i="30"/>
  <c r="J74" i="30"/>
  <c r="C72" i="30"/>
  <c r="C74" i="30"/>
  <c r="F72" i="30"/>
  <c r="F76" i="30"/>
  <c r="F74" i="30"/>
  <c r="K72" i="30"/>
  <c r="K74" i="30"/>
  <c r="B72" i="30"/>
  <c r="N111" i="30"/>
  <c r="N105" i="30"/>
  <c r="N108" i="30"/>
  <c r="B70" i="30"/>
  <c r="B93" i="30"/>
  <c r="N138" i="30"/>
  <c r="N140" i="30"/>
  <c r="N62" i="30"/>
  <c r="N66" i="30"/>
  <c r="N64" i="30"/>
  <c r="N114" i="30"/>
  <c r="N127" i="30"/>
  <c r="N124" i="30"/>
  <c r="N116" i="30"/>
  <c r="F103" i="30"/>
  <c r="F70" i="30"/>
  <c r="F68" i="30"/>
  <c r="G68" i="30"/>
  <c r="G70" i="30"/>
  <c r="E70" i="30"/>
  <c r="E68" i="30"/>
  <c r="J92" i="30"/>
  <c r="J70" i="30"/>
  <c r="J68" i="30"/>
  <c r="K101" i="30"/>
  <c r="K68" i="30"/>
  <c r="K70" i="30"/>
  <c r="M70" i="30"/>
  <c r="M68" i="30"/>
  <c r="C92" i="30"/>
  <c r="C68" i="30"/>
  <c r="C70" i="30"/>
  <c r="D68" i="30"/>
  <c r="D70" i="30"/>
  <c r="H68" i="30"/>
  <c r="H70" i="30"/>
  <c r="I70" i="30"/>
  <c r="I68" i="30"/>
  <c r="L68" i="30"/>
  <c r="L70" i="30"/>
  <c r="B95" i="30"/>
  <c r="B103" i="30"/>
  <c r="B99" i="30"/>
  <c r="N137" i="30"/>
  <c r="K93" i="30"/>
  <c r="B97" i="30"/>
  <c r="N131" i="30"/>
  <c r="C93" i="30"/>
  <c r="B92" i="30"/>
  <c r="F93" i="30"/>
  <c r="F95" i="30"/>
  <c r="F92" i="30"/>
  <c r="F101" i="30"/>
  <c r="F99" i="30"/>
  <c r="K92" i="30"/>
  <c r="K95" i="30"/>
  <c r="F97" i="30"/>
  <c r="K99" i="30"/>
  <c r="J93" i="30"/>
  <c r="K103" i="30"/>
  <c r="K97" i="30"/>
  <c r="L99" i="30"/>
  <c r="L101" i="30"/>
  <c r="L95" i="30"/>
  <c r="L103" i="30"/>
  <c r="L97" i="30"/>
  <c r="J99" i="30"/>
  <c r="J95" i="30"/>
  <c r="J101" i="30"/>
  <c r="J103" i="30"/>
  <c r="J97" i="30"/>
  <c r="I103" i="30"/>
  <c r="I97" i="30"/>
  <c r="I101" i="30"/>
  <c r="I99" i="30"/>
  <c r="I95" i="30"/>
  <c r="M103" i="30"/>
  <c r="M97" i="30"/>
  <c r="M99" i="30"/>
  <c r="M95" i="30"/>
  <c r="C103" i="30"/>
  <c r="C99" i="30"/>
  <c r="C95" i="30"/>
  <c r="C97" i="30"/>
  <c r="D99" i="30"/>
  <c r="D103" i="30"/>
  <c r="D95" i="30"/>
  <c r="D97" i="30"/>
  <c r="G101" i="30"/>
  <c r="G97" i="30"/>
  <c r="G99" i="30"/>
  <c r="G95" i="30"/>
  <c r="G103" i="30"/>
  <c r="N133" i="30"/>
  <c r="E103" i="30"/>
  <c r="E97" i="30"/>
  <c r="E101" i="30"/>
  <c r="E99" i="30"/>
  <c r="E95" i="30"/>
  <c r="H95" i="30"/>
  <c r="H103" i="30"/>
  <c r="H97" i="30"/>
  <c r="H101" i="30"/>
  <c r="H99" i="30"/>
  <c r="L93" i="30"/>
  <c r="L92" i="30"/>
  <c r="I92" i="30"/>
  <c r="I93" i="30"/>
  <c r="H92" i="30"/>
  <c r="H93" i="30"/>
  <c r="E93" i="30"/>
  <c r="E92" i="30"/>
  <c r="D93" i="30"/>
  <c r="D92" i="30"/>
  <c r="M93" i="30"/>
  <c r="M92" i="30"/>
  <c r="G93" i="30"/>
  <c r="G92" i="30"/>
  <c r="N91" i="30"/>
  <c r="N80" i="30" l="1"/>
  <c r="N84" i="30"/>
  <c r="N82" i="30"/>
  <c r="N74" i="30"/>
  <c r="N78" i="30"/>
  <c r="N72" i="30"/>
  <c r="N76" i="30"/>
  <c r="N70" i="30"/>
  <c r="N68" i="30"/>
  <c r="N99" i="30"/>
  <c r="N103" i="30"/>
  <c r="N97" i="30"/>
  <c r="N95" i="30"/>
  <c r="N92" i="30"/>
  <c r="N93" i="30"/>
  <c r="MQ2" i="5" l="1"/>
  <c r="MR2" i="5"/>
  <c r="MT2" i="5"/>
  <c r="MU2" i="5"/>
  <c r="MV2" i="5"/>
  <c r="MW2" i="5"/>
  <c r="MY2" i="5" s="1"/>
  <c r="MX2" i="5"/>
  <c r="MZ2" i="5"/>
  <c r="NN2" i="5" s="1"/>
  <c r="HO2" i="5" s="1"/>
  <c r="NC2" i="5"/>
  <c r="ND2" i="5"/>
  <c r="NE2" i="5"/>
  <c r="NF2" i="5"/>
  <c r="NG2" i="5"/>
  <c r="NI2" i="5"/>
  <c r="NU2" i="5"/>
  <c r="NV2" i="5"/>
  <c r="NW2" i="5"/>
  <c r="NX2" i="5"/>
  <c r="J48" i="30" l="1"/>
  <c r="F48" i="30"/>
  <c r="M48" i="30"/>
  <c r="I48" i="30"/>
  <c r="E48" i="30"/>
  <c r="C48" i="30"/>
  <c r="C49" i="30" s="1"/>
  <c r="L48" i="30"/>
  <c r="H48" i="30"/>
  <c r="D48" i="30"/>
  <c r="D49" i="30" s="1"/>
  <c r="B48" i="30"/>
  <c r="K48" i="30"/>
  <c r="G48" i="30"/>
  <c r="B40" i="30"/>
  <c r="L50" i="30"/>
  <c r="H50" i="30"/>
  <c r="D50" i="30"/>
  <c r="M51" i="30"/>
  <c r="I51" i="30"/>
  <c r="E51" i="30"/>
  <c r="K50" i="30"/>
  <c r="G50" i="30"/>
  <c r="C50" i="30"/>
  <c r="L51" i="30"/>
  <c r="H51" i="30"/>
  <c r="D51" i="30"/>
  <c r="J50" i="30"/>
  <c r="F50" i="30"/>
  <c r="B50" i="30"/>
  <c r="K51" i="30"/>
  <c r="G51" i="30"/>
  <c r="C51" i="30"/>
  <c r="M50" i="30"/>
  <c r="I50" i="30"/>
  <c r="E50" i="30"/>
  <c r="B51" i="30"/>
  <c r="J51" i="30"/>
  <c r="F51" i="30"/>
  <c r="C43" i="30"/>
  <c r="J43" i="30"/>
  <c r="F43" i="30"/>
  <c r="B43" i="30"/>
  <c r="M43" i="30"/>
  <c r="I43" i="30"/>
  <c r="E43" i="30"/>
  <c r="C40" i="30"/>
  <c r="L43" i="30"/>
  <c r="K43" i="30"/>
  <c r="G43" i="30"/>
  <c r="D43" i="30"/>
  <c r="B41" i="30"/>
  <c r="H43" i="30"/>
  <c r="NA2" i="5"/>
  <c r="NB2" i="5"/>
  <c r="F52" i="30" l="1"/>
  <c r="E52" i="30"/>
  <c r="G52" i="30"/>
  <c r="H52" i="30"/>
  <c r="K52" i="30"/>
  <c r="L52" i="30"/>
  <c r="I52" i="30"/>
  <c r="M52" i="30"/>
  <c r="J52" i="30"/>
  <c r="N48" i="30"/>
  <c r="B49" i="30"/>
  <c r="B52" i="30"/>
  <c r="D52" i="30"/>
  <c r="C52" i="30"/>
  <c r="N50" i="30"/>
  <c r="N51" i="30"/>
  <c r="B42" i="30"/>
  <c r="C44" i="30"/>
  <c r="B44" i="30"/>
  <c r="NH2" i="5"/>
  <c r="N52" i="30" l="1"/>
  <c r="DT2" i="5"/>
  <c r="HQ2" i="5"/>
  <c r="B37" i="30"/>
  <c r="F38" i="30"/>
  <c r="D38" i="30"/>
  <c r="I38" i="30"/>
  <c r="L37" i="30"/>
  <c r="L39" i="30" s="1"/>
  <c r="G37" i="30"/>
  <c r="H38" i="30"/>
  <c r="M37" i="30"/>
  <c r="K38" i="30"/>
  <c r="J37" i="30"/>
  <c r="J39" i="30" s="1"/>
  <c r="E37" i="30"/>
  <c r="C38" i="30"/>
  <c r="K37" i="30"/>
  <c r="K39" i="30" s="1"/>
  <c r="M38" i="30"/>
  <c r="H37" i="30"/>
  <c r="H39" i="30" s="1"/>
  <c r="C37" i="30"/>
  <c r="E38" i="30"/>
  <c r="J38" i="30"/>
  <c r="D37" i="30"/>
  <c r="F37" i="30"/>
  <c r="B38" i="30"/>
  <c r="G38" i="30"/>
  <c r="L38" i="30"/>
  <c r="I37" i="30"/>
  <c r="I39" i="30" s="1"/>
  <c r="M39" i="30" l="1"/>
  <c r="G39" i="30"/>
  <c r="B39" i="30"/>
  <c r="J8" i="30"/>
  <c r="K8" i="30"/>
  <c r="D8" i="30"/>
  <c r="F8" i="30"/>
  <c r="E8" i="30"/>
  <c r="H8" i="30"/>
  <c r="G8" i="30"/>
  <c r="M8" i="30"/>
  <c r="L8" i="30"/>
  <c r="B8" i="30"/>
  <c r="C8" i="30"/>
  <c r="I8" i="30"/>
  <c r="N43" i="30"/>
  <c r="B46" i="30"/>
  <c r="B45" i="30"/>
  <c r="B47" i="30" l="1"/>
  <c r="D39" i="30"/>
  <c r="G146" i="30"/>
  <c r="M85" i="30"/>
  <c r="F87" i="30"/>
  <c r="B146" i="30"/>
  <c r="C144" i="30"/>
  <c r="K87" i="30"/>
  <c r="F144" i="30"/>
  <c r="D144" i="30"/>
  <c r="L85" i="30"/>
  <c r="D146" i="30"/>
  <c r="L87" i="30"/>
  <c r="F85" i="30"/>
  <c r="L144" i="30"/>
  <c r="H87" i="30"/>
  <c r="B85" i="30"/>
  <c r="I144" i="30"/>
  <c r="F146" i="30"/>
  <c r="M87" i="30"/>
  <c r="G85" i="30"/>
  <c r="I146" i="30"/>
  <c r="G87" i="30"/>
  <c r="H85" i="30"/>
  <c r="K144" i="30"/>
  <c r="C146" i="30"/>
  <c r="D85" i="30"/>
  <c r="G144" i="30"/>
  <c r="L146" i="30"/>
  <c r="I85" i="30"/>
  <c r="B87" i="30"/>
  <c r="E144" i="30"/>
  <c r="J144" i="30"/>
  <c r="I87" i="30"/>
  <c r="C85" i="30"/>
  <c r="E146" i="30"/>
  <c r="C87" i="30"/>
  <c r="B144" i="30"/>
  <c r="M146" i="30"/>
  <c r="K85" i="30"/>
  <c r="J146" i="30"/>
  <c r="H144" i="30"/>
  <c r="D87" i="30"/>
  <c r="H146" i="30"/>
  <c r="E85" i="30"/>
  <c r="J85" i="30"/>
  <c r="K146" i="30"/>
  <c r="M144" i="30"/>
  <c r="E87" i="30"/>
  <c r="J87" i="30"/>
  <c r="I40" i="30"/>
  <c r="D40" i="30"/>
  <c r="L41" i="30"/>
  <c r="L46" i="30" s="1"/>
  <c r="E40" i="30"/>
  <c r="K40" i="30"/>
  <c r="H41" i="30"/>
  <c r="H46" i="30" s="1"/>
  <c r="J41" i="30"/>
  <c r="J46" i="30" s="1"/>
  <c r="K41" i="30"/>
  <c r="K46" i="30" s="1"/>
  <c r="L40" i="30"/>
  <c r="I41" i="30"/>
  <c r="I46" i="30" s="1"/>
  <c r="J40" i="30"/>
  <c r="G40" i="30"/>
  <c r="M40" i="30"/>
  <c r="F41" i="30"/>
  <c r="H40" i="30"/>
  <c r="F40" i="30"/>
  <c r="G41" i="30"/>
  <c r="G46" i="30" s="1"/>
  <c r="F44" i="30" l="1"/>
  <c r="E44" i="30"/>
  <c r="D45" i="30"/>
  <c r="D44" i="30"/>
  <c r="M45" i="30"/>
  <c r="M44" i="30"/>
  <c r="L45" i="30"/>
  <c r="L47" i="30" s="1"/>
  <c r="L44" i="30"/>
  <c r="K45" i="30"/>
  <c r="K47" i="30" s="1"/>
  <c r="K44" i="30"/>
  <c r="I45" i="30"/>
  <c r="I47" i="30" s="1"/>
  <c r="I44" i="30"/>
  <c r="G45" i="30"/>
  <c r="G47" i="30" s="1"/>
  <c r="G44" i="30"/>
  <c r="H45" i="30"/>
  <c r="H47" i="30" s="1"/>
  <c r="H44" i="30"/>
  <c r="J45" i="30"/>
  <c r="J47" i="30" s="1"/>
  <c r="J44" i="30"/>
  <c r="E39" i="30"/>
  <c r="E45" i="30"/>
  <c r="N38" i="30"/>
  <c r="F46" i="30"/>
  <c r="F39" i="30"/>
  <c r="B145" i="30"/>
  <c r="B147" i="30"/>
  <c r="B88" i="30"/>
  <c r="B86" i="30"/>
  <c r="N85" i="30"/>
  <c r="N146" i="30"/>
  <c r="N87" i="30"/>
  <c r="N144" i="30"/>
  <c r="L147" i="30"/>
  <c r="L145" i="30"/>
  <c r="K147" i="30"/>
  <c r="K145" i="30"/>
  <c r="D147" i="30"/>
  <c r="D145" i="30"/>
  <c r="H147" i="30"/>
  <c r="H145" i="30"/>
  <c r="G145" i="30"/>
  <c r="G147" i="30"/>
  <c r="C147" i="30"/>
  <c r="C145" i="30"/>
  <c r="J145" i="30"/>
  <c r="J147" i="30"/>
  <c r="E145" i="30"/>
  <c r="E147" i="30"/>
  <c r="I145" i="30"/>
  <c r="I147" i="30"/>
  <c r="F145" i="30"/>
  <c r="F147" i="30"/>
  <c r="M147" i="30"/>
  <c r="M145" i="30"/>
  <c r="L42" i="30"/>
  <c r="L88" i="30"/>
  <c r="L86" i="30"/>
  <c r="K42" i="30"/>
  <c r="K88" i="30"/>
  <c r="K86" i="30"/>
  <c r="D86" i="30"/>
  <c r="D88" i="30"/>
  <c r="H42" i="30"/>
  <c r="H86" i="30"/>
  <c r="H88" i="30"/>
  <c r="G42" i="30"/>
  <c r="G88" i="30"/>
  <c r="G86" i="30"/>
  <c r="C88" i="30"/>
  <c r="C86" i="30"/>
  <c r="N40" i="30"/>
  <c r="J42" i="30"/>
  <c r="J86" i="30"/>
  <c r="J88" i="30"/>
  <c r="E88" i="30"/>
  <c r="E86" i="30"/>
  <c r="I42" i="30"/>
  <c r="I86" i="30"/>
  <c r="I88" i="30"/>
  <c r="F42" i="30"/>
  <c r="F88" i="30"/>
  <c r="F86" i="30"/>
  <c r="M88" i="30"/>
  <c r="M86" i="30"/>
  <c r="N44" i="30" l="1"/>
  <c r="F45" i="30"/>
  <c r="F47" i="30" s="1"/>
  <c r="C39" i="30"/>
  <c r="N37" i="30"/>
  <c r="N39" i="30" s="1"/>
  <c r="C45" i="30"/>
  <c r="N145" i="30"/>
  <c r="N147" i="30"/>
  <c r="N86" i="30"/>
  <c r="N88" i="30"/>
  <c r="N45" i="30" l="1"/>
  <c r="MS2" i="5"/>
  <c r="M148" i="30" l="1"/>
  <c r="M149" i="30" s="1"/>
  <c r="M150" i="30"/>
  <c r="M151" i="30" s="1"/>
  <c r="M152" i="30"/>
  <c r="M153" i="30" s="1"/>
  <c r="L148" i="30"/>
  <c r="L149" i="30" s="1"/>
  <c r="L150" i="30"/>
  <c r="L151" i="30" s="1"/>
  <c r="L152" i="30"/>
  <c r="L153" i="30" s="1"/>
  <c r="K152" i="30"/>
  <c r="K153" i="30" s="1"/>
  <c r="K148" i="30"/>
  <c r="K149" i="30" s="1"/>
  <c r="K150" i="30"/>
  <c r="K151" i="30" s="1"/>
  <c r="J150" i="30"/>
  <c r="J151" i="30" s="1"/>
  <c r="J148" i="30"/>
  <c r="J149" i="30" s="1"/>
  <c r="J152" i="30"/>
  <c r="J153" i="30" s="1"/>
  <c r="I150" i="30"/>
  <c r="I151" i="30" s="1"/>
  <c r="I152" i="30"/>
  <c r="I153" i="30" s="1"/>
  <c r="I148" i="30"/>
  <c r="I149" i="30" s="1"/>
  <c r="H152" i="30"/>
  <c r="H153" i="30" s="1"/>
  <c r="H150" i="30"/>
  <c r="H151" i="30" s="1"/>
  <c r="H148" i="30"/>
  <c r="H149" i="30" s="1"/>
  <c r="G150" i="30"/>
  <c r="G151" i="30" s="1"/>
  <c r="G148" i="30"/>
  <c r="G149" i="30" s="1"/>
  <c r="G152" i="30"/>
  <c r="G153" i="30" s="1"/>
  <c r="F152" i="30"/>
  <c r="F153" i="30" s="1"/>
  <c r="F148" i="30"/>
  <c r="F149" i="30" s="1"/>
  <c r="F150" i="30"/>
  <c r="F151" i="30" s="1"/>
  <c r="E41" i="30" l="1"/>
  <c r="D41" i="30"/>
  <c r="M41" i="30"/>
  <c r="M46" i="30" s="1"/>
  <c r="M47" i="30" s="1"/>
  <c r="C41" i="30"/>
  <c r="M42" i="30" l="1"/>
  <c r="C42" i="30"/>
  <c r="C46" i="30"/>
  <c r="C47" i="30" s="1"/>
  <c r="D42" i="30"/>
  <c r="D46" i="30"/>
  <c r="D47" i="30" s="1"/>
  <c r="E42" i="30"/>
  <c r="E46" i="30"/>
  <c r="E47" i="30" s="1"/>
  <c r="N41" i="30"/>
  <c r="N42" i="30" s="1"/>
  <c r="N46" i="30" l="1"/>
  <c r="N47" i="30" s="1"/>
  <c r="C100" i="30"/>
  <c r="C101" i="30" s="1"/>
  <c r="B100" i="30"/>
  <c r="B101" i="30" s="1"/>
  <c r="D100" i="30"/>
  <c r="D101" i="30" s="1"/>
  <c r="M100" i="30" l="1"/>
  <c r="N100" i="30" l="1"/>
  <c r="N101" i="30" s="1"/>
  <c r="M101" i="30"/>
  <c r="M11" i="30"/>
  <c r="I11" i="30"/>
  <c r="E11" i="30"/>
  <c r="B11" i="30"/>
  <c r="J11" i="30"/>
  <c r="F11" i="30"/>
  <c r="K11" i="30"/>
  <c r="G11" i="30"/>
  <c r="C11" i="30"/>
  <c r="L11" i="30"/>
  <c r="H11" i="30"/>
  <c r="D11" i="30"/>
  <c r="B152" i="30" l="1"/>
  <c r="B153" i="30" s="1"/>
  <c r="B150" i="30"/>
  <c r="B151" i="30" s="1"/>
  <c r="B148" i="30"/>
  <c r="B149" i="30" s="1"/>
  <c r="D150" i="30"/>
  <c r="D151" i="30" s="1"/>
  <c r="D148" i="30"/>
  <c r="D149" i="30" s="1"/>
  <c r="D152" i="30"/>
  <c r="D153" i="30" s="1"/>
  <c r="E150" i="30"/>
  <c r="E151" i="30" s="1"/>
  <c r="E152" i="30"/>
  <c r="E153" i="30" s="1"/>
  <c r="E148" i="30"/>
  <c r="E149" i="30" s="1"/>
  <c r="C150" i="30"/>
  <c r="C148" i="30"/>
  <c r="C152" i="30"/>
  <c r="N152" i="30" l="1"/>
  <c r="N153" i="30" s="1"/>
  <c r="C153" i="30"/>
  <c r="N148" i="30"/>
  <c r="N149" i="30" s="1"/>
  <c r="C149" i="30"/>
  <c r="N150" i="30"/>
  <c r="N151" i="30" s="1"/>
  <c r="C151" i="30"/>
</calcChain>
</file>

<file path=xl/sharedStrings.xml><?xml version="1.0" encoding="utf-8"?>
<sst xmlns="http://schemas.openxmlformats.org/spreadsheetml/2006/main" count="1798" uniqueCount="922">
  <si>
    <t>NOMBRE 1</t>
  </si>
  <si>
    <t>NOMBRE 2</t>
  </si>
  <si>
    <t>TIPO DE DOCUMENTO</t>
  </si>
  <si>
    <t>No DE IDENTIFICACION</t>
  </si>
  <si>
    <t>FECHA DE NACIMIENTO</t>
  </si>
  <si>
    <t>EDAD ACTUAL</t>
  </si>
  <si>
    <t>ASEGURADORA</t>
  </si>
  <si>
    <t>ZONA DE RESIDENCIA</t>
  </si>
  <si>
    <t>TELEFONO FIJO O CELULAR</t>
  </si>
  <si>
    <t>ESTUDIOS</t>
  </si>
  <si>
    <t>APOYO FAMILIAR</t>
  </si>
  <si>
    <t>SEMANAS DE GESTACION AL INGRESO</t>
  </si>
  <si>
    <t>TRIMESTRE DE  INGRESO AL CPN</t>
  </si>
  <si>
    <t>SEMANAS DE GESTACION ACTUALIZADAS</t>
  </si>
  <si>
    <t>SEMANAS DE GESTACION A LA CONSULTA ODONTOLOGICA</t>
  </si>
  <si>
    <t>LUGAR DE ATENCION DEL PARTO</t>
  </si>
  <si>
    <t>PROFESIONAL O PERSONA QUE ATIENDE EL PARTO</t>
  </si>
  <si>
    <t>IMC</t>
  </si>
  <si>
    <t>AÑO</t>
  </si>
  <si>
    <t>ESTADO CIVIL</t>
  </si>
  <si>
    <t>OCUPACION</t>
  </si>
  <si>
    <t>APELLIDO 2</t>
  </si>
  <si>
    <t>CITA PROXIMO CONTROL</t>
  </si>
  <si>
    <t>SALE DEL PROGRAMA POR</t>
  </si>
  <si>
    <t>RESULTADO ULTIMA CITOLOGIA (SEGÚN NORMA Y VIGENTE)</t>
  </si>
  <si>
    <t>TIPO DE ETNIA</t>
  </si>
  <si>
    <t>MUJER CABEZA DE FAMILIA</t>
  </si>
  <si>
    <t>HA SIDO VICTIMA DE VIOLENCIA FISICA O PSICOLOGICA</t>
  </si>
  <si>
    <t xml:space="preserve">FECHA DE SALIDA </t>
  </si>
  <si>
    <t>REGIMEN</t>
  </si>
  <si>
    <t>GRUPO DE POBLACION ESPECIAL</t>
  </si>
  <si>
    <t>GRUPO INDIGENA ESPECIFICO</t>
  </si>
  <si>
    <t>PUNTO O CENTRO DE ATENCION</t>
  </si>
  <si>
    <t>ADHERENCIA AL CPN</t>
  </si>
  <si>
    <t>FECHA CONSULTA DE 1RA VEZ POR ODONTOLOGIA</t>
  </si>
  <si>
    <t>PERIODO INTERGENESICO (MESES)</t>
  </si>
  <si>
    <t>CONDUCTA ANTE RESULTADO PATOLOGICO</t>
  </si>
  <si>
    <t>TIEMPO DE LA TOMA</t>
  </si>
  <si>
    <t>CLASIFICACION TIEMPO TOMA</t>
  </si>
  <si>
    <t>NUMERO NACIDOS VIVOS</t>
  </si>
  <si>
    <t>FUM FORMULA CONFIABLE</t>
  </si>
  <si>
    <t>APLICACIÓN DE VIT K</t>
  </si>
  <si>
    <t>GRUPO SANGUINEO RN</t>
  </si>
  <si>
    <t>TOTAL CONTROLES</t>
  </si>
  <si>
    <t>PESO AL NACER POR EDAD GESTACIONAL</t>
  </si>
  <si>
    <t>TALLA EN Mts       (Coma para decimal)</t>
  </si>
  <si>
    <t>EFECTIVIDAD DEMANDA</t>
  </si>
  <si>
    <t>FECHA INDUCCION A LA DEMANDA CPN</t>
  </si>
  <si>
    <t>GESTANTES ACTUALES</t>
  </si>
  <si>
    <t>RESGUARDO O CORREGIMIENTO</t>
  </si>
  <si>
    <t xml:space="preserve">NOVEDAD AL MOMENTO CAPTACION </t>
  </si>
  <si>
    <t xml:space="preserve">CONTROLES PROGRAMADOS </t>
  </si>
  <si>
    <t>VEREDA/BARRIO</t>
  </si>
  <si>
    <t>RIESGO PSICOSOCIAL</t>
  </si>
  <si>
    <t>FUM</t>
  </si>
  <si>
    <t>FECHA ECO 1</t>
  </si>
  <si>
    <t>SEMANAS GESTACION ECO 1</t>
  </si>
  <si>
    <t>FUM X ECO 1</t>
  </si>
  <si>
    <t>FECHA ECO 2</t>
  </si>
  <si>
    <t>SEMANAS GESTACION ECO 2</t>
  </si>
  <si>
    <t>CLASIFICACION NUTRICIONAL 1</t>
  </si>
  <si>
    <t>FECHA DEL PESO Y TALLA II TRIM</t>
  </si>
  <si>
    <t>FECHA DEL PESO Y TALLA III TRIM</t>
  </si>
  <si>
    <t>FECHA C2</t>
  </si>
  <si>
    <t>FECHA C3</t>
  </si>
  <si>
    <t>FECHA C4</t>
  </si>
  <si>
    <t>FECHA C5</t>
  </si>
  <si>
    <t>FECHA C6</t>
  </si>
  <si>
    <t>FECHA C7</t>
  </si>
  <si>
    <t>FECHA C8</t>
  </si>
  <si>
    <t>FECHA C9</t>
  </si>
  <si>
    <t>FECHA C10</t>
  </si>
  <si>
    <t>FECHA C11</t>
  </si>
  <si>
    <t>% CUMPLIM INDIVIDUAL</t>
  </si>
  <si>
    <t>FECHA  REMISION PSICOLOGIA</t>
  </si>
  <si>
    <t>FECHA ASISTENCIA A CONSULTA PSICOLOGIA</t>
  </si>
  <si>
    <t>FECHA  REMISION NUTRICION</t>
  </si>
  <si>
    <t>FECHA ASISTENCIA A CONSULTA NUTRICION</t>
  </si>
  <si>
    <t>FECHA  REMISION GINECOLOGO</t>
  </si>
  <si>
    <t>FECHA RESULTADO HB</t>
  </si>
  <si>
    <t>EDAD GESTACIONAL HB</t>
  </si>
  <si>
    <t xml:space="preserve">RESULTADO UROCULTIVO </t>
  </si>
  <si>
    <t>FECHA RESULTADO UROCULTIVO</t>
  </si>
  <si>
    <t>EDAD GESTACIONAL UROCULTIVO</t>
  </si>
  <si>
    <t>RESULTADO HEP B ANTIGENO SUPERFICIE</t>
  </si>
  <si>
    <t>FECHA RESULTADO H ASB</t>
  </si>
  <si>
    <t>RESULTADO Toxoplasma IgG</t>
  </si>
  <si>
    <t>FECHA RESULTADO TOXO</t>
  </si>
  <si>
    <t>RESULTADO CONFIRM. TOXO. IgM</t>
  </si>
  <si>
    <t>EDAD GESTACIONAL SALIDA PROGRAMA</t>
  </si>
  <si>
    <t>SEXO RN</t>
  </si>
  <si>
    <t>RESULTADO TSH</t>
  </si>
  <si>
    <t xml:space="preserve"> FECHA RESULTADO TSH</t>
  </si>
  <si>
    <t>SEXO RN 2</t>
  </si>
  <si>
    <t>PESO AL NACER POR EDAD GESTACIONAL RN 2</t>
  </si>
  <si>
    <t>TOMA  TSH 2</t>
  </si>
  <si>
    <t>RESULTADO TSH 2</t>
  </si>
  <si>
    <t xml:space="preserve"> FECHA RESULTADO TSH 2</t>
  </si>
  <si>
    <t>APLICACIÓN DE VIT K 2</t>
  </si>
  <si>
    <t>GRUPO SANGUINEO RN 2</t>
  </si>
  <si>
    <t xml:space="preserve">CONTROL RN FECHA ASISTIO </t>
  </si>
  <si>
    <t>CONTROL DE PUERPERIO FECHA</t>
  </si>
  <si>
    <t>APELLIDO</t>
  </si>
  <si>
    <t>RESULTADO HEMOGLOBINA INGRESO</t>
  </si>
  <si>
    <t>RESULTADO HEMOGLOBINA SEMANA 28</t>
  </si>
  <si>
    <t>FECHA APLICACIÓN VACUNA BCG</t>
  </si>
  <si>
    <t>FECHA APLICACIÓN VACUNA BCG 2</t>
  </si>
  <si>
    <t>PTOG. carga 75 gr - RESULTADO</t>
  </si>
  <si>
    <t>EDAD GESTACIONAL HB - SEM 28</t>
  </si>
  <si>
    <t>FECHA RESULTADO HB SEM 28</t>
  </si>
  <si>
    <t>PTOG. carga 75 gr PRE - VALOR</t>
  </si>
  <si>
    <t>PTOG. carga 75 gr 1 HORA - VALOR</t>
  </si>
  <si>
    <t>PTOG. carga 75 gr 2 HORA - VALOR</t>
  </si>
  <si>
    <t>FECHA TOMA EXAMEN PTOG</t>
  </si>
  <si>
    <t>FECHA RESULTADO PR-  II TRIM</t>
  </si>
  <si>
    <t>FECHA RESULTADO PR-  III TRIM</t>
  </si>
  <si>
    <t>FECHA RESULTADO PR INTRAPARTO</t>
  </si>
  <si>
    <t>FECHA VACUNA ANTI INFLUENZA</t>
  </si>
  <si>
    <t>FECHA VACUNA DPT ACELULAR</t>
  </si>
  <si>
    <t>ALARMA TOXOPLASMOSIS</t>
  </si>
  <si>
    <t>NUMERO VECES TOMA TOXOPLASMA IgM - Control</t>
  </si>
  <si>
    <t>FECHA DEL PESO Y TALLA PREGESTACIONAL O I TRIM GESTACION</t>
  </si>
  <si>
    <t>PESO EN Kg INGRESO I TRIM O PRE GESTACION</t>
  </si>
  <si>
    <t>ANTECEDENTE GRAVIDA</t>
  </si>
  <si>
    <t>No CONSULTAS GINECOLOGO</t>
  </si>
  <si>
    <t>FECHA ULTIMA ASISTENCIA A CONSULTA GINECO</t>
  </si>
  <si>
    <t>CONDUCTA HEMOGLOBINA</t>
  </si>
  <si>
    <t>RESULTADO GRUPO  SANGUINEO</t>
  </si>
  <si>
    <t>FECHA RESULTADO GRUPO SANGUINEO</t>
  </si>
  <si>
    <t>EDAD GESTACIONAL GRUPO SANGUINEO</t>
  </si>
  <si>
    <t>OBSERVACION GRUPO SANGUINEO</t>
  </si>
  <si>
    <t>FECHA APLICACIÓN VACUNA HEPATITIS B</t>
  </si>
  <si>
    <t>FECHA APLICACIÓN VACUNA HEPATITIS B 2</t>
  </si>
  <si>
    <t>FECHA INSCRIPCION A PLANIFICACION FAMILIAR</t>
  </si>
  <si>
    <t>T.A. SISTOLICA - ANTES DE SEMANA 12</t>
  </si>
  <si>
    <t>T.A. DIASTOLICA - ANTES DE SEMANA 12</t>
  </si>
  <si>
    <t>ALARMA CASOS SIFILIS GESTACIONAL</t>
  </si>
  <si>
    <t>FECHA RESULTADO UROANALISIS ULTIMO</t>
  </si>
  <si>
    <t>EDAD GESTACIONAL UROANALSIS ULTIMO</t>
  </si>
  <si>
    <t>EDAD GESTACIONAL P.T.O.G</t>
  </si>
  <si>
    <t>RESULTADO ULTIMO UROANALISIS</t>
  </si>
  <si>
    <t>TA. SISTOLICA SEM 30 A 34</t>
  </si>
  <si>
    <t>TA SISTOLICA SEM 35 A 37 ULTIMO CONTROL</t>
  </si>
  <si>
    <t>TA DIASTOLICA SEM 35 A 37 ULTIMO CONTROL</t>
  </si>
  <si>
    <t>METODO DE ANTICONCEPCION INICIADO</t>
  </si>
  <si>
    <t>COMPLICACIONES POSTPARTO</t>
  </si>
  <si>
    <t>TA. DIASTOLICA SEM 30 A 34</t>
  </si>
  <si>
    <t>MUNICIPIO DE RESIDENCIA</t>
  </si>
  <si>
    <t>ANTE. 3 ABORTOS SEGUIDOS O INFERTILIDAD</t>
  </si>
  <si>
    <t>ALARMA 1 T.A.  ANTES 12 SEMANAS</t>
  </si>
  <si>
    <t>ANSIEDAD (Tensión emocional, Humor depresivo y sx angustia).</t>
  </si>
  <si>
    <t>EMBARAZO ACEPTADO Y/O  DESEADO</t>
  </si>
  <si>
    <t>FECHA GLICEMIA</t>
  </si>
  <si>
    <t>TIENE ENFERMEDADES AUTOINMUNES</t>
  </si>
  <si>
    <t>TIENE DIABETES MELLITUS</t>
  </si>
  <si>
    <t>TIENE ENFERMEDAD CARDIACA</t>
  </si>
  <si>
    <t>TIENE HTA CRONICA</t>
  </si>
  <si>
    <t>TIENE POLIHIDRAMNIOS</t>
  </si>
  <si>
    <t>EN EMB ACTUAL HEMORRAGIA VAGINAL &lt; 20 SEM</t>
  </si>
  <si>
    <t>EN EMB ACTUAL RPM</t>
  </si>
  <si>
    <t xml:space="preserve"> EN EMB ACTUAL HEMORRAGIA VAGINAL &gt; 20 SEM</t>
  </si>
  <si>
    <t>EN EMB. ACTUAL  RCIU</t>
  </si>
  <si>
    <t>CONDUCTA HEMOGLOBINA10</t>
  </si>
  <si>
    <t>EDAD GESTACIONAL18</t>
  </si>
  <si>
    <t>EDAD GESTACIONAL21</t>
  </si>
  <si>
    <t>T.A. SISTOLICA (Entre semana 20 y 26)</t>
  </si>
  <si>
    <t>T.A. DIATOLICA (Entre semana 20 y 26)</t>
  </si>
  <si>
    <t>EN EMB ACTUAL ENFERMEDADES INFECCIOSAS AGUDAS(BACTERIANAS)2</t>
  </si>
  <si>
    <t>TIENE ENF RENAL CRONICA</t>
  </si>
  <si>
    <t>TRIMESTRE DE GESTACION A LA TOMA EXAMEN</t>
  </si>
  <si>
    <t>TRIMESTRE DE GESTACION A LA TOMA EXAMEN52</t>
  </si>
  <si>
    <t>EDAD GESTACIONAL GLICEMIA</t>
  </si>
  <si>
    <t xml:space="preserve">FECHA CONSULTA PRIMERA VEZ PROGRAMA CPN </t>
  </si>
  <si>
    <t xml:space="preserve">ALARMA 2 T.A.  ENTRE SEMANA 20 Y 26 </t>
  </si>
  <si>
    <t>ALARMA 3 T.A.  III TRIMESTRE</t>
  </si>
  <si>
    <t>NOMBRE DE LA INSTITUCION DONDE SE ATENDIO EL PARTO O LUGAR ESPECIFICO DEL PARTO SI APLICA</t>
  </si>
  <si>
    <t>ALARMA 1 CONTROL RN</t>
  </si>
  <si>
    <t>ALARMA CONTROL PUERPERIO</t>
  </si>
  <si>
    <t>PESO RN 2 EN GRAMOS2</t>
  </si>
  <si>
    <t>PESO RN  EN GRAMOS</t>
  </si>
  <si>
    <t>Se registra el primer apellido de la gestante como aparece en el documento de identidad</t>
  </si>
  <si>
    <t>Se registra el segundo apellido de la gestante como aparece en el documento de identidad</t>
  </si>
  <si>
    <t>Se registra el primer nombre de la gestante como aparece en el documento de identidad</t>
  </si>
  <si>
    <t>Se registra el segundo nombre de la gestante como aparece en el documento de identidad</t>
  </si>
  <si>
    <r>
      <t xml:space="preserve">Lista desplegable: </t>
    </r>
    <r>
      <rPr>
        <sz val="11"/>
        <color theme="1"/>
        <rFont val="Calibri"/>
        <family val="2"/>
        <scheme val="minor"/>
      </rPr>
      <t xml:space="preserve">Elegir de las opciones según corresponda al documento que presente la gestante para el ingreso: Cédula de ciudadanía, Tarjeta de identidad, Registro Civil, Cedula de extranjería, Menor sin identificación, adulto sin identificación, otro, sin Dato </t>
    </r>
  </si>
  <si>
    <t>Registrar el número del documento que presenta la gestante</t>
  </si>
  <si>
    <r>
      <t xml:space="preserve">Lista desplegable: </t>
    </r>
    <r>
      <rPr>
        <sz val="11"/>
        <color theme="1"/>
        <rFont val="Calibri"/>
        <family val="2"/>
        <scheme val="minor"/>
      </rPr>
      <t xml:space="preserve">Elegir de la lista desplegable según corresponda por los datos  suministrados por la gestante: </t>
    </r>
    <r>
      <rPr>
        <b/>
        <sz val="11"/>
        <color theme="1"/>
        <rFont val="Calibri"/>
        <family val="2"/>
        <scheme val="minor"/>
      </rPr>
      <t>Soltera, Casada, Viuda, Unión Libre y Sin Dato</t>
    </r>
  </si>
  <si>
    <t>Registrar la ocupación de la gestante según indique en el interrogatorio de historia clínica de ingreso</t>
  </si>
  <si>
    <r>
      <t xml:space="preserve">Formula,  </t>
    </r>
    <r>
      <rPr>
        <sz val="11"/>
        <color theme="1"/>
        <rFont val="Calibri"/>
        <family val="2"/>
        <scheme val="minor"/>
      </rPr>
      <t>automáticamente sale el dato de la edad actual luego de registrar correctamente la fecha de nacimiento</t>
    </r>
    <r>
      <rPr>
        <b/>
        <sz val="11"/>
        <color theme="1"/>
        <rFont val="Calibri"/>
        <family val="2"/>
        <scheme val="minor"/>
      </rPr>
      <t xml:space="preserve"> </t>
    </r>
  </si>
  <si>
    <t>FECHA INDUCCION A LA DEMANDA CPN: registrar fecha de inducción a la demanda de la gestante, Importante sea en el siguiente orden: DIA/MES/AÑO usando el  /  para  sepáralas ejemplo: 01/09/2014</t>
  </si>
  <si>
    <r>
      <t xml:space="preserve">Registrar fecha de nacimiento de la gestante, </t>
    </r>
    <r>
      <rPr>
        <b/>
        <sz val="11"/>
        <color theme="1"/>
        <rFont val="Calibri"/>
        <family val="2"/>
        <scheme val="minor"/>
      </rPr>
      <t xml:space="preserve">Importante </t>
    </r>
    <r>
      <rPr>
        <sz val="11"/>
        <color theme="1"/>
        <rFont val="Calibri"/>
        <family val="2"/>
        <scheme val="minor"/>
      </rPr>
      <t xml:space="preserve">sea en el siguiente orden: </t>
    </r>
    <r>
      <rPr>
        <b/>
        <sz val="11"/>
        <color theme="1"/>
        <rFont val="Calibri"/>
        <family val="2"/>
        <scheme val="minor"/>
      </rPr>
      <t xml:space="preserve">DIA/MES/AÑO </t>
    </r>
    <r>
      <rPr>
        <sz val="11"/>
        <color theme="1"/>
        <rFont val="Calibri"/>
        <family val="2"/>
        <scheme val="minor"/>
      </rPr>
      <t>usando el</t>
    </r>
    <r>
      <rPr>
        <b/>
        <sz val="11"/>
        <color theme="1"/>
        <rFont val="Calibri"/>
        <family val="2"/>
        <scheme val="minor"/>
      </rPr>
      <t xml:space="preserve"> </t>
    </r>
    <r>
      <rPr>
        <sz val="11"/>
        <color theme="1"/>
        <rFont val="Calibri"/>
        <family val="2"/>
        <scheme val="minor"/>
      </rPr>
      <t xml:space="preserve"> /  para  sepáralas ejemplo:</t>
    </r>
    <r>
      <rPr>
        <b/>
        <sz val="11"/>
        <color theme="1"/>
        <rFont val="Calibri"/>
        <family val="2"/>
        <scheme val="minor"/>
      </rPr>
      <t xml:space="preserve"> 01/04/1979</t>
    </r>
  </si>
  <si>
    <r>
      <rPr>
        <sz val="11"/>
        <color rgb="FFFF0000"/>
        <rFont val="Calibri"/>
        <family val="2"/>
        <scheme val="minor"/>
      </rPr>
      <t>Lista desplegable</t>
    </r>
    <r>
      <rPr>
        <sz val="11"/>
        <color theme="1"/>
        <rFont val="Calibri"/>
        <family val="2"/>
        <scheme val="minor"/>
      </rPr>
      <t xml:space="preserve"> Elegir de las opciones según corresponda: Subsidiado, Contributivo, Régimen Especial, Particular, No Afiliado, Sin dato</t>
    </r>
  </si>
  <si>
    <r>
      <rPr>
        <sz val="11"/>
        <color rgb="FFFF0000"/>
        <rFont val="Calibri"/>
        <family val="2"/>
        <scheme val="minor"/>
      </rPr>
      <t xml:space="preserve"> Lista desplegable </t>
    </r>
    <r>
      <rPr>
        <sz val="11"/>
        <color theme="1"/>
        <rFont val="Calibri"/>
        <family val="2"/>
        <scheme val="minor"/>
      </rPr>
      <t xml:space="preserve">Elegir de las opciones según corresponda la Aseguradora a la que pertence la gestante </t>
    </r>
  </si>
  <si>
    <r>
      <rPr>
        <sz val="11"/>
        <color rgb="FFFF0000"/>
        <rFont val="Calibri"/>
        <family val="2"/>
        <scheme val="minor"/>
      </rPr>
      <t xml:space="preserve"> Lista desplegable </t>
    </r>
    <r>
      <rPr>
        <sz val="11"/>
        <color theme="1"/>
        <rFont val="Calibri"/>
        <family val="2"/>
        <scheme val="minor"/>
      </rPr>
      <t xml:space="preserve">Elegir de las opciones según corresponda al municipio en que resida la gestante </t>
    </r>
  </si>
  <si>
    <r>
      <rPr>
        <sz val="11"/>
        <color rgb="FFFF0000"/>
        <rFont val="Calibri"/>
        <family val="2"/>
        <scheme val="minor"/>
      </rPr>
      <t>Lista desplegable</t>
    </r>
    <r>
      <rPr>
        <sz val="11"/>
        <color theme="1"/>
        <rFont val="Calibri"/>
        <family val="2"/>
        <scheme val="minor"/>
      </rPr>
      <t xml:space="preserve"> Elegir de las opciones según corresponda: opciones: URBANO, RUAL,  SIN DATO </t>
    </r>
  </si>
  <si>
    <r>
      <t xml:space="preserve">Registrar el nombre de la vereda o Barrio de residencia de la gestante. Se debe </t>
    </r>
    <r>
      <rPr>
        <sz val="11"/>
        <color rgb="FFFF0000"/>
        <rFont val="Calibri"/>
        <family val="2"/>
        <scheme val="minor"/>
      </rPr>
      <t>elaborar lista desplegable</t>
    </r>
    <r>
      <rPr>
        <sz val="11"/>
        <color theme="1"/>
        <rFont val="Calibri"/>
        <family val="2"/>
        <scheme val="minor"/>
      </rPr>
      <t xml:space="preserve"> en cada municipio</t>
    </r>
  </si>
  <si>
    <t>Registrar dirección especifica de residencia de la gestante o datos de como ubicarla</t>
  </si>
  <si>
    <t>Registrar el nombre del  resguardo o corregimiento de residencia de la gestante</t>
  </si>
  <si>
    <t>Registrar el número de teléfono de contacto, ubicación de la gestante o pariente más cercano</t>
  </si>
  <si>
    <t>DIRECCION -(ESPECIFICAR UBICACIÓN EN VEREDA)</t>
  </si>
  <si>
    <t>DIRECCION - (ESPECIFICAR UBICACIÓN EN VEREDA)</t>
  </si>
  <si>
    <r>
      <rPr>
        <sz val="11"/>
        <color rgb="FFFF0000"/>
        <rFont val="Calibri"/>
        <family val="2"/>
        <scheme val="minor"/>
      </rPr>
      <t>Lista desplegable</t>
    </r>
    <r>
      <rPr>
        <sz val="11"/>
        <color theme="1"/>
        <rFont val="Calibri"/>
        <family val="2"/>
        <scheme val="minor"/>
      </rPr>
      <t xml:space="preserve"> Elegir de las opciones según corresponda: INDEGENA – ROM GITANO – RAIZAL – PALENQUERO – AFRODESCENDIENTE – MESTIZA - OTRO</t>
    </r>
  </si>
  <si>
    <r>
      <rPr>
        <sz val="11"/>
        <color rgb="FFFF0000"/>
        <rFont val="Calibri"/>
        <family val="2"/>
        <scheme val="minor"/>
      </rPr>
      <t>Lista desplegable</t>
    </r>
    <r>
      <rPr>
        <sz val="11"/>
        <color theme="1"/>
        <rFont val="Calibri"/>
        <family val="2"/>
        <scheme val="minor"/>
      </rPr>
      <t xml:space="preserve"> Elegir de las opciones según corresponda: Nasa/Paez. Misak/ Guambianos, Yanaconas, Coconucos, Totoroez, Epedara/ Siapidara, Inga, Polindaras, Embera, Quilacingas, Jambaleños, Guanacas, Pubenences, Otros.</t>
    </r>
  </si>
  <si>
    <r>
      <rPr>
        <sz val="11"/>
        <color rgb="FFFF0000"/>
        <rFont val="Calibri"/>
        <family val="2"/>
        <scheme val="minor"/>
      </rPr>
      <t>Lista desplegable</t>
    </r>
    <r>
      <rPr>
        <sz val="11"/>
        <color theme="1"/>
        <rFont val="Calibri"/>
        <family val="2"/>
        <scheme val="minor"/>
      </rPr>
      <t xml:space="preserve"> Elegir de las opciones según corresponda: Analfabeta, Primaria incompleta  primaria completa, Secundaria incompleta, Secundaria completa,  Técnico, Universitario, Sabe leer y Escribir, esta última opción es para personas que no han recibido estudio formal pero saben leer y escribir.</t>
    </r>
  </si>
  <si>
    <r>
      <rPr>
        <sz val="11"/>
        <color rgb="FFFF0000"/>
        <rFont val="Calibri"/>
        <family val="2"/>
        <scheme val="minor"/>
      </rPr>
      <t xml:space="preserve">Lista desplegable </t>
    </r>
    <r>
      <rPr>
        <sz val="11"/>
        <color theme="1"/>
        <rFont val="Calibri"/>
        <family val="2"/>
        <scheme val="minor"/>
      </rPr>
      <t>Opciones: SI, si la gestante  Acepta o desea este embarazo;   NO  si la gestante no desea o no acepta este embarazo o  SIN DATO  si no se tiene información, Cabe aclarar que si la paciente no desea este embarazo debe hacer interconsulta con psicología y si no se tiene el dato preguntarlo en la siguiente consulta</t>
    </r>
  </si>
  <si>
    <r>
      <rPr>
        <sz val="11"/>
        <color rgb="FFFF0000"/>
        <rFont val="Calibri"/>
        <family val="2"/>
        <scheme val="minor"/>
      </rPr>
      <t>Lista desplegable</t>
    </r>
    <r>
      <rPr>
        <sz val="11"/>
        <color theme="1"/>
        <rFont val="Calibri"/>
        <family val="2"/>
        <scheme val="minor"/>
      </rPr>
      <t xml:space="preserve"> Opciones: SI cuando la gestante manifieste que recibe apoyo de su familia;  NO  cuando la paciente manifiesta no recibir apoyo familiar o  SIN DATO  cuando no se dispone del dato, Igual que el anterior si la respuesta es NO tiene apoyo familiar se deberá intervenir con psicología y en lo posible con trabajadora social. De no disponer del dato   se debe preguntar por el en la siguiente consulta</t>
    </r>
  </si>
  <si>
    <r>
      <rPr>
        <sz val="11"/>
        <color rgb="FFFF0000"/>
        <rFont val="Calibri"/>
        <family val="2"/>
        <scheme val="minor"/>
      </rPr>
      <t>Lista desplegable</t>
    </r>
    <r>
      <rPr>
        <sz val="11"/>
        <color theme="1"/>
        <rFont val="Calibri"/>
        <family val="2"/>
        <scheme val="minor"/>
      </rPr>
      <t xml:space="preserve"> Opciones  SI  cuando la mujer sea la responsable  del sostenimiento económico y social de la familia; NO  cuando la mujer no sea la responsable principal del sostenimiento económico de la familia y  SIN DATO cuando no se disponga del dato preguntarlo en la siguiente consulta</t>
    </r>
  </si>
  <si>
    <r>
      <rPr>
        <sz val="11"/>
        <color rgb="FFFF0000"/>
        <rFont val="Calibri"/>
        <family val="2"/>
        <scheme val="minor"/>
      </rPr>
      <t>Lista desplegable</t>
    </r>
    <r>
      <rPr>
        <sz val="11"/>
        <color theme="1"/>
        <rFont val="Calibri"/>
        <family val="2"/>
        <scheme val="minor"/>
      </rPr>
      <t xml:space="preserve"> Opciones: SI cuando la gestante manifieste tension emocional, depresion o angustia ;  NO  cuando la paciente  no manifiesta ninguno de los items anterioes  o  SIN DATO  cuando no se dispone del dato. De no disponer del dato  se debe interrogar por el en la siguiente consulta de acuerdo a los lineamientos establecidos en la GAI de CPN del MPS</t>
    </r>
  </si>
  <si>
    <r>
      <rPr>
        <sz val="11"/>
        <color rgb="FFFF0000"/>
        <rFont val="Calibri"/>
        <family val="2"/>
        <scheme val="minor"/>
      </rPr>
      <t>Lista desplegable</t>
    </r>
    <r>
      <rPr>
        <sz val="11"/>
        <color theme="1"/>
        <rFont val="Calibri"/>
        <family val="2"/>
        <scheme val="minor"/>
      </rPr>
      <t xml:space="preserve"> opciones SI cuando la gestante manifiesta que ha sido victima de violencia física o psicológica;  NO cuando no ha sido víctima de Violencia física o psicológica o SIN DATO, consultar en la guía del ministerio como preguntar adecuadamente a la gestante acerca de este evento</t>
    </r>
  </si>
  <si>
    <r>
      <rPr>
        <sz val="11"/>
        <color rgb="FFFF0000"/>
        <rFont val="Calibri"/>
        <family val="2"/>
        <scheme val="minor"/>
      </rPr>
      <t>Formula,</t>
    </r>
    <r>
      <rPr>
        <sz val="11"/>
        <color theme="1"/>
        <rFont val="Calibri"/>
        <family val="2"/>
        <scheme val="minor"/>
      </rPr>
      <t xml:space="preserve">  evalúa la efectividad entre la fecha de inducción de la demanda y la fecha en que la gestante es inscrita y las opciones que saldrán automáticamente según corresponda son: SI, cuando la gestante fue inducida y acude al CPN;  NO  cuando la gestante se induce pero no acude al CPN es decir toda gestante a la que se le realice inducción debe estar registrada en la base de datos, DEMANDA ESPONTANEA, cuando la paciente acude espontáneamente y no existió demanda por parte de la IPS </t>
    </r>
  </si>
  <si>
    <r>
      <rPr>
        <sz val="11"/>
        <color rgb="FFFF0000"/>
        <rFont val="Calibri"/>
        <family val="2"/>
        <scheme val="minor"/>
      </rPr>
      <t>Formula automatica</t>
    </r>
    <r>
      <rPr>
        <sz val="11"/>
        <color theme="1"/>
        <rFont val="Calibri"/>
        <family val="2"/>
        <scheme val="minor"/>
      </rPr>
      <t xml:space="preserve">: Evalua Riesgo Psicosocial de acuerdo a los datos registrados en las columnas anteriores, con las Opciones : SIN RIESGO: cuando la gestante por valoracion no presenta riesgo psicosocial, CON RIESGO :cuando la paciente Tiene Riesgo psicosocial y debe ser valorada por psicologia y SIN DATO: Cuando no se han diligenciado completamente las casillas anteriores  </t>
    </r>
  </si>
  <si>
    <t>En estas columnas, se registra  segun corresponda y hacen relación a  los antecedentes o diagnósticos  patológicos y obstétricos de la gestante y las opciones de acuerdo a lo registrado en la historia clínica de la gestante con las opciones  SI o NO  de acuerdo a los eventos de cada columna ante respuesta SI  se consideran gestantes de Alto Riesgo Obstétrico y deben tener remisión a Ginecologia. La opcion Sin DATO  se registrara cuando no se dispone del dato                                                                                                                                                                                                                        Para la Casilla ANTECEDENTE FAMILIAR DE PREECLAMPSIA: Registrar SI o No Según Corresponda. SI aplica para gestantes con Madre o hermana con antecedente de preeclampsia</t>
  </si>
  <si>
    <t xml:space="preserve">Elegir el numero de según corresponda al número de partos que la gestante haya tenido. Esta columna esta semaorizada y aparecera en rojo luego del cuarto parto, es decir multiparas </t>
  </si>
  <si>
    <t xml:space="preserve">Elegir según corresponda al número de Abortos que la gestante haya tenido como antecedente. Esta columna esta semaorizada y aparecera en rojo luego del tercer aborto </t>
  </si>
  <si>
    <t xml:space="preserve">Elegir según corresponda al número de cesareas que la gestante haya tenido como antecedente. Esta columna esta semaorizada y aparecera en rojo luego de la tercera cesarea </t>
  </si>
  <si>
    <t xml:space="preserve">TIENE EMB. MUTIPLE ACTUAL </t>
  </si>
  <si>
    <t>Registrar SI  o NO según corresponda. La opción SI estará semaforizada en rojo pues se considera antecedente de Riesgo Obstétrico  y la gestante debe ser valorada por ginecólogo</t>
  </si>
  <si>
    <r>
      <t xml:space="preserve">Registrar SI  o NO según corresponda. La opción SI estará semaforizada en rojo pues se considera antecedente de Riesgo Obstétrico  y la gestante debe ser valorada por ginecólogo </t>
    </r>
    <r>
      <rPr>
        <b/>
        <sz val="11"/>
        <color theme="1"/>
        <rFont val="Calibri"/>
        <family val="2"/>
        <scheme val="minor"/>
      </rPr>
      <t xml:space="preserve">y especialista </t>
    </r>
  </si>
  <si>
    <r>
      <t xml:space="preserve">Elegir el número de </t>
    </r>
    <r>
      <rPr>
        <b/>
        <sz val="11"/>
        <color theme="1"/>
        <rFont val="Calibri"/>
        <family val="2"/>
        <scheme val="minor"/>
      </rPr>
      <t>embarazos anteriores</t>
    </r>
    <r>
      <rPr>
        <sz val="11"/>
        <color theme="1"/>
        <rFont val="Calibri"/>
        <family val="2"/>
        <scheme val="minor"/>
      </rPr>
      <t xml:space="preserve"> a este.Es el Antecedente, no se incluye este embarazo actual;  Es decir que si este es el primer embarazo se elige la opción del número 0, si es el segundo embarazo, se elige la opción  del número 1.  Esta columna semaforiza en rojo luego del cuarto embarazo, es decir las de riesgo por  multígravidez</t>
    </r>
  </si>
  <si>
    <t>Registrar SI  o NO según corresponda al embarazo actual. La opción SI estará semaforizada en rojo pues se considera antecedente de Riesgo Obstétrico  y la gestante debe ser valorada por ginecólogo</t>
  </si>
  <si>
    <r>
      <t xml:space="preserve">Registrar SI  o NO según corresponda como patologia de base. La opción SI estará semaforizada en rojo pues se considera antecedente de Riesgo Obstétrico  y la gestante debe ser valorada por ginecólogo y </t>
    </r>
    <r>
      <rPr>
        <b/>
        <sz val="11"/>
        <color theme="1"/>
        <rFont val="Calibri"/>
        <family val="2"/>
        <scheme val="minor"/>
      </rPr>
      <t>nutricionista</t>
    </r>
  </si>
  <si>
    <r>
      <t>Registrar SI  o NO según corresponda como patologia de base. La opción SI estará semaforizada en rojo pues se considera antecedente de Riesgo Obstétrico  y la gestante debe ser valorada por ginecólogo</t>
    </r>
    <r>
      <rPr>
        <b/>
        <sz val="11"/>
        <color theme="1"/>
        <rFont val="Calibri"/>
        <family val="2"/>
        <scheme val="minor"/>
      </rPr>
      <t xml:space="preserve"> y cardiologo</t>
    </r>
  </si>
  <si>
    <r>
      <t>Registrar SI  o NO según corresponda como patologia de base. La opción SI estará semaforizada en rojo pues se considera antecedente de Riesgo Obstétrico  y la gestante debe ser valorada por ginecólogo</t>
    </r>
    <r>
      <rPr>
        <b/>
        <sz val="11"/>
        <color theme="1"/>
        <rFont val="Calibri"/>
        <family val="2"/>
        <scheme val="minor"/>
      </rPr>
      <t xml:space="preserve"> y nefrologo</t>
    </r>
  </si>
  <si>
    <t>Registrar fecha ultimo parto o aborto  D/ M / A</t>
  </si>
  <si>
    <r>
      <rPr>
        <sz val="11"/>
        <color rgb="FFFF0000"/>
        <rFont val="Calibri"/>
        <family val="2"/>
        <scheme val="minor"/>
      </rPr>
      <t xml:space="preserve">Formula automatica </t>
    </r>
    <r>
      <rPr>
        <sz val="11"/>
        <color theme="1"/>
        <rFont val="Calibri"/>
        <family val="2"/>
        <scheme val="minor"/>
      </rPr>
      <t>con el resultado del periodo intergenesico</t>
    </r>
  </si>
  <si>
    <t>Registrar fecha ultima mestruación  D/ M / A</t>
  </si>
  <si>
    <t>Formula automatica de las semanas de gestacion al ingreso</t>
  </si>
  <si>
    <t xml:space="preserve">Formula automatica de las semanas de gestacion actualizadas  </t>
  </si>
  <si>
    <t>Registrar fecha PRIMERA ECOGRAFIA D/ M / A</t>
  </si>
  <si>
    <t xml:space="preserve">Registrar Semanas de gestaciónsegun  PRIMERA ECOGRAFIA </t>
  </si>
  <si>
    <t>Registrar fecha SEGUNDA ECOGRAFIA D/ M / A</t>
  </si>
  <si>
    <t xml:space="preserve">Registrar Semanas de gestación segun  SEGUNDA ECOGRAFIA </t>
  </si>
  <si>
    <t xml:space="preserve">registre Talla en Metros con coma para decimal </t>
  </si>
  <si>
    <t>Formula Automatica del Indice de Masa Corporal según datos registrados de Peso y talla de las 2 colunmas ateriores</t>
  </si>
  <si>
    <t xml:space="preserve">Formula automatica según corresponda al IMC con las Opciones : Bajo Peso, Normal, Sobrepeso y Obesidad, Si aparece otro opcion revisar casillas DK y DL </t>
  </si>
  <si>
    <t>Formula automatica según corresponda a las TA Sistolica y Diastolica anotadas. Opciones: Pre HTA Seguimiento, Aparentemente Normal , Definir estadio HTA</t>
  </si>
  <si>
    <t>Formula automatica según corresponda a las TA Sistolica y Diastolica anotadas. Opciones: ALTO RIESGO PREECLAMPSIA,DEFINIR ESTADIO HTA"PRE HTA SEGUIMIENTO,RIESGO HIPERTENSION INDUCIDA POR EL EMBARAZO""PRE HTA SEGUIMIENTO, RIESGO HIPERTENSION INDUCIDA POR EL EMBARAZO";VIGILAR CIFRAS PRESION ARTERIAL";"PRE HTA SEGUIMIENTO""APARENTEMENTE NORMAL;"APARENTEMENTE NORMAL;"APARENTEMENTE NORMAL";</t>
  </si>
  <si>
    <t>Reguistre en numeros la TA Sistolica entre las 30 y 34 semanas de gestacion</t>
  </si>
  <si>
    <t>Reguistre en numeros la TA Diastolica entre las 30 y 34 semanas de gestacion</t>
  </si>
  <si>
    <t>Reguistre en numeros la TA Sistolica entre las 35 y 37 semanas de gestacion</t>
  </si>
  <si>
    <t>Reguistre en numeros la TA Diastolica entre las 35 y 37 semanas de gestacion</t>
  </si>
  <si>
    <t>Formula automatica del numero de controles prenatales realizados</t>
  </si>
  <si>
    <t xml:space="preserve">Formula automatica de la adherencia según controles prenatales realizados con las Opciones SI y NO </t>
  </si>
  <si>
    <t>Formula automatica según numero de controles proyectados a realizar según semanas de gestacion al ingreso</t>
  </si>
  <si>
    <t>Registrar fechas de remision y controles a Psicologia, Nutrición y Ginecologia</t>
  </si>
  <si>
    <t xml:space="preserve">Reporte el resultado de la hemoglobina de ingreso </t>
  </si>
  <si>
    <t>Fecha en D M A del Resultado de la HB</t>
  </si>
  <si>
    <t>Formula automatica de la edad gestacional al momento del resultado de la HB</t>
  </si>
  <si>
    <t>Formula Automatica según reporte de HB:  MANEJO MD POR ANEMIA FERROPENICA, NORMAL- SUMINISTRAR SULFATO FERROSO, NO DAR SULFATO FERROSO</t>
  </si>
  <si>
    <t>Formula Automatica según trimestre de gestacion de la toma de HB</t>
  </si>
  <si>
    <t>Reporte el resultado de la hemoglobina de la semana 28</t>
  </si>
  <si>
    <t>Fecha en D M A del Resultado del GS</t>
  </si>
  <si>
    <t>Formula automatica: de la edad gestacional al momento de la toma del GS</t>
  </si>
  <si>
    <t>Formula automatica según reporte de GS con las opciones: RIESGO DE INCOMPATIBILIDAD DE RH, NO HAY RIESGO POR RH.</t>
  </si>
  <si>
    <t>Registre resultado de la glicemia pre</t>
  </si>
  <si>
    <t>Formula automatica: de la edad gestacional al momento de la toma de la glicemia</t>
  </si>
  <si>
    <t>Registre resultado de la PTOG con 75 gr pre</t>
  </si>
  <si>
    <t>Registre resultado de la PTOG con 75 gr a la hora</t>
  </si>
  <si>
    <t>Registre resultado de la PTOG con 75 gr a la segunda hora</t>
  </si>
  <si>
    <t>Formula automatica: NO APLICA REPETIR EXAMEN &gt; SEMANA 24, ORDENAR PTOG, DIABETES, REMITIR, NORMAL</t>
  </si>
  <si>
    <t>Formula automatica: de la edad gestacional al momento de la toma de la PTOG</t>
  </si>
  <si>
    <t>Fecha en D M A del Resultado de la Prueba Rapida</t>
  </si>
  <si>
    <t>Fecha en D M A del Resultado de la Prueba Rapida intraparto</t>
  </si>
  <si>
    <t>Fecha en D M A del Resultado dell Uroanalisis</t>
  </si>
  <si>
    <t>Formula automatica: de la edad gestacional al momento de la toma del Uroanalisis</t>
  </si>
  <si>
    <t>Formula automatica: de la edad gestacional al momento de la toma del Urocultivo</t>
  </si>
  <si>
    <t>Lista desplegable del resultado del urocultivo según corresponda : Positivo, Negativo, Sin Dato</t>
  </si>
  <si>
    <t>Lista Desplegable según resultado del uroanalisis según corresponda : IVU, NORMAL o Sin Dato</t>
  </si>
  <si>
    <t>Fecha en D M A del Resultado del Urocultivo</t>
  </si>
  <si>
    <t>Fecha en D M A del Resultado del la Prueba de  ELISA</t>
  </si>
  <si>
    <t>Formula automatica para indicar toma de laboratorios</t>
  </si>
  <si>
    <t>Formula automatica: de la edad gestacional al momento del HASB</t>
  </si>
  <si>
    <t>Formula automatica: de la edad gestacional al momento del  Toxo</t>
  </si>
  <si>
    <t>Fecha en D M A del Resultado del la Prueba las pruebas dela citologia</t>
  </si>
  <si>
    <t xml:space="preserve">Formula automatica </t>
  </si>
  <si>
    <t xml:space="preserve">Fecha en D M A </t>
  </si>
  <si>
    <t>Fecha en D M A de la consulta con odontologo primera vez</t>
  </si>
  <si>
    <t>Lista desplegable , elegir la opcion por la cual sale la paciente del programa</t>
  </si>
  <si>
    <t>Formula automatica de  la edad gestacional al salir del programa</t>
  </si>
  <si>
    <t xml:space="preserve">Registre en numeros el peso en gramos </t>
  </si>
  <si>
    <t>Registre fecha en formato D/ M / A</t>
  </si>
  <si>
    <t xml:space="preserve">Registrar si existe un segundo nacido vivo </t>
  </si>
  <si>
    <t>Formula interna de alarma para control de RN</t>
  </si>
  <si>
    <t>Formula interna de alarma para control la puerpera</t>
  </si>
  <si>
    <t>RESULTADO TOXOPLASMOSIS ULTIMO IgM - SI APLICA SEGÚN GPC</t>
  </si>
  <si>
    <t>FECHA ULTIMA REMISION URG</t>
  </si>
  <si>
    <t>METODO DE ANTICONCEPCION INICIADO POSTPARTO</t>
  </si>
  <si>
    <t>TOTAL SEGUIMIENTOS POR MEDICINA TRADICIONAL</t>
  </si>
  <si>
    <t>TOTAL SEGUIMIENTOS POR PARTERA</t>
  </si>
  <si>
    <t>OPORTUNIDAD EN DIAS, INGRESO AL CONTROL PRENATAL DESDE EL MOMENDO DE LA IDENTIFICACIÓN</t>
  </si>
  <si>
    <t xml:space="preserve">TALLA EN Mts     </t>
  </si>
  <si>
    <t>FECHA ULTIMO CPN</t>
  </si>
  <si>
    <t>EDAD GESTACIONAL ÚLTIMO CPN</t>
  </si>
  <si>
    <t xml:space="preserve">SUMINISTRO DE ACIDO FOLICO </t>
  </si>
  <si>
    <t xml:space="preserve">SUMINISTRO CALCIO </t>
  </si>
  <si>
    <t>FECHA TOMA TSH</t>
  </si>
  <si>
    <t>FECHA TOMA TSH 2</t>
  </si>
  <si>
    <t>NECESIDAD O DESARMONIA DESDE LO PROPIO 1</t>
  </si>
  <si>
    <t>TIPO DE SABEDOR</t>
  </si>
  <si>
    <t xml:space="preserve">SUMINISTRO DE SULFATO FERROSO </t>
  </si>
  <si>
    <t>FECHA PRIMER ACOMPAÑAMIENTO SABEDOR ANCESTRAL</t>
  </si>
  <si>
    <t>TIPO DE SABEDOR3</t>
  </si>
  <si>
    <t>FECHA  ACOMPAÑAMIENTO SABEDOR ANCESTRAL2</t>
  </si>
  <si>
    <t>TIPO DE SABEDOR2</t>
  </si>
  <si>
    <t>FECHA ACOMPAÑAMIENTO SABEDOR ANCESTRAL3</t>
  </si>
  <si>
    <t>FECHA ACOMPAÑAMIENTO SABEDOR ANCESTRAL4</t>
  </si>
  <si>
    <t>TIPO DE SABEDOR4</t>
  </si>
  <si>
    <t>FECHA ACOMPAÑAMIENTO SABEDOR ANCESTRAL5</t>
  </si>
  <si>
    <t>TIPO DE SABEDOR5</t>
  </si>
  <si>
    <t>TIPO DE SABEDOR6</t>
  </si>
  <si>
    <t>ACTIVIDAD O RITUALIDAD REALIZADA 6</t>
  </si>
  <si>
    <t>TIPO DE SABEDOR7</t>
  </si>
  <si>
    <t>FECHA DE IDENTIFICACION DE LA GESTANTE</t>
  </si>
  <si>
    <t xml:space="preserve"> RESPONSABLE DE LA ZONA</t>
  </si>
  <si>
    <t>RANGO DE EDAD INICIO7</t>
  </si>
  <si>
    <t>OBITO MUERTE PERINAT2</t>
  </si>
  <si>
    <t>PARTOS23</t>
  </si>
  <si>
    <t>CESAREAS34</t>
  </si>
  <si>
    <t>EMB ECTOP CX UTER5</t>
  </si>
  <si>
    <t>PUNT. RIESGO MODERADO COMPL HIPERTENSIVAS2</t>
  </si>
  <si>
    <t>ENFERMEDADES PROPIAS O CULTURALES</t>
  </si>
  <si>
    <t>CUENTA RIESGO PSICOSOCIAL</t>
  </si>
  <si>
    <t>DIAS GESTACION ECO 12</t>
  </si>
  <si>
    <t>ALARMA FACTORES DE RIESGO COMPLICACIONES HIPERTENSIVAS3</t>
  </si>
  <si>
    <t>SUMINISTRO DE ASA SEGÚN GPC</t>
  </si>
  <si>
    <t>FECHA C12</t>
  </si>
  <si>
    <t>ALERTA SEGUIMIENTO</t>
  </si>
  <si>
    <t>FECHA ACOMPAÑAMIENTO SABEDOR ANCESTRAL PUERPERIO Y RECIEN NACIDO</t>
  </si>
  <si>
    <t>NECESIDAD O DESARMONIA DESDE LO PROPIO 12</t>
  </si>
  <si>
    <t>ACTIVIDAD O RITUALIDAD REALIZADA1</t>
  </si>
  <si>
    <t>ACTIVIDAD O RITUALIDAD REALIZADA13</t>
  </si>
  <si>
    <t>NECESIDAD O DESARMONIA DESDE LO PROPIO 13</t>
  </si>
  <si>
    <t>ACTIVIDAD O RITUALIDAD REALIZADA14</t>
  </si>
  <si>
    <t>NECESIDAD O DESARMONIA DESDE LO PROPIO 14</t>
  </si>
  <si>
    <t>ACTIVIDAD O RITUALIDAD REALIZADA15</t>
  </si>
  <si>
    <t>NECESIDAD O DESARMONIA DESDE LO PROPIO 15</t>
  </si>
  <si>
    <t>ACTIVIDAD O RITUALIDAD REALIZADA16</t>
  </si>
  <si>
    <t>NECESIDAD O DESARMONIA DESDE LO PROPIO 16</t>
  </si>
  <si>
    <t>NECESIDAD O DESARMONIA DESDE LO PROPIO 17</t>
  </si>
  <si>
    <t>ACTIVIDAD O RITUALIDAD REALIZADA18</t>
  </si>
  <si>
    <t>TAMIZAJE  PARA VIH II TRIM</t>
  </si>
  <si>
    <t>FECHA RESULTADO ELISA O PR II TRIM</t>
  </si>
  <si>
    <t>SEGUNDA PRUEBA ELISA O PR PARA DEFINIR DIAGNOSTICO VIH SEGÚN PROTOCOLO INS</t>
  </si>
  <si>
    <t>FECHA RESULTADO2</t>
  </si>
  <si>
    <t>FECHA RESULTADO SEGUNDA PRUEBA ELISA O PR PARA DEFINIR DIAGNOSTICO VIH SEGÚN PROTOCOLO INS</t>
  </si>
  <si>
    <t>RESULTADO CARGA VIRAL SEGÚN PROTOCOLO INS</t>
  </si>
  <si>
    <t>FECHA RESULTADO CARGA VIRAL SEGÚN PROTOCOLO INS</t>
  </si>
  <si>
    <t xml:space="preserve">GESTANTES CON RESULTADO DE EXAMENES DE INGRESO </t>
  </si>
  <si>
    <t>GESTANTES CON RESULTADOS DE EXAMENES II TRIMESTRE</t>
  </si>
  <si>
    <t>GESTANTES CON RESULTADOS DE EXAMENES III TRIMESTRE2</t>
  </si>
  <si>
    <t>FECHA INSCRIPCION A PLANIFICACION FAMILIAR2</t>
  </si>
  <si>
    <t>FECHA ASISTENCIA PRIMERA VEZ CON GINECOLOGÍA</t>
  </si>
  <si>
    <t>OPORTUNIDAD CONSULTA GINECOLOGÍA (DIAS)</t>
  </si>
  <si>
    <t>ACOMPAÑAMIENTO POR PERSONA DE CONFIANZA DURANTE TRABAJO DE PARTO Y PARTO</t>
  </si>
  <si>
    <t>MANEJO ACTIVO DEL TERCER PERIODO DEL PARTO (USO OXITOCINA,MASAJE UTERINO Y TRACCIÓN SOSTENIDA DE CORDÓN)2</t>
  </si>
  <si>
    <t>DILIGENCIAMIENTO DE PARTOGRAMA (NO APLICA EN EXPULSIVO)</t>
  </si>
  <si>
    <t>MONITORIA CADA 15 MINUTOS DE SIGNOS VITALES DURANTES LAS PRIMERAS DOS HORAS POSTPARTO (SOPORTE EN HC)</t>
  </si>
  <si>
    <t>FECHA ASESORIA EN LACTANCIA MATERNA DURANTE CPN</t>
  </si>
  <si>
    <t>FECHA ASESORIA EN ANTICONCEPCION DURANTE CPN</t>
  </si>
  <si>
    <t>PUEBLO INDIGENA ESPECIFICO</t>
  </si>
  <si>
    <t>FECHA TERMINACIÓN ÚLTIMO EMBARAZO</t>
  </si>
  <si>
    <t>HA SIDO VICTIMA DE VIOLENCIA BASADA EN GENERO</t>
  </si>
  <si>
    <t>FECHA REGISTRO ASESORIA PRE TEST VIH EN HC</t>
  </si>
  <si>
    <t xml:space="preserve"> EN EMB ACTUAL HEMORRAGIA VAGINAL &gt; 20 SEM22</t>
  </si>
  <si>
    <t>ALARMA DPT ACELULAR</t>
  </si>
  <si>
    <t>EN EMB ACTUAL ENFERMEDADES INFECCIOSAS AGUDAS(BACTERIANAS)</t>
  </si>
  <si>
    <t>FECHA FIRMA DE CONSENTIMIENTO INFORMADO EN HC</t>
  </si>
  <si>
    <t>TAMIZAJE  PARA VIH III TRIM</t>
  </si>
  <si>
    <t>ALARMA POR SEGUIMIENTO CIFRAS PRESIÓN ARTERIAL ÚLTIMO REGISTRO.</t>
  </si>
  <si>
    <t>MOTIVOS PARA LA CLASIFICACION DEL RIESGO BIOPSICOSOCIAL</t>
  </si>
  <si>
    <t>FECHA ACOMPAÑAMIENTO SABEDOR ANCESTRAL PUERPERIO Y RECIEN NACIDO2</t>
  </si>
  <si>
    <t xml:space="preserve">GLICEMIA PRE </t>
  </si>
  <si>
    <t>DIAS PARA EL PARTO2</t>
  </si>
  <si>
    <t>ALERTA PARA PARTO3</t>
  </si>
  <si>
    <t>FPP2</t>
  </si>
  <si>
    <t>GESTANTES ACTUALES22</t>
  </si>
  <si>
    <t>ALERTA SEGUIMIENTO2</t>
  </si>
  <si>
    <t>FECHA ÚLTIMO SEGUIMIENTO</t>
  </si>
  <si>
    <t>NÚMERO DE SEGUIMIENTOS CPN</t>
  </si>
  <si>
    <t xml:space="preserve">PROGRAMAS DE APOYO SOCIAL </t>
  </si>
  <si>
    <t>RIESGO BIOPSICOSOCIAL</t>
  </si>
  <si>
    <t>PUNTAJE ANEMIA RBPS</t>
  </si>
  <si>
    <t>PUNTAJE EMBARAZO PROLONGADO RBPS2</t>
  </si>
  <si>
    <t>PUNTAJE VIH RBPS3</t>
  </si>
  <si>
    <t>FECHA RESULTADO TAMIZAJE INTRAPARTO</t>
  </si>
  <si>
    <t xml:space="preserve">OTROS FACTORES DE RIESGO </t>
  </si>
  <si>
    <t>FECHA SEGUIMIENTO INICIAL POR PERSONAL DE SALUD EN TERRENO</t>
  </si>
  <si>
    <t>HALLAZGO5 GESTACIÓN</t>
  </si>
  <si>
    <t>NÚMERO DE SEGUIMIENTOS EN PUERPERIO</t>
  </si>
  <si>
    <t>HALLAZGOS ACOMPAÑAMIENTO PERSONAL DE SALUD PUERPERA</t>
  </si>
  <si>
    <t>FECHA ULTIMO SEGUIMIENTO POR PERSONAL DE SALUD EN TERRENO 112</t>
  </si>
  <si>
    <t>HALLAZGOS ACOMPAÑAMIENTO PERSONAL DE SALUD RECIEN NACIDO</t>
  </si>
  <si>
    <t>EDAD GESTACIONAL PRIMER ACOMPAÑAMIENTO SABEDOR ANCESTRAL</t>
  </si>
  <si>
    <t>CONTACTO PIEL A PIEL DURANTE 30 MINUTOS</t>
  </si>
  <si>
    <t>INICIO DE LACTANCIA MATERNA DURANTE EL CONTACTO PIEL A PIEL</t>
  </si>
  <si>
    <t>ASESORIA EN PLANIFICACIÓN FAMILIAR POST EVENTO OBSTETRICO EN AMBITO HOSPITALARIO</t>
  </si>
  <si>
    <t xml:space="preserve">PUERPERA SALE CON PLANIFICACIÓN FAMILIAR POST EVENTO OBSTETRICO </t>
  </si>
  <si>
    <t>LA CLASIFICACIÓN DEL RIESGO ES ADECUADA</t>
  </si>
  <si>
    <t>ENE</t>
  </si>
  <si>
    <t>FEB</t>
  </si>
  <si>
    <t>MAR</t>
  </si>
  <si>
    <t>ABR</t>
  </si>
  <si>
    <t>MAY</t>
  </si>
  <si>
    <t>JUN</t>
  </si>
  <si>
    <t>JUL</t>
  </si>
  <si>
    <t>AGO</t>
  </si>
  <si>
    <t>SEP</t>
  </si>
  <si>
    <t>OCT</t>
  </si>
  <si>
    <t>NOV</t>
  </si>
  <si>
    <t>DIC</t>
  </si>
  <si>
    <t>INDICADORES</t>
  </si>
  <si>
    <t xml:space="preserve"> Total de mujeres gestantes captadas antes de las 12 ss  x </t>
  </si>
  <si>
    <t>Total mujeres adolescentes menores de 19 años</t>
  </si>
  <si>
    <t>% GESTANTES ADOLESCENTES &lt; 19 AÑOS</t>
  </si>
  <si>
    <t>Mujeres menores de 14 años que ingresan al CPN</t>
  </si>
  <si>
    <t xml:space="preserve">% MUJERES gestantes &lt; 14 años </t>
  </si>
  <si>
    <t>TOTAL PARTOS</t>
  </si>
  <si>
    <t>% DE PARTOS VAGINALES</t>
  </si>
  <si>
    <t>% DE PARTOS POR CESAREA</t>
  </si>
  <si>
    <t>NÚMERO IVE</t>
  </si>
  <si>
    <t>% IVE</t>
  </si>
  <si>
    <t>ATENCION INSTITUCIONAL DEL PARTO</t>
  </si>
  <si>
    <t>% ATECIÓN INSTITUCIONAL DE PARTO</t>
  </si>
  <si>
    <t>PARTOS EN DOMICILIO</t>
  </si>
  <si>
    <t>% ATENCIÓN DE PARTO EN DOMICILIO</t>
  </si>
  <si>
    <t>ADHERENCIA CPN:MUJERES CON 4 O MAS CPN AL TERMINAR PARTO/CESAREA</t>
  </si>
  <si>
    <t xml:space="preserve">% ADHERENCIA AL CPN </t>
  </si>
  <si>
    <t>Número nacidos vivos</t>
  </si>
  <si>
    <t>Número de nacidos vivos a Término.</t>
  </si>
  <si>
    <t>Número de nacidos vivos a Término con bajo peso al nacer.</t>
  </si>
  <si>
    <t>% BAJO PESO AL NACER RN A TERMINO</t>
  </si>
  <si>
    <t>RAZÓN MUERTES PERINATALES X 1000 NV</t>
  </si>
  <si>
    <t>Numero casos de morbilidad materna extrema</t>
  </si>
  <si>
    <t>RAZÓN MORBILIDAD MATERNA EXTREMA X 1000 NV</t>
  </si>
  <si>
    <t>MUJERES ACTIVAS INASISTENTES</t>
  </si>
  <si>
    <t>FIJAR MENSUALMENTE</t>
  </si>
  <si>
    <t>TABLERO DE INDICADORES BÁSICOS PARA SEGUIMIENTO PROGRAMA DE GESTANTES</t>
  </si>
  <si>
    <t>NÚMERO DE GESTANTES CON ATENCION INICIAL POR SABEDOR I TRIM GESTACIÓN</t>
  </si>
  <si>
    <t>NÚMERO DE GESTANTES CON ATENCION INICIAL POR SABEDOR II TRIM GESTACIÓN</t>
  </si>
  <si>
    <t>INDICADORES SEGUIMIENTO SABEDORES</t>
  </si>
  <si>
    <t>ACTIVA EN CPN</t>
  </si>
  <si>
    <t>ACTIVA SIN CPN</t>
  </si>
  <si>
    <t>SALE SIN INGRESO A CPN</t>
  </si>
  <si>
    <t>% MUJERES INASITENTES AL CPN</t>
  </si>
  <si>
    <t>MESES</t>
  </si>
  <si>
    <t>MES PARTO</t>
  </si>
  <si>
    <t>AÑO PARTO</t>
  </si>
  <si>
    <t>NÚMERO DE GESTANTES  CON SEGUIMIENTO POR PARTERA, SEGÚN MES DEL AÑO DE INGRESO AL PROGRAMA</t>
  </si>
  <si>
    <t>NÚMERO DE GESTANTES CON SEGUIMIENTO POR MEDICO TRADICIONAL, SEGÚN MES DEL AÑO DE INGRESO AL PROGRAMA</t>
  </si>
  <si>
    <t>TRIMESTRE DE GESTACIÓN AL PRIMER SEGUIMIENTO POR SABEDOR</t>
  </si>
  <si>
    <t>NÚMERO DE GESTANTES CON ATENCION INICIAL POR SABEDOR III TRIM GESTACIÓN</t>
  </si>
  <si>
    <t>% GESTANTES CON SEGUIMIENTO POR PARTERA</t>
  </si>
  <si>
    <t>% GESTANTES CON SEGUIMIENTO POR MEDICO TRADICIONAL</t>
  </si>
  <si>
    <t>% GESTANTES ATENDIDAS EN I TRIM POR SABEDOR.</t>
  </si>
  <si>
    <t>% GESTANTES ATENDIDAS EN II TRIM POR SABEDOR.</t>
  </si>
  <si>
    <t>% GESTANTES ATENDIDAS EN III TRIM POR SABEDOR.</t>
  </si>
  <si>
    <t>TOTAL</t>
  </si>
  <si>
    <t>RAZÓN MORTALIDAD MATERNA X 100000 NV</t>
  </si>
  <si>
    <t>ASESORIA EN LACTANCIA MATERNA EXCLUSIVA EN AMBITO HOSPITALARIO</t>
  </si>
  <si>
    <t>NIVEL DE COMPLEJIDAD DE LA ATENCION DE LA INSTITUCION DONDE SE ATENDIO EL PARTO</t>
  </si>
  <si>
    <t>EDAD GESTACIONAL AL MOMENTO DE LA IDENTIFICACIÓN</t>
  </si>
  <si>
    <t>MES2 INGRESO CPN</t>
  </si>
  <si>
    <t>AÑO3 INGRESO CPN</t>
  </si>
  <si>
    <t>TRIM DEL AÑOS4 INGRESO CPN</t>
  </si>
  <si>
    <t>AÑOS AL INICIO5 CPN</t>
  </si>
  <si>
    <t>PUNTAJE ERBPS6 EDAD</t>
  </si>
  <si>
    <t>PUNTAJE TOTAL ERBPS2</t>
  </si>
  <si>
    <t xml:space="preserve">DIAS2 </t>
  </si>
  <si>
    <t>EDAD GESTACIÓN DPT ACELULAR</t>
  </si>
  <si>
    <t>TAMIZAJE  PARA VIH INTRAPARTO SEGÚN GPC.</t>
  </si>
  <si>
    <t>TAMIZAJE  PARA SIFILIS  SEGÚN GPC SIFILIS II TRIMESTRE</t>
  </si>
  <si>
    <t>TAMIZAJE  PARA SIFILIS  SEGÚN GPC SIFILIS III TRIMESTRE</t>
  </si>
  <si>
    <t>TAMIZAJE  PARA SIFILIS  SEGÚN GPC SIFILIS INTRAPARTO</t>
  </si>
  <si>
    <t>Se registran aspectos de seguimiento a tener en cuenta, como por ejemplo, acciones pendientes a verificar en los proximos controles u otros aspectos relevantes a juicio de quien diligencia la información.</t>
  </si>
  <si>
    <t>Se registra el nombre de la persona encargada de hacer el seguimiento de la gestante en las diferentes zonas del municipio.</t>
  </si>
  <si>
    <t>A este formato, deben ingresar todas las mujeres identificadas con gestación, incluyendo las mujeres que apliquen para IVE.</t>
  </si>
  <si>
    <r>
      <t>Registrar el nombre del punto de atención, cada Municipio debe</t>
    </r>
    <r>
      <rPr>
        <sz val="11"/>
        <color rgb="FFFF0000"/>
        <rFont val="Calibri"/>
        <family val="2"/>
        <scheme val="minor"/>
      </rPr>
      <t xml:space="preserve"> generar una lista desplegable </t>
    </r>
    <r>
      <rPr>
        <sz val="11"/>
        <color theme="1"/>
        <rFont val="Calibri"/>
        <family val="2"/>
        <scheme val="minor"/>
      </rPr>
      <t>para esta columna según los puntos de atención de los que dispongan.</t>
    </r>
  </si>
  <si>
    <t>Lista Desplegable:  Correponde a los programas sociales, donde la gestantes esta incluida, se debe definir la forma al interior de la insitución de recolectar esta información. - Cero a Siempre. - Semillas de vida. - Familias en Acción. - Red Unidos. - Programa ICBF. - Otro. - Ninguno. - Sin dato.</t>
  </si>
  <si>
    <r>
      <rPr>
        <sz val="11"/>
        <color rgb="FFFF0000"/>
        <rFont val="Calibri"/>
        <family val="2"/>
        <scheme val="minor"/>
      </rPr>
      <t>Lista desplegable</t>
    </r>
    <r>
      <rPr>
        <sz val="11"/>
        <color theme="1"/>
        <rFont val="Calibri"/>
        <family val="2"/>
        <scheme val="minor"/>
      </rPr>
      <t xml:space="preserve"> Elegir de acuerdo a las condiciones visibles o manifestadas por la gestante: Desplazada, Indígente,Migratoria,Ninguna, Discapacitad Fisica, Disapacidad conductual, discapacidad auditiva, discapacidad visual, discapacidades multiples, discapacidad sistemica.</t>
    </r>
  </si>
  <si>
    <t>ANTECEDENTE. HIPERTENSION INDUCIDA POR EL EMBARAZO O PREECLAMPSIA/ECLAMPSIA</t>
  </si>
  <si>
    <t>ANTECEDENTE. RETENCION PLACENTARIA O HEMORRAGIA POSTPARTO</t>
  </si>
  <si>
    <t>ANTECEDENTE. PESO BEBE MAYOR A 4000 o MENOR A  2500</t>
  </si>
  <si>
    <t>ANTECEDENTE. EMBARAZO GEMELAR</t>
  </si>
  <si>
    <t>ANTECEDENTE. Trabajo de Parto PROLONGADO/PARTO DIFICIL</t>
  </si>
  <si>
    <t>ANTECEDENTE. FLIAR PREECLAMPSIA</t>
  </si>
  <si>
    <t>ANTECEDENTE PARTOS</t>
  </si>
  <si>
    <t>ANTECEDENTE ABORTOS</t>
  </si>
  <si>
    <t>ANTECEDENTE OBITO FETAL Y/O MUERTE PERINATAL NEONATAL TEMPRANA</t>
  </si>
  <si>
    <t>ANTECEDENTE  EMBARAZO ECTOPICO O CX UTERINA (MIOMECTOMIA)</t>
  </si>
  <si>
    <t>ANTECEDENTE EMBARAZO MOLAR</t>
  </si>
  <si>
    <t>ANTECEDENTE MUERTE NEONATAL TARDIA</t>
  </si>
  <si>
    <t>Registrar SI  o NO según corresponda. La opción SI estará semaforizada en rojo. El obito fetal corresponde a la muerte del feto in utero y la muerte perinatal temprana es la muerte del feto o recién nacido hasta los 7 dias de nacido.</t>
  </si>
  <si>
    <t>Elegir  SI o NO según corresponda a si la gestante tiene un embarazo ectopico como antecedente o se le ha realizado una cirugía para manejo de miomas.</t>
  </si>
  <si>
    <t xml:space="preserve">Elegir  SI o NO según corresponda a si la gestante tiene un embarazo molar  como antecedente </t>
  </si>
  <si>
    <t>Elegir  SI o NO según corresponda a si la gestante tiene un antecedente de embarzo con muerte neonatal tardía; corresponde a la muerte del niño o niña desde los 8 a 29 días de nacido.</t>
  </si>
  <si>
    <t>ANTECEDENTE EMBARAZO ECTOPICO O CX UTERINA (MIOMECTOMIA)</t>
  </si>
  <si>
    <r>
      <t xml:space="preserve">Formula automática, calcula la FUM por ecografía y se activa, cuando se digitan los datos de las columnas BR (Fecha eco 1) y BS (Semanas gestación eco 1), respectivamente. ESTE DATO DEBE SER DIGITADO EN LA COLUMNA BK (FUM) EN CASO DE QUE ESTA </t>
    </r>
    <r>
      <rPr>
        <u/>
        <sz val="11"/>
        <color theme="1"/>
        <rFont val="Calibri"/>
        <family val="2"/>
        <scheme val="minor"/>
      </rPr>
      <t>NO SEA CONFIABLE O NO SE TENGA DATO ALGUNO</t>
    </r>
  </si>
  <si>
    <r>
      <rPr>
        <sz val="11"/>
        <color rgb="FFFF0000"/>
        <rFont val="Calibri"/>
        <family val="2"/>
        <scheme val="minor"/>
      </rPr>
      <t>Lista desplegable:</t>
    </r>
    <r>
      <rPr>
        <sz val="11"/>
        <color theme="1"/>
        <rFont val="Calibri"/>
        <family val="2"/>
        <scheme val="minor"/>
      </rPr>
      <t xml:space="preserve"> elegir Si No Sin Dato o </t>
    </r>
    <r>
      <rPr>
        <u/>
        <sz val="11"/>
        <color theme="1"/>
        <rFont val="Calibri"/>
        <family val="2"/>
        <scheme val="minor"/>
      </rPr>
      <t>CORREGIDA, esta última se debe colocar cuando la FUM columna (BK), corresponde al dato calculado en la columna BN (FUM x ECO 1)</t>
    </r>
  </si>
  <si>
    <r>
      <t>Formula automatica del trimestres de gestacion al ingreso. Cuando aparezca:</t>
    </r>
    <r>
      <rPr>
        <u/>
        <sz val="11"/>
        <color theme="1"/>
        <rFont val="Calibri"/>
        <family val="2"/>
        <scheme val="minor"/>
      </rPr>
      <t xml:space="preserve"> ERROR FUM O INGRESO Revisar coherencia entre los datos respectivos y hacer la corrección pertinente. Si aparece: DEFINIR FPP POR ECO; Completar la información una vez se tenga el dato de la Ecografía.</t>
    </r>
  </si>
  <si>
    <t>Elegir  de las opciones  SI, NO, Sin Dato según corresponda . Si en la columna anterior se anoto 3 o mas abortos  definir si estos fueron seguidos y esponteneos o existe historia de infertilidad en la  mujer, para anotar SI.</t>
  </si>
  <si>
    <t>ANTECEDENTE CESAREAS</t>
  </si>
  <si>
    <r>
      <t xml:space="preserve">Registrar SI  o NO según corresponda. La opción SI estará semaforizada en rojo pues se considera antecedente de Riesgo Obstétrico  y la gestante debe ser valorada por ginecólogo. </t>
    </r>
    <r>
      <rPr>
        <u/>
        <sz val="11"/>
        <color theme="1"/>
        <rFont val="Calibri"/>
        <family val="2"/>
        <scheme val="minor"/>
      </rPr>
      <t>REVISAR EN REPORTES DE ECOGRAFÍAS O EVOLUCIÓN EN HC SEGÚN CRITERIO DEL MEDICO.</t>
    </r>
  </si>
  <si>
    <r>
      <t xml:space="preserve">Registrar SI  o NO según corresponda. La opción SI estará semaforizada en rojo pues se considera antecedente de Riesgo Obstétrico  y la gestante debe ser valorada por ginecólogo. </t>
    </r>
    <r>
      <rPr>
        <u/>
        <sz val="11"/>
        <color theme="1"/>
        <rFont val="Calibri"/>
        <family val="2"/>
        <scheme val="minor"/>
      </rPr>
      <t>REVISAR EN ECOGRAFIAS O SI NO LAS TIENE SEGÚN CRITERIO DEL MEDICO.</t>
    </r>
  </si>
  <si>
    <r>
      <t xml:space="preserve">Registrar SI  o NO según corresponda al embarazo actual. La opción SI estará semaforizada en rojo pues se considera antecedente de Riesgo Obstétrico  y la gestante debe ser valorada por ginecólogo. </t>
    </r>
    <r>
      <rPr>
        <u/>
        <sz val="11"/>
        <color theme="1"/>
        <rFont val="Calibri"/>
        <family val="2"/>
        <scheme val="minor"/>
      </rPr>
      <t>REVISAR EN REPORTE DE ECOGRAFIAS.</t>
    </r>
  </si>
  <si>
    <r>
      <t xml:space="preserve">Registre el peso en Kilogramos pregestacional o en el primer trimestre primera medicion. </t>
    </r>
    <r>
      <rPr>
        <u/>
        <sz val="11"/>
        <color theme="1"/>
        <rFont val="Calibri"/>
        <family val="2"/>
        <scheme val="minor"/>
      </rPr>
      <t xml:space="preserve">EN CASO DE NO TENER DATO DE PESO, PORS ER UN INGRESO TARDÍO SE DEBE COLOCAR EN ESTA CASILLA: </t>
    </r>
    <r>
      <rPr>
        <u/>
        <sz val="11"/>
        <color rgb="FFFF0000"/>
        <rFont val="Calibri"/>
        <family val="2"/>
        <scheme val="minor"/>
      </rPr>
      <t>SD</t>
    </r>
  </si>
  <si>
    <t>SEMANAS DE GESTACION II TRIM</t>
  </si>
  <si>
    <t>IMC5 II TRIM</t>
  </si>
  <si>
    <t>CLASIFICACION SEGÚN CURVA ATALAH - II TRIM</t>
  </si>
  <si>
    <t>IMC8 III TRIM</t>
  </si>
  <si>
    <t>SEMANAS DE GESTACION9 III TRIM</t>
  </si>
  <si>
    <t>CLASIFICACION SEGÚN CURVA ATALAH - III TRIM</t>
  </si>
  <si>
    <t>CLASIFICACION SEGÚN CURVA ATALAH -CONSOLIDADO ULTIMO DATO DE CADA MUJER</t>
  </si>
  <si>
    <r>
      <t>Registrar Fecha en D M A del Peso y Talla de la medicion en el SEGUNDO  trimestre de gestación (</t>
    </r>
    <r>
      <rPr>
        <u/>
        <sz val="11"/>
        <color theme="1"/>
        <rFont val="Calibri"/>
        <family val="2"/>
        <scheme val="minor"/>
      </rPr>
      <t>DE SEMANA 14 A 28)</t>
    </r>
  </si>
  <si>
    <r>
      <t xml:space="preserve">Registrar Fecha en D M A del Peso y Talla pregestacional  o primera medicion que corresponda entre el primer trimestre de gestación </t>
    </r>
    <r>
      <rPr>
        <u/>
        <sz val="11"/>
        <color theme="1"/>
        <rFont val="Calibri"/>
        <family val="2"/>
        <scheme val="minor"/>
      </rPr>
      <t>HASTA LA SEMANA 13 DE GESTACIÓN.</t>
    </r>
  </si>
  <si>
    <t>PESO EN Kg II TRIM (14 A 28 SEMANAS)</t>
  </si>
  <si>
    <t>PESO EN Kg (29 A 42 SEMANAS)</t>
  </si>
  <si>
    <r>
      <t xml:space="preserve">Formula Automática de las semanas de gestación a la fecha del peso.  </t>
    </r>
    <r>
      <rPr>
        <u/>
        <sz val="11"/>
        <color theme="1"/>
        <rFont val="Calibri"/>
        <family val="2"/>
        <scheme val="minor"/>
      </rPr>
      <t>Si aparece "REVISAR FUM O INGRESO" verificar coherencia entre estos datos.</t>
    </r>
  </si>
  <si>
    <r>
      <t xml:space="preserve">Formula automatica según corresponda al IMC  en el Segundo Trimestre de gestacion con las Opciones : Bajo Peso, Normal, Sobrepeso y Obesidad, Si aparece </t>
    </r>
    <r>
      <rPr>
        <u/>
        <sz val="11"/>
        <color theme="1"/>
        <rFont val="Calibri"/>
        <family val="2"/>
        <scheme val="minor"/>
      </rPr>
      <t>"REGISTRAR EN III TRIM o REGISTRAR EN I TRIM" Corregir los datos de Fecha y Talla de las columnas CE y CF verificando que correspondan al II TRIM (entre semana 14 a 28).</t>
    </r>
  </si>
  <si>
    <t>Registrar Fecha en D M A del Peso y Talla de la medicion en el TRIMESTRE  trimestre de gestación  (DE SEMANA 29 A 42)</t>
  </si>
  <si>
    <r>
      <t xml:space="preserve">Registre el peso en Kilogramos en el SEGUNDO trimestre  </t>
    </r>
    <r>
      <rPr>
        <u/>
        <sz val="11"/>
        <color theme="1"/>
        <rFont val="Calibri"/>
        <family val="2"/>
        <scheme val="minor"/>
      </rPr>
      <t>(DE SEMANA 14 A 28)</t>
    </r>
  </si>
  <si>
    <r>
      <t>Registre el peso en Kilogramos en el TERCER trimestre</t>
    </r>
    <r>
      <rPr>
        <u/>
        <sz val="11"/>
        <color theme="1"/>
        <rFont val="Calibri"/>
        <family val="2"/>
        <scheme val="minor"/>
      </rPr>
      <t xml:space="preserve"> (DE SEMANA 29 A 42)</t>
    </r>
  </si>
  <si>
    <t>Formula Automatica del Indice de Masa Corporal según datos registrados de Peso y talla del Segundo trimestres</t>
  </si>
  <si>
    <t>Formula Automatica del Indice de Masa Corporal según datos registrados de Peso y talla del Tercer trimestre</t>
  </si>
  <si>
    <r>
      <t xml:space="preserve">Elegir de la lista desplegable el numero que corresponda a las semanas de gestacion al momento del registro de PESO y TALLA del TERCER trimestre. </t>
    </r>
    <r>
      <rPr>
        <u/>
        <sz val="11"/>
        <color theme="1"/>
        <rFont val="Calibri"/>
        <family val="2"/>
        <scheme val="minor"/>
      </rPr>
      <t>Si aparece "REVISAR FUM O INGRESO" verificar coherencia entre estos datos.</t>
    </r>
  </si>
  <si>
    <t>Formula automatica según corresponda al IMC  en el TERCER Trimestre de gestacion con las Opciones : Bajo Peso, Normal, Sobrepeso y Obesidad.  Si aparece "REGISTRAR EN TRIM RESPECTIVO" Corregir los datos de Fecha y Talla de las columnas CJ y CK verificando que correspondan al III TRIM (entre semana 29 a 42).</t>
  </si>
  <si>
    <t>Formula automatica que trae a esta casilla, el útimo dato registrado de cada mujer del resultado de la Clasificación según curva de atalah, lo que permite filtrar fácilmente la información de cada mujer independiente del trimestre de gestación en que este ubicado.</t>
  </si>
  <si>
    <r>
      <t xml:space="preserve">Reguistre en numeros la TA Sistolica antes de las 12 semanas de gestacion. </t>
    </r>
    <r>
      <rPr>
        <u/>
        <sz val="11"/>
        <color theme="1"/>
        <rFont val="Calibri"/>
        <family val="2"/>
        <scheme val="minor"/>
      </rPr>
      <t>SI NO SE TIENE DATO SE DEBE DEJAR ESTA CASILLA EN BLANCO</t>
    </r>
  </si>
  <si>
    <r>
      <t xml:space="preserve">Reguistre en numeros la TA diastolica antes de las 12 semanas de gestacion. </t>
    </r>
    <r>
      <rPr>
        <u/>
        <sz val="11"/>
        <color theme="1"/>
        <rFont val="Calibri"/>
        <family val="2"/>
        <scheme val="minor"/>
      </rPr>
      <t>SI NO SE TIENE DATO SE DEBE DEJAR ESTA CASILLA EN BLANCO</t>
    </r>
  </si>
  <si>
    <r>
      <t xml:space="preserve">Reguistre en numeros la TA Sistolica entre las 20 y 26 semanas de gestacion. </t>
    </r>
    <r>
      <rPr>
        <u/>
        <sz val="11"/>
        <color theme="1"/>
        <rFont val="Calibri"/>
        <family val="2"/>
        <scheme val="minor"/>
      </rPr>
      <t>SI NO SE TIENE DATO SE DEBE DEJAR ESTA CASILLA EN BLANCO</t>
    </r>
  </si>
  <si>
    <r>
      <t xml:space="preserve">Reguistre en numeros la TA Diastolica entre las 20 y 26 semanas de gestacion. </t>
    </r>
    <r>
      <rPr>
        <u/>
        <sz val="11"/>
        <color theme="1"/>
        <rFont val="Calibri"/>
        <family val="2"/>
        <scheme val="minor"/>
      </rPr>
      <t>SI NO SE TIENE DATO SE DEBE DEJAR ESTA CASILLA EN BLANCO</t>
    </r>
  </si>
  <si>
    <t>solo se debe colocar dato de Fecha de la asesoría realizada.</t>
  </si>
  <si>
    <t>La información aquí registrada, debe aparecer soportada en la historia Clínica, de lo contrario el dato no es valido.</t>
  </si>
  <si>
    <r>
      <t xml:space="preserve">Registrar fecha de inicio de CPN de la gestante, Importante sea en el siguiente orden: DIA/MES/AÑO usando el  /  para  sepáralas ejemplo: 18/09/2014.  </t>
    </r>
    <r>
      <rPr>
        <u/>
        <sz val="11"/>
        <color theme="1"/>
        <rFont val="Calibri"/>
        <family val="2"/>
        <scheme val="minor"/>
      </rPr>
      <t xml:space="preserve"> EN CASO DE GESTANTES CON INICIO CPN EN OTRA INSTITUCIÓN: se debe registrar el dato de ingreso real de la mujer en la otra institución.</t>
    </r>
  </si>
  <si>
    <r>
      <t xml:space="preserve">Registrar fechas de los controles realizados según corresponde en secuencia D M A. </t>
    </r>
    <r>
      <rPr>
        <u/>
        <sz val="11"/>
        <color theme="1"/>
        <rFont val="Calibri"/>
        <family val="2"/>
        <scheme val="minor"/>
      </rPr>
      <t>EN CASO DE GESTANTE QUE REALIZO CONTROLES EN OTRA INSTITUCIÓN, SE DEBE COLOCAR LA INFORMACIÓN DE LAS FECHAS DE CONTROLES PREVIAMENTE REALIZADOS.</t>
    </r>
  </si>
  <si>
    <t xml:space="preserve">Formula automática que define una fecha aproximada del proximo control. </t>
  </si>
  <si>
    <t>FORMULA AUTOMATICA: CON LAS OPCIONES CAMBIO DE RESIDENCIA, SEGUIMIENTO REPORTE EPS, SALIO PROGRAMA, SALE SIN INGRESO CPN; SIN CPN, ACTIVA INGRESO A CPN, ACTIVA SIN INGRESO A CPN.</t>
  </si>
  <si>
    <t>Formula, muestra de cada mujer la fecha de su último control.</t>
  </si>
  <si>
    <t>Formula que calcula la edad gestaciónal de la última vez que vino al CPN</t>
  </si>
  <si>
    <t>Formula automatica del % de cumplimiento de controles prenatales</t>
  </si>
  <si>
    <t>Se debe registrar dato de la fecha en que acude por primera vez la mujer a cita con ginecologo; esta información debe aparecer en la evolución de la HC de seguimiento realizda por el Medico general.</t>
  </si>
  <si>
    <r>
      <t xml:space="preserve">Registro de fecha de la útima asistencia a ginecología, si aplica; este dato se debe </t>
    </r>
    <r>
      <rPr>
        <u/>
        <sz val="11"/>
        <color theme="1"/>
        <rFont val="Calibri"/>
        <family val="2"/>
        <scheme val="minor"/>
      </rPr>
      <t>actualizar periodicamente según corresponda.</t>
    </r>
  </si>
  <si>
    <r>
      <t xml:space="preserve">Registro de numero de consultas con ginecologo. </t>
    </r>
    <r>
      <rPr>
        <u/>
        <sz val="11"/>
        <color theme="1"/>
        <rFont val="Calibri"/>
        <family val="2"/>
        <scheme val="minor"/>
      </rPr>
      <t>Este dato se debe actualizar periodicamente según corresponda.</t>
    </r>
  </si>
  <si>
    <r>
      <t xml:space="preserve">Elija de la lista desplegable según corresponda al  resultado del Grupo sanguineo. </t>
    </r>
    <r>
      <rPr>
        <u/>
        <sz val="11"/>
        <color theme="1"/>
        <rFont val="Calibri"/>
        <family val="2"/>
        <scheme val="minor"/>
      </rPr>
      <t xml:space="preserve">SI SE TIENE UN RESULTADO DE GRUPO RH NEGATIVO, TENER EN CUENTA QUE SI LA MADRE Y EL PADRE SON RH NEGATIVOS, DEBE ESCOGER LA OPCIÓN DEL GRUPO QUE MARCA EL RH CON DOS SIGNOS NEGATIVOS; </t>
    </r>
    <r>
      <rPr>
        <sz val="11"/>
        <color theme="1"/>
        <rFont val="Calibri"/>
        <family val="2"/>
        <scheme val="minor"/>
      </rPr>
      <t xml:space="preserve">EJEMPLO </t>
    </r>
    <r>
      <rPr>
        <b/>
        <sz val="11"/>
        <color rgb="FFFF0000"/>
        <rFont val="Calibri"/>
        <family val="2"/>
        <scheme val="minor"/>
      </rPr>
      <t>O--, A--,B--,AB--</t>
    </r>
  </si>
  <si>
    <t>Fecha en D M A del Resultado del la Glicemia.</t>
  </si>
  <si>
    <t>solo se debe colocar dato de Fecha de firma del consentiminto, debe coincidir con el registro en fisico.</t>
  </si>
  <si>
    <r>
      <t xml:space="preserve">solo se debe colocar dato de Fecha de la asesoría realizada. </t>
    </r>
    <r>
      <rPr>
        <u/>
        <sz val="11"/>
        <color theme="1"/>
        <rFont val="Calibri"/>
        <family val="2"/>
        <scheme val="minor"/>
      </rPr>
      <t>ESTE DATO DEBE ESTAR SOPORTADO EN LA HC</t>
    </r>
  </si>
  <si>
    <t>Diligencie la lista desplegable, aparecen las opciones para Prueba Rápida o para Elisa, según sea la técnica utilizada e informada en el resultado del examen, que debe estar soportado en HC o en resultado de laboratorio.</t>
  </si>
  <si>
    <t>Fecha en D M A del Resultado del la Prueba de  ELISA o Pueba Rápida.</t>
  </si>
  <si>
    <t>FECHA RESULTADO ELISA O PR III TRIM</t>
  </si>
  <si>
    <r>
      <t xml:space="preserve">Diligencie la lista desplegable, según corresponda al resultado resportado de la Carga Viral. </t>
    </r>
    <r>
      <rPr>
        <u/>
        <sz val="11"/>
        <color theme="1"/>
        <rFont val="Calibri"/>
        <family val="2"/>
        <scheme val="minor"/>
      </rPr>
      <t>Se coloca SIN DATO: En el caso de que algunas de las columnas FU,FX,FZ y GC sean Reactivas y no se tenga información de este exámen. Se coloca NO APLICA: En caso de en caso de que los resultados de las columnas FU, FX, FZ Y GC; sean No Reactivos.</t>
    </r>
  </si>
  <si>
    <t>Diligencie la lista desplegable, aparecen las opciones para Prueba Rápida o para Elisa, según sea la técnica utilizada e informada en el resultado del examen, que debe estar soportado en HC o en resultado de laboratorio. Se coloca SIN DATO: En el caso de que algunas de las columnas FU,FX,FZ y GC sean Reactivas y no se tenga información de este exámen. Se coloca NO APLICA: En caso de en caso de que los resultados de las columnas FU, FX, FZ Y GC; sean No Reactivos.</t>
  </si>
  <si>
    <r>
      <t xml:space="preserve">Fecha en D M A del Resultado del la Prueba de  ELISA o Pueba Rápida. </t>
    </r>
    <r>
      <rPr>
        <u/>
        <sz val="11"/>
        <color theme="1"/>
        <rFont val="Calibri"/>
        <family val="2"/>
        <scheme val="minor"/>
      </rPr>
      <t>En caso de que la columna GE sea No aplica o Sin Dato, esta casilla debe permanecer vacia.</t>
    </r>
  </si>
  <si>
    <t>Fecha en D M A del Resultado de la Carga Viral. En caso de que la columna GG sea No aplica o Sin Dato, esta casilla debe permanecer vacia.</t>
  </si>
  <si>
    <r>
      <t xml:space="preserve">Fecha en D M A del Resultado del la Prueba del Antigeno de superficie para HB. En caso de que la columna GI sea </t>
    </r>
    <r>
      <rPr>
        <u/>
        <sz val="11"/>
        <color theme="1"/>
        <rFont val="Calibri"/>
        <family val="2"/>
        <scheme val="minor"/>
      </rPr>
      <t>Sin Dato, esta casilla debe permanecer vacia.</t>
    </r>
  </si>
  <si>
    <t>Lista desplegable, según corresponda. SIN DATO: se debe colocar en caso de que la mujer este incluida en la base de datos y no se tenga información del resultado de este exámen.</t>
  </si>
  <si>
    <t>Alarma y Evaluacion según reportes de Ig G e IgM, indica si se "excluye la infección" , si hay "Toxoplasmosis" o si se debe continuar con "Control Igm".</t>
  </si>
  <si>
    <t>Fecha en D M A del Resultado del la Prueba las pruebas de Toxoplasma. En caso de que las columnas GL y GM sea Sin Dato, esta casilla debe permanecer vacia.</t>
  </si>
  <si>
    <r>
      <t>Lista desplegable según corresponda,</t>
    </r>
    <r>
      <rPr>
        <u/>
        <sz val="11"/>
        <color theme="1"/>
        <rFont val="Calibri"/>
        <family val="2"/>
        <scheme val="minor"/>
      </rPr>
      <t xml:space="preserve"> EL RESULTADO DEBE CORRESPONDER A LOS CONTROLES REALIZADOS DESPUES DE HABER RESPORTADO EL IgM INICIAL . Se coloca SIN DATO: En caso de que la columna GN indique "Control IgM". Se coloca NO APLICA: En caso de que la columna GN indique "Se excluye infección" o "Toxoplasmosis".</t>
    </r>
  </si>
  <si>
    <t>Lista desplegable según correponda. Se debe colocar el número de Controles realizados de IgM, soportados en HC de cero (0) a Nueve (9). Se coloca NO APLICA: En caso de que la columna GR indique " NO APLICA".</t>
  </si>
  <si>
    <t>Lista desplegable según corresponda. Se coloca SIN DATO: en caso de no tener ninguna información al respecto o que no este vigente el resultado de la Citología.</t>
  </si>
  <si>
    <t>formula Que cuenta el tiempo en semanas entre la Toma y la FUM</t>
  </si>
  <si>
    <t>formula define si la Citología esta tomada antes de la gestación o durante la misma y ubica el trimestre de gestación de la toma.</t>
  </si>
  <si>
    <t>Formula automatica según resultado que sugiere una conducta.</t>
  </si>
  <si>
    <t>Formula que consolida las enfermedades identificadas en las columnas KI,KM,KQ,KU,KY,LC Y LG, que corresponde a necesidad o desarmonia desde lo propio.</t>
  </si>
  <si>
    <t>Formula automatica que reune riegos no evaluados en la escala de riesgo biopsicosocial de Julian Herrera.</t>
  </si>
  <si>
    <t>Formula que define si hay o no Riesgo Biopsicosocial, según el puntaje que maneja dicha escala de Julian Herrera.</t>
  </si>
  <si>
    <t>Formula que reune, las condiciones de riesgo que tiene algún puntaje dentro de la escala de riesgo biopsicosocial de Julian Herrera.</t>
  </si>
  <si>
    <t>Formula que identifica las gestantes con riesgo de complicación Hiertensivas, según los parametros de la GPC de embarazo, parto y postparto de Ministerio.</t>
  </si>
  <si>
    <t>Formula que consolida el último dato de cada mujer del seguimiento se las cifras de presión arterial reportados en las columnas CR, CU o CZ.</t>
  </si>
  <si>
    <r>
      <t xml:space="preserve">Lista desplegable según Corresponda. </t>
    </r>
    <r>
      <rPr>
        <u/>
        <sz val="11"/>
        <color theme="1"/>
        <rFont val="Calibri"/>
        <family val="2"/>
        <scheme val="minor"/>
      </rPr>
      <t>ESTA VARIABLE DEBE SER TRABAJADA POR EL PROFESIONAL QUE LIDERA EL PROGRAMA DE SALUD MATERNA DE LA INSTITUCIÓN.</t>
    </r>
  </si>
  <si>
    <t>SUPLEMENTACION ALIMENTARIA  O DIRECCIONAMIENTO A AUTONOMIA ALIMENTARIA</t>
  </si>
  <si>
    <t>Lista desplegable según corresponda: "SI"; Cuando la mujer esta recibiendo algún tipo de apoyo que contribuya a mejorar su alimentación. "NO": No tiene ningún apoyo en este aspecto. "SD": No se tiene certeza de si recibe o no apoyo.</t>
  </si>
  <si>
    <t>Lista desplegable según corresponda.</t>
  </si>
  <si>
    <t xml:space="preserve">FECHA VACUNA 1  Td </t>
  </si>
  <si>
    <t>Fecha en D M A.  Incluye la fecha de la vacuna que sea vigente, según lineamientos del programa de vacunación, aunque la vacuna no haya sido colocada en esta gestación.</t>
  </si>
  <si>
    <t>Formula automatica de la Fecha Probable de parto.</t>
  </si>
  <si>
    <t>Formula que cuenta los días que faltan para el nacimiento del bebe, si la cifra aparece con número NEGATIVO, significa los días que van de más despues de la fecha probable de parto.</t>
  </si>
  <si>
    <t>Formula que genera alerta del tiempo en semanas para el parto, según dato de la Fecha Probable de Parto.</t>
  </si>
  <si>
    <t>Fecha en D M A - Se debe actualizar, debe aparecer la última fecha.</t>
  </si>
  <si>
    <r>
      <t xml:space="preserve">Lista desplegable, elegir la opcion la condicion asociada a la salida de la madre. </t>
    </r>
    <r>
      <rPr>
        <u/>
        <sz val="11"/>
        <color theme="1"/>
        <rFont val="Calibri"/>
        <family val="2"/>
        <scheme val="minor"/>
      </rPr>
      <t>LOS EVENTOS DE MORBILIDAD MATERNA EXTREMA Y MORTALIDAD MATERNA, deben coincidir con lo reportado en SIVIGILA.</t>
    </r>
  </si>
  <si>
    <r>
      <t xml:space="preserve">Fecha en D M A de la salida del programa. </t>
    </r>
    <r>
      <rPr>
        <u/>
        <sz val="11"/>
        <color theme="1"/>
        <rFont val="Calibri"/>
        <family val="2"/>
        <scheme val="minor"/>
      </rPr>
      <t>ESTA VARIABLE DEBE DILIGENCIARSE SIEMPRE QUE LA COLUMNA HZ ESTE DILIGENCIADA.</t>
    </r>
  </si>
  <si>
    <t>FECHA DE SALIDA  DEL PROGRAMA</t>
  </si>
  <si>
    <r>
      <t xml:space="preserve">Lista desplegable, elegir la opcion la condicion asociada a la salida del Recien nacido. Se debe colocar "NO APLICA" ; cuando en la Columna HZ, se coloca Aborto o IVE.  </t>
    </r>
    <r>
      <rPr>
        <u/>
        <sz val="11"/>
        <color theme="1"/>
        <rFont val="Calibri"/>
        <family val="2"/>
        <scheme val="minor"/>
      </rPr>
      <t>LOS EVENTOS DE MUERTE PERINATAL Y NEONATAL TEMPRANA, MUERTE NEONATAL TARDÍA, deben coincidir con lo reportado en SIVIGILA.</t>
    </r>
  </si>
  <si>
    <t>LUGAR DE ATENCION DEL PARTO, ABORTO, IVE.</t>
  </si>
  <si>
    <r>
      <t xml:space="preserve">Lista desplegable, según corresponda. </t>
    </r>
    <r>
      <rPr>
        <u/>
        <sz val="11"/>
        <color theme="1"/>
        <rFont val="Calibri"/>
        <family val="2"/>
        <scheme val="minor"/>
      </rPr>
      <t>Se debe colocar NO APLICA: Cuando en la columna HZ, se coloca; Cambio de Residencia o Cambio de IPS.</t>
    </r>
  </si>
  <si>
    <t xml:space="preserve">NOMBRE DE LA INSTITUCION DONDE SE ATENDIO EL PARTO,ABORTO, IVE. </t>
  </si>
  <si>
    <r>
      <t xml:space="preserve">Lista desplegable, según corresponda.  Esta columna se debe diligenciar si en la columna ID se coloca: INSTITUCIONAL. </t>
    </r>
    <r>
      <rPr>
        <u/>
        <sz val="11"/>
        <color theme="1"/>
        <rFont val="Calibri"/>
        <family val="2"/>
        <scheme val="minor"/>
      </rPr>
      <t>Se coloca NO APLICA: Si en la columna ID aparece DOMICILIO, OTRO, NO APLICA.</t>
    </r>
  </si>
  <si>
    <r>
      <t xml:space="preserve">Lista desplegable, según corresponda. </t>
    </r>
    <r>
      <rPr>
        <u/>
        <sz val="11"/>
        <color theme="1"/>
        <rFont val="Calibri"/>
        <family val="2"/>
        <scheme val="minor"/>
      </rPr>
      <t>Se debe colocar NO APLICA, si en la columna ID aparece NO APLICA.</t>
    </r>
  </si>
  <si>
    <r>
      <t xml:space="preserve">Lista desplegable, según corresponda. Colocar SI: </t>
    </r>
    <r>
      <rPr>
        <u/>
        <sz val="11"/>
        <color theme="1"/>
        <rFont val="Calibri"/>
        <family val="2"/>
        <scheme val="minor"/>
      </rPr>
      <t>cuando existe soporte en HC claro del acompañamiento en ambos momentos TRABAJO DE PARTO Y PARTO.</t>
    </r>
    <r>
      <rPr>
        <sz val="11"/>
        <color theme="1"/>
        <rFont val="Calibri"/>
        <family val="2"/>
        <scheme val="minor"/>
      </rPr>
      <t xml:space="preserve"> Colocar NO: Cuando no existe soporte en HC del acompañamiento o este solo se realiza unicamente en el TRABAJO DE PARTO o en EL PARTO.  Se coloca NO APLICA: Cuando en la columna ID el parto es en DOMICILIO, en OTRO lugar o NO APLICA. Se coloca SD: Cuando el la columna ID aparece institucional y en la Columna IG aparece el nivel de complejidad MEDINA Y ALTA. </t>
    </r>
  </si>
  <si>
    <t xml:space="preserve">Lista desplegable según corresponda. Colocar SI: Cuando aparece soporte de partograma completamente diligenciado, con datos completos, línea de dilatación, curva de alerta, esta graficado el descenso de la presentación y se evidencia el cambio de curva de alerta al cambiar condiciones de la gestante. Colocar NO: Cuando no existe el partograma o esta parcialmente diligenciado. Se coloca NO APLICA: Cuando en la columna ID el parto es en DOMICILIO, en OTRO lugar o NO APLICA. Se coloca SD: Cuando el la columna ID aparece institucional y en la Columna IG aparece el nivel de complejidad MEDINA Y ALTA. </t>
  </si>
  <si>
    <t xml:space="preserve">Lista desplegable según corresponda. Colocar SI: En la HC esta documentado en la nota de atención de parto, uso de oxitocina según GPC, masaje uterino y que se realiza la tracción sostenida de cordón.  Colocar NO: Cuando alguna de estas tres acciones NO aparece documentada en la HC o la Oxitocina no se aplica según lo definido en la GPC o ninguna de estas acciones aparece documentada. Se coloca NO APLICA: Cuando en la columna ID el parto es en DOMICILIO, en OTRO lugar o NO APLICA. Se coloca SD: Cuando el la columna ID aparece institucional y en la Columna IG aparece el nivel de complejidad MEDINA Y ALTA. </t>
  </si>
  <si>
    <t xml:space="preserve">Lista desplegable según corresponda. Colocar SI: En la HC debe estar documentado que se realiza contacto piel a piel y el tiempo de duración de dicho contacto es de 30 o más minutos. Colocar NO: Cuando solo se documenta el contacto piel a piel y no aparece el tiempo o cuando no se registra dicho contacto. Se coloca NO APLICA: Cuando en la columna ID el parto es en DOMICILIO, en OTRO lugar o NO APLICA. Se coloca SD: Cuando el la columna ID aparece institucional y en la Columna IG aparece el nivel de complejidad MEDINA Y ALTA. </t>
  </si>
  <si>
    <t xml:space="preserve">Lista desplegable según corresponda. Colocar SI: En la HC debe estar documentado que se realiza contacto piel a piel y durante el contacto se inicia la lactancia materna efectiva, debe estar claramente registrada la hora de inicio de la Lactancia Materna. Colocar NO: Cuando no hay contacto piel a piel, no hay claridad del inicio de la lactancia materna efectiva o dicho inicio no ocurre durante el contacto piel a piel. Se coloca NO APLICA: Cuando en la columna ID el parto es en DOMICILIO, en OTRO lugar o NO APLICA. Se coloca SD: Cuando el la columna ID aparece institucional y en la Columna IG aparece el nivel de complejidad MEDINA Y ALTA. </t>
  </si>
  <si>
    <t xml:space="preserve">Lista desplegable según corresponda. Colocar SI: Cuando aparecen documentados los OCHO controles postparto, durante las dos primeras horas del parto, contados a partir de la Hora del alumbramiento de la Placenta; cada control debe incluir registro de Signos vitales, valoración estado de conciencia, valoración hemorragía vaginal, valoración tono uterino como mínimo. Colocar NO: Cuando se documentan menos de OCHO controles en el intervalo definido de las dos horas postparto contadas a partir del alumbramiento de la placenta, o cuando alguno de los controles no soportan las actividades minimas descritas en el SI. Se coloca NO APLICA: Cuando en la columna ID el parto es en DOMICILIO, en OTRO lugar o NO APLICA. Se coloca SD: Cuando el la columna ID aparece institucional y en la Columna IG aparece el nivel de complejidad MEDINA Y ALTA. </t>
  </si>
  <si>
    <t>Lista desplegable según corresponda. Se coloca NO APLICA: Cuando en la columna HZ, sale del programa por: Aborto, IVE, Cambio de residencia o Cambio de IPS.</t>
  </si>
  <si>
    <t>Formula automatica de la clasificación por peso al nacer del neonato</t>
  </si>
  <si>
    <t>FECHA TOMA  TSH</t>
  </si>
  <si>
    <t>Lista desplegable según corresponda.   Se coloca NO APLICA: Cuando en la columna HZ, sale del programa por: Aborto, IVE, Cambio de residencia o Cambio de IPS.</t>
  </si>
  <si>
    <r>
      <t xml:space="preserve">Registre fecha en formato D/ M / A. </t>
    </r>
    <r>
      <rPr>
        <u/>
        <sz val="11"/>
        <color theme="1"/>
        <rFont val="Calibri"/>
        <family val="2"/>
        <scheme val="minor"/>
      </rPr>
      <t>DEBE ESTAR DOCUMENTADO EN LA HC DE LA ATENCIÓN DEL PARTO Y RN</t>
    </r>
  </si>
  <si>
    <r>
      <t xml:space="preserve">Registre fecha en formato D/ M / A. </t>
    </r>
    <r>
      <rPr>
        <u/>
        <sz val="11"/>
        <color theme="1"/>
        <rFont val="Calibri"/>
        <family val="2"/>
        <scheme val="minor"/>
      </rPr>
      <t>DEBE ESTAR DOCUMENTADO EN LA HC DE LA ATENCIÓN DEL PARTO, RN Y/O PUERPERIO.</t>
    </r>
  </si>
  <si>
    <t>Lista desplegable según corresponda.   Se registra SI: Cuando aparece registro en la HC de que se hace la asesoría durante la hospitalización en postparto. coloca NO APLICA: Cuando en la columna HZ, sale del programa por: Aborto, IVE, Cambio de residencia o Cambio de IPS. Coloca SD: cuando es atención de parto institucional y no se tiene información al respecto.</t>
  </si>
  <si>
    <t>Lista desplegable según corresponda. Se coloca SI: Cuando hay registro en la HC de puerperio, del metodo de PF con el cual sale planificando la mujer.</t>
  </si>
  <si>
    <t>Lista desplegable según corresponda al método escogido por la mujer.</t>
  </si>
  <si>
    <t>Registre fecha en formato D/ M / A, del primer seguimiento durante el embarazo.</t>
  </si>
  <si>
    <t>Registre información relevante detectada en el seguimiento y que no este incluida en los Hallazgos anteriores.</t>
  </si>
  <si>
    <t>Registre fecha en formato D/ M / A, del último seguimiento durante el embarazo. ESTA INFORMACIÓN SE DEBE IR ACTUALIZANDO CADA MES SEGÚN CORREPONDA.</t>
  </si>
  <si>
    <t>FECHA SEGUIMIENTO POR PERSONAL DE SALUD EN TERRENO  EN PUERPERIO</t>
  </si>
  <si>
    <t>FECHA ULTIMO SEGUIMIENTO POR PERSONAL DE SALUD EN TERRENO  EN PUERPERIO</t>
  </si>
  <si>
    <t>Registre fecha en formato D/ M / A, del primer seguimiento durante el Puerperio.</t>
  </si>
  <si>
    <t>Registre información  relevante detectada en el seguimiento a la Puerpera.</t>
  </si>
  <si>
    <t>Registre información  relevante detectada en el seguimiento al Neonato.</t>
  </si>
  <si>
    <t>Registre fecha en formato D/ M / A, del último seguimiento durante el Puerperio. ESTA INFORMACIÓN SE DEBE IR ACTUALIZANDO CADA MES SEGÚN CORREPONDA.</t>
  </si>
  <si>
    <t>Registre el Número se veces que se le ha realizado seguimiento a la mujer durante el Puerperio. ESTA INFORMACIÓN SE DEBE IR ACTUALIZANDO CADA MES SEGÚN CORREPONDA.</t>
  </si>
  <si>
    <t>Lista desplegable según corresponda al tipo de sabedor que realiza el acompañamiento inicial durante la gestación.</t>
  </si>
  <si>
    <t>Registre las actividades o ritualidades realizadas por el sabedor, durante la gestación</t>
  </si>
  <si>
    <t>Registre la Desarmonia o desarmonias identificadas por el Sabedor en el seguimiento inicial durante la gestación.</t>
  </si>
  <si>
    <t>Registre fecha en formato D/ M / A, del primer Acompañamiento durante la gestación.</t>
  </si>
  <si>
    <t>Registre fecha en formato D/ M / A, del segundo Acompañamiento durante la gestación.</t>
  </si>
  <si>
    <t>Lista desplegable según corresponda al tipo de sabedor que realiza el acompañamiento durante la gestación.</t>
  </si>
  <si>
    <t>Registre la Desarmonia o desarmonias identificadas por el Sabedor en el acompañamiento durante la gestación.</t>
  </si>
  <si>
    <t>Registre fecha en formato D/ M / A, del tercer Acompañamiento durante la gestación.</t>
  </si>
  <si>
    <t>Registre fecha en formato D/ M / A, del cuarto Acompañamiento durante la gestación.</t>
  </si>
  <si>
    <t>Registre fecha en formato D/ M / A, del quinto Acompañamiento durante la gestación.</t>
  </si>
  <si>
    <t>Registre fecha en formato D/ M / A, del  Acompañamiento durante el Puerperio</t>
  </si>
  <si>
    <t>Lista desplegable según corresponda al tipo de sabedor que realiza el acompañamiento durante el puerperio.</t>
  </si>
  <si>
    <t>Registre la Desarmonia o desarmonias identificadas por el Sabedor en el acompañamiento durante el puerperio.</t>
  </si>
  <si>
    <t>Registre las actividades o ritualidades realizadas por el sabedor, durante el puerperio.</t>
  </si>
  <si>
    <t>FECHA INICIO SUMINISTRO CALCIO</t>
  </si>
  <si>
    <t xml:space="preserve">FECHA INICIO SUMINISTRO ACIDO FOLICO </t>
  </si>
  <si>
    <t xml:space="preserve">FECHA INICIO SUMINISTRO SULFATO FERROSO </t>
  </si>
  <si>
    <t>FECHA SEGUIMIENTOS TELÉFONICOS</t>
  </si>
  <si>
    <t>NÚMERO SEGUIMIENTOS TELÉFONCOS</t>
  </si>
  <si>
    <t>OBSERVACIÓN SEGUIMIENTO TELÉFONCO</t>
  </si>
  <si>
    <t>HALLAZGO GESTACIÓN SEGUIMIENTO POR VISITA DOMICILIARIA</t>
  </si>
  <si>
    <t>TIPO DE APOYO REALIZADO POR LA EPS</t>
  </si>
  <si>
    <t>TIPO DE APOYO REALIZADO POR LA IPS PRIMARIA</t>
  </si>
  <si>
    <t>FECHA DE REGISTRO DE PESO Y/O TALLA PREGESTACIONAL O I TRIM GESTACION</t>
  </si>
  <si>
    <t>La información registrada aquí es confidencial, este documento se asimila como una Historía Clinica, debe estar bajo un manejo reservado y confidencial, para manejo exclusivo del personal de salud.</t>
  </si>
  <si>
    <t>OBSERVACIONES PARA SEGUIMIENTO</t>
  </si>
  <si>
    <t>Fecha en D M A de la primera formulación de Calcio.</t>
  </si>
  <si>
    <t>Fecha en D M A de la primera formulación de Acido Folico.</t>
  </si>
  <si>
    <t>Fecha en D M A de la primera formulación de Sulfato Ferroso.</t>
  </si>
  <si>
    <t>Registre el Número se veces que se le ha realizado seguimientos teléfonicos a la mujer durante la gestación. ESTA INFORMACIÓN SE DEBE IR ACTUALIZANDO CADA MES SEGÚN CORRESPONDA.</t>
  </si>
  <si>
    <t>Registre el Número se veces que se le ha realizado seguimiento a la mujer durante la gestación. ESTA INFORMACIÓN SE DEBE IR ACTUALIZANDO CADA MES SEGÚN CORRESPONDA.</t>
  </si>
  <si>
    <t>FECHA C13</t>
  </si>
  <si>
    <t># fila</t>
  </si>
  <si>
    <t xml:space="preserve">NOVEDAD AL MOMENTO DE LA IDENTIFICACIÓN Y/O CAPTACIÓN </t>
  </si>
  <si>
    <t>INMIGRANTE VENEZOLANA</t>
  </si>
  <si>
    <t>Mujeres gestantes migrantes venezolanas que ingresan al progama</t>
  </si>
  <si>
    <t>% CAPTACIÓN INMIGRANTES VENEZOLANAS</t>
  </si>
  <si>
    <t>Total general de mujeres gestantes que ingresan al progama</t>
  </si>
  <si>
    <t>Mujeres gestantes que ingresan al progama (No incluye inmigrantes venezolanas)</t>
  </si>
  <si>
    <t>% CAPTACIÓN (sin inmigrantes venezolanas)</t>
  </si>
  <si>
    <t>FECHA ACOMPAÑAMIENTO SABEDOR ANCESTRAL PUERPERIO Y RECIEN NACIDO22</t>
  </si>
  <si>
    <t>TIPO DE SABEDOR73</t>
  </si>
  <si>
    <t>NECESIDAD O DESARMONIA DESDE LO PROPIO 174</t>
  </si>
  <si>
    <t>ACTIVIDAD O RITUALIDAD REALIZADA185</t>
  </si>
  <si>
    <t>FECHA ACOMPAÑAMIENTO SABEDOR ANCESTRAL PUERPERIO Y RECIEN NACIDO222</t>
  </si>
  <si>
    <t>TIPO DE SABEDOR733</t>
  </si>
  <si>
    <t>NECESIDAD O DESARMONIA DESDE LO PROPIO 1744</t>
  </si>
  <si>
    <t>ACTIVIDAD O RITUALIDAD REALIZADA1855</t>
  </si>
  <si>
    <t>FECHA ACOMPAÑAMIENTO SABEDOR ANCESTRAL PUERPERIO Y RECIEN NACIDO2222</t>
  </si>
  <si>
    <t>TIPO DE SABEDOR7333</t>
  </si>
  <si>
    <t>NECESIDAD O DESARMONIA DESDE LO PROPIO 17444</t>
  </si>
  <si>
    <t>ACTIVIDAD O RITUALIDAD REALIZADA18555</t>
  </si>
  <si>
    <t>CAPTACIÓN A SEMANA 10</t>
  </si>
  <si>
    <t>% CAPTACIÓN GENERAL ANTES  SEMANA 12</t>
  </si>
  <si>
    <t>% CAPTACIÓN GENERAL A SEMANA 10</t>
  </si>
  <si>
    <t xml:space="preserve"> Total de mujeres gestantes captadas a semana 10 </t>
  </si>
  <si>
    <t>DIAGNOSTICO POSITIVO COVID19 - INFECCIÓN POR SARS CoV2</t>
  </si>
  <si>
    <t>Lista desplegable Elegir de la lista desplegable según corresponda,  CPN con otra IPS, Viene de otro municipio, Tramite de portabilidad,Inicio sin documento de Identidad, Inicio sin EPS, Sin Novedad, INMIGRANTE VENEZOLANA. Esta ultima opción prima sobre las otras, de presentarse múltiples novedades, se debe registrar Inmigrante Venezolana en esa casilla y las demás novedasdes en la Columna A, Novedades al momento de la captación</t>
  </si>
  <si>
    <t>Fecha 1ra Dosis Anti COVID-19</t>
  </si>
  <si>
    <t>Fecha 2da Dosis Anti COVID-19</t>
  </si>
  <si>
    <t>Alarma Vacunación Anti COVID-19</t>
  </si>
  <si>
    <t>Edad gestacional Vacuna anticovid19</t>
  </si>
  <si>
    <t>Tipo de Vacuna</t>
  </si>
  <si>
    <t>Esquema terminado</t>
  </si>
  <si>
    <t>Días para Siguiente Dosis</t>
  </si>
  <si>
    <t># de días desde fecha vacunación</t>
  </si>
  <si>
    <t>Alarma de apoyo</t>
  </si>
  <si>
    <t>Tipo Biológico Vacuna anti COVID-19 (Disentimiento)</t>
  </si>
  <si>
    <t>Fecha Refuerzo Anti COVID-20</t>
  </si>
  <si>
    <t>Tipo Biológico Vacuna anti COVID-19 (2da Dosis)</t>
  </si>
  <si>
    <t>Tipo Biológico Vacuna anti COVID-19 (Refuerzo)</t>
  </si>
  <si>
    <t>Curso de Maternidad y Paternidad</t>
  </si>
  <si>
    <t>Alerta Plan de Parto</t>
  </si>
  <si>
    <t>TAMIZAJE  PARA SIFILIS  SEGÚN GPC SIFILIS I TRIMESTRE</t>
  </si>
  <si>
    <t>TAMIZAJE  PARA VIH I TRIM</t>
  </si>
  <si>
    <t>RESGUARDO / CORREGIMIENTO / COMUNA / LOCALIDAD</t>
  </si>
  <si>
    <t>ATENCIÓN PRECONCEPCIONAL</t>
  </si>
  <si>
    <t>ALARMA TAMIZAJE SIFILIS I TRIMESTRE</t>
  </si>
  <si>
    <t>ALARMA TAMIZAJE SIFILIS II TRIMESTRE2</t>
  </si>
  <si>
    <t>ALARMA TAMIZAJE SIFILIS III TRIMESTRE22</t>
  </si>
  <si>
    <t>ALARMA CONSOLIDADA CASOS SIFILIS GESTACIONAL</t>
  </si>
  <si>
    <t>ALARMA TAMIZAJE VIH - I TRIM</t>
  </si>
  <si>
    <t>ALARMA TAMIZAJE VIH - II TRIM</t>
  </si>
  <si>
    <t>ALARMA TAMIZAJE VIH - III TRIM</t>
  </si>
  <si>
    <t>TAMIZAJE PARA CHAGAS (ELISA para detección de anticuerpos IgG anti T. cruzi de antígenos totales)</t>
  </si>
  <si>
    <t>FECHA RESULTADO TAMIZAJE CHAGAS</t>
  </si>
  <si>
    <t>TAMIZAJE INICIAL DE GOTA GRUESA PARA MALARIA (En zonas endémicas)</t>
  </si>
  <si>
    <t>FECHA RESULTADO TAMIZAJE INICIAL GOTA GRUESA PARA MALARIA</t>
  </si>
  <si>
    <t>RESULTADO ULTIMO TAMIZAJE GOTA GRUESA (Para Zonas endémicas)</t>
  </si>
  <si>
    <t>NUMERO TAMIZAJES TOMADOS DE GOTA GRUESA PARA MALARIA (Debe ser mensual para zonas endémicas)</t>
  </si>
  <si>
    <t>INICIO TRABAJO DE PARTO</t>
  </si>
  <si>
    <t>PUNTAJE PRESENTACIÓN RBPS4</t>
  </si>
  <si>
    <t>PUNTAJE TAMIZAJE CHAGAS RBPS5</t>
  </si>
  <si>
    <t>PUNTAJE TAMIZAJE MALARIA RBPS6</t>
  </si>
  <si>
    <t>Puntaje ROBSON</t>
  </si>
  <si>
    <t>FECHA PLAN DE PARTO  (Soporte en HC)</t>
  </si>
  <si>
    <t>FECHA RESULTADO PR- I TRIM</t>
  </si>
  <si>
    <t>FECHA RESULTADO ELISA O PR I TRIM</t>
  </si>
  <si>
    <t>NUMERO TAMIZAJES TOMADOS DE GOTA GRUESA PARA MALARIA (Debe ser mensual para zons endémicas)</t>
  </si>
  <si>
    <r>
      <t xml:space="preserve">Registrar: CEFÁLICO, PODÁLICO, TRANSVERSA,OBLICUA, según corresponda al embarazo actual; se debe ACTUALIZAR según hallazgos en los controles. Las opciónes que estaran semaforizadas en rojo  se consideran de Riesgo Obstétrico  y la gestante debe ser valorada por ginecólogo. </t>
    </r>
    <r>
      <rPr>
        <u/>
        <sz val="11"/>
        <color theme="1"/>
        <rFont val="Calibri"/>
        <family val="2"/>
        <scheme val="minor"/>
      </rPr>
      <t>ESTA VARIABLE DEBE SER TOMADA EN CUENTA Y SEGUIDA A PARTIR DEL ÚLTIMO TRIMESTRE DE GESTACIÓN Y PUEDE SER TOMADA DE LA ECOGRAFÍA O DEL EXÁMEN FISICO EN HC.</t>
    </r>
  </si>
  <si>
    <t>solo se debe colocar dato de Fecha que soporta la HC en la cual se realiza el plan de parto concertado.</t>
  </si>
  <si>
    <t>Formula automatica: Donde aparece además de la edad gestacional al momento ADECUADO para realizar el plan de partos, las siguientes alertas: PLAN REALIZADO ANTES III TRIM (se realiza el plan antes del tiempo esperado, que es en III Trimestre), PLANEAR PLAN DE PARTO (Iniciar proceso de información, para definir la construcción del plan de parto), CONCERTAR PLAN DE PARTO INMEDIATO (Debe estar definido el plan de parto concertado), EN ESPERA (Se encuentra en I o II Trimestre de gestación, en espera para iniciar proceso en III Trimestre), NO APLICA SALE PROGRAMA ANTES III TRIM, SALE PROGRAMA ANTES SEMANA 35 (Sale del programa durante el proceso de construcción del plan, sin finalizarlo), SALE SIN PLAN DE PARTO (sale en la etapa que debería haber tenido el plan de parto ya concertado).</t>
  </si>
  <si>
    <r>
      <t>Lista desplegable segun resultado del Tamizaje soportado en HC y/o resultado de laboratorio de la Prueba rapida de sifilis  tomada en el I  Trimestre de la gestación : P.R Negativa (Prueba Rápida), P.R Positiva Caso Sífilis (Prueba Rápida) y P.R Positiva Cicatriz. -</t>
    </r>
    <r>
      <rPr>
        <b/>
        <u/>
        <sz val="11"/>
        <rFont val="Calibri"/>
        <family val="2"/>
        <scheme val="minor"/>
      </rPr>
      <t>NO SE DEBE REGISTAR INFORMACIÓN EN ESTA CASILLA CASO DE INGRESO TARDÍO MAYOR A 12 SEMANAS, O DE HABER TOMADO EL EXAMEN DESPUES DE LA SEMANA 12.</t>
    </r>
  </si>
  <si>
    <t>Fecha en D M A del Resultado de la Prueba Rápida</t>
  </si>
  <si>
    <r>
      <t xml:space="preserve">Formula automatica: Donde aparece además de la edad gestacional al momento de la toma de la Prueba Rapida, las siguientes alertas: </t>
    </r>
    <r>
      <rPr>
        <b/>
        <u/>
        <sz val="11"/>
        <rFont val="Calibri"/>
        <family val="2"/>
        <scheme val="minor"/>
      </rPr>
      <t>REGISTRAR EN II TRIMESTRE,REGISTRAR EN III TRIMESTRE (Colocar datos en las columnas que corresponden y quitarlo de esta casilla),EN RANGO PARA TOMAR EXAMEN (Esta dentro del I TRIM de gestación),TOMA INMEDIATA DE TAMIZAJE (Faltan dos semanas para cambio de Trimestre),PIERDE TOMA DE TAMIZAJE (Paso al otro Trim de gestación sin reporte de tamizaje),NO APLICA-INGRESO TARDIO (No se deben registrar datos de Tamizaje)</t>
    </r>
    <r>
      <rPr>
        <sz val="11"/>
        <color theme="1"/>
        <rFont val="Calibri"/>
        <family val="2"/>
        <scheme val="minor"/>
      </rPr>
      <t>. Para apoyar el seguimiento de la gestante y el registro adecuado de información.</t>
    </r>
  </si>
  <si>
    <r>
      <t xml:space="preserve">Lista desplegable segun resultado del Tamizaje soportado en HC y/o resultado de laboratorio de la Prueba rapida de sifilis  tomada en el II  Trimestre de la gestación : P.R Negativa (Prueba Rápida), P.R Positiva Caso Sífilis (Prueba Rápida </t>
    </r>
    <r>
      <rPr>
        <u/>
        <sz val="11"/>
        <color rgb="FFFF0000"/>
        <rFont val="Calibri"/>
        <family val="2"/>
        <scheme val="minor"/>
      </rPr>
      <t>No aplica</t>
    </r>
    <r>
      <rPr>
        <sz val="11"/>
        <rFont val="Calibri"/>
        <family val="2"/>
        <scheme val="minor"/>
      </rPr>
      <t xml:space="preserve"> si Tamizaje anterior fue </t>
    </r>
    <r>
      <rPr>
        <sz val="11"/>
        <color rgb="FFFF0000"/>
        <rFont val="Calibri"/>
        <family val="2"/>
        <scheme val="minor"/>
      </rPr>
      <t>POSITIVO</t>
    </r>
    <r>
      <rPr>
        <sz val="11"/>
        <rFont val="Calibri"/>
        <family val="2"/>
        <scheme val="minor"/>
      </rPr>
      <t xml:space="preserve">), P.R Positiva Cicatriz(Prueba Rápida </t>
    </r>
    <r>
      <rPr>
        <u/>
        <sz val="11"/>
        <color rgb="FFFF0000"/>
        <rFont val="Calibri"/>
        <family val="2"/>
        <scheme val="minor"/>
      </rPr>
      <t>No aplica</t>
    </r>
    <r>
      <rPr>
        <sz val="11"/>
        <rFont val="Calibri"/>
        <family val="2"/>
        <scheme val="minor"/>
      </rPr>
      <t xml:space="preserve"> si Tamizaje anterior fue </t>
    </r>
    <r>
      <rPr>
        <sz val="11"/>
        <color rgb="FFFF0000"/>
        <rFont val="Calibri"/>
        <family val="2"/>
        <scheme val="minor"/>
      </rPr>
      <t>POSITIVO</t>
    </r>
    <r>
      <rPr>
        <sz val="11"/>
        <rFont val="Calibri"/>
        <family val="2"/>
        <scheme val="minor"/>
      </rPr>
      <t xml:space="preserve">), </t>
    </r>
    <r>
      <rPr>
        <b/>
        <u/>
        <sz val="11"/>
        <rFont val="Calibri"/>
        <family val="2"/>
        <scheme val="minor"/>
      </rPr>
      <t>Diluciones estables</t>
    </r>
    <r>
      <rPr>
        <sz val="11"/>
        <rFont val="Calibri"/>
        <family val="2"/>
        <scheme val="minor"/>
      </rPr>
      <t xml:space="preserve"> (VDRL o RPR seguimiento si tamizaje anterior con PR fue </t>
    </r>
    <r>
      <rPr>
        <b/>
        <u/>
        <sz val="11"/>
        <color rgb="FFFF0000"/>
        <rFont val="Calibri"/>
        <family val="2"/>
        <scheme val="minor"/>
      </rPr>
      <t>POSITIVO y permanece la misma Dilución del Trim anterior</t>
    </r>
    <r>
      <rPr>
        <sz val="11"/>
        <rFont val="Calibri"/>
        <family val="2"/>
        <scheme val="minor"/>
      </rPr>
      <t xml:space="preserve">), </t>
    </r>
    <r>
      <rPr>
        <b/>
        <u/>
        <sz val="11"/>
        <rFont val="Calibri"/>
        <family val="2"/>
        <scheme val="minor"/>
      </rPr>
      <t>Diluciones disminuyen</t>
    </r>
    <r>
      <rPr>
        <sz val="11"/>
        <rFont val="Calibri"/>
        <family val="2"/>
        <scheme val="minor"/>
      </rPr>
      <t xml:space="preserve"> (VDRL o RPR, </t>
    </r>
    <r>
      <rPr>
        <b/>
        <u/>
        <sz val="11"/>
        <color rgb="FFFF0000"/>
        <rFont val="Calibri"/>
        <family val="2"/>
        <scheme val="minor"/>
      </rPr>
      <t>las diluciones con menores comparadas con las del Trim Anterio</t>
    </r>
    <r>
      <rPr>
        <sz val="11"/>
        <rFont val="Calibri"/>
        <family val="2"/>
        <scheme val="minor"/>
      </rPr>
      <t xml:space="preserve">r), </t>
    </r>
    <r>
      <rPr>
        <b/>
        <u/>
        <sz val="11"/>
        <rFont val="Calibri"/>
        <family val="2"/>
        <scheme val="minor"/>
      </rPr>
      <t>Diluciones aumentan</t>
    </r>
    <r>
      <rPr>
        <sz val="11"/>
        <rFont val="Calibri"/>
        <family val="2"/>
        <scheme val="minor"/>
      </rPr>
      <t xml:space="preserve">  (VDRL o RPR, </t>
    </r>
    <r>
      <rPr>
        <b/>
        <u/>
        <sz val="11"/>
        <color rgb="FFFF0000"/>
        <rFont val="Calibri"/>
        <family val="2"/>
        <scheme val="minor"/>
      </rPr>
      <t>las diluciones se elevan comparadas con los resulatdos del trimestre anterior</t>
    </r>
    <r>
      <rPr>
        <sz val="11"/>
        <rFont val="Calibri"/>
        <family val="2"/>
        <scheme val="minor"/>
      </rPr>
      <t>) -</t>
    </r>
    <r>
      <rPr>
        <b/>
        <u/>
        <sz val="11"/>
        <rFont val="Calibri"/>
        <family val="2"/>
        <scheme val="minor"/>
      </rPr>
      <t>NO SE DEBE REGISTAR INFORMACIÓN EN ESTA CASILLA CASO DE INGRESO TARDÍO MAYOR A 28 SEMANAS, O DE HABER TOMADO EL EXAMEN ANTES DE LA SEMANA 12 O DESPUÉS DE LA SEMANA 28</t>
    </r>
  </si>
  <si>
    <r>
      <t xml:space="preserve">Formula automatica: Donde aparece además de la edad gestacional al momento de la toma de la Prueba Rapida, las siguientes alertas: </t>
    </r>
    <r>
      <rPr>
        <b/>
        <u/>
        <sz val="11"/>
        <rFont val="Calibri"/>
        <family val="2"/>
        <scheme val="minor"/>
      </rPr>
      <t>EN ESPERA-ESTÁ I TRIM (Le falta tiempo para la toma del tamizaje), NO APLICA-SALIO DEL PROGRAMA I TRIM (No se toma tamizaje sale antes del II Trim), REGISTRAR EN I TRIMESTRE,REGISTRAR EN III TRIMESTRE (Colocar datos en las columnas que corresponden y quitarlo de esta casilla),EN RANGO PARA TOMAR EXAMEN (Esta dentro del II TRIM de gestación),TOMA INMEDIATA DE TAMIZAJE (Faltan tres semanas para cambio de Trimestre),PIERDE TOMA DE TAMIZAJE (Paso al otro Trim de gestación sin reporte de tamizaje),NO APLICA-INGRESO TARDIO (No se deben registrar datos de Tamizaje)</t>
    </r>
    <r>
      <rPr>
        <sz val="11"/>
        <color theme="1"/>
        <rFont val="Calibri"/>
        <family val="2"/>
        <scheme val="minor"/>
      </rPr>
      <t>. Para apoyar el seguimiento de la gestante y el registro adecuado de información.</t>
    </r>
  </si>
  <si>
    <r>
      <t xml:space="preserve">Lista desplegable segun resultado del Tamizaje soportado en HC y/o resultado de laboratorio de la Prueba rapida de sifilis  tomada en el II  Trimestre de la gestación : P.R Negativa (Prueba Rápida), P.R Positiva Caso Sífilis (Prueba Rápida </t>
    </r>
    <r>
      <rPr>
        <u/>
        <sz val="11"/>
        <color rgb="FFFF0000"/>
        <rFont val="Calibri"/>
        <family val="2"/>
        <scheme val="minor"/>
      </rPr>
      <t>No aplica</t>
    </r>
    <r>
      <rPr>
        <sz val="11"/>
        <rFont val="Calibri"/>
        <family val="2"/>
        <scheme val="minor"/>
      </rPr>
      <t xml:space="preserve"> si Tamizaje anterior fue </t>
    </r>
    <r>
      <rPr>
        <sz val="11"/>
        <color rgb="FFFF0000"/>
        <rFont val="Calibri"/>
        <family val="2"/>
        <scheme val="minor"/>
      </rPr>
      <t>POSITIVO</t>
    </r>
    <r>
      <rPr>
        <sz val="11"/>
        <rFont val="Calibri"/>
        <family val="2"/>
        <scheme val="minor"/>
      </rPr>
      <t xml:space="preserve">), P.R Positiva Cicatriz(Prueba Rápida </t>
    </r>
    <r>
      <rPr>
        <u/>
        <sz val="11"/>
        <color rgb="FFFF0000"/>
        <rFont val="Calibri"/>
        <family val="2"/>
        <scheme val="minor"/>
      </rPr>
      <t>No aplica</t>
    </r>
    <r>
      <rPr>
        <sz val="11"/>
        <rFont val="Calibri"/>
        <family val="2"/>
        <scheme val="minor"/>
      </rPr>
      <t xml:space="preserve"> si Tamizaje anterior fue </t>
    </r>
    <r>
      <rPr>
        <sz val="11"/>
        <color rgb="FFFF0000"/>
        <rFont val="Calibri"/>
        <family val="2"/>
        <scheme val="minor"/>
      </rPr>
      <t>POSITIVO</t>
    </r>
    <r>
      <rPr>
        <sz val="11"/>
        <rFont val="Calibri"/>
        <family val="2"/>
        <scheme val="minor"/>
      </rPr>
      <t xml:space="preserve">), </t>
    </r>
    <r>
      <rPr>
        <b/>
        <u/>
        <sz val="11"/>
        <rFont val="Calibri"/>
        <family val="2"/>
        <scheme val="minor"/>
      </rPr>
      <t>Diluciones estables</t>
    </r>
    <r>
      <rPr>
        <sz val="11"/>
        <rFont val="Calibri"/>
        <family val="2"/>
        <scheme val="minor"/>
      </rPr>
      <t xml:space="preserve"> (VDRL o RPR seguimiento si tamizaje anterior con PR fue </t>
    </r>
    <r>
      <rPr>
        <b/>
        <u/>
        <sz val="11"/>
        <color rgb="FFFF0000"/>
        <rFont val="Calibri"/>
        <family val="2"/>
        <scheme val="minor"/>
      </rPr>
      <t>POSITIVO y permanece la misma Dilución del Trim anterior</t>
    </r>
    <r>
      <rPr>
        <sz val="11"/>
        <rFont val="Calibri"/>
        <family val="2"/>
        <scheme val="minor"/>
      </rPr>
      <t xml:space="preserve">), </t>
    </r>
    <r>
      <rPr>
        <b/>
        <u/>
        <sz val="11"/>
        <rFont val="Calibri"/>
        <family val="2"/>
        <scheme val="minor"/>
      </rPr>
      <t>Diluciones disminuyen</t>
    </r>
    <r>
      <rPr>
        <sz val="11"/>
        <rFont val="Calibri"/>
        <family val="2"/>
        <scheme val="minor"/>
      </rPr>
      <t xml:space="preserve"> (VDRL o RPR, </t>
    </r>
    <r>
      <rPr>
        <b/>
        <u/>
        <sz val="11"/>
        <color rgb="FFFF0000"/>
        <rFont val="Calibri"/>
        <family val="2"/>
        <scheme val="minor"/>
      </rPr>
      <t>las diluciones con menores comparadas con las del Trim Anterio</t>
    </r>
    <r>
      <rPr>
        <sz val="11"/>
        <rFont val="Calibri"/>
        <family val="2"/>
        <scheme val="minor"/>
      </rPr>
      <t xml:space="preserve">r), </t>
    </r>
    <r>
      <rPr>
        <b/>
        <u/>
        <sz val="11"/>
        <rFont val="Calibri"/>
        <family val="2"/>
        <scheme val="minor"/>
      </rPr>
      <t>Diluciones aumentan</t>
    </r>
    <r>
      <rPr>
        <sz val="11"/>
        <rFont val="Calibri"/>
        <family val="2"/>
        <scheme val="minor"/>
      </rPr>
      <t xml:space="preserve">  (VDRL o RPR, </t>
    </r>
    <r>
      <rPr>
        <b/>
        <u/>
        <sz val="11"/>
        <color rgb="FFFF0000"/>
        <rFont val="Calibri"/>
        <family val="2"/>
        <scheme val="minor"/>
      </rPr>
      <t>las diluciones se elevan comparadas con los resulatdos del trimestre anterior</t>
    </r>
    <r>
      <rPr>
        <sz val="11"/>
        <rFont val="Calibri"/>
        <family val="2"/>
        <scheme val="minor"/>
      </rPr>
      <t>) -</t>
    </r>
    <r>
      <rPr>
        <b/>
        <u/>
        <sz val="11"/>
        <rFont val="Calibri"/>
        <family val="2"/>
        <scheme val="minor"/>
      </rPr>
      <t>NO SE DEBE REGISTAR INFORMACIÓN EN ESTA CASILLA CASO DE HABER TOMADO EL EXAMEN ANTES DE LA SEMANA 28.</t>
    </r>
  </si>
  <si>
    <r>
      <t xml:space="preserve">Formula automatica: Donde aparece además de la edad gestacional al momento de la toma de la Prueba Rapida, las siguientes alertas: </t>
    </r>
    <r>
      <rPr>
        <b/>
        <u/>
        <sz val="11"/>
        <rFont val="Calibri"/>
        <family val="2"/>
        <scheme val="minor"/>
      </rPr>
      <t>EN ESPERA-ESTÁ I TRIM O II TRIM (Le falta tiempo para la toma del tamizaje), NO APLICA-SALIO DEL PROGRAMA I O II TRIM (No se toma tamizaje sale antes del II Trim), REGISTRAR EN I TRIMESTRE,REGISTRAR EN II TRIMESTRE (Colocar datos en las columnas que corresponden y quitarlo de esta casilla),EN RANGO PARA TOMAR EXAMEN (Esta dentro del II TRIM de gestación),TOMA INMEDIATA DE TAMIZAJE (Faltan tres semanas para cambio de Trimestre),PIERDE TOMA DE TAMIZAJE (Llega al parto sin reporte de tamizaje),NO APLICA-SIN CPN (No se deben registrar datos de Tamizaje)</t>
    </r>
    <r>
      <rPr>
        <sz val="11"/>
        <color theme="1"/>
        <rFont val="Calibri"/>
        <family val="2"/>
        <scheme val="minor"/>
      </rPr>
      <t>. Para apoyar el seguimiento de la gestante y el registro adecuado de información.</t>
    </r>
  </si>
  <si>
    <r>
      <t xml:space="preserve">Formula Automatica que reporta los casos de </t>
    </r>
    <r>
      <rPr>
        <u/>
        <sz val="11"/>
        <color rgb="FFFF0000"/>
        <rFont val="Calibri"/>
        <family val="2"/>
        <scheme val="minor"/>
      </rPr>
      <t>sifilis gestacional</t>
    </r>
    <r>
      <rPr>
        <sz val="11"/>
        <color theme="1"/>
        <rFont val="Calibri"/>
        <family val="2"/>
        <scheme val="minor"/>
      </rPr>
      <t xml:space="preserve"> que se presenten independiente del trimestre de gestación en que se diagnostique</t>
    </r>
  </si>
  <si>
    <t>Aparece la siguiente lista desplegable: NO APLICA (Sin factor de riesgo);NEGATIVO (Resultado del examen);POSITIVO (Resultado del examen);INDETERMINADO(Resultado del examen);SOLICICTADO Y NO TOMADO</t>
  </si>
  <si>
    <t>Fecha en D M A del Resultado del la Prueba ELISA para detección de anticuerpos IgG anti T. cruzi de antígenos totales para Chagas</t>
  </si>
  <si>
    <t>NO APLICA (Sin factor de riesgo, no zona endémica);NEGATIVO; POSITIVO;SOLICITADO NO TOMADO</t>
  </si>
  <si>
    <t>Fecha en D M A del Resultado del la Prueba Gota Gruesa para Malaría aplicada en zonas endémicas o en gestantes con factores de riesgo</t>
  </si>
  <si>
    <t>Lista desplegable según correponda. Se debe colocar el número de pruebas para gota gruesa realizadas (1 mensual), soportados en HC de cero (0) a Nueve (9). Se coloca NO APLICA: En caso de que la columna HF Y HH indique " NO APLICA".</t>
  </si>
  <si>
    <t>Listado desplegable, opciones de diagnóstico semaforizado para SARS CoV2. Elegir entre las opciones, no dejar en blanco  SIN INFECCIÓN POR SARS-CoV2; NO SE EVALUA RIESGO INFECCIÓN COVID19; FACTOR DE RIESGO PARA COVID19; COVID19 PRIMER TRIMESTRE;  COVID19 SEGUNDO TRIMESTRE;  COVID19 TERCER TRIMESTRE;  COVID19 PUERPERIO</t>
  </si>
  <si>
    <t>Astrazeneca;Firma Disentimiento;Janssen;Moderna;No Acepta y No Firma Disentimiento;Pfizer;Sinovac</t>
  </si>
  <si>
    <t>Elegir la opción que corresponda frente al inicio del trabajo de parto: INICIO ESPONTÁNEO (Opción básica para baja complejidad); LE HACEN INDUCCIÓN (Para nivel complementario); LE HACEN CESÁREA SIN INICIO TRABAJO DE PARTO (Puede corresponder a casos de cesáreas programadas);SIN DATO</t>
  </si>
  <si>
    <t>FECHA DE CONCERTACIÓN PLAN DE PARTO (Soporte HC)</t>
  </si>
  <si>
    <t>PROCESO COMPLETO DE ATENCIÓN: Debe incluir con soporte en HC de: Consulta inicial con formulación de laboratorios, Consulta de control con manejo según protocolo - al menos 3 meses antes de la FUM. PROCESO PARCIAL DE ATENCIÓN: No completa todas las actividades que se definene parael proceso completo SIN ATENCIÓN: Cuando el proceso de atención ha sido incompleto o no se ha realizado.  SIN DATO: No se tiene información clara del proceso</t>
  </si>
  <si>
    <r>
      <t xml:space="preserve">Aparece </t>
    </r>
    <r>
      <rPr>
        <sz val="11"/>
        <color rgb="FFFF0000"/>
        <rFont val="Calibri"/>
        <family val="2"/>
        <scheme val="minor"/>
      </rPr>
      <t>lista desplegable</t>
    </r>
    <r>
      <rPr>
        <sz val="11"/>
        <color theme="1"/>
        <rFont val="Calibri"/>
        <family val="2"/>
        <scheme val="minor"/>
      </rPr>
      <t xml:space="preserve"> del 0 al 7 - Elija el número de sesiones realizadas a la gestante y su familia, según corresponda - Casilla debe ser actualizada cada nueva sesión.</t>
    </r>
  </si>
  <si>
    <t>Formula Automatica con las opciones : MES DE CONTROL, SEMANA DE CONTROL, DIA DE CONTROL, INASISTENTE, SEGUIMIENTO FUERA MUNICIPIO, BUSCAR PARA INGRESO A CPN; DILIGENCIAR FECHA SALIDA PROGRAMA</t>
  </si>
  <si>
    <t>Formula Automatica con las opciones : MES DE CONTROL, SEMANA DE CONTROL, DIA DE CONTROL, INASISTENTE, SEGUIMIENTO FUERA MUNICIPIO, BUSCAR PARA INGRESO A CPN;DILIGENCIAR FECHA SALIDA PROGRAMA</t>
  </si>
  <si>
    <r>
      <t>Formula que muestra las siguiente alertas: .- "EN ESPERA PARA VACUNAR"; Mujeres con edad gestacional menor a 20 semanas, aun no aplican para la Vacuna. "COLOCAR VACUNA"; Mujeres entre semana 20 a 26, se les aplica vacuna S</t>
    </r>
    <r>
      <rPr>
        <u/>
        <sz val="11"/>
        <color theme="1"/>
        <rFont val="Calibri"/>
        <family val="2"/>
        <scheme val="minor"/>
      </rPr>
      <t>EGÚN LINEAMIENTOS DE VACUNACIÓN PARA DPT ACELULAR</t>
    </r>
    <r>
      <rPr>
        <sz val="11"/>
        <color theme="1"/>
        <rFont val="Calibri"/>
        <family val="2"/>
        <scheme val="minor"/>
      </rPr>
      <t>". .- "INASISTENTE"; Mujer con mas de 26 semanas de gestación sin vacuna DPT acelular. .- "VACUNA APLICADA CON OPORTUNIDAD"; Mujer vacunada en el intervalo de 20 a 26 semanas según lineamientos de vacunación. .- "VACUNA APLICADA FUERA DE RANGO"; Mujer vacunada despue de la semana 26. .- "SALE SIN VACUNA"; Mujer que ya salio del programa por parto o cesárea, sin vacuna DPT acelular.</t>
    </r>
  </si>
  <si>
    <t>Formula que muestra las siguiente alertas: SIN DATO EDAD GESTACIONAL, MENOR 12 SEMANAS, PROGRAMAR APLICACION DE VACUNA, DIFERIR FECHA DE VACUNACION SEGÚN LINEAMIENTOS, FIRMA DISENTIMIENTO, NO ACEPTA VACUNA Y NO FIRMA DISCENTIMIENTO, PENDIENTE REFUERZO, CON REFUERZO, DEFINIR RIESGO CONTAGIO SARS-CoV2, columna GZ</t>
  </si>
  <si>
    <t>NÚMERO DE GESTANTES QUE SALEN CON PLANIFICACIÓN POST EVENTO OBSTÉTRICO ATENDIDAS EN BAJA COMPELJIDAD</t>
  </si>
  <si>
    <t>PRESENTACION DEL FETO - ACTUALIZAR DESPUÉS DE LA SEMANA 32</t>
  </si>
  <si>
    <t>ALERTA DE PLAN DE PARTO</t>
  </si>
  <si>
    <t>Número muertes perinales/neonatales tempranas y tardías</t>
  </si>
  <si>
    <t># Gestantes con 37 o más semanas de gestación al momento del parto</t>
  </si>
  <si>
    <t># Gestantes con 37 o más semanas de gestación al momento del parto y con 7 sesiones del curso de maternidad y paternidad</t>
  </si>
  <si>
    <t># Gestantes con 37 o más semanas de gestación al momento del parto y con plan de parto establecido</t>
  </si>
  <si>
    <t>CURSO DE MATERNIDAD Y PATERNIDAD</t>
  </si>
  <si>
    <t>Relación Morbilidad Materna Extrema(MME) / Muerte Materna temprana (MM)</t>
  </si>
  <si>
    <t xml:space="preserve">Índice de mortalidad materna de los casos de MME </t>
  </si>
  <si>
    <t>Número de casos de Muerte Materna Temprana</t>
  </si>
  <si>
    <t>(Morbilidad Materna Extrema(MME) + Muerte Materna temprana (MM))</t>
  </si>
  <si>
    <t xml:space="preserve">CONTACTO PIEL A PIEL DURANTE MÍNIMO 30 MINUTOS </t>
  </si>
  <si>
    <t>INICIO DE LACTANCIA MATERNA DURANTE EL CONTACTO PIEL A PIEL O EN LA PRIMERA HORA DE VIDA</t>
  </si>
  <si>
    <t>Proporción de gestantes con valoración de la salud bucal</t>
  </si>
  <si>
    <t xml:space="preserve">Número de mujeres atendidas en la baja complejidad que durante el alumbramiento reciben 10 unidades de oxitocina </t>
  </si>
  <si>
    <t xml:space="preserve">Número de mujeres atendidas en nivel complementario que durante el alumbramiento reciben 10 unidades de oxitocina </t>
  </si>
  <si>
    <t>Porcentaje de partos con manejo activo del tercer período de parto en nivel complementario</t>
  </si>
  <si>
    <t xml:space="preserve"># DE TAMIZAJES SIFILIS TOMADOS </t>
  </si>
  <si>
    <t xml:space="preserve"># DE TAMIZAJES VIH TOMADOS </t>
  </si>
  <si>
    <t>FECHA RESULTADO TAMIZAJE VIH I TRIMESTRE</t>
  </si>
  <si>
    <t>FECHA RESULTADO TAMIZAJE VIH II TRIM</t>
  </si>
  <si>
    <t>FECHA RESULTADO TAMIZAJE VIH III TRIM</t>
  </si>
  <si>
    <t>Lista despleglable según corresponda:  .- "ADECUADO SEGÚN GPC" : Revisar condiciones GPC, si hay antecedente de hijo anterior con defecto de tubo neural, consumo de anticonvulsivante y obesidad materna morbida IMC mayor o igual a 35 se debe incrementar la dosis a 4 mcgr al día - para las demás 1 mcgr al día. en semanas de gestació, dosis y/o restricciones.  .- "SUMINSTRO IRREGULAR": NO Aparece sopore de la formulación de este micronutriente en todos los controles especialmente antes de la semana 14. .- "NO SE FORMULA" : No hay soporte de la formulación de este micronutriente en ningún control realizado antes de de la semana 14. .- "SUMINISTRO DE OTRO COMPLEMENTO NUTRICIONAL" Cuando aparece el soporte en la HC de que la mujer esta consumiento otro tipo de complemento en vez del micronutriente. SIN DATO: En la HC no se soporta de una forma adecuada la formulación de micronutrientes, no hay dato de dosis, se utilizan siglas o no hay soporte alguno de que se formulo.</t>
  </si>
  <si>
    <t>Lista despleglable según corresponda:  .- "ADECUADO SEGÚN GPC" : Revisar condiciones GPC, dar 300 mg al día y en caso de dx de anemia o hemoglobina menor de 11,5 mg/dl dar 2 tabletas al día. en semanas de gestació, dosis y/o restricciones.  .- "SUMINSTRO IRREGULAR": NO Aparece sopore de la formulación de este micronutriente en todos los controles y no hay contraindicación. .- "NO SE FORMULA" : No hay soporte de la formulación de este micronutriente en ningún control y no hay contraindicación. .- "SUMINISTRO DE OTRO COMPLEMENTO NUTRICIONAL" Cuando aparece el soporte en la HC de que la mujer esta consumiento otro tipo de complemento en vez del micronutriente. SIN DATO: En la HC no se soporta de una forma adecuada la formulación de micronutrientes, no hay dato de dosis, se utilizan siglas o no hay soporte alguno de que se formulo. NO APLICA: Por tener resultado de hemoglobina mayor a 14 mg/dl.</t>
  </si>
  <si>
    <t>MONITORIA CADA 15 MINUTOS DE SIGNOS VITALES DURANTES LAS PRIMERAS DOS HORAS POSTPARTO (SOPORTE EN HC - 8 VALORACIONES EN LAS PRIMERAS 2 HORAS)</t>
  </si>
  <si>
    <t xml:space="preserve"> EVENTO DE INTERES EN SALUD PÚBLICA DE LA MADRE</t>
  </si>
  <si>
    <t xml:space="preserve"> EVENTO DE INTERES EN SALUD PÚBLICA DEL RECIÉN NACIDO2</t>
  </si>
  <si>
    <t>Registre el nombre la Institucion donde se atendio el parto, aborto o IVE. En el caso de los partos en DOMICILIO o extrainstitucionales se debe colocar "NO APLICA"</t>
  </si>
  <si>
    <t>Lista despleglable según corresponda:  .- "ADECUADO SEGÚN GPC" : Revisar condiciones GPC, iniciar formulación a partir de semana 12 (1200 mg - 2 tabletas al día) en semanas de gestació, dosis y/o restricciones.  .- "SUMINSTRO IRREGULAR": NO Aparece sopore de la formulación de este micronutriente en todos los controles a partir de la semana 12. .- "NO SE FORMULA" : No hay soporte de la formulación de este micronutriente en ningún control realizado a partir de la semana 14. .- "SUMINISTRO DE OTRO COMPLEMENTO NUTRICIONAL" Cuando aparece al soporte en la HC de que la mujer esta consumiento otro tipo de complemento en vez del micronutriente. .- SIN DATO: En la HC no se soporta de una forma adecuada la formulación de micronutrientes, no hay dato de dosis, se utilizan siglas o no hay soporte alguno de que se formulo. NO APLICA: Por tener edad gestacional menor a 12 semanas</t>
  </si>
  <si>
    <t>Lista desplegable según corresponda. Se coloca "SD": si en la columna HO aparece alguna alerta de "Riesgo de complicaciones Hipertensivas" y NO APLICA: Si  la columna HO aparece "Sin atecedentes de riesgo".</t>
  </si>
  <si>
    <t>REQUIRIO MANEJO ODONTOLOGICO DURANTE LA GESTACIÓN</t>
  </si>
  <si>
    <t>Lista desplegable según corresponda. SI: Cuando a la valoración odontológica requiere manejo. NO: Cuando a la valoración odontológica no require manejo. SD: cuando no ha recibido valoración odontologica o no hay información sobre manejo o no odontológico en la HC</t>
  </si>
  <si>
    <t>Porcentaje de partos con manejo activo del tercer período de parto en nivel primario</t>
  </si>
  <si>
    <t>ATENCION INSTITUCIONAL DEL PARTO NIVEL PRIMARIO</t>
  </si>
  <si>
    <t>% ATENCIÓN PARTO EN NIVEL PRIMARIO</t>
  </si>
  <si>
    <t>% DE GESTANTES CON PLANIFICACIÓN POST EVENTO OBSTERICO NIVEL PRIMARIO</t>
  </si>
  <si>
    <t>% DE GESTANTES CON PLANIFICACIÓN POST EVENTO OBSTERICO NIVEL COMPLEMENTARIO</t>
  </si>
  <si>
    <t>NÚMERO DE GESTANTES QUE SALEN CON PLANIFICACIÓN POST EVENTO OBSTÉTRICO ATENDIDAS EN NIVEL COMPLEMENTARIO</t>
  </si>
  <si>
    <t xml:space="preserve">% MUJERES GESTANTES CON ATENCIÓN PRECONCEPCIONAL </t>
  </si>
  <si>
    <t>Mujeres gestantes que han realizado proceso completo de atención preconcepcional</t>
  </si>
  <si>
    <t>Proporción de gestantes de alto riesgo con al menos una atención prenatal realizada por especialista</t>
  </si>
  <si>
    <t>Número de mujeres gestantes de alto riesgo según mes de ingreso que han tenido al menos una consulta con ginecologo</t>
  </si>
  <si>
    <t># DE TAMIZAJES VIH Y SIFILIS A TOMAR SEGÚN TRIM INICIO CPN Y SALIDA DEL PROGRAMA</t>
  </si>
  <si>
    <t>COMPLICACIONES POSTPARTO - HASTA 42 DÍAS</t>
  </si>
  <si>
    <t>Proporción de gestantes que terminan gestación con tamizaje para sífilis completo según Trimestre de ingreso y salida de la atención prental</t>
  </si>
  <si>
    <t>Número de mujeres que terminan gestación por cualquier causa</t>
  </si>
  <si>
    <t>Número de mujeres que terminan gestación por cualquier causa y tienen Tamizaje completo de Sífilis según edad gestacional de ingreso y salida de la ruta</t>
  </si>
  <si>
    <t>Alarma de apoyo Tamizaje Sífilis</t>
  </si>
  <si>
    <t>Alarma de apoyo Tamizaje VIH</t>
  </si>
  <si>
    <t>Número de mujeres que terminan gestación por cualquier causa y tienen Tamizaje completo de VIH según edad gestacional de ingreso y salida de la ruta</t>
  </si>
  <si>
    <t xml:space="preserve">Proporción de gestantes con tamizaje para VIH </t>
  </si>
  <si>
    <t xml:space="preserve">Número de mujeres gestantes de alto riesgo según mes de ingreso </t>
  </si>
  <si>
    <t>Número de gestantes que acceden a consulta por profesional de odontología durante la etapa prenatal que han tenido parto a término</t>
  </si>
  <si>
    <t>FECHA VACUNA TD</t>
  </si>
  <si>
    <t>Número de partos en los que se diligencia el partograma en el nivel primario</t>
  </si>
  <si>
    <t>Número de gestantes con atención de parto, que aplican para diligenciamiento de partograma en el nivel primario</t>
  </si>
  <si>
    <t>Porcentaje de partos en los que se diligencia el partograma del total de partos atendidos  nivel primario</t>
  </si>
  <si>
    <t>Número de partos en los que se diligencia el partograma en el nivel complementario</t>
  </si>
  <si>
    <t>Número de gestantes con atención de parto, que aplican para diligenciamiento de partograma en el nivel complementario</t>
  </si>
  <si>
    <t>Porcentaje de partos en los que se diligencia el partograma del total de partos atendidos en el nivel complementario</t>
  </si>
  <si>
    <t># DE MUJERES CON SUMINISTRO ADECUADO DE MICRONUTRIENTES</t>
  </si>
  <si>
    <t>AIC</t>
  </si>
  <si>
    <t/>
  </si>
  <si>
    <t>ACTIVA EN CPN ALTO RIESGO</t>
  </si>
  <si>
    <t>ACTIVA EN CPN ALTO RIESGO CON CONSULTA GINECOLOGIA</t>
  </si>
  <si>
    <t>NÚMERO DE GESTANTES ATENDIDAS EN MEDIANA Y ALTA COMPLEJIDAD QUE SALEN DEL PROGRAMA POR CUALQUIER CAUSA</t>
  </si>
  <si>
    <t>Número de mujeres gestantes con atención de parto o cesárea en nivel complementario</t>
  </si>
  <si>
    <t>Proporcion de gestantes con asesoria en anticoncepción durante el CPN</t>
  </si>
  <si>
    <t>Cobertura de gestantes con consulta de nutrición gestaciones a término</t>
  </si>
  <si>
    <t>Número de gestantes que acceden a consulta por profesional de nutrición y dietética durante la etapa prenatal con gestaciones a término</t>
  </si>
  <si>
    <t>Proporción de mujeres con suministro adecuado de micronutrientes que salen del programa por parto o cesárea</t>
  </si>
  <si>
    <t>Número de mujeres con suministro adecuado de micronutrientes según la GPC que salen del programa por parto o cesárea</t>
  </si>
  <si>
    <t>ACTIVA CON SUMINISTRO ADECUADO DE MICRONUTRIENTES</t>
  </si>
  <si>
    <t>EPS</t>
  </si>
  <si>
    <t xml:space="preserve">Proporción de mujeres que reciben consulta de control del puerperio </t>
  </si>
  <si>
    <t xml:space="preserve">Número de mujeres que reciben atención del puerperio entre el tercer y quinto día posparto </t>
  </si>
  <si>
    <t xml:space="preserve">Proporción de recién nacidos con atención para el seguimiento entre 3 y 5 días </t>
  </si>
  <si>
    <t>Número de recién nacidos que reciben atención para el seguimiento entre el tercer y quinto día después de su nacimiento</t>
  </si>
  <si>
    <t>Proporcion de mujeres gestantes que terminan su gestación con parto o cesáres vacunadas con DPT Acelular</t>
  </si>
  <si>
    <t>Número de mujeres gestantes que terminan su gestación con parto o cesáres vacunadas con DPT Acelular</t>
  </si>
  <si>
    <t>VACUNA APLICADA ENTRE SEMANA 20 Y SEMANA 26</t>
  </si>
  <si>
    <t>VACUNA APLICADA ENTRE SEMANA 27 Y EL PARTO</t>
  </si>
  <si>
    <t>Alarma apoyo DPT Acelular vacunadas</t>
  </si>
  <si>
    <t>Número de mujeres gestantes que terminan su gestación con parto o cesáres vacunadas con Anti Influenza</t>
  </si>
  <si>
    <t>Proporcion de mujeres gestantes que terminan su gestación con parto o cesáres vacunadas con Anti Influenza</t>
  </si>
  <si>
    <t>Número de mujeres gestantes que terminan su gestación con parto o cesáres vacunadas con Anti COVID19 2 DOSIS</t>
  </si>
  <si>
    <t>Proporcion de mujeres gestantes que terminan su gestación con parto o cesáres vacunadas con Anti COVID19 2 DOSIS</t>
  </si>
  <si>
    <t>Número de mujeres gestantes que terminan su gestación con parto o cesáres vacunadas con TD</t>
  </si>
  <si>
    <t>Proporcion de mujeres gestantes que terminan su gestación con parto o cesáres vacunadas con TD</t>
  </si>
  <si>
    <t>Porcentaje de partos con monitoría de signos vitales (cada 15 minutos) durante el puerperio inmediato en nivel primario</t>
  </si>
  <si>
    <t>Porcentaje de partos con monitoría de signos vitales (cada 15 minutos) durante el puerperio inmediato en nivel complementario</t>
  </si>
  <si>
    <t>Número demujeres en posparto con monitoría de signos vitales (cada 15 minutos) durante el puerperio inmediato en nivel primario</t>
  </si>
  <si>
    <t>Número demujeres en posparto con monitoría de signos vitales (cada 15 minutos) durante el puerperio inmediato en nivel complementario</t>
  </si>
  <si>
    <t>ACTIVA CON TAMIZAJE DE SÍFILIS COMPLETO A LA EDAD GESTACIONAL</t>
  </si>
  <si>
    <t>TOTAL BASE</t>
  </si>
  <si>
    <t>ACTIVA EN CPN ENTRE SEMANA 37 Y 42</t>
  </si>
  <si>
    <t>ACTIVA ENTRE SEMANA 37 Y 42  CON PLAN DE PARTO ESTABLECIDO</t>
  </si>
  <si>
    <t>ACTIVA CON TAMIZAJE DE VIH COMPLETO A LA EDAD GESTACIONAL</t>
  </si>
  <si>
    <t> Total de mujeres gestantes migrantes venezolanas captadas  antes de las 12 semanas</t>
  </si>
  <si>
    <t>Proporcion de gestantes con Plan de parto establecido a las 37 o más semanas al momento del parto</t>
  </si>
  <si>
    <t>% Cobertura de gestantes con asistencia a curso de preparación de la maternidad y la paternidad (7 sesiones) que tiene 37 o más semanas al momento del parto</t>
  </si>
  <si>
    <t>NÚMERO DE PARTOS VAGINALES</t>
  </si>
  <si>
    <t>NÚMERO DE PARTOS POR CESÁREAS</t>
  </si>
  <si>
    <t>Número de gestantes que reciben asesoría en anticoncepción durante la gestación reportadas por Historía Clínica</t>
  </si>
  <si>
    <t>Número de gestantes que reciben consejeria en lactancia materna durante la gestación reportadas por Historia Clínica y que salen del programa por parto o cesárea</t>
  </si>
  <si>
    <t>Proporción de gestantes con consejería de lactancia materna durante la gestación que han salido del programa por parto o cesárea</t>
  </si>
  <si>
    <t>Número de mujeres que tienen soporte en Historia Clínica de haber iniciado lactancia materna en la primera hora de nacido nivel primario</t>
  </si>
  <si>
    <t>Número de mujeres que tienen soporte en Historia Clinica de haber iniciado lactancia materna en la primera hora de nacido nivel complementario</t>
  </si>
  <si>
    <t>Porcentaje de mujeres que tienen reporte por Historia Clinica de haber iniciado lactancia materna al recién nacido en la primera hora después del nacimiento nivel complementario</t>
  </si>
  <si>
    <t>Porcentaje de mujeres que tienen reporte por Historia Clínica de haber iniciado lactancia materna al recién nacido en la primera hora después del nacimiento nivel primario</t>
  </si>
  <si>
    <t>v22.03</t>
  </si>
  <si>
    <t>ACTIVA ENTRE SEMANA 37 Y 42  CON VACUNACIÓN PARA DPT ACELULAR</t>
  </si>
  <si>
    <t>NO USAR FILA 2</t>
  </si>
  <si>
    <t>FECHA RESULTADO I TRIM</t>
  </si>
  <si>
    <t>23/09/2022 SE REALIZA LLAMDA TELEFONICA A GESTANTE EN DONDE REFIERE  QUE SE ENCUENTRA REALIZANDOLOS COTNROLES EN TOTOGUAMPA PIENDAMO</t>
  </si>
  <si>
    <t>DIEGO</t>
  </si>
  <si>
    <t>ESE CENTRO UNO CAJIBIO</t>
  </si>
  <si>
    <t>SIN ATENCIÓN</t>
  </si>
  <si>
    <t>GARCIA</t>
  </si>
  <si>
    <t>VOLVERAS</t>
  </si>
  <si>
    <t xml:space="preserve">YESICA </t>
  </si>
  <si>
    <t>CEDULA DE CIUDADANIA</t>
  </si>
  <si>
    <t>UNION LIBRE</t>
  </si>
  <si>
    <t>AMA DE CASA</t>
  </si>
  <si>
    <t>PROCESO PARCIAL DE ATENCIÓN</t>
  </si>
  <si>
    <t>CHARO</t>
  </si>
  <si>
    <t>MACA</t>
  </si>
  <si>
    <t>VALENTINA</t>
  </si>
  <si>
    <t>TARJETA DE IDENTIDAD</t>
  </si>
  <si>
    <t>ESTUDIANTE</t>
  </si>
  <si>
    <t xml:space="preserve">12/01/2022: SE REALIZA LLAMADA A PACIENTE PARA CITARLA AL CONTROL DE PUERPERIO Y RECINE NACIDO, MADRE REFEIRE EL BEEBE ESTA HOSPITALIZADO. CUANDO LE DEN EGRESO ASISTIRA. </t>
  </si>
  <si>
    <t>CRUZ</t>
  </si>
  <si>
    <t>MESA</t>
  </si>
  <si>
    <t>DIANA</t>
  </si>
  <si>
    <t>CAMILA</t>
  </si>
  <si>
    <t>SOLTERA</t>
  </si>
  <si>
    <t>SI</t>
  </si>
  <si>
    <t>SIN NOVEDAD</t>
  </si>
  <si>
    <t>SUBSIDIADO</t>
  </si>
  <si>
    <t>CAJIBIO</t>
  </si>
  <si>
    <t>RURAL</t>
  </si>
  <si>
    <t>EL COFRE</t>
  </si>
  <si>
    <t xml:space="preserve">LA VENTA </t>
  </si>
  <si>
    <t>MESTIZA</t>
  </si>
  <si>
    <t>NO APLICA</t>
  </si>
  <si>
    <t>SECUNDARIA INCOMPLETA</t>
  </si>
  <si>
    <t>NINGUNO</t>
  </si>
  <si>
    <t>NO</t>
  </si>
  <si>
    <t>SD</t>
  </si>
  <si>
    <t>LA VENTA</t>
  </si>
  <si>
    <t>SECUNDARIA COMPLETA</t>
  </si>
  <si>
    <t>OTRO</t>
  </si>
  <si>
    <t>CEFÁLICA</t>
  </si>
  <si>
    <t>LA VIUDA</t>
  </si>
  <si>
    <t>O+</t>
  </si>
  <si>
    <t>P. R NEGATIVA</t>
  </si>
  <si>
    <t>NEGATIVO</t>
  </si>
  <si>
    <t>P.R NO REACTIVA</t>
  </si>
  <si>
    <t>NO APLICA (Sin factor de riesgo)</t>
  </si>
  <si>
    <t>NO APLICA (Sin factor de riesgo - No zona endémica)</t>
  </si>
  <si>
    <t>NO APLICA (Sin factor de riesgo - no zona endémica)</t>
  </si>
  <si>
    <t>SIN INFECCIÓN POR SARS-CoV2</t>
  </si>
  <si>
    <t>ADECUADO SEGÚN GPC</t>
  </si>
  <si>
    <t>Firma Disentimiento</t>
  </si>
  <si>
    <t>CAMBIO DE RESIDENCIA</t>
  </si>
  <si>
    <t>CESAREA</t>
  </si>
  <si>
    <t>MADRE SANA</t>
  </si>
  <si>
    <t>RECIEN NACIDO SANO</t>
  </si>
  <si>
    <t>INSTITUCIONAL</t>
  </si>
  <si>
    <t>HOSPITAL SUSANA LOPEZ DE VALENCIA</t>
  </si>
  <si>
    <t>MEDIANA</t>
  </si>
  <si>
    <t>PERSONAL DE SALUD PROFESIONAL O ESPECIALISTA</t>
  </si>
  <si>
    <t>LE HACEN CESÁREA SIN INICIO TRABAJO DE PARTO</t>
  </si>
  <si>
    <t>SIN COMPLICACION</t>
  </si>
  <si>
    <t>FEMENINO</t>
  </si>
  <si>
    <t>IMPLANTE SUBDERMICO</t>
  </si>
  <si>
    <t>PARTO</t>
  </si>
  <si>
    <t>HOSPITALIZACION O UCI NEONATAL</t>
  </si>
  <si>
    <t>INICIO ESPONTÁNEO</t>
  </si>
  <si>
    <t>OTRA COMPLICACION</t>
  </si>
  <si>
    <t>MASCULINO</t>
  </si>
  <si>
    <t>RESPONSABLE DE LA ZONA</t>
  </si>
  <si>
    <t>ARNOL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</si>
</sst>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0.0"/>
    <numFmt numFmtId="165" formatCode="yyyy\-mm\-dd;@"/>
    <numFmt numFmtId="166" formatCode="0.0%"/>
  </numFmts>
  <fonts count="44" x14ac:knownFonts="1">
    <font>
      <sz val="11"/>
      <color theme="1"/>
      <name val="Calibri"/>
      <family val="2"/>
      <scheme val="minor"/>
    </font>
    <font>
      <b/>
      <sz val="11"/>
      <color theme="1"/>
      <name val="Calibri"/>
      <family val="2"/>
      <scheme val="minor"/>
    </font>
    <font>
      <sz val="11"/>
      <color indexed="8"/>
      <name val="Calibri"/>
      <family val="2"/>
    </font>
    <font>
      <sz val="10"/>
      <name val="Arial"/>
      <family val="2"/>
    </font>
    <font>
      <b/>
      <sz val="11"/>
      <color theme="0"/>
      <name val="Calibri"/>
      <family val="2"/>
      <scheme val="minor"/>
    </font>
    <font>
      <sz val="10"/>
      <color theme="1"/>
      <name val="Calibri"/>
      <family val="2"/>
      <scheme val="minor"/>
    </font>
    <font>
      <sz val="11"/>
      <color theme="1"/>
      <name val="Calibri"/>
      <family val="2"/>
      <scheme val="minor"/>
    </font>
    <font>
      <sz val="11"/>
      <color theme="0"/>
      <name val="Calibri"/>
      <family val="2"/>
      <scheme val="minor"/>
    </font>
    <font>
      <b/>
      <sz val="10"/>
      <color theme="1"/>
      <name val="Calibri"/>
      <family val="2"/>
      <scheme val="minor"/>
    </font>
    <font>
      <b/>
      <sz val="11"/>
      <color theme="5" tint="-0.499984740745262"/>
      <name val="Calibri"/>
      <family val="2"/>
      <scheme val="minor"/>
    </font>
    <font>
      <sz val="9"/>
      <color theme="1"/>
      <name val="Calibri"/>
      <family val="2"/>
      <scheme val="minor"/>
    </font>
    <font>
      <sz val="9"/>
      <color theme="1"/>
      <name val="Arial"/>
      <family val="2"/>
    </font>
    <font>
      <sz val="10"/>
      <color theme="1"/>
      <name val="Arial"/>
      <family val="2"/>
    </font>
    <font>
      <sz val="11"/>
      <color theme="1"/>
      <name val="Arial"/>
      <family val="2"/>
    </font>
    <font>
      <sz val="8"/>
      <color theme="1"/>
      <name val="Arial"/>
      <family val="2"/>
    </font>
    <font>
      <b/>
      <sz val="11"/>
      <color theme="1"/>
      <name val="Arial"/>
      <family val="2"/>
    </font>
    <font>
      <sz val="10"/>
      <color rgb="FF000000"/>
      <name val="Calibri"/>
      <family val="2"/>
      <scheme val="minor"/>
    </font>
    <font>
      <sz val="11"/>
      <color rgb="FFFF0000"/>
      <name val="Calibri"/>
      <family val="2"/>
      <scheme val="minor"/>
    </font>
    <font>
      <b/>
      <sz val="11"/>
      <color rgb="FFFF0000"/>
      <name val="Calibri"/>
      <family val="2"/>
      <scheme val="minor"/>
    </font>
    <font>
      <b/>
      <sz val="9"/>
      <color theme="1"/>
      <name val="Arial"/>
      <family val="2"/>
    </font>
    <font>
      <sz val="10"/>
      <color theme="1"/>
      <name val="Calibri"/>
      <family val="2"/>
      <scheme val="minor"/>
    </font>
    <font>
      <sz val="10"/>
      <color indexed="8"/>
      <name val="Arial"/>
      <family val="2"/>
    </font>
    <font>
      <b/>
      <i/>
      <sz val="11"/>
      <color theme="0"/>
      <name val="Calibri"/>
      <family val="2"/>
      <scheme val="minor"/>
    </font>
    <font>
      <b/>
      <u/>
      <sz val="10"/>
      <color theme="1"/>
      <name val="Calibri"/>
      <family val="2"/>
      <scheme val="minor"/>
    </font>
    <font>
      <b/>
      <sz val="12"/>
      <color theme="1"/>
      <name val="Calibri"/>
      <family val="2"/>
      <scheme val="minor"/>
    </font>
    <font>
      <b/>
      <sz val="10"/>
      <color theme="1"/>
      <name val="Times New Roman"/>
      <family val="1"/>
    </font>
    <font>
      <sz val="18"/>
      <color theme="1"/>
      <name val="Calibri"/>
      <family val="2"/>
      <scheme val="minor"/>
    </font>
    <font>
      <b/>
      <sz val="14"/>
      <color theme="1"/>
      <name val="Calibri"/>
      <family val="2"/>
      <scheme val="minor"/>
    </font>
    <font>
      <sz val="14"/>
      <color theme="1"/>
      <name val="Calibri"/>
      <family val="2"/>
      <scheme val="minor"/>
    </font>
    <font>
      <u/>
      <sz val="11"/>
      <color theme="1"/>
      <name val="Calibri"/>
      <family val="2"/>
      <scheme val="minor"/>
    </font>
    <font>
      <u/>
      <sz val="11"/>
      <color rgb="FFFF0000"/>
      <name val="Calibri"/>
      <family val="2"/>
      <scheme val="minor"/>
    </font>
    <font>
      <b/>
      <sz val="10"/>
      <color theme="0"/>
      <name val="Calibri"/>
      <family val="2"/>
      <scheme val="minor"/>
    </font>
    <font>
      <b/>
      <sz val="10"/>
      <color theme="0"/>
      <name val="Times New Roman"/>
      <family val="1"/>
    </font>
    <font>
      <sz val="8"/>
      <name val="Calibri"/>
      <family val="2"/>
      <scheme val="minor"/>
    </font>
    <font>
      <sz val="10"/>
      <color indexed="8"/>
      <name val="Arial"/>
      <family val="2"/>
    </font>
    <font>
      <b/>
      <i/>
      <sz val="11"/>
      <color rgb="FFFF0000"/>
      <name val="Calibri"/>
      <family val="2"/>
      <scheme val="minor"/>
    </font>
    <font>
      <sz val="11"/>
      <name val="Calibri"/>
      <family val="2"/>
      <scheme val="minor"/>
    </font>
    <font>
      <b/>
      <u/>
      <sz val="11"/>
      <name val="Calibri"/>
      <family val="2"/>
      <scheme val="minor"/>
    </font>
    <font>
      <b/>
      <u/>
      <sz val="11"/>
      <color rgb="FFFF0000"/>
      <name val="Calibri"/>
      <family val="2"/>
      <scheme val="minor"/>
    </font>
    <font>
      <sz val="10"/>
      <color theme="1"/>
      <name val="Calibri"/>
      <family val="2"/>
      <scheme val="minor"/>
    </font>
    <font>
      <b/>
      <sz val="11"/>
      <name val="Calibri"/>
      <family val="2"/>
      <scheme val="minor"/>
    </font>
    <font>
      <b/>
      <sz val="10"/>
      <name val="Times New Roman"/>
      <family val="1"/>
    </font>
    <font>
      <b/>
      <sz val="16"/>
      <color theme="1"/>
      <name val="Calibri"/>
      <family val="2"/>
      <scheme val="minor"/>
    </font>
    <font>
      <sz val="10"/>
      <color theme="1"/>
      <name val="Calibri"/>
      <family val="2"/>
      <scheme val="minor"/>
    </font>
  </fonts>
  <fills count="38">
    <fill>
      <patternFill patternType="none"/>
    </fill>
    <fill>
      <patternFill patternType="gray125"/>
    </fill>
    <fill>
      <patternFill patternType="solid">
        <fgColor rgb="FFFFFF00"/>
        <bgColor indexed="64"/>
      </patternFill>
    </fill>
    <fill>
      <patternFill patternType="solid">
        <fgColor theme="5" tint="0.39997558519241921"/>
        <bgColor indexed="65"/>
      </patternFill>
    </fill>
    <fill>
      <patternFill patternType="solid">
        <fgColor theme="5" tint="0.39994506668294322"/>
        <bgColor indexed="64"/>
      </patternFill>
    </fill>
    <fill>
      <patternFill patternType="solid">
        <fgColor theme="8" tint="0.59996337778862885"/>
        <bgColor indexed="64"/>
      </patternFill>
    </fill>
    <fill>
      <patternFill patternType="solid">
        <fgColor theme="8"/>
      </patternFill>
    </fill>
    <fill>
      <patternFill patternType="solid">
        <fgColor theme="9" tint="-0.249977111117893"/>
        <bgColor indexed="64"/>
      </patternFill>
    </fill>
    <fill>
      <patternFill patternType="solid">
        <fgColor theme="9" tint="0.39997558519241921"/>
        <bgColor indexed="64"/>
      </patternFill>
    </fill>
    <fill>
      <patternFill patternType="solid">
        <fgColor rgb="FFF0EE8A"/>
        <bgColor indexed="64"/>
      </patternFill>
    </fill>
    <fill>
      <patternFill patternType="solid">
        <fgColor theme="2" tint="-9.9978637043366805E-2"/>
        <bgColor indexed="64"/>
      </patternFill>
    </fill>
    <fill>
      <patternFill patternType="solid">
        <fgColor theme="8" tint="-0.249977111117893"/>
        <bgColor indexed="64"/>
      </patternFill>
    </fill>
    <fill>
      <patternFill patternType="solid">
        <fgColor theme="6" tint="0.79998168889431442"/>
        <bgColor indexed="64"/>
      </patternFill>
    </fill>
    <fill>
      <patternFill patternType="solid">
        <fgColor theme="6" tint="-0.249977111117893"/>
        <bgColor indexed="64"/>
      </patternFill>
    </fill>
    <fill>
      <patternFill patternType="solid">
        <fgColor theme="6" tint="0.39997558519241921"/>
        <bgColor indexed="64"/>
      </patternFill>
    </fill>
    <fill>
      <patternFill patternType="solid">
        <fgColor theme="6" tint="-0.499984740745262"/>
        <bgColor indexed="64"/>
      </patternFill>
    </fill>
    <fill>
      <patternFill patternType="solid">
        <fgColor theme="0"/>
        <bgColor indexed="64"/>
      </patternFill>
    </fill>
    <fill>
      <patternFill patternType="solid">
        <fgColor theme="9"/>
        <bgColor indexed="64"/>
      </patternFill>
    </fill>
    <fill>
      <patternFill patternType="solid">
        <fgColor rgb="FFFFFFCC"/>
        <bgColor indexed="64"/>
      </patternFill>
    </fill>
    <fill>
      <patternFill patternType="solid">
        <fgColor theme="4" tint="0.79998168889431442"/>
        <bgColor indexed="64"/>
      </patternFill>
    </fill>
    <fill>
      <patternFill patternType="solid">
        <fgColor theme="8" tint="0.59999389629810485"/>
        <bgColor indexed="64"/>
      </patternFill>
    </fill>
    <fill>
      <patternFill patternType="solid">
        <fgColor theme="2" tint="-0.249977111117893"/>
        <bgColor indexed="64"/>
      </patternFill>
    </fill>
    <fill>
      <patternFill patternType="solid">
        <fgColor theme="0" tint="-0.14999847407452621"/>
        <bgColor indexed="64"/>
      </patternFill>
    </fill>
    <fill>
      <patternFill patternType="solid">
        <fgColor theme="5" tint="0.79998168889431442"/>
        <bgColor indexed="64"/>
      </patternFill>
    </fill>
    <fill>
      <patternFill patternType="solid">
        <fgColor theme="5" tint="-0.499984740745262"/>
        <bgColor indexed="64"/>
      </patternFill>
    </fill>
    <fill>
      <patternFill patternType="solid">
        <fgColor theme="4" tint="0.39997558519241921"/>
        <bgColor indexed="64"/>
      </patternFill>
    </fill>
    <fill>
      <patternFill patternType="solid">
        <fgColor rgb="FFFFC000"/>
        <bgColor indexed="64"/>
      </patternFill>
    </fill>
    <fill>
      <patternFill patternType="solid">
        <fgColor theme="4"/>
        <bgColor indexed="64"/>
      </patternFill>
    </fill>
    <fill>
      <patternFill patternType="solid">
        <fgColor theme="9" tint="0.79998168889431442"/>
        <bgColor theme="9" tint="0.79998168889431442"/>
      </patternFill>
    </fill>
    <fill>
      <patternFill patternType="solid">
        <fgColor theme="9" tint="-0.249977111117893"/>
        <bgColor theme="9" tint="0.79998168889431442"/>
      </patternFill>
    </fill>
    <fill>
      <patternFill patternType="solid">
        <fgColor rgb="FF2BE7E7"/>
        <bgColor indexed="64"/>
      </patternFill>
    </fill>
    <fill>
      <patternFill patternType="solid">
        <fgColor theme="4" tint="-0.249977111117893"/>
        <bgColor indexed="64"/>
      </patternFill>
    </fill>
    <fill>
      <patternFill patternType="solid">
        <fgColor rgb="FF31869B"/>
        <bgColor indexed="64"/>
      </patternFill>
    </fill>
    <fill>
      <patternFill patternType="solid">
        <fgColor theme="6" tint="0.59999389629810485"/>
        <bgColor indexed="64"/>
      </patternFill>
    </fill>
    <fill>
      <patternFill patternType="solid">
        <fgColor rgb="FFFF7C80"/>
        <bgColor indexed="64"/>
      </patternFill>
    </fill>
    <fill>
      <patternFill patternType="solid">
        <fgColor theme="8"/>
        <bgColor indexed="64"/>
      </patternFill>
    </fill>
    <fill>
      <patternFill patternType="solid">
        <fgColor theme="7" tint="0.59999389629810485"/>
        <bgColor indexed="64"/>
      </patternFill>
    </fill>
    <fill>
      <patternFill patternType="solid">
        <fgColor theme="8" tint="0.79998168889431442"/>
        <bgColor indexed="64"/>
      </patternFill>
    </fill>
  </fills>
  <borders count="5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double">
        <color rgb="FF3F3F3F"/>
      </left>
      <right style="double">
        <color rgb="FF3F3F3F"/>
      </right>
      <top style="double">
        <color rgb="FF3F3F3F"/>
      </top>
      <bottom style="double">
        <color rgb="FF3F3F3F"/>
      </bottom>
      <diagonal/>
    </border>
    <border>
      <left style="thin">
        <color theme="3"/>
      </left>
      <right style="thin">
        <color theme="3"/>
      </right>
      <top style="thin">
        <color theme="3"/>
      </top>
      <bottom style="double">
        <color theme="3"/>
      </bottom>
      <diagonal/>
    </border>
    <border>
      <left style="thin">
        <color theme="5" tint="-0.499984740745262"/>
      </left>
      <right style="thin">
        <color theme="5" tint="-0.499984740745262"/>
      </right>
      <top style="thin">
        <color theme="5" tint="-0.499984740745262"/>
      </top>
      <bottom style="double">
        <color theme="5" tint="-0.499984740745262"/>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diagonal/>
    </border>
    <border>
      <left style="medium">
        <color indexed="64"/>
      </left>
      <right/>
      <top style="medium">
        <color indexed="64"/>
      </top>
      <bottom/>
      <diagonal/>
    </border>
    <border>
      <left style="medium">
        <color indexed="64"/>
      </left>
      <right/>
      <top style="medium">
        <color indexed="64"/>
      </top>
      <bottom style="medium">
        <color indexed="64"/>
      </bottom>
      <diagonal/>
    </border>
    <border>
      <left/>
      <right style="thin">
        <color indexed="64"/>
      </right>
      <top style="medium">
        <color indexed="64"/>
      </top>
      <bottom/>
      <diagonal/>
    </border>
    <border>
      <left style="thin">
        <color indexed="64"/>
      </left>
      <right style="medium">
        <color indexed="64"/>
      </right>
      <top style="medium">
        <color indexed="64"/>
      </top>
      <bottom/>
      <diagonal/>
    </border>
    <border>
      <left/>
      <right/>
      <top/>
      <bottom style="thin">
        <color indexed="64"/>
      </bottom>
      <diagonal/>
    </border>
    <border>
      <left style="thin">
        <color indexed="64"/>
      </left>
      <right style="thin">
        <color indexed="64"/>
      </right>
      <top style="thin">
        <color theme="9"/>
      </top>
      <bottom/>
      <diagonal/>
    </border>
    <border>
      <left style="thin">
        <color indexed="64"/>
      </left>
      <right style="thin">
        <color indexed="64"/>
      </right>
      <top style="thin">
        <color indexed="64"/>
      </top>
      <bottom style="medium">
        <color theme="9"/>
      </bottom>
      <diagonal/>
    </border>
    <border>
      <left style="medium">
        <color indexed="64"/>
      </left>
      <right/>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medium">
        <color indexed="64"/>
      </right>
      <top/>
      <bottom/>
      <diagonal/>
    </border>
    <border>
      <left style="medium">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diagonal/>
    </border>
    <border>
      <left style="thin">
        <color indexed="64"/>
      </left>
      <right style="thin">
        <color indexed="64"/>
      </right>
      <top style="thin">
        <color indexed="64"/>
      </top>
      <bottom style="medium">
        <color indexed="64"/>
      </bottom>
      <diagonal/>
    </border>
    <border>
      <left style="thin">
        <color indexed="64"/>
      </left>
      <right/>
      <top/>
      <bottom/>
      <diagonal/>
    </border>
    <border>
      <left/>
      <right style="medium">
        <color indexed="64"/>
      </right>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style="thin">
        <color indexed="64"/>
      </bottom>
      <diagonal/>
    </border>
    <border>
      <left style="thin">
        <color indexed="64"/>
      </left>
      <right/>
      <top style="thin">
        <color indexed="64"/>
      </top>
      <bottom/>
      <diagonal/>
    </border>
    <border>
      <left style="medium">
        <color indexed="64"/>
      </left>
      <right style="thin">
        <color indexed="64"/>
      </right>
      <top style="medium">
        <color indexed="64"/>
      </top>
      <bottom/>
      <diagonal/>
    </border>
    <border>
      <left style="thin">
        <color indexed="64"/>
      </left>
      <right style="thin">
        <color indexed="64"/>
      </right>
      <top/>
      <bottom style="medium">
        <color indexed="64"/>
      </bottom>
      <diagonal/>
    </border>
    <border>
      <left/>
      <right/>
      <top style="thin">
        <color indexed="64"/>
      </top>
      <bottom/>
      <diagonal/>
    </border>
    <border>
      <left style="medium">
        <color indexed="64"/>
      </left>
      <right/>
      <top style="thin">
        <color indexed="64"/>
      </top>
      <bottom/>
      <diagonal/>
    </border>
    <border>
      <left style="medium">
        <color indexed="64"/>
      </left>
      <right/>
      <top/>
      <bottom style="medium">
        <color indexed="64"/>
      </bottom>
      <diagonal/>
    </border>
    <border>
      <left style="thin">
        <color indexed="64"/>
      </left>
      <right/>
      <top/>
      <bottom style="thin">
        <color indexed="64"/>
      </bottom>
      <diagonal/>
    </border>
    <border>
      <left/>
      <right style="thin">
        <color indexed="64"/>
      </right>
      <top style="thin">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s>
  <cellStyleXfs count="15">
    <xf numFmtId="0" fontId="0" fillId="0" borderId="0"/>
    <xf numFmtId="0" fontId="2" fillId="0" borderId="0"/>
    <xf numFmtId="0" fontId="3" fillId="0" borderId="0"/>
    <xf numFmtId="0" fontId="2" fillId="0" borderId="0"/>
    <xf numFmtId="0" fontId="2" fillId="0" borderId="0"/>
    <xf numFmtId="9" fontId="3" fillId="0" borderId="0" applyFont="0" applyFill="0" applyBorder="0" applyAlignment="0" applyProtection="0"/>
    <xf numFmtId="9" fontId="6" fillId="0" borderId="0" applyFont="0" applyFill="0" applyBorder="0" applyAlignment="0" applyProtection="0"/>
    <xf numFmtId="0" fontId="4" fillId="4" borderId="4" applyAlignment="0">
      <alignment horizontal="center" vertical="center" wrapText="1"/>
    </xf>
    <xf numFmtId="0" fontId="1" fillId="5" borderId="5"/>
    <xf numFmtId="0" fontId="9" fillId="3" borderId="6">
      <alignment vertical="center" wrapText="1"/>
    </xf>
    <xf numFmtId="0" fontId="7" fillId="6" borderId="0" applyNumberFormat="0" applyBorder="0" applyAlignment="0" applyProtection="0"/>
    <xf numFmtId="0" fontId="21" fillId="0" borderId="0" applyNumberFormat="0" applyFill="0" applyBorder="0" applyAlignment="0" applyProtection="0"/>
    <xf numFmtId="0" fontId="34" fillId="0" borderId="0"/>
    <xf numFmtId="0" fontId="34" fillId="0" borderId="0"/>
    <xf numFmtId="0" fontId="21" fillId="0" borderId="0" applyNumberFormat="0" applyFill="0" applyBorder="0" applyAlignment="0" applyProtection="0"/>
  </cellStyleXfs>
  <cellXfs count="264">
    <xf numFmtId="0" fontId="0" fillId="0" borderId="0" xfId="0"/>
    <xf numFmtId="0" fontId="5" fillId="0" borderId="0" xfId="1" applyFont="1" applyAlignment="1">
      <alignment horizontal="center" vertical="center" wrapText="1"/>
    </xf>
    <xf numFmtId="164" fontId="5" fillId="0" borderId="0" xfId="1" applyNumberFormat="1" applyFont="1" applyAlignment="1">
      <alignment horizontal="center" vertical="center" wrapText="1"/>
    </xf>
    <xf numFmtId="1" fontId="5" fillId="0" borderId="0" xfId="1" applyNumberFormat="1" applyFont="1" applyAlignment="1">
      <alignment horizontal="center" vertical="center" wrapText="1"/>
    </xf>
    <xf numFmtId="14" fontId="5" fillId="0" borderId="0" xfId="1" applyNumberFormat="1" applyFont="1" applyAlignment="1">
      <alignment horizontal="center" vertical="center" wrapText="1"/>
    </xf>
    <xf numFmtId="2" fontId="5" fillId="0" borderId="0" xfId="1" applyNumberFormat="1" applyFont="1" applyAlignment="1">
      <alignment horizontal="center" vertical="center" wrapText="1"/>
    </xf>
    <xf numFmtId="0" fontId="8" fillId="0" borderId="0" xfId="1" applyFont="1" applyAlignment="1">
      <alignment horizontal="center" vertical="center" wrapText="1"/>
    </xf>
    <xf numFmtId="0" fontId="6" fillId="8" borderId="1" xfId="10" applyFont="1" applyFill="1" applyBorder="1" applyAlignment="1">
      <alignment horizontal="center" vertical="center" wrapText="1"/>
    </xf>
    <xf numFmtId="0" fontId="0" fillId="8" borderId="1" xfId="10" applyFont="1" applyFill="1" applyBorder="1" applyAlignment="1">
      <alignment horizontal="center" vertical="center" wrapText="1"/>
    </xf>
    <xf numFmtId="0" fontId="0" fillId="7" borderId="1" xfId="10" applyFont="1" applyFill="1" applyBorder="1" applyAlignment="1">
      <alignment horizontal="center" vertical="center" wrapText="1"/>
    </xf>
    <xf numFmtId="14" fontId="6" fillId="8" borderId="1" xfId="10" applyNumberFormat="1" applyFont="1" applyFill="1" applyBorder="1" applyAlignment="1">
      <alignment horizontal="center" vertical="center" wrapText="1"/>
    </xf>
    <xf numFmtId="0" fontId="0" fillId="0" borderId="1" xfId="0" applyBorder="1" applyAlignment="1">
      <alignment vertical="top" wrapText="1"/>
    </xf>
    <xf numFmtId="0" fontId="17" fillId="0" borderId="1" xfId="0" applyFont="1" applyBorder="1" applyAlignment="1">
      <alignment horizontal="justify" vertical="top"/>
    </xf>
    <xf numFmtId="0" fontId="0" fillId="0" borderId="1" xfId="0" applyBorder="1" applyAlignment="1">
      <alignment horizontal="justify" vertical="top"/>
    </xf>
    <xf numFmtId="0" fontId="18" fillId="0" borderId="1" xfId="0" applyFont="1" applyBorder="1" applyAlignment="1">
      <alignment vertical="top" wrapText="1"/>
    </xf>
    <xf numFmtId="14" fontId="8" fillId="0" borderId="0" xfId="1" applyNumberFormat="1" applyFont="1" applyAlignment="1">
      <alignment horizontal="center" vertical="center" wrapText="1"/>
    </xf>
    <xf numFmtId="165" fontId="5" fillId="0" borderId="0" xfId="1" applyNumberFormat="1" applyFont="1" applyAlignment="1">
      <alignment horizontal="center" vertical="center" wrapText="1"/>
    </xf>
    <xf numFmtId="0" fontId="0" fillId="9" borderId="1" xfId="10" applyFont="1" applyFill="1" applyBorder="1" applyAlignment="1">
      <alignment horizontal="center" vertical="center" wrapText="1"/>
    </xf>
    <xf numFmtId="0" fontId="6" fillId="9" borderId="1" xfId="10" applyFont="1" applyFill="1" applyBorder="1" applyAlignment="1">
      <alignment horizontal="center" vertical="center" wrapText="1"/>
    </xf>
    <xf numFmtId="0" fontId="1" fillId="8" borderId="1" xfId="10" applyFont="1" applyFill="1" applyBorder="1" applyAlignment="1">
      <alignment horizontal="center" vertical="center" wrapText="1"/>
    </xf>
    <xf numFmtId="14" fontId="0" fillId="8" borderId="1" xfId="10" applyNumberFormat="1" applyFont="1" applyFill="1" applyBorder="1" applyAlignment="1">
      <alignment horizontal="center" vertical="center" wrapText="1"/>
    </xf>
    <xf numFmtId="0" fontId="22" fillId="11" borderId="1" xfId="10" applyFont="1" applyFill="1" applyBorder="1" applyAlignment="1">
      <alignment horizontal="center" vertical="center" wrapText="1"/>
    </xf>
    <xf numFmtId="0" fontId="0" fillId="12" borderId="3" xfId="10" applyFont="1" applyFill="1" applyBorder="1" applyAlignment="1">
      <alignment horizontal="center" vertical="center" wrapText="1"/>
    </xf>
    <xf numFmtId="0" fontId="0" fillId="10" borderId="3" xfId="10" applyFont="1" applyFill="1" applyBorder="1" applyAlignment="1">
      <alignment horizontal="center" vertical="center" wrapText="1"/>
    </xf>
    <xf numFmtId="0" fontId="6" fillId="2" borderId="1" xfId="10" applyFont="1" applyFill="1" applyBorder="1" applyAlignment="1">
      <alignment horizontal="center" vertical="center" wrapText="1"/>
    </xf>
    <xf numFmtId="0" fontId="0" fillId="13" borderId="1" xfId="10" applyFont="1" applyFill="1" applyBorder="1" applyAlignment="1">
      <alignment horizontal="center" vertical="center" wrapText="1"/>
    </xf>
    <xf numFmtId="0" fontId="6" fillId="13" borderId="1" xfId="10" applyFont="1" applyFill="1" applyBorder="1" applyAlignment="1">
      <alignment horizontal="center" vertical="center" wrapText="1"/>
    </xf>
    <xf numFmtId="14" fontId="0" fillId="13" borderId="1" xfId="10" applyNumberFormat="1" applyFont="1" applyFill="1" applyBorder="1" applyAlignment="1">
      <alignment horizontal="center" vertical="center" wrapText="1"/>
    </xf>
    <xf numFmtId="0" fontId="6" fillId="14" borderId="1" xfId="10" applyFont="1" applyFill="1" applyBorder="1" applyAlignment="1">
      <alignment horizontal="center" vertical="center" wrapText="1"/>
    </xf>
    <xf numFmtId="0" fontId="0" fillId="14" borderId="1" xfId="10" applyFont="1" applyFill="1" applyBorder="1" applyAlignment="1">
      <alignment horizontal="center" vertical="center" wrapText="1"/>
    </xf>
    <xf numFmtId="14" fontId="6" fillId="14" borderId="1" xfId="10" applyNumberFormat="1" applyFont="1" applyFill="1" applyBorder="1" applyAlignment="1">
      <alignment horizontal="center" vertical="center" wrapText="1"/>
    </xf>
    <xf numFmtId="0" fontId="5" fillId="0" borderId="1" xfId="1" applyFont="1" applyBorder="1" applyAlignment="1">
      <alignment horizontal="center" vertical="center" wrapText="1"/>
    </xf>
    <xf numFmtId="0" fontId="0" fillId="2" borderId="1" xfId="10" applyFont="1" applyFill="1" applyBorder="1" applyAlignment="1">
      <alignment horizontal="center" vertical="center" wrapText="1"/>
    </xf>
    <xf numFmtId="0" fontId="7" fillId="15" borderId="1" xfId="10" applyFill="1" applyBorder="1" applyAlignment="1">
      <alignment horizontal="center" vertical="center" wrapText="1"/>
    </xf>
    <xf numFmtId="14" fontId="7" fillId="15" borderId="1" xfId="10" applyNumberFormat="1" applyFill="1" applyBorder="1" applyAlignment="1">
      <alignment horizontal="center" vertical="center" wrapText="1"/>
    </xf>
    <xf numFmtId="14" fontId="5" fillId="0" borderId="1" xfId="1" applyNumberFormat="1" applyFont="1" applyBorder="1" applyAlignment="1">
      <alignment horizontal="center" vertical="center" wrapText="1"/>
    </xf>
    <xf numFmtId="0" fontId="16" fillId="0" borderId="1" xfId="0" applyFont="1" applyBorder="1" applyAlignment="1" applyProtection="1">
      <alignment horizontal="center" vertical="center" wrapText="1"/>
      <protection locked="0"/>
    </xf>
    <xf numFmtId="0" fontId="5" fillId="0" borderId="1" xfId="0" applyFont="1" applyBorder="1" applyAlignment="1">
      <alignment horizontal="center" vertical="center" wrapText="1"/>
    </xf>
    <xf numFmtId="164" fontId="5" fillId="0" borderId="1" xfId="1" applyNumberFormat="1" applyFont="1" applyBorder="1" applyAlignment="1">
      <alignment horizontal="left" vertical="center" wrapText="1"/>
    </xf>
    <xf numFmtId="164" fontId="5" fillId="0" borderId="1" xfId="1" applyNumberFormat="1" applyFont="1" applyBorder="1" applyAlignment="1">
      <alignment horizontal="center" vertical="center" wrapText="1"/>
    </xf>
    <xf numFmtId="0" fontId="5" fillId="0" borderId="1" xfId="0" applyFont="1" applyBorder="1" applyAlignment="1" applyProtection="1">
      <alignment horizontal="center" vertical="center" wrapText="1"/>
      <protection locked="0"/>
    </xf>
    <xf numFmtId="0" fontId="5" fillId="0" borderId="1" xfId="0" applyFont="1" applyBorder="1" applyAlignment="1">
      <alignment horizontal="center" vertical="center"/>
    </xf>
    <xf numFmtId="2" fontId="5" fillId="0" borderId="1" xfId="0" applyNumberFormat="1" applyFont="1" applyBorder="1" applyAlignment="1">
      <alignment horizontal="center" vertical="center" wrapText="1"/>
    </xf>
    <xf numFmtId="1" fontId="5" fillId="0" borderId="1" xfId="1" applyNumberFormat="1" applyFont="1" applyBorder="1" applyAlignment="1">
      <alignment horizontal="center" vertical="center" wrapText="1"/>
    </xf>
    <xf numFmtId="2" fontId="5" fillId="0" borderId="1" xfId="1" applyNumberFormat="1" applyFont="1" applyBorder="1" applyAlignment="1">
      <alignment horizontal="center" vertical="center" wrapText="1"/>
    </xf>
    <xf numFmtId="0" fontId="10" fillId="0" borderId="1" xfId="1" applyFont="1" applyBorder="1" applyAlignment="1">
      <alignment horizontal="center" vertical="center" wrapText="1"/>
    </xf>
    <xf numFmtId="0" fontId="11" fillId="0" borderId="1" xfId="1" applyFont="1" applyBorder="1" applyAlignment="1">
      <alignment horizontal="center" vertical="center" wrapText="1"/>
    </xf>
    <xf numFmtId="9" fontId="5" fillId="0" borderId="1" xfId="6" applyFont="1" applyFill="1" applyBorder="1" applyAlignment="1">
      <alignment horizontal="center" vertical="center" wrapText="1"/>
    </xf>
    <xf numFmtId="14" fontId="12" fillId="0" borderId="1" xfId="0" applyNumberFormat="1" applyFont="1" applyBorder="1" applyAlignment="1">
      <alignment horizontal="center" vertical="center" wrapText="1"/>
    </xf>
    <xf numFmtId="14" fontId="5" fillId="0" borderId="1" xfId="0" applyNumberFormat="1" applyFont="1" applyBorder="1" applyAlignment="1">
      <alignment horizontal="center" vertical="center" wrapText="1"/>
    </xf>
    <xf numFmtId="14" fontId="13" fillId="0" borderId="1" xfId="1" applyNumberFormat="1" applyFont="1" applyBorder="1" applyAlignment="1">
      <alignment horizontal="center" vertical="center" wrapText="1"/>
    </xf>
    <xf numFmtId="0" fontId="14"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15" fillId="0" borderId="1" xfId="1" applyFont="1" applyBorder="1" applyAlignment="1">
      <alignment horizontal="center" vertical="center" wrapText="1"/>
    </xf>
    <xf numFmtId="14" fontId="19" fillId="0" borderId="1" xfId="1" applyNumberFormat="1" applyFont="1" applyBorder="1" applyAlignment="1">
      <alignment horizontal="center" vertical="center" wrapText="1"/>
    </xf>
    <xf numFmtId="0" fontId="20" fillId="0" borderId="1" xfId="1" applyFont="1" applyBorder="1" applyAlignment="1">
      <alignment horizontal="center" vertical="center" wrapText="1"/>
    </xf>
    <xf numFmtId="14" fontId="20" fillId="0" borderId="1" xfId="1" applyNumberFormat="1" applyFont="1" applyBorder="1" applyAlignment="1">
      <alignment horizontal="center" vertical="center" wrapText="1"/>
    </xf>
    <xf numFmtId="14" fontId="23" fillId="0" borderId="1" xfId="1" applyNumberFormat="1" applyFont="1" applyBorder="1" applyAlignment="1">
      <alignment horizontal="center" vertical="center" wrapText="1"/>
    </xf>
    <xf numFmtId="0" fontId="0" fillId="17" borderId="1" xfId="10" applyFont="1" applyFill="1" applyBorder="1" applyAlignment="1">
      <alignment horizontal="center" vertical="center" wrapText="1"/>
    </xf>
    <xf numFmtId="0" fontId="6" fillId="17" borderId="1" xfId="10" applyFont="1" applyFill="1" applyBorder="1" applyAlignment="1">
      <alignment horizontal="center" vertical="center" wrapText="1"/>
    </xf>
    <xf numFmtId="2" fontId="22" fillId="11" borderId="1" xfId="10" applyNumberFormat="1" applyFont="1" applyFill="1" applyBorder="1" applyAlignment="1">
      <alignment horizontal="center" vertical="center" wrapText="1"/>
    </xf>
    <xf numFmtId="0" fontId="6" fillId="18" borderId="1" xfId="10" applyFont="1" applyFill="1" applyBorder="1" applyAlignment="1">
      <alignment horizontal="center" vertical="center" wrapText="1"/>
    </xf>
    <xf numFmtId="0" fontId="0" fillId="18" borderId="1" xfId="10" applyFont="1" applyFill="1" applyBorder="1" applyAlignment="1">
      <alignment horizontal="center" vertical="center" wrapText="1"/>
    </xf>
    <xf numFmtId="14" fontId="1" fillId="19" borderId="1" xfId="10" applyNumberFormat="1" applyFont="1" applyFill="1" applyBorder="1" applyAlignment="1">
      <alignment horizontal="center" vertical="center" wrapText="1"/>
    </xf>
    <xf numFmtId="14" fontId="1" fillId="20" borderId="1" xfId="10" applyNumberFormat="1" applyFont="1" applyFill="1" applyBorder="1" applyAlignment="1">
      <alignment horizontal="center" vertical="center" wrapText="1"/>
    </xf>
    <xf numFmtId="0" fontId="0" fillId="21" borderId="3" xfId="10" applyFont="1" applyFill="1" applyBorder="1" applyAlignment="1">
      <alignment horizontal="center" vertical="center" wrapText="1"/>
    </xf>
    <xf numFmtId="0" fontId="25" fillId="13" borderId="12" xfId="0" applyFont="1" applyFill="1" applyBorder="1" applyAlignment="1">
      <alignment vertical="center" wrapText="1"/>
    </xf>
    <xf numFmtId="0" fontId="25" fillId="16" borderId="13" xfId="0" applyFont="1" applyFill="1" applyBorder="1" applyAlignment="1">
      <alignment vertical="center" wrapText="1"/>
    </xf>
    <xf numFmtId="0" fontId="0" fillId="0" borderId="1" xfId="0" applyBorder="1"/>
    <xf numFmtId="0" fontId="25" fillId="16" borderId="0" xfId="0" applyFont="1" applyFill="1" applyAlignment="1">
      <alignment vertical="center" wrapText="1"/>
    </xf>
    <xf numFmtId="0" fontId="26" fillId="0" borderId="0" xfId="0" applyFont="1"/>
    <xf numFmtId="9" fontId="0" fillId="0" borderId="1" xfId="6" applyFont="1" applyBorder="1"/>
    <xf numFmtId="0" fontId="25" fillId="0" borderId="0" xfId="0" applyFont="1" applyAlignment="1">
      <alignment vertical="center" wrapText="1"/>
    </xf>
    <xf numFmtId="9" fontId="0" fillId="0" borderId="0" xfId="6" applyFont="1" applyFill="1" applyBorder="1"/>
    <xf numFmtId="0" fontId="25" fillId="2" borderId="1" xfId="0" applyFont="1" applyFill="1" applyBorder="1" applyAlignment="1">
      <alignment horizontal="center" vertical="center" wrapText="1"/>
    </xf>
    <xf numFmtId="0" fontId="25" fillId="8" borderId="1" xfId="0" applyFont="1" applyFill="1" applyBorder="1" applyAlignment="1">
      <alignment vertical="center" wrapText="1"/>
    </xf>
    <xf numFmtId="0" fontId="25" fillId="13" borderId="1" xfId="0" applyFont="1" applyFill="1" applyBorder="1" applyAlignment="1">
      <alignment vertical="center" wrapText="1"/>
    </xf>
    <xf numFmtId="0" fontId="27" fillId="0" borderId="1" xfId="0" applyFont="1" applyBorder="1"/>
    <xf numFmtId="0" fontId="25" fillId="0" borderId="1" xfId="0" applyFont="1" applyBorder="1" applyAlignment="1">
      <alignment vertical="center" wrapText="1"/>
    </xf>
    <xf numFmtId="0" fontId="0" fillId="0" borderId="1" xfId="0" applyBorder="1" applyAlignment="1">
      <alignment horizontal="center" vertical="center"/>
    </xf>
    <xf numFmtId="14" fontId="1" fillId="8" borderId="1" xfId="10" applyNumberFormat="1" applyFont="1" applyFill="1" applyBorder="1" applyAlignment="1">
      <alignment horizontal="center" vertical="center" wrapText="1"/>
    </xf>
    <xf numFmtId="0" fontId="1" fillId="9" borderId="1" xfId="10" applyFont="1" applyFill="1" applyBorder="1" applyAlignment="1">
      <alignment horizontal="center" vertical="center" wrapText="1"/>
    </xf>
    <xf numFmtId="14" fontId="4" fillId="15" borderId="1" xfId="10" applyNumberFormat="1" applyFont="1" applyFill="1" applyBorder="1" applyAlignment="1">
      <alignment horizontal="center" vertical="center" wrapText="1"/>
    </xf>
    <xf numFmtId="0" fontId="1" fillId="2" borderId="1" xfId="10" applyFont="1" applyFill="1" applyBorder="1" applyAlignment="1">
      <alignment horizontal="center" vertical="center" wrapText="1"/>
    </xf>
    <xf numFmtId="165" fontId="1" fillId="8" borderId="1" xfId="10" applyNumberFormat="1" applyFont="1" applyFill="1" applyBorder="1" applyAlignment="1">
      <alignment horizontal="center" vertical="center" wrapText="1"/>
    </xf>
    <xf numFmtId="0" fontId="1" fillId="18" borderId="1" xfId="10" applyFont="1" applyFill="1" applyBorder="1" applyAlignment="1">
      <alignment horizontal="center" vertical="center" wrapText="1"/>
    </xf>
    <xf numFmtId="0" fontId="4" fillId="15" borderId="1" xfId="10" applyFont="1" applyFill="1" applyBorder="1" applyAlignment="1">
      <alignment horizontal="center" vertical="center" wrapText="1"/>
    </xf>
    <xf numFmtId="0" fontId="22" fillId="11" borderId="1" xfId="10" applyFont="1" applyFill="1" applyBorder="1" applyAlignment="1" applyProtection="1">
      <alignment horizontal="center" vertical="center" wrapText="1"/>
    </xf>
    <xf numFmtId="0" fontId="7" fillId="24" borderId="3" xfId="10" applyFill="1" applyBorder="1" applyAlignment="1">
      <alignment horizontal="center" vertical="center" wrapText="1"/>
    </xf>
    <xf numFmtId="0" fontId="1" fillId="13" borderId="1" xfId="10" applyFont="1" applyFill="1" applyBorder="1" applyAlignment="1">
      <alignment horizontal="center" vertical="center" wrapText="1"/>
    </xf>
    <xf numFmtId="14" fontId="1" fillId="19" borderId="2" xfId="10" applyNumberFormat="1" applyFont="1" applyFill="1" applyBorder="1" applyAlignment="1">
      <alignment horizontal="center" vertical="center" wrapText="1"/>
    </xf>
    <xf numFmtId="14" fontId="1" fillId="20" borderId="2" xfId="10" applyNumberFormat="1" applyFont="1" applyFill="1" applyBorder="1" applyAlignment="1">
      <alignment horizontal="center" vertical="center" wrapText="1"/>
    </xf>
    <xf numFmtId="0" fontId="1" fillId="12" borderId="17" xfId="10" applyFont="1" applyFill="1" applyBorder="1" applyAlignment="1">
      <alignment horizontal="center" vertical="center" wrapText="1"/>
    </xf>
    <xf numFmtId="0" fontId="4" fillId="24" borderId="17" xfId="10" applyFont="1" applyFill="1" applyBorder="1" applyAlignment="1">
      <alignment horizontal="center" vertical="center" wrapText="1"/>
    </xf>
    <xf numFmtId="0" fontId="1" fillId="10" borderId="17" xfId="10" applyFont="1" applyFill="1" applyBorder="1" applyAlignment="1">
      <alignment horizontal="center" vertical="center" wrapText="1"/>
    </xf>
    <xf numFmtId="0" fontId="1" fillId="21" borderId="17" xfId="10" applyFont="1" applyFill="1" applyBorder="1" applyAlignment="1">
      <alignment horizontal="center" vertical="center" wrapText="1"/>
    </xf>
    <xf numFmtId="0" fontId="22" fillId="25" borderId="1" xfId="10" applyFont="1" applyFill="1" applyBorder="1" applyAlignment="1">
      <alignment horizontal="center" vertical="center" wrapText="1"/>
    </xf>
    <xf numFmtId="14" fontId="1" fillId="19" borderId="18" xfId="10" applyNumberFormat="1" applyFont="1" applyFill="1" applyBorder="1" applyAlignment="1">
      <alignment horizontal="center" vertical="center" wrapText="1"/>
    </xf>
    <xf numFmtId="1" fontId="1" fillId="19" borderId="1" xfId="10" applyNumberFormat="1" applyFont="1" applyFill="1" applyBorder="1" applyAlignment="1">
      <alignment horizontal="center" vertical="center" wrapText="1"/>
    </xf>
    <xf numFmtId="1" fontId="20" fillId="0" borderId="1" xfId="1" applyNumberFormat="1" applyFont="1" applyBorder="1" applyAlignment="1">
      <alignment horizontal="center" vertical="center" wrapText="1"/>
    </xf>
    <xf numFmtId="0" fontId="0" fillId="26" borderId="1" xfId="10" applyFont="1" applyFill="1" applyBorder="1" applyAlignment="1">
      <alignment horizontal="center" vertical="center" wrapText="1"/>
    </xf>
    <xf numFmtId="0" fontId="1" fillId="26" borderId="1" xfId="10" applyFont="1" applyFill="1" applyBorder="1" applyAlignment="1">
      <alignment horizontal="center" vertical="center" wrapText="1"/>
    </xf>
    <xf numFmtId="0" fontId="0" fillId="0" borderId="3" xfId="0" applyBorder="1"/>
    <xf numFmtId="9" fontId="0" fillId="0" borderId="0" xfId="6" applyFont="1" applyBorder="1"/>
    <xf numFmtId="0" fontId="5" fillId="28" borderId="1" xfId="0" applyFont="1" applyFill="1" applyBorder="1" applyAlignment="1">
      <alignment horizontal="center" vertical="center" wrapText="1"/>
    </xf>
    <xf numFmtId="0" fontId="25" fillId="13" borderId="19" xfId="0" applyFont="1" applyFill="1" applyBorder="1" applyAlignment="1">
      <alignment vertical="center" wrapText="1"/>
    </xf>
    <xf numFmtId="0" fontId="31" fillId="29" borderId="10" xfId="0" applyFont="1" applyFill="1" applyBorder="1" applyAlignment="1">
      <alignment horizontal="center" vertical="center" wrapText="1"/>
    </xf>
    <xf numFmtId="0" fontId="32" fillId="17" borderId="10" xfId="0" applyFont="1" applyFill="1" applyBorder="1" applyAlignment="1">
      <alignment vertical="center" wrapText="1"/>
    </xf>
    <xf numFmtId="0" fontId="25" fillId="13" borderId="10" xfId="0" applyFont="1" applyFill="1" applyBorder="1" applyAlignment="1">
      <alignment vertical="center" wrapText="1"/>
    </xf>
    <xf numFmtId="0" fontId="24" fillId="0" borderId="10" xfId="0" applyFont="1" applyBorder="1"/>
    <xf numFmtId="0" fontId="1" fillId="0" borderId="10" xfId="0" applyFont="1" applyBorder="1"/>
    <xf numFmtId="0" fontId="1" fillId="0" borderId="21" xfId="0" applyFont="1" applyBorder="1"/>
    <xf numFmtId="0" fontId="1" fillId="0" borderId="22" xfId="0" applyFont="1" applyBorder="1"/>
    <xf numFmtId="0" fontId="1" fillId="0" borderId="23" xfId="0" applyFont="1" applyBorder="1"/>
    <xf numFmtId="0" fontId="1" fillId="0" borderId="24" xfId="0" applyFont="1" applyBorder="1"/>
    <xf numFmtId="0" fontId="0" fillId="0" borderId="20" xfId="0" applyBorder="1"/>
    <xf numFmtId="0" fontId="0" fillId="0" borderId="2" xfId="0" applyBorder="1"/>
    <xf numFmtId="9" fontId="0" fillId="0" borderId="21" xfId="6" applyFont="1" applyBorder="1"/>
    <xf numFmtId="9" fontId="0" fillId="0" borderId="22" xfId="6" applyFont="1" applyBorder="1"/>
    <xf numFmtId="9" fontId="0" fillId="0" borderId="23" xfId="6" applyFont="1" applyBorder="1"/>
    <xf numFmtId="0" fontId="25" fillId="0" borderId="27" xfId="0" applyFont="1" applyBorder="1" applyAlignment="1">
      <alignment vertical="center" wrapText="1"/>
    </xf>
    <xf numFmtId="0" fontId="0" fillId="0" borderId="28" xfId="0" applyBorder="1" applyAlignment="1">
      <alignment horizontal="center" vertical="center"/>
    </xf>
    <xf numFmtId="0" fontId="25" fillId="0" borderId="29" xfId="0" applyFont="1" applyBorder="1" applyAlignment="1">
      <alignment vertical="center" wrapText="1"/>
    </xf>
    <xf numFmtId="0" fontId="0" fillId="0" borderId="30" xfId="0" applyBorder="1" applyAlignment="1">
      <alignment horizontal="center" vertical="center"/>
    </xf>
    <xf numFmtId="0" fontId="0" fillId="0" borderId="28" xfId="0" applyBorder="1"/>
    <xf numFmtId="0" fontId="0" fillId="0" borderId="30" xfId="0" applyBorder="1"/>
    <xf numFmtId="0" fontId="0" fillId="0" borderId="31" xfId="0" applyBorder="1"/>
    <xf numFmtId="0" fontId="25" fillId="0" borderId="32" xfId="0" applyFont="1" applyBorder="1" applyAlignment="1">
      <alignment vertical="center" wrapText="1"/>
    </xf>
    <xf numFmtId="0" fontId="0" fillId="0" borderId="33" xfId="0" applyBorder="1"/>
    <xf numFmtId="0" fontId="25" fillId="22" borderId="32" xfId="0" applyFont="1" applyFill="1" applyBorder="1" applyAlignment="1">
      <alignment vertical="center" wrapText="1"/>
    </xf>
    <xf numFmtId="9" fontId="0" fillId="0" borderId="33" xfId="6" applyFont="1" applyBorder="1"/>
    <xf numFmtId="0" fontId="25" fillId="23" borderId="32" xfId="0" applyFont="1" applyFill="1" applyBorder="1" applyAlignment="1">
      <alignment vertical="center" wrapText="1"/>
    </xf>
    <xf numFmtId="0" fontId="25" fillId="16" borderId="32" xfId="0" applyFont="1" applyFill="1" applyBorder="1" applyAlignment="1">
      <alignment vertical="center" wrapText="1"/>
    </xf>
    <xf numFmtId="0" fontId="25" fillId="9" borderId="32" xfId="0" applyFont="1" applyFill="1" applyBorder="1" applyAlignment="1">
      <alignment vertical="center" wrapText="1"/>
    </xf>
    <xf numFmtId="0" fontId="25" fillId="9" borderId="34" xfId="0" applyFont="1" applyFill="1" applyBorder="1" applyAlignment="1">
      <alignment vertical="center" wrapText="1"/>
    </xf>
    <xf numFmtId="0" fontId="0" fillId="0" borderId="35" xfId="0" applyBorder="1"/>
    <xf numFmtId="0" fontId="0" fillId="2" borderId="14" xfId="0" applyFill="1" applyBorder="1"/>
    <xf numFmtId="0" fontId="0" fillId="2" borderId="1" xfId="0" applyFill="1" applyBorder="1"/>
    <xf numFmtId="0" fontId="0" fillId="2" borderId="11" xfId="0" applyFill="1" applyBorder="1"/>
    <xf numFmtId="0" fontId="0" fillId="2" borderId="15" xfId="0" applyFill="1" applyBorder="1"/>
    <xf numFmtId="0" fontId="25" fillId="0" borderId="36" xfId="0" applyFont="1" applyBorder="1" applyAlignment="1">
      <alignment vertical="center" wrapText="1"/>
    </xf>
    <xf numFmtId="0" fontId="25" fillId="16" borderId="34" xfId="0" applyFont="1" applyFill="1" applyBorder="1" applyAlignment="1">
      <alignment vertical="center" wrapText="1"/>
    </xf>
    <xf numFmtId="0" fontId="0" fillId="0" borderId="37" xfId="0" applyBorder="1"/>
    <xf numFmtId="1" fontId="0" fillId="0" borderId="3" xfId="6" applyNumberFormat="1" applyFont="1" applyBorder="1"/>
    <xf numFmtId="0" fontId="32" fillId="27" borderId="21" xfId="0" applyFont="1" applyFill="1" applyBorder="1" applyAlignment="1">
      <alignment vertical="center" wrapText="1"/>
    </xf>
    <xf numFmtId="0" fontId="0" fillId="0" borderId="1" xfId="0" applyBorder="1" applyAlignment="1">
      <alignment wrapText="1"/>
    </xf>
    <xf numFmtId="0" fontId="0" fillId="0" borderId="1" xfId="0" applyBorder="1" applyAlignment="1">
      <alignment horizontal="center"/>
    </xf>
    <xf numFmtId="0" fontId="5" fillId="30" borderId="0" xfId="1" applyFont="1" applyFill="1" applyAlignment="1">
      <alignment horizontal="center" vertical="center" wrapText="1"/>
    </xf>
    <xf numFmtId="0" fontId="0" fillId="0" borderId="19" xfId="0" applyBorder="1"/>
    <xf numFmtId="0" fontId="0" fillId="0" borderId="39" xfId="0" applyBorder="1"/>
    <xf numFmtId="0" fontId="0" fillId="31" borderId="21" xfId="0" applyFill="1" applyBorder="1"/>
    <xf numFmtId="0" fontId="0" fillId="31" borderId="22" xfId="0" applyFill="1" applyBorder="1"/>
    <xf numFmtId="0" fontId="0" fillId="21" borderId="38" xfId="10" applyFont="1" applyFill="1" applyBorder="1" applyAlignment="1">
      <alignment horizontal="center" vertical="center" wrapText="1"/>
    </xf>
    <xf numFmtId="0" fontId="20" fillId="0" borderId="8" xfId="1" applyFont="1" applyBorder="1" applyAlignment="1">
      <alignment horizontal="center" vertical="center" wrapText="1"/>
    </xf>
    <xf numFmtId="0" fontId="0" fillId="30" borderId="0" xfId="10" applyFont="1" applyFill="1" applyBorder="1" applyAlignment="1">
      <alignment horizontal="center" vertical="center" wrapText="1"/>
    </xf>
    <xf numFmtId="0" fontId="0" fillId="0" borderId="13" xfId="0" applyBorder="1"/>
    <xf numFmtId="0" fontId="0" fillId="0" borderId="40" xfId="0" applyBorder="1"/>
    <xf numFmtId="0" fontId="0" fillId="0" borderId="41" xfId="0" applyBorder="1"/>
    <xf numFmtId="0" fontId="22" fillId="32" borderId="1" xfId="10" applyFont="1" applyFill="1" applyBorder="1" applyAlignment="1">
      <alignment horizontal="center" vertical="center" wrapText="1"/>
    </xf>
    <xf numFmtId="0" fontId="4" fillId="32" borderId="1" xfId="10" applyFont="1" applyFill="1" applyBorder="1" applyAlignment="1">
      <alignment horizontal="center" vertical="center" wrapText="1"/>
    </xf>
    <xf numFmtId="0" fontId="0" fillId="31" borderId="24" xfId="0" applyFill="1" applyBorder="1"/>
    <xf numFmtId="0" fontId="5" fillId="33" borderId="1" xfId="1" applyFont="1" applyFill="1" applyBorder="1" applyAlignment="1">
      <alignment horizontal="center" vertical="center" wrapText="1"/>
    </xf>
    <xf numFmtId="164" fontId="5" fillId="33" borderId="1" xfId="1" applyNumberFormat="1" applyFont="1" applyFill="1" applyBorder="1" applyAlignment="1">
      <alignment horizontal="center" vertical="center" wrapText="1"/>
    </xf>
    <xf numFmtId="14" fontId="5" fillId="33" borderId="1" xfId="1" applyNumberFormat="1" applyFont="1" applyFill="1" applyBorder="1" applyAlignment="1">
      <alignment horizontal="center" vertical="center" wrapText="1"/>
    </xf>
    <xf numFmtId="0" fontId="5" fillId="33" borderId="27" xfId="1" applyFont="1" applyFill="1" applyBorder="1" applyAlignment="1">
      <alignment horizontal="center" vertical="center" wrapText="1"/>
    </xf>
    <xf numFmtId="164" fontId="5" fillId="33" borderId="20" xfId="1" applyNumberFormat="1" applyFont="1" applyFill="1" applyBorder="1" applyAlignment="1">
      <alignment horizontal="center" vertical="center" wrapText="1"/>
    </xf>
    <xf numFmtId="14" fontId="5" fillId="33" borderId="20" xfId="1" applyNumberFormat="1" applyFont="1" applyFill="1" applyBorder="1" applyAlignment="1">
      <alignment horizontal="center" vertical="center" wrapText="1"/>
    </xf>
    <xf numFmtId="0" fontId="5" fillId="33" borderId="20" xfId="1" applyFont="1" applyFill="1" applyBorder="1" applyAlignment="1">
      <alignment horizontal="center" vertical="center" wrapText="1"/>
    </xf>
    <xf numFmtId="0" fontId="5" fillId="33" borderId="28" xfId="1" applyFont="1" applyFill="1" applyBorder="1" applyAlignment="1">
      <alignment horizontal="center" vertical="center" wrapText="1"/>
    </xf>
    <xf numFmtId="0" fontId="5" fillId="13" borderId="21" xfId="1" applyFont="1" applyFill="1" applyBorder="1" applyAlignment="1">
      <alignment horizontal="center" vertical="center" wrapText="1"/>
    </xf>
    <xf numFmtId="0" fontId="5" fillId="13" borderId="22" xfId="1" applyFont="1" applyFill="1" applyBorder="1" applyAlignment="1">
      <alignment horizontal="center" vertical="center" wrapText="1"/>
    </xf>
    <xf numFmtId="14" fontId="0" fillId="0" borderId="1" xfId="1" applyNumberFormat="1" applyFont="1" applyBorder="1" applyAlignment="1">
      <alignment horizontal="center" vertical="center" wrapText="1"/>
    </xf>
    <xf numFmtId="14" fontId="0" fillId="7" borderId="1" xfId="10" applyNumberFormat="1" applyFont="1" applyFill="1" applyBorder="1" applyAlignment="1">
      <alignment horizontal="center" vertical="center" wrapText="1"/>
    </xf>
    <xf numFmtId="0" fontId="17" fillId="34" borderId="40" xfId="0" applyFont="1" applyFill="1" applyBorder="1"/>
    <xf numFmtId="0" fontId="17" fillId="0" borderId="40" xfId="0" applyFont="1" applyBorder="1"/>
    <xf numFmtId="0" fontId="0" fillId="0" borderId="7" xfId="0" applyBorder="1" applyAlignment="1">
      <alignment horizontal="center" vertical="top" wrapText="1"/>
    </xf>
    <xf numFmtId="0" fontId="0" fillId="0" borderId="1" xfId="0" applyBorder="1" applyAlignment="1">
      <alignment horizontal="left" vertical="top" wrapText="1"/>
    </xf>
    <xf numFmtId="0" fontId="18" fillId="8" borderId="1" xfId="10" applyFont="1" applyFill="1" applyBorder="1" applyAlignment="1">
      <alignment horizontal="center" vertical="center" wrapText="1"/>
    </xf>
    <xf numFmtId="0" fontId="17" fillId="8" borderId="1" xfId="10" applyFont="1" applyFill="1" applyBorder="1" applyAlignment="1">
      <alignment horizontal="center" vertical="center" wrapText="1"/>
    </xf>
    <xf numFmtId="14" fontId="1" fillId="7" borderId="1" xfId="10" applyNumberFormat="1" applyFont="1" applyFill="1" applyBorder="1" applyAlignment="1">
      <alignment horizontal="center" vertical="center" wrapText="1"/>
    </xf>
    <xf numFmtId="14" fontId="4" fillId="32" borderId="1" xfId="10" applyNumberFormat="1" applyFont="1" applyFill="1" applyBorder="1" applyAlignment="1">
      <alignment horizontal="center" vertical="center" wrapText="1"/>
    </xf>
    <xf numFmtId="0" fontId="35" fillId="11" borderId="1" xfId="10" applyFont="1" applyFill="1" applyBorder="1" applyAlignment="1">
      <alignment horizontal="center" vertical="center" wrapText="1"/>
    </xf>
    <xf numFmtId="0" fontId="18" fillId="2" borderId="1" xfId="10" applyFont="1" applyFill="1" applyBorder="1" applyAlignment="1">
      <alignment horizontal="center" vertical="center" wrapText="1"/>
    </xf>
    <xf numFmtId="0" fontId="1" fillId="7" borderId="1" xfId="10" applyFont="1" applyFill="1" applyBorder="1" applyAlignment="1">
      <alignment horizontal="center" vertical="center" wrapText="1"/>
    </xf>
    <xf numFmtId="0" fontId="0" fillId="0" borderId="3" xfId="0" applyBorder="1" applyAlignment="1">
      <alignment vertical="top" wrapText="1"/>
    </xf>
    <xf numFmtId="0" fontId="0" fillId="0" borderId="8" xfId="0" applyBorder="1" applyAlignment="1">
      <alignment vertical="top" wrapText="1"/>
    </xf>
    <xf numFmtId="0" fontId="36" fillId="0" borderId="1" xfId="0" applyFont="1" applyBorder="1" applyAlignment="1">
      <alignment vertical="top" wrapText="1"/>
    </xf>
    <xf numFmtId="0" fontId="0" fillId="0" borderId="1" xfId="0" applyBorder="1" applyAlignment="1">
      <alignment horizontal="center" vertical="center" wrapText="1"/>
    </xf>
    <xf numFmtId="0" fontId="25" fillId="23" borderId="42" xfId="0" applyFont="1" applyFill="1" applyBorder="1" applyAlignment="1">
      <alignment vertical="center" wrapText="1"/>
    </xf>
    <xf numFmtId="0" fontId="25" fillId="0" borderId="43" xfId="0" applyFont="1" applyBorder="1" applyAlignment="1">
      <alignment vertical="center" wrapText="1"/>
    </xf>
    <xf numFmtId="0" fontId="25" fillId="0" borderId="10" xfId="0" applyFont="1" applyBorder="1" applyAlignment="1">
      <alignment vertical="center" wrapText="1"/>
    </xf>
    <xf numFmtId="9" fontId="0" fillId="0" borderId="44" xfId="6" applyFont="1" applyBorder="1"/>
    <xf numFmtId="9" fontId="0" fillId="0" borderId="11" xfId="6" applyFont="1" applyBorder="1"/>
    <xf numFmtId="9" fontId="0" fillId="0" borderId="15" xfId="6" applyFont="1" applyBorder="1"/>
    <xf numFmtId="0" fontId="25" fillId="0" borderId="13" xfId="0" applyFont="1" applyBorder="1" applyAlignment="1">
      <alignment vertical="center" wrapText="1"/>
    </xf>
    <xf numFmtId="0" fontId="0" fillId="0" borderId="22" xfId="0" applyBorder="1"/>
    <xf numFmtId="0" fontId="0" fillId="0" borderId="11" xfId="0" applyBorder="1"/>
    <xf numFmtId="0" fontId="0" fillId="0" borderId="15" xfId="0" applyBorder="1"/>
    <xf numFmtId="0" fontId="0" fillId="0" borderId="45" xfId="0" applyBorder="1"/>
    <xf numFmtId="0" fontId="25" fillId="35" borderId="12" xfId="0" applyFont="1" applyFill="1" applyBorder="1" applyAlignment="1">
      <alignment vertical="center" wrapText="1"/>
    </xf>
    <xf numFmtId="0" fontId="7" fillId="32" borderId="1" xfId="10" applyNumberFormat="1" applyFill="1" applyBorder="1" applyAlignment="1">
      <alignment horizontal="center" vertical="center" wrapText="1"/>
    </xf>
    <xf numFmtId="0" fontId="25" fillId="9" borderId="47" xfId="0" applyFont="1" applyFill="1" applyBorder="1" applyAlignment="1">
      <alignment vertical="center" wrapText="1"/>
    </xf>
    <xf numFmtId="0" fontId="25" fillId="9" borderId="48" xfId="0" applyFont="1" applyFill="1" applyBorder="1" applyAlignment="1">
      <alignment vertical="center" wrapText="1"/>
    </xf>
    <xf numFmtId="9" fontId="0" fillId="0" borderId="10" xfId="6" applyFont="1" applyBorder="1"/>
    <xf numFmtId="164" fontId="0" fillId="0" borderId="10" xfId="0" applyNumberFormat="1" applyBorder="1"/>
    <xf numFmtId="0" fontId="0" fillId="0" borderId="10" xfId="0" applyBorder="1"/>
    <xf numFmtId="0" fontId="0" fillId="0" borderId="50" xfId="0" applyBorder="1"/>
    <xf numFmtId="0" fontId="25" fillId="35" borderId="10" xfId="0" applyFont="1" applyFill="1" applyBorder="1" applyAlignment="1">
      <alignment vertical="center" wrapText="1"/>
    </xf>
    <xf numFmtId="0" fontId="0" fillId="0" borderId="21" xfId="0" applyBorder="1"/>
    <xf numFmtId="0" fontId="0" fillId="0" borderId="23" xfId="0" applyBorder="1"/>
    <xf numFmtId="0" fontId="25" fillId="35" borderId="13" xfId="0" applyFont="1" applyFill="1" applyBorder="1" applyAlignment="1">
      <alignment vertical="center" wrapText="1"/>
    </xf>
    <xf numFmtId="9" fontId="0" fillId="0" borderId="41" xfId="6" applyFont="1" applyBorder="1"/>
    <xf numFmtId="0" fontId="0" fillId="0" borderId="14" xfId="0" applyBorder="1"/>
    <xf numFmtId="0" fontId="0" fillId="0" borderId="0" xfId="0" applyAlignment="1">
      <alignment vertical="center"/>
    </xf>
    <xf numFmtId="165" fontId="0" fillId="8" borderId="1" xfId="10" applyNumberFormat="1" applyFont="1" applyFill="1" applyBorder="1" applyAlignment="1">
      <alignment horizontal="center" vertical="center" wrapText="1"/>
    </xf>
    <xf numFmtId="0" fontId="25" fillId="0" borderId="51" xfId="0" applyFont="1" applyBorder="1" applyAlignment="1">
      <alignment vertical="center" wrapText="1"/>
    </xf>
    <xf numFmtId="0" fontId="25" fillId="36" borderId="12" xfId="0" applyFont="1" applyFill="1" applyBorder="1" applyAlignment="1">
      <alignment vertical="center" wrapText="1"/>
    </xf>
    <xf numFmtId="0" fontId="25" fillId="36" borderId="13" xfId="0" applyFont="1" applyFill="1" applyBorder="1" applyAlignment="1">
      <alignment vertical="center" wrapText="1"/>
    </xf>
    <xf numFmtId="0" fontId="5" fillId="13" borderId="24" xfId="1" applyFont="1" applyFill="1" applyBorder="1" applyAlignment="1">
      <alignment horizontal="center" vertical="center" wrapText="1"/>
    </xf>
    <xf numFmtId="0" fontId="5" fillId="33" borderId="49" xfId="1" applyFont="1" applyFill="1" applyBorder="1" applyAlignment="1">
      <alignment horizontal="center" vertical="center" wrapText="1"/>
    </xf>
    <xf numFmtId="0" fontId="25" fillId="35" borderId="51" xfId="0" applyFont="1" applyFill="1" applyBorder="1" applyAlignment="1">
      <alignment vertical="center" wrapText="1"/>
    </xf>
    <xf numFmtId="0" fontId="39" fillId="0" borderId="0" xfId="1" applyFont="1" applyAlignment="1">
      <alignment horizontal="center" vertical="center" wrapText="1"/>
    </xf>
    <xf numFmtId="0" fontId="25" fillId="35" borderId="19" xfId="0" applyFont="1" applyFill="1" applyBorder="1" applyAlignment="1">
      <alignment vertical="center" wrapText="1"/>
    </xf>
    <xf numFmtId="0" fontId="41" fillId="35" borderId="13" xfId="0" applyFont="1" applyFill="1" applyBorder="1" applyAlignment="1">
      <alignment vertical="center" wrapText="1"/>
    </xf>
    <xf numFmtId="0" fontId="25" fillId="8" borderId="8" xfId="0" applyFont="1" applyFill="1" applyBorder="1" applyAlignment="1">
      <alignment vertical="center" wrapText="1"/>
    </xf>
    <xf numFmtId="9" fontId="0" fillId="0" borderId="2" xfId="6" applyFont="1" applyFill="1" applyBorder="1"/>
    <xf numFmtId="0" fontId="1" fillId="2" borderId="1" xfId="0" applyFont="1" applyFill="1" applyBorder="1"/>
    <xf numFmtId="0" fontId="40" fillId="26" borderId="10" xfId="0" applyFont="1" applyFill="1" applyBorder="1" applyAlignment="1">
      <alignment horizontal="center" vertical="center"/>
    </xf>
    <xf numFmtId="0" fontId="24" fillId="35" borderId="8" xfId="0" applyFont="1" applyFill="1" applyBorder="1" applyAlignment="1">
      <alignment horizontal="center" vertical="center" wrapText="1"/>
    </xf>
    <xf numFmtId="0" fontId="18" fillId="13" borderId="1" xfId="10" applyFont="1" applyFill="1" applyBorder="1" applyAlignment="1">
      <alignment horizontal="center" vertical="center" wrapText="1"/>
    </xf>
    <xf numFmtId="0" fontId="43" fillId="0" borderId="0" xfId="1" applyFont="1" applyAlignment="1">
      <alignment horizontal="center" vertical="center" wrapText="1"/>
    </xf>
    <xf numFmtId="0" fontId="25" fillId="37" borderId="29" xfId="0" applyFont="1" applyFill="1" applyBorder="1" applyAlignment="1">
      <alignment vertical="center" wrapText="1"/>
    </xf>
    <xf numFmtId="0" fontId="25" fillId="37" borderId="1" xfId="0" applyFont="1" applyFill="1" applyBorder="1" applyAlignment="1">
      <alignment vertical="center" wrapText="1"/>
    </xf>
    <xf numFmtId="14" fontId="5" fillId="2" borderId="1" xfId="1" applyNumberFormat="1" applyFont="1" applyFill="1" applyBorder="1" applyAlignment="1">
      <alignment horizontal="center" vertical="center" wrapText="1"/>
    </xf>
    <xf numFmtId="0" fontId="1" fillId="0" borderId="0" xfId="0" applyFont="1"/>
    <xf numFmtId="0" fontId="41" fillId="8" borderId="8" xfId="0" applyFont="1" applyFill="1" applyBorder="1" applyAlignment="1">
      <alignment vertical="center" wrapText="1"/>
    </xf>
    <xf numFmtId="14" fontId="11" fillId="0" borderId="1" xfId="1" applyNumberFormat="1" applyFont="1" applyBorder="1" applyAlignment="1">
      <alignment horizontal="center" vertical="center" wrapText="1"/>
    </xf>
    <xf numFmtId="0" fontId="0" fillId="0" borderId="8" xfId="0" applyBorder="1" applyAlignment="1">
      <alignment horizontal="center" vertical="top" wrapText="1"/>
    </xf>
    <xf numFmtId="0" fontId="0" fillId="0" borderId="9" xfId="0" applyBorder="1" applyAlignment="1">
      <alignment horizontal="center" vertical="top" wrapText="1"/>
    </xf>
    <xf numFmtId="0" fontId="0" fillId="0" borderId="7" xfId="0" applyBorder="1" applyAlignment="1">
      <alignment horizontal="center" vertical="top" wrapText="1"/>
    </xf>
    <xf numFmtId="0" fontId="28" fillId="0" borderId="16" xfId="0" applyFont="1" applyBorder="1" applyAlignment="1">
      <alignment horizontal="left" vertical="center" wrapText="1"/>
    </xf>
    <xf numFmtId="0" fontId="28" fillId="0" borderId="16" xfId="0" applyFont="1" applyBorder="1" applyAlignment="1">
      <alignment horizontal="left" wrapText="1"/>
    </xf>
    <xf numFmtId="0" fontId="0" fillId="0" borderId="1" xfId="0" applyBorder="1" applyAlignment="1">
      <alignment horizontal="left" vertical="top" wrapText="1"/>
    </xf>
    <xf numFmtId="0" fontId="0" fillId="0" borderId="8" xfId="0" applyBorder="1" applyAlignment="1">
      <alignment horizontal="left" vertical="top" wrapText="1"/>
    </xf>
    <xf numFmtId="0" fontId="0" fillId="0" borderId="9" xfId="0" applyBorder="1" applyAlignment="1">
      <alignment horizontal="left" vertical="top" wrapText="1"/>
    </xf>
    <xf numFmtId="0" fontId="0" fillId="0" borderId="7" xfId="0" applyBorder="1" applyAlignment="1">
      <alignment horizontal="left" vertical="top" wrapText="1"/>
    </xf>
    <xf numFmtId="9" fontId="27" fillId="0" borderId="13" xfId="6" applyFont="1" applyFill="1" applyBorder="1" applyAlignment="1">
      <alignment horizontal="center"/>
    </xf>
    <xf numFmtId="9" fontId="27" fillId="0" borderId="41" xfId="6" applyFont="1" applyFill="1" applyBorder="1" applyAlignment="1">
      <alignment horizontal="center"/>
    </xf>
    <xf numFmtId="9" fontId="27" fillId="0" borderId="13" xfId="6" applyFont="1" applyBorder="1" applyAlignment="1">
      <alignment horizontal="center"/>
    </xf>
    <xf numFmtId="9" fontId="27" fillId="0" borderId="41" xfId="6" applyFont="1" applyBorder="1" applyAlignment="1">
      <alignment horizontal="center"/>
    </xf>
    <xf numFmtId="166" fontId="27" fillId="0" borderId="51" xfId="6" applyNumberFormat="1" applyFont="1" applyBorder="1" applyAlignment="1">
      <alignment horizontal="center" vertical="center"/>
    </xf>
    <xf numFmtId="166" fontId="27" fillId="0" borderId="52" xfId="6" applyNumberFormat="1" applyFont="1" applyBorder="1" applyAlignment="1">
      <alignment horizontal="center" vertical="center"/>
    </xf>
    <xf numFmtId="9" fontId="42" fillId="0" borderId="51" xfId="6" applyFont="1" applyBorder="1" applyAlignment="1">
      <alignment horizontal="center" vertical="center"/>
    </xf>
    <xf numFmtId="9" fontId="42" fillId="0" borderId="52" xfId="6" applyFont="1" applyBorder="1" applyAlignment="1">
      <alignment horizontal="center" vertical="center"/>
    </xf>
    <xf numFmtId="166" fontId="42" fillId="0" borderId="51" xfId="6" applyNumberFormat="1" applyFont="1" applyBorder="1" applyAlignment="1">
      <alignment horizontal="center" vertical="center"/>
    </xf>
    <xf numFmtId="166" fontId="42" fillId="0" borderId="52" xfId="6" applyNumberFormat="1" applyFont="1" applyBorder="1" applyAlignment="1">
      <alignment horizontal="center" vertical="center"/>
    </xf>
    <xf numFmtId="9" fontId="0" fillId="0" borderId="49" xfId="6" applyFont="1" applyBorder="1" applyAlignment="1">
      <alignment horizontal="center"/>
    </xf>
    <xf numFmtId="9" fontId="0" fillId="0" borderId="16" xfId="6" applyFont="1" applyBorder="1" applyAlignment="1">
      <alignment horizontal="center"/>
    </xf>
    <xf numFmtId="0" fontId="1" fillId="0" borderId="25" xfId="0" applyFont="1" applyBorder="1" applyAlignment="1">
      <alignment horizontal="center" vertical="center"/>
    </xf>
    <xf numFmtId="0" fontId="1" fillId="0" borderId="26" xfId="0" applyFont="1" applyBorder="1" applyAlignment="1">
      <alignment horizontal="center" vertical="center"/>
    </xf>
    <xf numFmtId="0" fontId="0" fillId="0" borderId="8" xfId="0" applyBorder="1" applyAlignment="1">
      <alignment horizontal="center"/>
    </xf>
    <xf numFmtId="0" fontId="0" fillId="0" borderId="9" xfId="0" applyBorder="1" applyAlignment="1">
      <alignment horizontal="center"/>
    </xf>
    <xf numFmtId="0" fontId="0" fillId="0" borderId="43" xfId="0" applyBorder="1" applyAlignment="1">
      <alignment horizontal="center"/>
    </xf>
    <xf numFmtId="0" fontId="0" fillId="0" borderId="46" xfId="0" applyBorder="1" applyAlignment="1">
      <alignment horizontal="center"/>
    </xf>
  </cellXfs>
  <cellStyles count="15">
    <cellStyle name="Énfasis5" xfId="10" builtinId="45"/>
    <cellStyle name="Estilo 1" xfId="7" xr:uid="{00000000-0005-0000-0000-000001000000}"/>
    <cellStyle name="Estilo 2" xfId="8" xr:uid="{00000000-0005-0000-0000-000002000000}"/>
    <cellStyle name="Estilo 3" xfId="9" xr:uid="{00000000-0005-0000-0000-000003000000}"/>
    <cellStyle name="Normal" xfId="0" builtinId="0"/>
    <cellStyle name="Normal 2" xfId="1" xr:uid="{00000000-0005-0000-0000-000005000000}"/>
    <cellStyle name="Normal 2 2" xfId="2" xr:uid="{00000000-0005-0000-0000-000006000000}"/>
    <cellStyle name="Normal 2 3" xfId="11" xr:uid="{00000000-0005-0000-0000-000007000000}"/>
    <cellStyle name="Normal 3" xfId="12" xr:uid="{00000000-0005-0000-0000-000008000000}"/>
    <cellStyle name="Normal 4" xfId="14" xr:uid="{554DF69A-FC41-4A8B-B6AB-BEBFE9282463}"/>
    <cellStyle name="Normal 5" xfId="4" xr:uid="{00000000-0005-0000-0000-000009000000}"/>
    <cellStyle name="Normal 8" xfId="3" xr:uid="{00000000-0005-0000-0000-00000A000000}"/>
    <cellStyle name="Porcentaje" xfId="6" builtinId="5"/>
    <cellStyle name="Porcentaje 2" xfId="13" xr:uid="{00000000-0005-0000-0000-00000C000000}"/>
    <cellStyle name="Porcentual 2" xfId="5" xr:uid="{00000000-0005-0000-0000-00000D000000}"/>
  </cellStyles>
  <dxfs count="749">
    <dxf>
      <fill>
        <patternFill>
          <bgColor theme="7"/>
        </patternFill>
      </fill>
    </dxf>
    <dxf>
      <fill>
        <patternFill>
          <bgColor theme="7"/>
        </patternFill>
      </fill>
    </dxf>
    <dxf>
      <font>
        <b/>
        <i val="0"/>
        <color theme="0"/>
      </font>
      <fill>
        <patternFill>
          <bgColor rgb="FFFF0000"/>
        </patternFill>
      </fill>
    </dxf>
    <dxf>
      <fill>
        <patternFill>
          <bgColor rgb="FF92D050"/>
        </patternFill>
      </fill>
    </dxf>
    <dxf>
      <fill>
        <patternFill>
          <bgColor rgb="FFFF0000"/>
        </patternFill>
      </fill>
    </dxf>
    <dxf>
      <fill>
        <patternFill>
          <bgColor theme="3" tint="0.59996337778862885"/>
        </patternFill>
      </fill>
    </dxf>
    <dxf>
      <fill>
        <patternFill>
          <bgColor theme="9" tint="0.39994506668294322"/>
        </patternFill>
      </fill>
    </dxf>
    <dxf>
      <fill>
        <patternFill>
          <bgColor rgb="FF92D050"/>
        </patternFill>
      </fill>
    </dxf>
    <dxf>
      <fill>
        <patternFill>
          <bgColor rgb="FFFF0000"/>
        </patternFill>
      </fill>
    </dxf>
    <dxf>
      <fill>
        <patternFill>
          <bgColor theme="3" tint="0.59996337778862885"/>
        </patternFill>
      </fill>
    </dxf>
    <dxf>
      <font>
        <b/>
        <i val="0"/>
        <color theme="0"/>
      </font>
      <fill>
        <patternFill>
          <bgColor rgb="FFC00000"/>
        </patternFill>
      </fill>
    </dxf>
    <dxf>
      <fill>
        <patternFill>
          <bgColor rgb="FF92D050"/>
        </patternFill>
      </fill>
    </dxf>
    <dxf>
      <fill>
        <patternFill>
          <bgColor rgb="FFFFFF00"/>
        </patternFill>
      </fill>
    </dxf>
    <dxf>
      <fill>
        <patternFill>
          <bgColor rgb="FFFF0000"/>
        </patternFill>
      </fill>
    </dxf>
    <dxf>
      <fill>
        <patternFill>
          <bgColor rgb="FFFF0000"/>
        </patternFill>
      </fill>
    </dxf>
    <dxf>
      <fill>
        <patternFill>
          <bgColor rgb="FF92D050"/>
        </patternFill>
      </fill>
    </dxf>
    <dxf>
      <fill>
        <patternFill>
          <bgColor theme="3" tint="0.59996337778862885"/>
        </patternFill>
      </fill>
    </dxf>
    <dxf>
      <font>
        <b/>
        <i val="0"/>
      </font>
      <fill>
        <patternFill>
          <bgColor rgb="FF92D050"/>
        </patternFill>
      </fill>
    </dxf>
    <dxf>
      <font>
        <b/>
        <i val="0"/>
        <color theme="0"/>
      </font>
      <fill>
        <patternFill>
          <bgColor rgb="FFFF0000"/>
        </patternFill>
      </fill>
    </dxf>
    <dxf>
      <font>
        <b/>
        <i val="0"/>
        <color theme="1"/>
      </font>
      <fill>
        <patternFill>
          <bgColor rgb="FFFFC000"/>
        </patternFill>
      </fill>
    </dxf>
    <dxf>
      <font>
        <color rgb="FF9C0006"/>
      </font>
      <fill>
        <patternFill>
          <bgColor rgb="FFFFC7CE"/>
        </patternFill>
      </fill>
    </dxf>
    <dxf>
      <font>
        <b/>
        <i val="0"/>
      </font>
      <fill>
        <patternFill>
          <bgColor rgb="FF92D050"/>
        </patternFill>
      </fill>
    </dxf>
    <dxf>
      <font>
        <b/>
        <i val="0"/>
        <color theme="0"/>
      </font>
      <fill>
        <patternFill>
          <bgColor rgb="FFFF0000"/>
        </patternFill>
      </fill>
    </dxf>
    <dxf>
      <font>
        <b/>
        <i val="0"/>
        <color theme="1"/>
      </font>
      <fill>
        <patternFill>
          <bgColor rgb="FFFFC0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ill>
        <patternFill>
          <bgColor rgb="FFFFC000"/>
        </patternFill>
      </fill>
    </dxf>
    <dxf>
      <fill>
        <patternFill>
          <bgColor rgb="FF92D050"/>
        </patternFill>
      </fill>
    </dxf>
    <dxf>
      <fill>
        <patternFill>
          <bgColor theme="5" tint="0.39994506668294322"/>
        </patternFill>
      </fill>
    </dxf>
    <dxf>
      <fill>
        <patternFill>
          <bgColor theme="7" tint="0.59996337778862885"/>
        </patternFill>
      </fill>
    </dxf>
    <dxf>
      <fill>
        <patternFill>
          <bgColor theme="7" tint="0.59996337778862885"/>
        </patternFill>
      </fill>
    </dxf>
    <dxf>
      <fill>
        <patternFill>
          <bgColor theme="8" tint="-0.24994659260841701"/>
        </patternFill>
      </fill>
    </dxf>
    <dxf>
      <fill>
        <patternFill>
          <bgColor theme="2" tint="-0.24994659260841701"/>
        </patternFill>
      </fill>
    </dxf>
    <dxf>
      <fill>
        <patternFill>
          <bgColor theme="3" tint="0.59996337778862885"/>
        </patternFill>
      </fill>
    </dxf>
    <dxf>
      <fill>
        <patternFill>
          <bgColor theme="3" tint="0.59996337778862885"/>
        </patternFill>
      </fill>
    </dxf>
    <dxf>
      <fill>
        <patternFill>
          <bgColor rgb="FF92D050"/>
        </patternFill>
      </fill>
    </dxf>
    <dxf>
      <fill>
        <patternFill>
          <bgColor theme="5" tint="0.39994506668294322"/>
        </patternFill>
      </fill>
    </dxf>
    <dxf>
      <fill>
        <patternFill>
          <bgColor theme="7" tint="0.59996337778862885"/>
        </patternFill>
      </fill>
    </dxf>
    <dxf>
      <fill>
        <patternFill>
          <bgColor theme="7" tint="0.59996337778862885"/>
        </patternFill>
      </fill>
    </dxf>
    <dxf>
      <fill>
        <patternFill>
          <bgColor theme="8" tint="-0.24994659260841701"/>
        </patternFill>
      </fill>
    </dxf>
    <dxf>
      <fill>
        <patternFill>
          <bgColor theme="2" tint="-0.24994659260841701"/>
        </patternFill>
      </fill>
    </dxf>
    <dxf>
      <fill>
        <patternFill>
          <bgColor theme="6" tint="0.79998168889431442"/>
        </patternFill>
      </fill>
    </dxf>
    <dxf>
      <fill>
        <patternFill>
          <bgColor theme="6" tint="-0.499984740745262"/>
        </patternFill>
      </fill>
    </dxf>
    <dxf>
      <fill>
        <patternFill>
          <bgColor theme="9" tint="-0.24994659260841701"/>
        </patternFill>
      </fill>
    </dxf>
    <dxf>
      <fill>
        <patternFill>
          <bgColor theme="3" tint="0.59996337778862885"/>
        </patternFill>
      </fill>
    </dxf>
    <dxf>
      <fill>
        <patternFill>
          <bgColor rgb="FFFFC000"/>
        </patternFill>
      </fill>
    </dxf>
    <dxf>
      <font>
        <b/>
        <i val="0"/>
        <color theme="0"/>
      </font>
      <fill>
        <patternFill>
          <bgColor rgb="FFC00000"/>
        </patternFill>
      </fill>
    </dxf>
    <dxf>
      <fill>
        <patternFill>
          <bgColor rgb="FFFF0000"/>
        </patternFill>
      </fill>
    </dxf>
    <dxf>
      <font>
        <b/>
        <i val="0"/>
        <color theme="0"/>
      </font>
      <fill>
        <patternFill>
          <bgColor rgb="FFC00000"/>
        </patternFill>
      </fill>
    </dxf>
    <dxf>
      <fill>
        <patternFill>
          <bgColor rgb="FF92D050"/>
        </patternFill>
      </fill>
    </dxf>
    <dxf>
      <font>
        <b/>
        <i val="0"/>
        <color theme="0"/>
      </font>
      <fill>
        <patternFill>
          <bgColor theme="1"/>
        </patternFill>
      </fill>
    </dxf>
    <dxf>
      <fill>
        <patternFill>
          <bgColor rgb="FF92D050"/>
        </patternFill>
      </fill>
    </dxf>
    <dxf>
      <fill>
        <patternFill>
          <bgColor theme="5" tint="0.59996337778862885"/>
        </patternFill>
      </fill>
    </dxf>
    <dxf>
      <fill>
        <patternFill>
          <bgColor theme="9" tint="0.59996337778862885"/>
        </patternFill>
      </fill>
    </dxf>
    <dxf>
      <fill>
        <patternFill>
          <bgColor theme="3" tint="0.59996337778862885"/>
        </patternFill>
      </fill>
    </dxf>
    <dxf>
      <fill>
        <patternFill>
          <bgColor rgb="FF92D050"/>
        </patternFill>
      </fill>
    </dxf>
    <dxf>
      <fill>
        <patternFill>
          <bgColor theme="9" tint="0.39994506668294322"/>
        </patternFill>
      </fill>
    </dxf>
    <dxf>
      <fill>
        <patternFill>
          <bgColor rgb="FFFFFF00"/>
        </patternFill>
      </fill>
    </dxf>
    <dxf>
      <font>
        <b/>
        <i val="0"/>
        <color theme="0"/>
      </font>
      <fill>
        <patternFill>
          <bgColor rgb="FFC00000"/>
        </patternFill>
      </fill>
    </dxf>
    <dxf>
      <fill>
        <patternFill>
          <bgColor rgb="FFFF0000"/>
        </patternFill>
      </fill>
    </dxf>
    <dxf>
      <font>
        <b/>
        <i val="0"/>
        <color theme="0"/>
      </font>
      <fill>
        <patternFill>
          <bgColor rgb="FFC00000"/>
        </patternFill>
      </fill>
    </dxf>
    <dxf>
      <font>
        <b/>
        <i val="0"/>
        <color theme="0"/>
      </font>
      <fill>
        <patternFill>
          <bgColor rgb="FFC00000"/>
        </patternFill>
      </fill>
    </dxf>
    <dxf>
      <fill>
        <patternFill>
          <bgColor rgb="FF92D050"/>
        </patternFill>
      </fill>
    </dxf>
    <dxf>
      <font>
        <b/>
        <i val="0"/>
        <color theme="0"/>
      </font>
      <fill>
        <patternFill>
          <bgColor rgb="FFC00000"/>
        </patternFill>
      </fill>
    </dxf>
    <dxf>
      <font>
        <b/>
        <i val="0"/>
        <color theme="0"/>
      </font>
      <fill>
        <patternFill>
          <bgColor rgb="FFC00000"/>
        </patternFill>
      </fill>
    </dxf>
    <dxf>
      <fill>
        <patternFill>
          <bgColor rgb="FFFFFF00"/>
        </patternFill>
      </fill>
    </dxf>
    <dxf>
      <font>
        <color theme="0"/>
      </font>
      <fill>
        <patternFill>
          <bgColor rgb="FFFF0000"/>
        </patternFill>
      </fill>
    </dxf>
    <dxf>
      <fill>
        <patternFill>
          <bgColor theme="6" tint="0.39994506668294322"/>
        </patternFill>
      </fill>
    </dxf>
    <dxf>
      <fill>
        <patternFill>
          <bgColor rgb="FFFFC000"/>
        </patternFill>
      </fill>
    </dxf>
    <dxf>
      <fill>
        <patternFill>
          <bgColor theme="7" tint="0.39994506668294322"/>
        </patternFill>
      </fill>
    </dxf>
    <dxf>
      <fill>
        <patternFill>
          <bgColor rgb="FFFFFF00"/>
        </patternFill>
      </fill>
    </dxf>
    <dxf>
      <fill>
        <patternFill>
          <bgColor rgb="FFFF0000"/>
        </patternFill>
      </fill>
    </dxf>
    <dxf>
      <fill>
        <patternFill>
          <bgColor theme="8" tint="0.39994506668294322"/>
        </patternFill>
      </fill>
    </dxf>
    <dxf>
      <font>
        <b/>
        <i val="0"/>
        <color theme="0"/>
      </font>
      <fill>
        <patternFill>
          <bgColor rgb="FFC00000"/>
        </patternFill>
      </fill>
    </dxf>
    <dxf>
      <fill>
        <patternFill>
          <bgColor rgb="FFFFFF00"/>
        </patternFill>
      </fill>
    </dxf>
    <dxf>
      <fill>
        <patternFill>
          <bgColor rgb="FFFFC000"/>
        </patternFill>
      </fill>
    </dxf>
    <dxf>
      <fill>
        <patternFill>
          <bgColor rgb="FF92D050"/>
        </patternFill>
      </fill>
    </dxf>
    <dxf>
      <fill>
        <patternFill>
          <bgColor rgb="FFFFC000"/>
        </patternFill>
      </fill>
    </dxf>
    <dxf>
      <fill>
        <patternFill>
          <bgColor rgb="FFFFFF00"/>
        </patternFill>
      </fill>
    </dxf>
    <dxf>
      <fill>
        <patternFill>
          <bgColor rgb="FFFF0000"/>
        </patternFill>
      </fill>
    </dxf>
    <dxf>
      <fill>
        <patternFill>
          <bgColor rgb="FF92D050"/>
        </patternFill>
      </fill>
    </dxf>
    <dxf>
      <font>
        <b/>
        <i val="0"/>
        <color theme="1"/>
      </font>
      <fill>
        <patternFill>
          <bgColor rgb="FF00B050"/>
        </patternFill>
      </fill>
    </dxf>
    <dxf>
      <font>
        <b/>
        <i val="0"/>
        <color theme="0"/>
      </font>
      <fill>
        <patternFill>
          <bgColor rgb="FFC00000"/>
        </patternFill>
      </fill>
    </dxf>
    <dxf>
      <font>
        <b/>
        <i val="0"/>
        <color theme="0"/>
      </font>
      <fill>
        <patternFill>
          <bgColor theme="3" tint="-0.499984740745262"/>
        </patternFill>
      </fill>
    </dxf>
    <dxf>
      <fill>
        <patternFill>
          <bgColor theme="2" tint="-0.499984740745262"/>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FF00"/>
        </patternFill>
      </fill>
    </dxf>
    <dxf>
      <font>
        <color rgb="FF9C6500"/>
      </font>
      <fill>
        <patternFill>
          <bgColor rgb="FFFFEB9C"/>
        </patternFill>
      </fill>
    </dxf>
    <dxf>
      <font>
        <b/>
        <i val="0"/>
        <color auto="1"/>
      </font>
      <fill>
        <patternFill>
          <bgColor rgb="FFFF0000"/>
        </patternFill>
      </fill>
    </dxf>
    <dxf>
      <font>
        <b/>
        <i val="0"/>
        <color theme="0"/>
      </font>
      <fill>
        <patternFill>
          <bgColor rgb="FF00B050"/>
        </patternFill>
      </fill>
    </dxf>
    <dxf>
      <font>
        <color rgb="FF9C0006"/>
      </font>
      <fill>
        <patternFill>
          <bgColor rgb="FFFFC7CE"/>
        </patternFill>
      </fill>
    </dxf>
    <dxf>
      <fill>
        <patternFill>
          <bgColor rgb="FF92D050"/>
        </patternFill>
      </fill>
    </dxf>
    <dxf>
      <fill>
        <patternFill>
          <bgColor rgb="FFFFFF00"/>
        </patternFill>
      </fill>
    </dxf>
    <dxf>
      <fill>
        <patternFill>
          <bgColor theme="7" tint="0.39994506668294322"/>
        </patternFill>
      </fill>
    </dxf>
    <dxf>
      <font>
        <b/>
        <i val="0"/>
        <color theme="0"/>
      </font>
      <fill>
        <patternFill>
          <bgColor rgb="FFC00000"/>
        </patternFill>
      </fill>
    </dxf>
    <dxf>
      <font>
        <b/>
        <i val="0"/>
      </font>
      <fill>
        <patternFill>
          <bgColor rgb="FF92D050"/>
        </patternFill>
      </fill>
    </dxf>
    <dxf>
      <font>
        <b/>
        <i val="0"/>
        <color theme="0"/>
      </font>
      <fill>
        <patternFill>
          <bgColor rgb="FFFF0000"/>
        </patternFill>
      </fill>
    </dxf>
    <dxf>
      <font>
        <color rgb="FF9C0006"/>
      </font>
      <fill>
        <patternFill>
          <bgColor rgb="FFFFC7CE"/>
        </patternFill>
      </fill>
    </dxf>
    <dxf>
      <font>
        <b/>
        <i val="0"/>
      </font>
      <fill>
        <patternFill>
          <bgColor rgb="FF92D050"/>
        </patternFill>
      </fill>
    </dxf>
    <dxf>
      <font>
        <b/>
        <i val="0"/>
        <color theme="0"/>
      </font>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val="0"/>
        <i val="0"/>
        <color rgb="FFC00000"/>
      </font>
      <fill>
        <patternFill patternType="solid">
          <fgColor auto="1"/>
          <bgColor rgb="FFFFCCCC"/>
        </patternFill>
      </fill>
    </dxf>
    <dxf>
      <font>
        <color rgb="FF006100"/>
      </font>
      <fill>
        <patternFill>
          <bgColor rgb="FFC6EFCE"/>
        </patternFill>
      </fill>
    </dxf>
    <dxf>
      <font>
        <b/>
        <i val="0"/>
        <color theme="0"/>
      </font>
      <fill>
        <patternFill>
          <bgColor rgb="FFC00000"/>
        </patternFill>
      </fill>
    </dxf>
    <dxf>
      <font>
        <color rgb="FF006100"/>
      </font>
      <fill>
        <patternFill>
          <bgColor rgb="FFC6EFCE"/>
        </patternFill>
      </fill>
    </dxf>
    <dxf>
      <font>
        <b/>
        <i val="0"/>
        <color auto="1"/>
      </font>
      <fill>
        <patternFill patternType="solid">
          <fgColor auto="1"/>
          <bgColor rgb="FFFB4D3B"/>
        </patternFill>
      </fill>
    </dxf>
    <dxf>
      <font>
        <color rgb="FF006100"/>
      </font>
      <fill>
        <patternFill>
          <bgColor rgb="FFC6EFCE"/>
        </patternFill>
      </fill>
    </dxf>
    <dxf>
      <font>
        <color rgb="FFC00000"/>
      </font>
      <fill>
        <patternFill>
          <bgColor rgb="FFFFCCCC"/>
        </patternFill>
      </fill>
    </dxf>
    <dxf>
      <font>
        <color rgb="FFC00000"/>
      </font>
      <fill>
        <patternFill>
          <bgColor rgb="FFFFCCCC"/>
        </patternFill>
      </fill>
    </dxf>
    <dxf>
      <font>
        <color rgb="FF006100"/>
      </font>
      <fill>
        <patternFill>
          <bgColor rgb="FFC6EFCE"/>
        </patternFill>
      </fill>
    </dxf>
    <dxf>
      <fill>
        <patternFill>
          <bgColor rgb="FFFFC000"/>
        </patternFill>
      </fill>
    </dxf>
    <dxf>
      <fill>
        <patternFill>
          <bgColor rgb="FF00B050"/>
        </patternFill>
      </fill>
    </dxf>
    <dxf>
      <font>
        <color rgb="FFC00000"/>
      </font>
      <fill>
        <patternFill>
          <bgColor theme="5" tint="0.39994506668294322"/>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rgb="FF9C0006"/>
      </font>
      <fill>
        <patternFill>
          <bgColor rgb="FFFFC7CE"/>
        </patternFill>
      </fill>
    </dxf>
    <dxf>
      <font>
        <color rgb="FF006100"/>
      </font>
      <fill>
        <patternFill>
          <bgColor rgb="FFC6EFCE"/>
        </patternFill>
      </fill>
    </dxf>
    <dxf>
      <fill>
        <patternFill>
          <bgColor rgb="FF92D050"/>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ill>
        <patternFill>
          <bgColor rgb="FF92D050"/>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ill>
        <patternFill>
          <bgColor rgb="FF92D050"/>
        </patternFill>
      </fill>
    </dxf>
    <dxf>
      <font>
        <color rgb="FF9C5700"/>
      </font>
      <fill>
        <patternFill>
          <bgColor rgb="FFFFEB9C"/>
        </patternFill>
      </fill>
    </dxf>
    <dxf>
      <font>
        <color rgb="FF9C5700"/>
      </font>
      <fill>
        <patternFill>
          <bgColor rgb="FFFFEB9C"/>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92D050"/>
        </patternFill>
      </fill>
    </dxf>
    <dxf>
      <font>
        <b/>
        <i val="0"/>
        <color theme="0"/>
      </font>
      <fill>
        <patternFill>
          <bgColor rgb="FFA50021"/>
        </patternFill>
      </fill>
    </dxf>
    <dxf>
      <fill>
        <patternFill>
          <bgColor rgb="FFFFFF00"/>
        </patternFill>
      </fill>
    </dxf>
    <dxf>
      <font>
        <b val="0"/>
        <i/>
      </font>
      <fill>
        <patternFill>
          <bgColor theme="6" tint="0.39994506668294322"/>
        </patternFill>
      </fill>
    </dxf>
    <dxf>
      <fill>
        <patternFill>
          <bgColor rgb="FF92D050"/>
        </patternFill>
      </fill>
    </dxf>
    <dxf>
      <fill>
        <patternFill>
          <bgColor theme="7"/>
        </patternFill>
      </fill>
    </dxf>
    <dxf>
      <font>
        <b/>
        <i val="0"/>
        <color theme="0"/>
      </font>
      <fill>
        <patternFill>
          <bgColor rgb="FFFF0066"/>
        </patternFill>
      </fill>
    </dxf>
    <dxf>
      <fill>
        <patternFill>
          <bgColor theme="6" tint="0.79998168889431442"/>
        </patternFill>
      </fill>
    </dxf>
    <dxf>
      <font>
        <b/>
        <i val="0"/>
        <color theme="0"/>
      </font>
      <fill>
        <patternFill>
          <bgColor rgb="FFA50021"/>
        </patternFill>
      </fill>
    </dxf>
    <dxf>
      <fill>
        <patternFill>
          <bgColor rgb="FFFFFF00"/>
        </patternFill>
      </fill>
    </dxf>
    <dxf>
      <font>
        <b val="0"/>
        <i/>
      </font>
      <fill>
        <patternFill>
          <bgColor theme="6" tint="0.39994506668294322"/>
        </patternFill>
      </fill>
    </dxf>
    <dxf>
      <fill>
        <patternFill>
          <bgColor rgb="FF92D050"/>
        </patternFill>
      </fill>
    </dxf>
    <dxf>
      <fill>
        <patternFill>
          <bgColor theme="7"/>
        </patternFill>
      </fill>
    </dxf>
    <dxf>
      <font>
        <b/>
        <i val="0"/>
        <color theme="0"/>
      </font>
      <fill>
        <patternFill>
          <bgColor rgb="FFFF0066"/>
        </patternFill>
      </fill>
    </dxf>
    <dxf>
      <fill>
        <patternFill>
          <bgColor theme="6" tint="0.79998168889431442"/>
        </patternFill>
      </fill>
    </dxf>
    <dxf>
      <font>
        <b/>
        <i val="0"/>
        <color theme="0"/>
      </font>
      <fill>
        <patternFill>
          <bgColor rgb="FFA50021"/>
        </patternFill>
      </fill>
    </dxf>
    <dxf>
      <fill>
        <patternFill>
          <bgColor rgb="FFFFFF00"/>
        </patternFill>
      </fill>
    </dxf>
    <dxf>
      <font>
        <b val="0"/>
        <i/>
      </font>
      <fill>
        <patternFill>
          <bgColor theme="6" tint="0.39994506668294322"/>
        </patternFill>
      </fill>
    </dxf>
    <dxf>
      <fill>
        <patternFill>
          <bgColor rgb="FF92D050"/>
        </patternFill>
      </fill>
    </dxf>
    <dxf>
      <fill>
        <patternFill>
          <bgColor theme="7"/>
        </patternFill>
      </fill>
    </dxf>
    <dxf>
      <font>
        <b/>
        <i val="0"/>
        <color theme="0"/>
      </font>
      <fill>
        <patternFill>
          <bgColor rgb="FFFF0066"/>
        </patternFill>
      </fill>
    </dxf>
    <dxf>
      <fill>
        <patternFill>
          <bgColor theme="6" tint="0.79998168889431442"/>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ont>
        <b/>
        <i val="0"/>
        <color theme="0"/>
      </font>
      <fill>
        <patternFill>
          <bgColor rgb="FFFF0000"/>
        </patternFill>
      </fill>
    </dxf>
    <dxf>
      <fill>
        <patternFill>
          <bgColor rgb="FF92D050"/>
        </patternFill>
      </fill>
    </dxf>
    <dxf>
      <font>
        <b val="0"/>
        <i/>
      </font>
      <fill>
        <patternFill>
          <bgColor theme="6" tint="0.39994506668294322"/>
        </patternFill>
      </fill>
    </dxf>
    <dxf>
      <fill>
        <patternFill>
          <bgColor rgb="FF92D050"/>
        </patternFill>
      </fill>
    </dxf>
    <dxf>
      <font>
        <b/>
        <i val="0"/>
        <color theme="0"/>
      </font>
      <fill>
        <patternFill>
          <bgColor rgb="FFA50021"/>
        </patternFill>
      </fill>
    </dxf>
    <dxf>
      <fill>
        <patternFill>
          <bgColor rgb="FFFFFF00"/>
        </patternFill>
      </fill>
    </dxf>
    <dxf>
      <fill>
        <patternFill>
          <bgColor theme="7"/>
        </patternFill>
      </fill>
    </dxf>
    <dxf>
      <font>
        <b/>
        <i val="0"/>
        <color theme="0"/>
      </font>
      <fill>
        <patternFill>
          <bgColor rgb="FFFF0066"/>
        </patternFill>
      </fill>
    </dxf>
    <dxf>
      <fill>
        <patternFill>
          <bgColor theme="6" tint="0.79998168889431442"/>
        </patternFill>
      </fill>
    </dxf>
    <dxf>
      <fill>
        <patternFill>
          <bgColor rgb="FF92D050"/>
        </patternFill>
      </fill>
    </dxf>
    <dxf>
      <fill>
        <patternFill>
          <bgColor rgb="FFFF0000"/>
        </patternFill>
      </fill>
    </dxf>
    <dxf>
      <fill>
        <patternFill>
          <bgColor rgb="FFFFFF00"/>
        </patternFill>
      </fill>
    </dxf>
    <dxf>
      <fill>
        <patternFill>
          <bgColor theme="9" tint="-0.24994659260841701"/>
        </patternFill>
      </fill>
    </dxf>
    <dxf>
      <fill>
        <patternFill>
          <bgColor theme="6" tint="0.39994506668294322"/>
        </patternFill>
      </fill>
    </dxf>
    <dxf>
      <font>
        <b/>
        <i val="0"/>
        <color theme="0"/>
      </font>
      <fill>
        <patternFill>
          <bgColor rgb="FFC00000"/>
        </patternFill>
      </fill>
    </dxf>
    <dxf>
      <font>
        <b/>
        <i val="0"/>
        <color theme="0"/>
      </font>
      <fill>
        <patternFill>
          <bgColor rgb="FFA50021"/>
        </patternFill>
      </fill>
    </dxf>
    <dxf>
      <fill>
        <patternFill>
          <bgColor rgb="FFFFFF00"/>
        </patternFill>
      </fill>
    </dxf>
    <dxf>
      <font>
        <b val="0"/>
        <i/>
      </font>
      <fill>
        <patternFill>
          <bgColor theme="6" tint="0.39994506668294322"/>
        </patternFill>
      </fill>
    </dxf>
    <dxf>
      <fill>
        <patternFill>
          <bgColor rgb="FF92D050"/>
        </patternFill>
      </fill>
    </dxf>
    <dxf>
      <fill>
        <patternFill>
          <bgColor theme="7"/>
        </patternFill>
      </fill>
    </dxf>
    <dxf>
      <font>
        <b/>
        <i val="0"/>
        <color theme="0"/>
      </font>
      <fill>
        <patternFill>
          <bgColor rgb="FFFF0066"/>
        </patternFill>
      </fill>
    </dxf>
    <dxf>
      <fill>
        <patternFill>
          <bgColor theme="9" tint="0.39994506668294322"/>
        </patternFill>
      </fill>
    </dxf>
    <dxf>
      <fill>
        <patternFill>
          <bgColor rgb="FF92D050"/>
        </patternFill>
      </fill>
    </dxf>
    <dxf>
      <fill>
        <patternFill>
          <bgColor rgb="FFFF0000"/>
        </patternFill>
      </fill>
    </dxf>
    <dxf>
      <fill>
        <patternFill>
          <bgColor rgb="FFFFFF00"/>
        </patternFill>
      </fill>
    </dxf>
    <dxf>
      <font>
        <b/>
        <i val="0"/>
        <color rgb="FFFF0000"/>
      </font>
      <fill>
        <patternFill>
          <bgColor theme="7" tint="0.39994506668294322"/>
        </patternFill>
      </fill>
    </dxf>
    <dxf>
      <font>
        <b/>
        <i val="0"/>
        <color theme="0"/>
      </font>
      <fill>
        <patternFill>
          <bgColor rgb="FFA50021"/>
        </patternFill>
      </fill>
    </dxf>
    <dxf>
      <font>
        <b/>
        <i val="0"/>
        <color theme="0"/>
      </font>
      <fill>
        <patternFill>
          <bgColor rgb="FFFF0000"/>
        </patternFill>
      </fill>
    </dxf>
    <dxf>
      <fill>
        <patternFill>
          <bgColor rgb="FF92D050"/>
        </patternFill>
      </fill>
    </dxf>
    <dxf>
      <font>
        <b/>
        <i val="0"/>
        <color theme="1"/>
      </font>
      <fill>
        <patternFill>
          <bgColor rgb="FFFFFF00"/>
        </patternFill>
      </fill>
    </dxf>
    <dxf>
      <font>
        <b/>
        <i val="0"/>
        <color rgb="FFFF0000"/>
      </font>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FF00"/>
        </patternFill>
      </fill>
    </dxf>
    <dxf>
      <font>
        <color rgb="FF9C0006"/>
      </font>
      <fill>
        <patternFill>
          <bgColor rgb="FFFFC7CE"/>
        </patternFill>
      </fill>
    </dxf>
    <dxf>
      <font>
        <b/>
        <i val="0"/>
        <color theme="0"/>
      </font>
      <fill>
        <patternFill>
          <bgColor rgb="FFFF0000"/>
        </patternFill>
      </fill>
    </dxf>
    <dxf>
      <font>
        <b/>
        <i val="0"/>
        <color theme="0"/>
      </font>
      <fill>
        <patternFill>
          <bgColor rgb="FFC00000"/>
        </patternFill>
      </fill>
    </dxf>
    <dxf>
      <font>
        <b/>
        <i val="0"/>
        <color theme="0"/>
      </font>
      <fill>
        <patternFill>
          <bgColor theme="3" tint="-0.24994659260841701"/>
        </patternFill>
      </fill>
    </dxf>
    <dxf>
      <fill>
        <patternFill>
          <bgColor rgb="FFFFFF00"/>
        </patternFill>
      </fill>
    </dxf>
    <dxf>
      <fill>
        <patternFill>
          <bgColor theme="9" tint="-0.24994659260841701"/>
        </patternFill>
      </fill>
    </dxf>
    <dxf>
      <fill>
        <patternFill>
          <bgColor rgb="FF92D050"/>
        </patternFill>
      </fill>
    </dxf>
    <dxf>
      <font>
        <b/>
        <i val="0"/>
        <color theme="0"/>
      </font>
      <fill>
        <patternFill>
          <bgColor rgb="FF7030A0"/>
        </patternFill>
      </fill>
    </dxf>
    <dxf>
      <font>
        <color theme="0"/>
      </font>
      <fill>
        <patternFill>
          <bgColor theme="7" tint="0.39994506668294322"/>
        </patternFill>
      </fill>
    </dxf>
    <dxf>
      <font>
        <b/>
        <i val="0"/>
        <color theme="0"/>
      </font>
      <fill>
        <patternFill>
          <bgColor theme="5" tint="-0.24994659260841701"/>
        </patternFill>
      </fill>
    </dxf>
    <dxf>
      <fill>
        <patternFill>
          <bgColor rgb="FFFFFF00"/>
        </patternFill>
      </fill>
    </dxf>
    <dxf>
      <fill>
        <patternFill>
          <bgColor rgb="FF92D050"/>
        </patternFill>
      </fill>
    </dxf>
    <dxf>
      <font>
        <b/>
        <i val="0"/>
        <color theme="0"/>
      </font>
      <fill>
        <patternFill>
          <bgColor rgb="FFFF0000"/>
        </patternFill>
      </fill>
    </dxf>
    <dxf>
      <fill>
        <patternFill>
          <bgColor theme="7"/>
        </patternFill>
      </fill>
    </dxf>
    <dxf>
      <fill>
        <patternFill>
          <bgColor rgb="FFFFC000"/>
        </patternFill>
      </fill>
    </dxf>
    <dxf>
      <fill>
        <patternFill>
          <bgColor rgb="FFC00000"/>
        </patternFill>
      </fill>
    </dxf>
    <dxf>
      <font>
        <color rgb="FF006100"/>
      </font>
      <fill>
        <patternFill>
          <bgColor rgb="FFC6EFCE"/>
        </patternFill>
      </fill>
    </dxf>
    <dxf>
      <fill>
        <patternFill>
          <bgColor rgb="FFFFAD53"/>
        </patternFill>
      </fill>
    </dxf>
    <dxf>
      <fill>
        <patternFill>
          <bgColor rgb="FFFF0000"/>
        </patternFill>
      </fill>
    </dxf>
    <dxf>
      <fill>
        <patternFill>
          <bgColor rgb="FF92D050"/>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theme="0"/>
      </font>
      <fill>
        <patternFill>
          <bgColor rgb="FFC00000"/>
        </patternFill>
      </fill>
    </dxf>
    <dxf>
      <fill>
        <patternFill>
          <bgColor rgb="FFFFFF00"/>
        </patternFill>
      </fill>
    </dxf>
    <dxf>
      <fill>
        <patternFill>
          <bgColor rgb="FF92D050"/>
        </patternFill>
      </fill>
    </dxf>
    <dxf>
      <font>
        <color theme="0"/>
      </font>
      <fill>
        <patternFill>
          <bgColor rgb="FFC00000"/>
        </patternFill>
      </fill>
    </dxf>
    <dxf>
      <fill>
        <patternFill>
          <bgColor rgb="FF92D050"/>
        </patternFill>
      </fill>
    </dxf>
    <dxf>
      <fill>
        <patternFill>
          <bgColor rgb="FFFFFF00"/>
        </patternFill>
      </fill>
    </dxf>
    <dxf>
      <fill>
        <patternFill>
          <bgColor theme="8" tint="0.39994506668294322"/>
        </patternFill>
      </fill>
    </dxf>
    <dxf>
      <font>
        <color theme="0"/>
      </font>
      <fill>
        <patternFill>
          <bgColor rgb="FFC00000"/>
        </patternFill>
      </fill>
    </dxf>
    <dxf>
      <fill>
        <patternFill>
          <bgColor rgb="FF92D050"/>
        </patternFill>
      </fill>
    </dxf>
    <dxf>
      <fill>
        <patternFill>
          <bgColor theme="8" tint="0.59996337778862885"/>
        </patternFill>
      </fill>
    </dxf>
    <dxf>
      <fill>
        <patternFill>
          <bgColor rgb="FFFFC000"/>
        </patternFill>
      </fill>
    </dxf>
    <dxf>
      <font>
        <color theme="0"/>
      </font>
      <fill>
        <patternFill>
          <bgColor theme="7" tint="-0.24994659260841701"/>
        </patternFill>
      </fill>
    </dxf>
    <dxf>
      <fill>
        <patternFill>
          <bgColor theme="7" tint="0.39994506668294322"/>
        </patternFill>
      </fill>
    </dxf>
    <dxf>
      <fill>
        <patternFill>
          <bgColor rgb="FFFFFF00"/>
        </patternFill>
      </fill>
    </dxf>
    <dxf>
      <font>
        <color theme="0"/>
      </font>
      <fill>
        <patternFill>
          <bgColor rgb="FFC00000"/>
        </patternFill>
      </fill>
    </dxf>
    <dxf>
      <fill>
        <patternFill>
          <bgColor rgb="FF92D050"/>
        </patternFill>
      </fill>
    </dxf>
    <dxf>
      <fill>
        <patternFill>
          <bgColor rgb="FFFF0000"/>
        </patternFill>
      </fill>
    </dxf>
    <dxf>
      <font>
        <color theme="0"/>
      </font>
      <fill>
        <patternFill>
          <bgColor theme="7" tint="-0.24994659260841701"/>
        </patternFill>
      </fill>
    </dxf>
    <dxf>
      <fill>
        <patternFill>
          <bgColor theme="7" tint="0.39994506668294322"/>
        </patternFill>
      </fill>
    </dxf>
    <dxf>
      <fill>
        <patternFill>
          <bgColor rgb="FFFFFF00"/>
        </patternFill>
      </fill>
    </dxf>
    <dxf>
      <font>
        <color theme="0"/>
      </font>
      <fill>
        <patternFill>
          <bgColor rgb="FFC00000"/>
        </patternFill>
      </fill>
    </dxf>
    <dxf>
      <fill>
        <patternFill>
          <bgColor rgb="FF92D050"/>
        </patternFill>
      </fill>
    </dxf>
    <dxf>
      <fill>
        <patternFill>
          <bgColor rgb="FFFF0000"/>
        </patternFill>
      </fill>
    </dxf>
    <dxf>
      <font>
        <color theme="0"/>
      </font>
      <fill>
        <patternFill>
          <bgColor theme="7" tint="-0.24994659260841701"/>
        </patternFill>
      </fill>
    </dxf>
    <dxf>
      <fill>
        <patternFill>
          <bgColor rgb="FF92D050"/>
        </patternFill>
      </fill>
    </dxf>
    <dxf>
      <fill>
        <patternFill>
          <bgColor rgb="FFFF0000"/>
        </patternFill>
      </fill>
    </dxf>
    <dxf>
      <font>
        <color theme="0"/>
      </font>
      <fill>
        <patternFill>
          <bgColor rgb="FFC00000"/>
        </patternFill>
      </fill>
    </dxf>
    <dxf>
      <fill>
        <patternFill>
          <bgColor rgb="FFFFFF00"/>
        </patternFill>
      </fill>
    </dxf>
    <dxf>
      <fill>
        <patternFill>
          <bgColor theme="7" tint="0.39994506668294322"/>
        </patternFill>
      </fill>
    </dxf>
    <dxf>
      <fill>
        <patternFill>
          <bgColor rgb="FFFFC000"/>
        </patternFill>
      </fill>
    </dxf>
    <dxf>
      <font>
        <color theme="0"/>
      </font>
      <fill>
        <patternFill>
          <bgColor theme="5" tint="-0.24994659260841701"/>
        </patternFill>
      </fill>
    </dxf>
    <dxf>
      <fill>
        <patternFill>
          <bgColor rgb="FFFF0000"/>
        </patternFill>
      </fill>
    </dxf>
    <dxf>
      <font>
        <color theme="0"/>
      </font>
      <fill>
        <patternFill>
          <bgColor rgb="FFC00000"/>
        </patternFill>
      </fill>
    </dxf>
    <dxf>
      <fill>
        <patternFill>
          <bgColor rgb="FF92D050"/>
        </patternFill>
      </fill>
    </dxf>
    <dxf>
      <fill>
        <patternFill>
          <bgColor rgb="FFFFFF00"/>
        </patternFill>
      </fill>
    </dxf>
    <dxf>
      <font>
        <color rgb="FF006100"/>
      </font>
      <fill>
        <patternFill>
          <bgColor rgb="FFC6EFCE"/>
        </patternFill>
      </fill>
    </dxf>
    <dxf>
      <font>
        <color theme="0"/>
      </font>
      <fill>
        <patternFill>
          <bgColor rgb="FFC00000"/>
        </patternFill>
      </fill>
    </dxf>
    <dxf>
      <font>
        <color theme="0"/>
      </font>
      <fill>
        <patternFill>
          <bgColor rgb="FFC00000"/>
        </patternFill>
      </fill>
    </dxf>
    <dxf>
      <font>
        <color theme="0"/>
      </font>
      <fill>
        <patternFill>
          <bgColor rgb="FFC00000"/>
        </patternFill>
      </fill>
    </dxf>
    <dxf>
      <font>
        <color rgb="FF9C0006"/>
      </font>
      <fill>
        <patternFill>
          <bgColor rgb="FFFFC7CE"/>
        </patternFill>
      </fill>
    </dxf>
    <dxf>
      <fill>
        <patternFill>
          <bgColor rgb="FF92D050"/>
        </patternFill>
      </fill>
    </dxf>
    <dxf>
      <font>
        <color rgb="FF9C6500"/>
      </font>
      <fill>
        <patternFill>
          <bgColor rgb="FFFFEB9C"/>
        </patternFill>
      </fill>
    </dxf>
    <dxf>
      <font>
        <color rgb="FF9C0006"/>
      </font>
      <fill>
        <patternFill>
          <bgColor rgb="FFFFC7CE"/>
        </patternFill>
      </fill>
    </dxf>
    <dxf>
      <font>
        <color theme="0"/>
      </font>
      <fill>
        <patternFill>
          <bgColor theme="5" tint="-0.24994659260841701"/>
        </patternFill>
      </fill>
    </dxf>
    <dxf>
      <fill>
        <patternFill>
          <bgColor rgb="FFFFFF00"/>
        </patternFill>
      </fill>
    </dxf>
    <dxf>
      <fill>
        <patternFill>
          <bgColor rgb="FFFF0000"/>
        </patternFill>
      </fill>
    </dxf>
    <dxf>
      <font>
        <color rgb="FF9C6500"/>
      </font>
      <fill>
        <patternFill>
          <bgColor rgb="FFFFEB9C"/>
        </patternFill>
      </fill>
    </dxf>
    <dxf>
      <fill>
        <patternFill>
          <bgColor rgb="FF92D050"/>
        </patternFill>
      </fill>
    </dxf>
    <dxf>
      <fill>
        <patternFill>
          <bgColor rgb="FFFF0000"/>
        </patternFill>
      </fill>
    </dxf>
    <dxf>
      <font>
        <color theme="0"/>
      </font>
      <fill>
        <patternFill>
          <bgColor rgb="FFFF0000"/>
        </patternFill>
      </fill>
    </dxf>
    <dxf>
      <font>
        <color theme="0"/>
      </font>
      <fill>
        <patternFill>
          <bgColor rgb="FFFF0000"/>
        </patternFill>
      </fill>
    </dxf>
    <dxf>
      <font>
        <color rgb="FF9C6500"/>
      </font>
      <fill>
        <patternFill>
          <bgColor rgb="FFFFEB9C"/>
        </patternFill>
      </fill>
    </dxf>
    <dxf>
      <fill>
        <patternFill>
          <bgColor rgb="FF92D050"/>
        </patternFill>
      </fill>
    </dxf>
    <dxf>
      <font>
        <b/>
        <i val="0"/>
        <color theme="0"/>
      </font>
      <fill>
        <patternFill>
          <bgColor rgb="FFC00000"/>
        </patternFill>
      </fill>
    </dxf>
    <dxf>
      <font>
        <color rgb="FF9C0006"/>
      </font>
      <fill>
        <patternFill>
          <bgColor rgb="FFFFC7CE"/>
        </patternFill>
      </fill>
    </dxf>
    <dxf>
      <fill>
        <patternFill>
          <bgColor theme="5" tint="0.39994506668294322"/>
        </patternFill>
      </fill>
    </dxf>
    <dxf>
      <fill>
        <patternFill>
          <bgColor rgb="FFFFC000"/>
        </patternFill>
      </fill>
    </dxf>
    <dxf>
      <fill>
        <patternFill>
          <bgColor rgb="FFFF0000"/>
        </patternFill>
      </fill>
    </dxf>
    <dxf>
      <fill>
        <patternFill>
          <bgColor rgb="FF92D050"/>
        </patternFill>
      </fill>
    </dxf>
    <dxf>
      <font>
        <b/>
        <i val="0"/>
        <color theme="0"/>
      </font>
      <fill>
        <patternFill>
          <bgColor rgb="FFFF0000"/>
        </patternFill>
      </fill>
    </dxf>
    <dxf>
      <font>
        <b/>
        <i val="0"/>
        <color theme="1"/>
      </font>
      <fill>
        <patternFill>
          <bgColor rgb="FF92D050"/>
        </patternFill>
      </fill>
    </dxf>
    <dxf>
      <font>
        <b/>
        <i val="0"/>
      </font>
      <fill>
        <patternFill>
          <bgColor rgb="FF92D050"/>
        </patternFill>
      </fill>
    </dxf>
    <dxf>
      <font>
        <b/>
        <i val="0"/>
      </font>
      <fill>
        <patternFill>
          <bgColor rgb="FFFF0000"/>
        </patternFill>
      </fill>
    </dxf>
    <dxf>
      <font>
        <b/>
        <i val="0"/>
      </font>
      <fill>
        <patternFill>
          <bgColor rgb="FF92D050"/>
        </patternFill>
      </fill>
    </dxf>
    <dxf>
      <font>
        <b/>
        <i val="0"/>
      </font>
      <fill>
        <patternFill>
          <bgColor rgb="FFFF0000"/>
        </patternFill>
      </fill>
    </dxf>
    <dxf>
      <font>
        <color rgb="FF9C0006"/>
      </font>
      <fill>
        <patternFill>
          <bgColor rgb="FFFFC7CE"/>
        </patternFill>
      </fill>
    </dxf>
    <dxf>
      <fill>
        <patternFill>
          <bgColor rgb="FFFF6600"/>
        </patternFill>
      </fill>
    </dxf>
    <dxf>
      <font>
        <color rgb="FF9C6500"/>
      </font>
      <fill>
        <patternFill>
          <bgColor rgb="FFFFEB9C"/>
        </patternFill>
      </fill>
    </dxf>
    <dxf>
      <fill>
        <patternFill>
          <bgColor theme="9" tint="0.39994506668294322"/>
        </patternFill>
      </fill>
    </dxf>
    <dxf>
      <font>
        <color rgb="FF9C0006"/>
      </font>
      <fill>
        <patternFill>
          <bgColor rgb="FFFFC7CE"/>
        </patternFill>
      </fill>
    </dxf>
    <dxf>
      <fill>
        <patternFill>
          <bgColor rgb="FFFFFF00"/>
        </patternFill>
      </fill>
    </dxf>
    <dxf>
      <fill>
        <patternFill>
          <bgColor rgb="FFFFC000"/>
        </patternFill>
      </fill>
    </dxf>
    <dxf>
      <font>
        <color theme="0"/>
      </font>
      <fill>
        <patternFill>
          <bgColor theme="5" tint="-0.24994659260841701"/>
        </patternFill>
      </fill>
    </dxf>
    <dxf>
      <fill>
        <patternFill>
          <bgColor rgb="FF92D050"/>
        </patternFill>
      </fill>
    </dxf>
    <dxf>
      <font>
        <b/>
        <i val="0"/>
        <color theme="0"/>
      </font>
      <fill>
        <patternFill>
          <bgColor rgb="FFFF0000"/>
        </patternFill>
      </fill>
    </dxf>
    <dxf>
      <font>
        <b/>
        <i val="0"/>
        <color theme="0"/>
      </font>
      <fill>
        <patternFill>
          <bgColor theme="9" tint="-0.24994659260841701"/>
        </patternFill>
      </fill>
    </dxf>
    <dxf>
      <fill>
        <patternFill>
          <bgColor theme="8" tint="0.39994506668294322"/>
        </patternFill>
      </fill>
    </dxf>
    <dxf>
      <font>
        <color rgb="FF9C0006"/>
      </font>
      <fill>
        <patternFill>
          <bgColor rgb="FFFFC7CE"/>
        </patternFill>
      </fill>
    </dxf>
    <dxf>
      <fill>
        <patternFill>
          <bgColor rgb="FFFFFF00"/>
        </patternFill>
      </fill>
    </dxf>
    <dxf>
      <font>
        <b/>
        <i val="0"/>
        <color theme="0"/>
      </font>
      <fill>
        <patternFill>
          <bgColor rgb="FFFF0000"/>
        </patternFill>
      </fill>
    </dxf>
    <dxf>
      <fill>
        <patternFill>
          <bgColor rgb="FF92D050"/>
        </patternFill>
      </fill>
    </dxf>
    <dxf>
      <font>
        <color rgb="FF006100"/>
      </font>
      <fill>
        <patternFill>
          <bgColor rgb="FFC6EFCE"/>
        </patternFill>
      </fill>
    </dxf>
    <dxf>
      <font>
        <color rgb="FF9C5700"/>
      </font>
      <fill>
        <patternFill>
          <bgColor rgb="FFFFEB9C"/>
        </patternFill>
      </fill>
    </dxf>
    <dxf>
      <fill>
        <patternFill>
          <bgColor rgb="FFC00000"/>
        </patternFill>
      </fill>
    </dxf>
    <dxf>
      <font>
        <color rgb="FF9C0006"/>
      </font>
      <fill>
        <patternFill>
          <bgColor rgb="FFFFC7CE"/>
        </patternFill>
      </fill>
    </dxf>
    <dxf>
      <font>
        <color rgb="FF9C0006"/>
      </font>
      <fill>
        <patternFill>
          <bgColor rgb="FFFFC7CE"/>
        </patternFill>
      </fill>
    </dxf>
    <dxf>
      <fill>
        <patternFill>
          <bgColor rgb="FFFFFF00"/>
        </patternFill>
      </fill>
    </dxf>
    <dxf>
      <fill>
        <patternFill>
          <bgColor rgb="FFFFC000"/>
        </patternFill>
      </fill>
    </dxf>
    <dxf>
      <font>
        <color theme="0"/>
      </font>
      <fill>
        <patternFill>
          <bgColor theme="5" tint="-0.24994659260841701"/>
        </patternFill>
      </fill>
    </dxf>
    <dxf>
      <fill>
        <patternFill>
          <bgColor rgb="FF92D050"/>
        </patternFill>
      </fill>
    </dxf>
    <dxf>
      <font>
        <b/>
        <i val="0"/>
        <color theme="0"/>
      </font>
      <fill>
        <patternFill>
          <bgColor rgb="FFFF0000"/>
        </patternFill>
      </fill>
    </dxf>
    <dxf>
      <font>
        <b/>
        <i val="0"/>
        <color theme="0"/>
      </font>
      <fill>
        <patternFill>
          <bgColor theme="9" tint="-0.24994659260841701"/>
        </patternFill>
      </fill>
    </dxf>
    <dxf>
      <fill>
        <patternFill>
          <bgColor theme="8" tint="0.39994506668294322"/>
        </patternFill>
      </fill>
    </dxf>
    <dxf>
      <font>
        <color rgb="FF9C0006"/>
      </font>
      <fill>
        <patternFill>
          <bgColor rgb="FFFFC7CE"/>
        </patternFill>
      </fill>
    </dxf>
    <dxf>
      <fill>
        <patternFill>
          <bgColor rgb="FFFFFF00"/>
        </patternFill>
      </fill>
    </dxf>
    <dxf>
      <fill>
        <patternFill>
          <bgColor rgb="FFFFC000"/>
        </patternFill>
      </fill>
    </dxf>
    <dxf>
      <font>
        <color theme="0"/>
      </font>
      <fill>
        <patternFill>
          <bgColor theme="5" tint="-0.24994659260841701"/>
        </patternFill>
      </fill>
    </dxf>
    <dxf>
      <fill>
        <patternFill>
          <bgColor rgb="FF92D050"/>
        </patternFill>
      </fill>
    </dxf>
    <dxf>
      <font>
        <b/>
        <i val="0"/>
        <color theme="0"/>
      </font>
      <fill>
        <patternFill>
          <bgColor rgb="FFFF0000"/>
        </patternFill>
      </fill>
    </dxf>
    <dxf>
      <font>
        <b/>
        <i val="0"/>
        <color theme="0"/>
      </font>
      <fill>
        <patternFill>
          <bgColor theme="9" tint="-0.24994659260841701"/>
        </patternFill>
      </fill>
    </dxf>
    <dxf>
      <fill>
        <patternFill>
          <bgColor theme="8" tint="0.39994506668294322"/>
        </patternFill>
      </fill>
    </dxf>
    <dxf>
      <fill>
        <gradientFill degree="90">
          <stop position="0">
            <color theme="0"/>
          </stop>
          <stop position="1">
            <color rgb="FF0099CC"/>
          </stop>
        </gradientFill>
      </fill>
    </dxf>
    <dxf>
      <fill>
        <gradientFill degree="90">
          <stop position="0">
            <color theme="0"/>
          </stop>
          <stop position="1">
            <color rgb="FF0099CC"/>
          </stop>
        </gradientFill>
      </fill>
    </dxf>
    <dxf>
      <fill>
        <gradientFill degree="90">
          <stop position="0">
            <color theme="0"/>
          </stop>
          <stop position="1">
            <color rgb="FF0099CC"/>
          </stop>
        </gradientFill>
      </fill>
    </dxf>
    <dxf>
      <fill>
        <gradientFill degree="90">
          <stop position="0">
            <color theme="0"/>
          </stop>
          <stop position="1">
            <color rgb="FF0099CC"/>
          </stop>
        </gradientFill>
      </fill>
    </dxf>
    <dxf>
      <fill>
        <gradientFill degree="90">
          <stop position="0">
            <color theme="0"/>
          </stop>
          <stop position="1">
            <color rgb="FF0099CC"/>
          </stop>
        </gradientFill>
      </fill>
    </dxf>
    <dxf>
      <font>
        <b/>
        <i val="0"/>
      </font>
      <fill>
        <patternFill>
          <bgColor rgb="FF92D050"/>
        </patternFill>
      </fill>
    </dxf>
    <dxf>
      <font>
        <b/>
        <i val="0"/>
        <color theme="0"/>
      </font>
      <fill>
        <patternFill>
          <bgColor rgb="FFFF0000"/>
        </patternFill>
      </fill>
    </dxf>
    <dxf>
      <font>
        <b/>
        <i val="0"/>
        <color theme="1"/>
      </font>
      <fill>
        <patternFill>
          <bgColor rgb="FFFFC000"/>
        </patternFill>
      </fill>
    </dxf>
    <dxf>
      <font>
        <color rgb="FF9C0006"/>
      </font>
      <fill>
        <patternFill>
          <bgColor rgb="FFFFC7CE"/>
        </patternFill>
      </fill>
    </dxf>
    <dxf>
      <font>
        <b/>
        <i val="0"/>
      </font>
      <fill>
        <patternFill>
          <bgColor rgb="FF92D050"/>
        </patternFill>
      </fill>
    </dxf>
    <dxf>
      <font>
        <b/>
        <i val="0"/>
        <color theme="0"/>
      </font>
      <fill>
        <patternFill>
          <bgColor rgb="FFFF0000"/>
        </patternFill>
      </fill>
    </dxf>
    <dxf>
      <font>
        <color rgb="FF9C0006"/>
      </font>
      <fill>
        <patternFill>
          <bgColor rgb="FFFFC7CE"/>
        </patternFill>
      </fill>
    </dxf>
    <dxf>
      <font>
        <color rgb="FFC00000"/>
      </font>
      <fill>
        <patternFill>
          <bgColor rgb="FFFFCCCC"/>
        </patternFill>
      </fill>
    </dxf>
    <dxf>
      <font>
        <color theme="0"/>
      </font>
      <fill>
        <patternFill>
          <bgColor theme="7" tint="-0.24994659260841701"/>
        </patternFill>
      </fill>
    </dxf>
    <dxf>
      <fill>
        <patternFill>
          <bgColor theme="7" tint="0.39994506668294322"/>
        </patternFill>
      </fill>
    </dxf>
    <dxf>
      <fill>
        <patternFill>
          <bgColor rgb="FFFFFF00"/>
        </patternFill>
      </fill>
    </dxf>
    <dxf>
      <font>
        <color theme="0"/>
      </font>
      <fill>
        <patternFill>
          <bgColor rgb="FFC00000"/>
        </patternFill>
      </fill>
    </dxf>
    <dxf>
      <fill>
        <patternFill>
          <bgColor rgb="FF92D050"/>
        </patternFill>
      </fill>
    </dxf>
    <dxf>
      <fill>
        <patternFill>
          <bgColor rgb="FFFF0000"/>
        </patternFill>
      </fill>
    </dxf>
    <dxf>
      <font>
        <b/>
        <i val="0"/>
      </font>
      <fill>
        <patternFill>
          <bgColor rgb="FF92D050"/>
        </patternFill>
      </fill>
    </dxf>
    <dxf>
      <font>
        <b/>
        <i val="0"/>
      </font>
      <fill>
        <patternFill>
          <bgColor rgb="FFFF0000"/>
        </patternFill>
      </fill>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Calibri"/>
        <scheme val="minor"/>
      </font>
      <numFmt numFmtId="0" formatCode="General"/>
      <fill>
        <patternFill patternType="solid">
          <fgColor indexed="64"/>
          <bgColor rgb="FF2BE7E7"/>
        </patternFill>
      </fill>
      <alignment horizontal="center" vertical="center" textRotation="0" wrapText="1" indent="0" justifyLastLine="0" shrinkToFit="0" readingOrder="0"/>
    </dxf>
    <dxf>
      <border diagonalUp="0" diagonalDown="0">
        <left/>
        <right style="medium">
          <color indexed="64"/>
        </right>
        <top/>
        <bottom/>
        <vertical/>
        <horizontal/>
      </border>
    </dxf>
    <dxf>
      <numFmt numFmtId="0" formatCode="General"/>
    </dxf>
    <dxf>
      <numFmt numFmtId="0" formatCode="General"/>
    </dxf>
    <dxf>
      <numFmt numFmtId="0" formatCode="General"/>
    </dxf>
    <dxf>
      <numFmt numFmtId="0" formatCode="General"/>
    </dxf>
    <dxf>
      <numFmt numFmtId="0" formatCode="General"/>
    </dxf>
    <dxf>
      <numFmt numFmtId="0" formatCode="General"/>
    </dxf>
    <dxf>
      <border diagonalUp="0" diagonalDown="0">
        <left style="medium">
          <color indexed="64"/>
        </left>
        <right/>
        <top/>
        <bottom/>
        <vertical/>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 formatCode="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 formatCode="0"/>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1" formatCode="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1" formatCode="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1" formatCode="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 formatCode="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9" formatCode="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 formatCode="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i val="0"/>
        <strike val="0"/>
        <condense val="0"/>
        <extend val="0"/>
        <outline val="0"/>
        <shadow val="0"/>
        <u val="none"/>
        <vertAlign val="baseline"/>
        <sz val="10"/>
        <color theme="1"/>
        <name val="Arial"/>
        <scheme val="none"/>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numFmt numFmtId="164" formatCode="0.0"/>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numFmt numFmtId="1" formatCode="0"/>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1" hidden="0"/>
    </dxf>
    <dxf>
      <font>
        <b val="0"/>
        <i val="0"/>
        <strike val="0"/>
        <condense val="0"/>
        <extend val="0"/>
        <outline val="0"/>
        <shadow val="0"/>
        <u val="none"/>
        <vertAlign val="baseline"/>
        <sz val="10"/>
        <color theme="1"/>
        <name val="Calibri"/>
        <scheme val="minor"/>
      </font>
      <numFmt numFmtId="168" formatCode="dd/mm/yy"/>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167" formatCode="dd/mm/yyyy"/>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2" formatCode="0.00"/>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2" formatCode="0.00"/>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2" formatCode="0.00"/>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1" hidden="0"/>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8" formatCode="dd/mm/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8" formatCode="dd/mm/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8" formatCode="dd/mm/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1" hidden="0"/>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8" formatCode="dd/mm/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4" formatCode="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4" formatCode="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4" formatCode="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4" formatCode="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 formatCode="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numFmt numFmtId="19" formatCode="d/mm/yyyy"/>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numFmt numFmtId="1" formatCode="0"/>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4" formatCode="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4" formatCode="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4" formatCode="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 formatCode="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4" formatCode="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4" formatCode="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4" formatCode="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dxf>
    <dxf>
      <font>
        <strike val="0"/>
        <outline val="0"/>
        <shadow val="0"/>
        <u val="none"/>
        <vertAlign val="baseline"/>
        <color theme="1"/>
      </font>
      <fill>
        <patternFill patternType="none">
          <fgColor indexed="64"/>
          <bgColor theme="9" tint="0.39997558519241921"/>
        </patternFill>
      </fill>
      <alignment horizontal="center" vertical="center" textRotation="0" wrapText="1" indent="0" justifyLastLine="0" shrinkToFit="0" readingOrder="0"/>
      <border diagonalUp="0" diagonalDown="0" outline="0">
        <left style="thin">
          <color indexed="64"/>
        </left>
        <right style="thin">
          <color indexed="64"/>
        </right>
        <top/>
        <bottom/>
      </border>
    </dxf>
    <dxf>
      <fill>
        <gradientFill degree="270">
          <stop position="0">
            <color theme="0"/>
          </stop>
          <stop position="1">
            <color theme="8" tint="0.80001220740379042"/>
          </stop>
        </gradientFill>
      </fill>
    </dxf>
    <dxf>
      <fill>
        <gradientFill degree="270">
          <stop position="0">
            <color theme="0"/>
          </stop>
          <stop position="1">
            <color theme="8" tint="0.59999389629810485"/>
          </stop>
        </gradientFill>
      </fill>
    </dxf>
    <dxf>
      <fill>
        <gradientFill degree="270">
          <stop position="0">
            <color theme="0"/>
          </stop>
          <stop position="1">
            <color theme="9" tint="0.59999389629810485"/>
          </stop>
        </gradientFill>
      </fill>
    </dxf>
    <dxf>
      <fill>
        <gradientFill degree="270">
          <stop position="0">
            <color theme="0"/>
          </stop>
          <stop position="1">
            <color theme="8" tint="0.80001220740379042"/>
          </stop>
        </gradientFill>
      </fill>
    </dxf>
    <dxf>
      <fill>
        <gradientFill degree="90">
          <stop position="0">
            <color theme="0"/>
          </stop>
          <stop position="0.5">
            <color rgb="FF2BE7E7"/>
          </stop>
          <stop position="1">
            <color theme="0"/>
          </stop>
        </gradientFill>
      </fill>
    </dxf>
    <dxf>
      <fill>
        <gradientFill degree="270">
          <stop position="0">
            <color theme="0"/>
          </stop>
          <stop position="1">
            <color theme="9" tint="0.40000610370189521"/>
          </stop>
        </gradientFill>
      </fill>
    </dxf>
    <dxf>
      <fill>
        <gradientFill degree="90">
          <stop position="0">
            <color theme="9" tint="0.80001220740379042"/>
          </stop>
          <stop position="1">
            <color theme="9" tint="0.40000610370189521"/>
          </stop>
        </gradientFill>
      </fill>
    </dxf>
    <dxf>
      <fill>
        <gradientFill degree="270">
          <stop position="0">
            <color theme="0"/>
          </stop>
          <stop position="1">
            <color rgb="FF9FFDFF"/>
          </stop>
        </gradientFill>
      </fill>
    </dxf>
    <dxf>
      <fill>
        <patternFill>
          <bgColor theme="8" tint="0.79998168889431442"/>
        </patternFill>
      </fill>
    </dxf>
    <dxf>
      <fill>
        <patternFill>
          <bgColor theme="4" tint="0.59996337778862885"/>
        </patternFill>
      </fill>
    </dxf>
    <dxf>
      <fill>
        <patternFill>
          <bgColor theme="9" tint="0.39994506668294322"/>
        </patternFill>
      </fill>
    </dxf>
    <dxf>
      <fill>
        <patternFill>
          <bgColor theme="9" tint="0.79998168889431442"/>
        </patternFill>
      </fill>
    </dxf>
    <dxf>
      <fill>
        <gradientFill degree="90">
          <stop position="0">
            <color theme="9" tint="0.40000610370189521"/>
          </stop>
          <stop position="1">
            <color theme="9" tint="0.80001220740379042"/>
          </stop>
        </gradientFill>
      </fill>
    </dxf>
    <dxf>
      <fill>
        <patternFill>
          <bgColor theme="8" tint="0.79998168889431442"/>
        </patternFill>
      </fill>
    </dxf>
    <dxf>
      <fill>
        <patternFill>
          <bgColor theme="8" tint="0.39994506668294322"/>
        </patternFill>
      </fill>
    </dxf>
    <dxf>
      <fill>
        <patternFill>
          <bgColor theme="8" tint="0.79998168889431442"/>
        </patternFill>
      </fill>
    </dxf>
    <dxf>
      <fill>
        <gradientFill degree="90">
          <stop position="0">
            <color theme="0"/>
          </stop>
          <stop position="1">
            <color theme="4"/>
          </stop>
        </gradientFill>
      </fill>
    </dxf>
  </dxfs>
  <tableStyles count="7" defaultTableStyle="TableStyleMedium9" defaultPivotStyle="PivotStyleLight16">
    <tableStyle name="Estilo de tabla 1" pivot="0" count="4" xr9:uid="{00000000-0011-0000-FFFF-FFFF00000000}">
      <tableStyleElement type="headerRow" dxfId="748"/>
      <tableStyleElement type="firstRowStripe" dxfId="747"/>
      <tableStyleElement type="secondRowStripe" dxfId="746"/>
      <tableStyleElement type="firstColumnStripe" dxfId="745"/>
    </tableStyle>
    <tableStyle name="Estilo de tabla 2" pivot="0" count="3" xr9:uid="{00000000-0011-0000-FFFF-FFFF01000000}">
      <tableStyleElement type="headerRow" dxfId="744"/>
      <tableStyleElement type="firstRowStripe" dxfId="743"/>
      <tableStyleElement type="secondRowStripe" dxfId="742"/>
    </tableStyle>
    <tableStyle name="Estilo de tabla 3" pivot="0" count="2" xr9:uid="{00000000-0011-0000-FFFF-FFFF02000000}">
      <tableStyleElement type="headerRow" dxfId="741"/>
      <tableStyleElement type="firstRowStripe" dxfId="740"/>
    </tableStyle>
    <tableStyle name="Estilo de tabla 4" pivot="0" count="0" xr9:uid="{00000000-0011-0000-FFFF-FFFF03000000}"/>
    <tableStyle name="Estilo de tabla 5" pivot="0" count="2" xr9:uid="{00000000-0011-0000-FFFF-FFFF04000000}">
      <tableStyleElement type="wholeTable" dxfId="739"/>
      <tableStyleElement type="headerRow" dxfId="738"/>
    </tableStyle>
    <tableStyle name="Estilo de tabla 6" pivot="0" count="3" xr9:uid="{00000000-0011-0000-FFFF-FFFF05000000}">
      <tableStyleElement type="headerRow" dxfId="737"/>
      <tableStyleElement type="firstRowStripe" dxfId="736"/>
      <tableStyleElement type="secondRowStripe" dxfId="735"/>
    </tableStyle>
    <tableStyle name="Estilo de tabla 7" pivot="0" count="3" xr9:uid="{00000000-0011-0000-FFFF-FFFF06000000}">
      <tableStyleElement type="headerRow" dxfId="734"/>
      <tableStyleElement type="firstRowStripe" dxfId="733"/>
      <tableStyleElement type="secondRowStripe" dxfId="732"/>
    </tableStyle>
  </tableStyles>
  <colors>
    <mruColors>
      <color rgb="FFFFAD53"/>
      <color rgb="FF31869B"/>
      <color rgb="FF2BE7E7"/>
      <color rgb="FFFF6600"/>
      <color rgb="FFF0EE8A"/>
      <color rgb="FFFFCCCC"/>
      <color rgb="FFCC3300"/>
      <color rgb="FFFFFFCC"/>
      <color rgb="FFFFFFFF"/>
      <color rgb="FF9FFD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WINDOWS10/Downloads/BASE%20CPN%202022%20formato3%20-%20prueb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STRUCTIVO"/>
      <sheetName val="INDICADORES"/>
      <sheetName val="CPN 2022"/>
    </sheetNames>
    <sheetDataSet>
      <sheetData sheetId="0"/>
      <sheetData sheetId="1"/>
      <sheetData sheetId="2"/>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a1" displayName="Tabla1" ref="A1:OG5" totalsRowShown="0" headerRowDxfId="731" dataDxfId="730" headerRowCellStyle="Énfasis5" dataCellStyle="Normal 2">
  <autoFilter ref="A1:OG5" xr:uid="{00000000-0009-0000-0100-000001000000}"/>
  <tableColumns count="397">
    <tableColumn id="101" xr3:uid="{00000000-0010-0000-0000-000065000000}" name="OBSERVACIONES PARA SEGUIMIENTO" dataDxfId="729"/>
    <tableColumn id="1" xr3:uid="{00000000-0010-0000-0000-000001000000}" name="RESPONSABLE DE LA ZONA" dataDxfId="728"/>
    <tableColumn id="77" xr3:uid="{00000000-0010-0000-0000-00004D000000}" name="PUNTO O CENTRO DE ATENCION" dataDxfId="727"/>
    <tableColumn id="2" xr3:uid="{00000000-0010-0000-0000-000002000000}" name="ATENCIÓN PRECONCEPCIONAL" dataDxfId="726"/>
    <tableColumn id="3" xr3:uid="{00000000-0010-0000-0000-000003000000}" name="APELLIDO" dataDxfId="725"/>
    <tableColumn id="4" xr3:uid="{00000000-0010-0000-0000-000004000000}" name="APELLIDO 2" dataDxfId="724"/>
    <tableColumn id="5" xr3:uid="{00000000-0010-0000-0000-000005000000}" name="NOMBRE 1" dataDxfId="723"/>
    <tableColumn id="6" xr3:uid="{00000000-0010-0000-0000-000006000000}" name="NOMBRE 2" dataDxfId="722"/>
    <tableColumn id="7" xr3:uid="{00000000-0010-0000-0000-000007000000}" name="TIPO DE DOCUMENTO" dataDxfId="721"/>
    <tableColumn id="8" xr3:uid="{00000000-0010-0000-0000-000008000000}" name="No DE IDENTIFICACION" dataDxfId="720"/>
    <tableColumn id="9" xr3:uid="{00000000-0010-0000-0000-000009000000}" name="ESTADO CIVIL" dataDxfId="719"/>
    <tableColumn id="10" xr3:uid="{00000000-0010-0000-0000-00000A000000}" name="OCUPACION" dataDxfId="718"/>
    <tableColumn id="11" xr3:uid="{00000000-0010-0000-0000-00000B000000}" name="FECHA DE NACIMIENTO" dataDxfId="717" dataCellStyle="Normal 2"/>
    <tableColumn id="12" xr3:uid="{00000000-0010-0000-0000-00000C000000}" name="EDAD ACTUAL" dataDxfId="716" dataCellStyle="Normal 2">
      <calculatedColumnFormula>IF(M2&gt;0,SUM(TODAY()-M2)/365,"")</calculatedColumnFormula>
    </tableColumn>
    <tableColumn id="13" xr3:uid="{00000000-0010-0000-0000-00000D000000}" name="FECHA DE IDENTIFICACION DE LA GESTANTE" dataDxfId="715" dataCellStyle="Normal 2"/>
    <tableColumn id="14" xr3:uid="{00000000-0010-0000-0000-00000E000000}" name="EFECTIVIDAD DEMANDA" dataDxfId="714" dataCellStyle="Normal 2">
      <calculatedColumnFormula>IF(AND(O2="",R2&gt;0),"ACUDE ESPONTANEAMENTE",IF(AND(AND(O2&gt;0,R2=""),OR(IW2&gt;0,IT2&lt;&gt;"")),"NA",IF(AND(O2&gt;0,IW2="",R2=""),"NO",IF(AND(O2&gt;0,R2&gt;0),"SI",""))))</calculatedColumnFormula>
    </tableColumn>
    <tableColumn id="15" xr3:uid="{00000000-0010-0000-0000-00000F000000}" name="NOVEDAD AL MOMENTO DE LA IDENTIFICACIÓN Y/O CAPTACIÓN " dataDxfId="713" dataCellStyle="Normal 2"/>
    <tableColumn id="16" xr3:uid="{00000000-0010-0000-0000-000010000000}" name="FECHA CONSULTA PRIMERA VEZ PROGRAMA CPN " dataDxfId="712" dataCellStyle="Normal 2"/>
    <tableColumn id="24" xr3:uid="{00000000-0010-0000-0000-000018000000}" name="REGIMEN" dataDxfId="711" dataCellStyle="Normal 2"/>
    <tableColumn id="25" xr3:uid="{00000000-0010-0000-0000-000019000000}" name="ASEGURADORA" dataDxfId="710" dataCellStyle="Normal 2"/>
    <tableColumn id="26" xr3:uid="{00000000-0010-0000-0000-00001A000000}" name="MUNICIPIO DE RESIDENCIA" dataDxfId="709" dataCellStyle="Normal 2"/>
    <tableColumn id="27" xr3:uid="{00000000-0010-0000-0000-00001B000000}" name="ZONA DE RESIDENCIA" dataDxfId="708" dataCellStyle="Normal 2"/>
    <tableColumn id="28" xr3:uid="{00000000-0010-0000-0000-00001C000000}" name="VEREDA/BARRIO" dataDxfId="707" dataCellStyle="Normal 2"/>
    <tableColumn id="29" xr3:uid="{00000000-0010-0000-0000-00001D000000}" name="DIRECCION - (ESPECIFICAR UBICACIÓN EN VEREDA)" dataDxfId="706" dataCellStyle="Normal 2"/>
    <tableColumn id="30" xr3:uid="{00000000-0010-0000-0000-00001E000000}" name="RESGUARDO / CORREGIMIENTO / COMUNA / LOCALIDAD" dataDxfId="705" dataCellStyle="Normal 2"/>
    <tableColumn id="31" xr3:uid="{00000000-0010-0000-0000-00001F000000}" name="TELEFONO FIJO O CELULAR" dataDxfId="704" dataCellStyle="Normal 2"/>
    <tableColumn id="32" xr3:uid="{00000000-0010-0000-0000-000020000000}" name="TIPO DE ETNIA" dataDxfId="703" dataCellStyle="Normal 2"/>
    <tableColumn id="33" xr3:uid="{00000000-0010-0000-0000-000021000000}" name="PUEBLO INDIGENA ESPECIFICO" dataDxfId="702" dataCellStyle="Normal 2"/>
    <tableColumn id="34" xr3:uid="{00000000-0010-0000-0000-000022000000}" name="ESTUDIOS" dataDxfId="701" dataCellStyle="Normal 2"/>
    <tableColumn id="68" xr3:uid="{00000000-0010-0000-0000-000044000000}" name="PROGRAMAS DE APOYO SOCIAL " dataDxfId="700" dataCellStyle="Normal 2"/>
    <tableColumn id="35" xr3:uid="{00000000-0010-0000-0000-000023000000}" name="EMBARAZO ACEPTADO Y/O  DESEADO" dataDxfId="699" dataCellStyle="Normal 2"/>
    <tableColumn id="36" xr3:uid="{00000000-0010-0000-0000-000024000000}" name="APOYO FAMILIAR" dataDxfId="698" dataCellStyle="Normal 2"/>
    <tableColumn id="37" xr3:uid="{00000000-0010-0000-0000-000025000000}" name="MUJER CABEZA DE FAMILIA" dataDxfId="697" dataCellStyle="Normal 2"/>
    <tableColumn id="38" xr3:uid="{00000000-0010-0000-0000-000026000000}" name="ANSIEDAD (Tensión emocional, Humor depresivo y sx angustia)." dataDxfId="696" dataCellStyle="Normal 2"/>
    <tableColumn id="39" xr3:uid="{00000000-0010-0000-0000-000027000000}" name="GRUPO DE POBLACION ESPECIAL" dataDxfId="695" dataCellStyle="Normal 2"/>
    <tableColumn id="40" xr3:uid="{00000000-0010-0000-0000-000028000000}" name="HA SIDO VICTIMA DE VIOLENCIA BASADA EN GENERO" dataDxfId="694" dataCellStyle="Normal 2"/>
    <tableColumn id="41" xr3:uid="{00000000-0010-0000-0000-000029000000}" name="RIESGO PSICOSOCIAL" dataDxfId="693">
      <calculatedColumnFormula>IF(AND(AE2="",AF2="",AG2="",AH2="",AI2="",AJ2=""),"",IF(AND(OR(O2&gt;0,R2&gt;0),NP2&gt;=0,NP2&lt;2),"SIN RIESGO",IF(AND(OR(O2&gt;0,R2&gt;0),NP2&gt;=2),"CON RIESGO",IF(AND(O2="",R2=""),"",IF(OR(Tabla1[[#This Row],[EMBARAZO ACEPTADO Y/O  DESEADO]]="SIN DATO",Tabla1[[#This Row],[APOYO FAMILIAR]]="SIN DATO",Tabla1[[#This Row],[ANSIEDAD (Tensión emocional, Humor depresivo y sx angustia).]]="SIN DATO",Tabla1[[#This Row],[GRUPO DE POBLACION ESPECIAL]]="SIN DATO",Tabla1[[#This Row],[HA SIDO VICTIMA DE VIOLENCIA BASADA EN GENERO]]="SIN DATO"),"COMPLETAR EVALUACIÓN","")))))</calculatedColumnFormula>
    </tableColumn>
    <tableColumn id="43" xr3:uid="{00000000-0010-0000-0000-00002B000000}" name="ANTECEDENTE. HIPERTENSION INDUCIDA POR EL EMBARAZO O PREECLAMPSIA/ECLAMPSIA" dataDxfId="692" dataCellStyle="Normal 2"/>
    <tableColumn id="44" xr3:uid="{00000000-0010-0000-0000-00002C000000}" name="ANTECEDENTE. RETENCION PLACENTARIA O HEMORRAGIA POSTPARTO" dataDxfId="691" dataCellStyle="Normal 2"/>
    <tableColumn id="45" xr3:uid="{00000000-0010-0000-0000-00002D000000}" name="ANTECEDENTE. PESO BEBE MAYOR A 4000 o MENOR A  2500" dataDxfId="690" dataCellStyle="Normal 2"/>
    <tableColumn id="47" xr3:uid="{00000000-0010-0000-0000-00002F000000}" name="ANTECEDENTE. EMBARAZO GEMELAR" dataDxfId="689" dataCellStyle="Normal 2"/>
    <tableColumn id="48" xr3:uid="{00000000-0010-0000-0000-000030000000}" name="ANTECEDENTE. Trabajo de Parto PROLONGADO/PARTO DIFICIL" dataDxfId="688" dataCellStyle="Normal 2"/>
    <tableColumn id="49" xr3:uid="{00000000-0010-0000-0000-000031000000}" name="ANTECEDENTE. FLIAR PREECLAMPSIA" dataDxfId="687" dataCellStyle="Normal 2"/>
    <tableColumn id="51" xr3:uid="{00000000-0010-0000-0000-000033000000}" name="ANTECEDENTE GRAVIDA" dataDxfId="686" dataCellStyle="Normal 2"/>
    <tableColumn id="52" xr3:uid="{00000000-0010-0000-0000-000034000000}" name="ANTECEDENTE PARTOS" dataDxfId="685" dataCellStyle="Normal 2"/>
    <tableColumn id="53" xr3:uid="{00000000-0010-0000-0000-000035000000}" name="ANTECEDENTE ABORTOS" dataDxfId="684" dataCellStyle="Normal 2"/>
    <tableColumn id="54" xr3:uid="{00000000-0010-0000-0000-000036000000}" name="ANTE. 3 ABORTOS SEGUIDOS O INFERTILIDAD" dataDxfId="683" dataCellStyle="Normal 2"/>
    <tableColumn id="55" xr3:uid="{00000000-0010-0000-0000-000037000000}" name="ANTECEDENTE CESAREAS" dataDxfId="682" dataCellStyle="Normal 2"/>
    <tableColumn id="56" xr3:uid="{00000000-0010-0000-0000-000038000000}" name="ANTECEDENTE OBITO FETAL Y/O MUERTE PERINATAL NEONATAL TEMPRANA" dataDxfId="681" dataCellStyle="Normal 2"/>
    <tableColumn id="57" xr3:uid="{00000000-0010-0000-0000-000039000000}" name="ANTECEDENTE EMBARAZO ECTOPICO O CX UTERINA (MIOMECTOMIA)" dataDxfId="680" dataCellStyle="Normal 2"/>
    <tableColumn id="58" xr3:uid="{00000000-0010-0000-0000-00003A000000}" name="ANTECEDENTE EMBARAZO MOLAR" dataDxfId="679" dataCellStyle="Normal 2"/>
    <tableColumn id="59" xr3:uid="{00000000-0010-0000-0000-00003B000000}" name="ANTECEDENTE MUERTE NEONATAL TARDIA" dataDxfId="678" dataCellStyle="Normal 2"/>
    <tableColumn id="64" xr3:uid="{00000000-0010-0000-0000-000040000000}" name="TIENE ENFERMEDADES AUTOINMUNES" dataDxfId="677" dataCellStyle="Normal 2"/>
    <tableColumn id="65" xr3:uid="{00000000-0010-0000-0000-000041000000}" name="TIENE DIABETES MELLITUS" dataDxfId="676" dataCellStyle="Normal 2"/>
    <tableColumn id="66" xr3:uid="{00000000-0010-0000-0000-000042000000}" name="TIENE ENFERMEDAD CARDIACA" dataDxfId="675" dataCellStyle="Normal 2"/>
    <tableColumn id="315" xr3:uid="{00000000-0010-0000-0000-00003B010000}" name="TIENE HTA CRONICA" dataDxfId="674" dataCellStyle="Normal 2"/>
    <tableColumn id="305" xr3:uid="{00000000-0010-0000-0000-000031010000}" name="TIENE ENF RENAL CRONICA" dataDxfId="673" dataCellStyle="Normal 2"/>
    <tableColumn id="74" xr3:uid="{00000000-0010-0000-0000-00004A000000}" name="EN EMB ACTUAL ENFERMEDADES INFECCIOSAS AGUDAS(BACTERIANAS)" dataDxfId="672" dataCellStyle="Normal 2"/>
    <tableColumn id="76" xr3:uid="{00000000-0010-0000-0000-00004C000000}" name="EN EMB ACTUAL RPM" dataDxfId="671" dataCellStyle="Normal 2"/>
    <tableColumn id="79" xr3:uid="{00000000-0010-0000-0000-00004F000000}" name=" EN EMB ACTUAL HEMORRAGIA VAGINAL &gt; 20 SEM22" dataDxfId="670" dataCellStyle="Normal 2"/>
    <tableColumn id="81" xr3:uid="{00000000-0010-0000-0000-000051000000}" name="EN EMB ACTUAL HEMORRAGIA VAGINAL &lt; 20 SEM" dataDxfId="669" dataCellStyle="Normal 2"/>
    <tableColumn id="87" xr3:uid="{00000000-0010-0000-0000-000057000000}" name="FECHA TERMINACIÓN ÚLTIMO EMBARAZO" dataDxfId="668" dataCellStyle="Normal 2"/>
    <tableColumn id="89" xr3:uid="{00000000-0010-0000-0000-000059000000}" name="FUM" dataDxfId="667" dataCellStyle="Normal 2"/>
    <tableColumn id="90" xr3:uid="{00000000-0010-0000-0000-00005A000000}" name="FUM FORMULA CONFIABLE" dataDxfId="666" dataCellStyle="Normal 2"/>
    <tableColumn id="20" xr3:uid="{00000000-0010-0000-0000-000014000000}" name="PERIODO INTERGENESICO (MESES)" dataDxfId="665" dataCellStyle="Normal 2">
      <calculatedColumnFormula>IF(OR(BJ2="SD",BK2=""),"",IF(BJ2="",0,SUM(BK2-BJ2)/30))</calculatedColumnFormula>
    </tableColumn>
    <tableColumn id="19" xr3:uid="{00000000-0010-0000-0000-000013000000}" name="FUM X ECO 1" dataDxfId="664" dataCellStyle="Normal 2">
      <calculatedColumnFormula>IF(BS2&gt;0,SUM(BR2-NQ2),"")</calculatedColumnFormula>
    </tableColumn>
    <tableColumn id="94" xr3:uid="{00000000-0010-0000-0000-00005E000000}" name="SEMANAS DE GESTACION AL INGRESO" dataDxfId="663" dataCellStyle="Normal 2">
      <calculatedColumnFormula>IF(AND(BL2="Corregida",BK2&gt;0,R2&gt;0,ISBLANK(BS2)),"SIN SEMANAS X ECO",IF(AND(BL2="Corregida",BK2&gt;0,R2&gt;0),SUM(R2-BN2)/7,IF(AND(OR(BL2="SI",BL2="NO"),BK2&gt;0,R2&gt;0),SUM(R2-BK2)/7,"")))</calculatedColumnFormula>
    </tableColumn>
    <tableColumn id="95" xr3:uid="{00000000-0010-0000-0000-00005F000000}" name="TRIMESTRE DE  INGRESO AL CPN" dataDxfId="662" dataCellStyle="Normal 2">
      <calculatedColumnFormula>IF(AND(BO2="",IP2=""),"",IF(AND(BO2="",IP2="DEFINIR FPP POR ECO"),"SIN DATO",IF(BO2&lt;0,"ERROR FUM O INGRESO O ECO",IF(BL2="NO","DEFINIR CON ECO",IF(BO2&lt;12,"I TRIM",IF(BO2&lt;27,"II TRIM",IF(AND(BO2&gt;26,BO2&lt;45),"III TRIM","ERROR FUM O INGRESO O ECO")))))))</calculatedColumnFormula>
    </tableColumn>
    <tableColumn id="96" xr3:uid="{00000000-0010-0000-0000-000060000000}" name="SEMANAS DE GESTACION ACTUALIZADAS" dataDxfId="661" dataCellStyle="Normal 2">
      <calculatedColumnFormula>IF(SUM((TODAY()-BK2)/7)&gt;43.1,"",IF(AND(BK2&gt;0,OR(BL2="si",BL2="Corregida",BL2="NO")),SUM((TODAY()-BK2)/7),""))</calculatedColumnFormula>
    </tableColumn>
    <tableColumn id="99" xr3:uid="{00000000-0010-0000-0000-000063000000}" name="FECHA ECO 1" dataDxfId="660" dataCellStyle="Normal 2"/>
    <tableColumn id="100" xr3:uid="{00000000-0010-0000-0000-000064000000}" name="SEMANAS GESTACION ECO 1" dataDxfId="659" dataCellStyle="Normal 2"/>
    <tableColumn id="104" xr3:uid="{00000000-0010-0000-0000-000068000000}" name="FECHA ECO 2" dataDxfId="658" dataCellStyle="Normal 2"/>
    <tableColumn id="105" xr3:uid="{00000000-0010-0000-0000-000069000000}" name="SEMANAS GESTACION ECO 2" dataDxfId="657" dataCellStyle="Normal 2"/>
    <tableColumn id="279" xr3:uid="{00000000-0010-0000-0000-000017010000}" name="EN EMB. ACTUAL  RCIU" dataDxfId="656" dataCellStyle="Normal 2"/>
    <tableColumn id="280" xr3:uid="{00000000-0010-0000-0000-000018010000}" name="TIENE EMB. MUTIPLE ACTUAL " dataDxfId="655" dataCellStyle="Normal 2"/>
    <tableColumn id="287" xr3:uid="{00000000-0010-0000-0000-00001F010000}" name="PRESENTACION DEL FETO - ACTUALIZAR DESPUÉS DE LA SEMANA 32" dataDxfId="654" dataCellStyle="Normal 2"/>
    <tableColumn id="293" xr3:uid="{00000000-0010-0000-0000-000025010000}" name="TIENE POLIHIDRAMNIOS" dataDxfId="653" dataCellStyle="Normal 2"/>
    <tableColumn id="110" xr3:uid="{00000000-0010-0000-0000-00006E000000}" name="FECHA DE REGISTRO DE PESO Y/O TALLA PREGESTACIONAL O I TRIM GESTACION" dataDxfId="652" dataCellStyle="Normal 2"/>
    <tableColumn id="111" xr3:uid="{00000000-0010-0000-0000-00006F000000}" name="TALLA EN Mts     " dataDxfId="651" dataCellStyle="Normal 2"/>
    <tableColumn id="112" xr3:uid="{00000000-0010-0000-0000-000070000000}" name="PESO EN Kg INGRESO I TRIM O PRE GESTACION" dataDxfId="650" dataCellStyle="Normal 2"/>
    <tableColumn id="113" xr3:uid="{00000000-0010-0000-0000-000071000000}" name="IMC" dataDxfId="649" dataCellStyle="Normal 2">
      <calculatedColumnFormula>IF(AND(OR(O2&gt;0,R2&gt;0),CA2=""),"SD",IF(AND(OR(O2="",R2=""),CA2=""),"",IF(AND(OR(O2&gt;0,R2&gt;0),CA2&gt;0,CB2&gt;0),SUM(CB2)/(CA2*CA2),"X")))</calculatedColumnFormula>
    </tableColumn>
    <tableColumn id="114" xr3:uid="{00000000-0010-0000-0000-000072000000}" name="CLASIFICACION NUTRICIONAL 1" dataDxfId="648" dataCellStyle="Normal 2">
      <calculatedColumnFormula>IF(AND(CC2&lt;10,CB2="SD"),"SIN DATO PESO PREGESTACION O I TRIM",IF(AND(OR(R2&gt;0,O2&gt;0),CC2="X"),"INGRESAR DATO DE PESO",IF(CC2="SD","INGRESAR DATO DE TALLA Y PESO",IF(CC2&lt;18.5,"BAJO PESO",IF(CC2&lt;25,"NORMAL",IF(CC2&lt;30,"SOBREPESO",IF(AND(CC2&gt;=30,CC2&lt;50),"OBESIDAD","")))))))</calculatedColumnFormula>
    </tableColumn>
    <tableColumn id="337" xr3:uid="{00000000-0010-0000-0000-000051010000}" name="FECHA DEL PESO Y TALLA II TRIM"/>
    <tableColumn id="115" xr3:uid="{00000000-0010-0000-0000-000073000000}" name="PESO EN Kg II TRIM (14 A 28 SEMANAS)" dataDxfId="647" dataCellStyle="Normal 2"/>
    <tableColumn id="117" xr3:uid="{00000000-0010-0000-0000-000075000000}" name="IMC5 II TRIM" dataDxfId="646" dataCellStyle="Normal 2">
      <calculatedColumnFormula>IF(AND(OR(O2&gt;0,R2&gt;0),CA2=""),"SD",IF(AND(OR(O2="",R2=""),CA2=""),"",IF(AND(OR(O2&gt;0,R2&gt;0),CA2&gt;0),SUM(CF2)/(CA2*CA2),"X")))</calculatedColumnFormula>
    </tableColumn>
    <tableColumn id="118" xr3:uid="{00000000-0010-0000-0000-000076000000}" name="SEMANAS DE GESTACION II TRIM" dataDxfId="645" dataCellStyle="Normal 2">
      <calculatedColumnFormula>IF(AND(CE2="",BK2=""),"",IF(AND(BK2&gt;0,CE2=""),"NA",IF(CE2&lt;BK2,"REVISAR FUM O FECHA PESO",IF(CE2&gt;0,INT(SUM(CE2-BK2)/7)))))</calculatedColumnFormula>
    </tableColumn>
    <tableColumn id="119" xr3:uid="{00000000-0010-0000-0000-000077000000}" name="CLASIFICACION SEGÚN CURVA ATALAH - II TRIM" dataDxfId="644" dataCellStyle="Normal 2">
      <calculatedColumnFormula>IF(OR(CH2="",CH2="NA"),"",IF(AND(CH2&gt;=29,CH2&lt;=42),"REGISTRAR EN III TRIM",IF(AND(CH2&gt;0,CH2&lt;=13),"REGISTRAR EN I TRIM",IF(CH2="REVISAR FUM O FECHA PESO","REVISAR",IF(CH2&gt;0,HLOOKUP(CH2,$OI$1:PK2,OH2),"")))))</calculatedColumnFormula>
    </tableColumn>
    <tableColumn id="120" xr3:uid="{00000000-0010-0000-0000-000078000000}" name="FECHA DEL PESO Y TALLA III TRIM" dataDxfId="643" dataCellStyle="Normal 2"/>
    <tableColumn id="121" xr3:uid="{00000000-0010-0000-0000-000079000000}" name="PESO EN Kg (29 A 42 SEMANAS)" dataDxfId="642" dataCellStyle="Normal 2"/>
    <tableColumn id="123" xr3:uid="{00000000-0010-0000-0000-00007B000000}" name="IMC8 III TRIM" dataDxfId="641" dataCellStyle="Normal 2">
      <calculatedColumnFormula>IF(AND(OR(O2&gt;0,R2&gt;0),CA2=""),"SD",IF(AND(OR(O2="",R2=""),CA2=""),"",IF(AND(OR(O2&gt;0,R2&gt;0),CA2&gt;0),SUM(CK2)/(CA2*CA2),"X")))</calculatedColumnFormula>
    </tableColumn>
    <tableColumn id="124" xr3:uid="{00000000-0010-0000-0000-00007C000000}" name="SEMANAS DE GESTACION9 III TRIM" dataDxfId="640" dataCellStyle="Normal 2">
      <calculatedColumnFormula>IF(AND(CJ2="",BK2=""),"",IF(AND(BK2&gt;0,CJ2=""),"NA",IF(CJ2&lt;BK2,"REVISAR FUM O FECHA PESO",IF(CJ2&gt;0,INT(SUM(CJ2-BK2)/7)))))</calculatedColumnFormula>
    </tableColumn>
    <tableColumn id="125" xr3:uid="{00000000-0010-0000-0000-00007D000000}" name="CLASIFICACION SEGÚN CURVA ATALAH - III TRIM" dataDxfId="639" dataCellStyle="Normal 2">
      <calculatedColumnFormula>IF(OR(CM2="",CM2="NA"),"",IF(AND(CM2&gt;0,CM2&lt;=28),"REGISTRAR EN  TRIM RESPECTIVO",IF(CM2&gt;0,HLOOKUP(CM2,$OI$1:PK2,OH2),"")))</calculatedColumnFormula>
    </tableColumn>
    <tableColumn id="126" xr3:uid="{00000000-0010-0000-0000-00007E000000}" name="CLASIFICACION SEGÚN CURVA ATALAH -CONSOLIDADO ULTIMO DATO DE CADA MUJER" dataDxfId="638" dataCellStyle="Normal 2">
      <calculatedColumnFormula>IF(AND(OR(O2&gt;0,R2&gt;0),CD2&lt;&gt;"",CI2&lt;&gt;"",CN2&lt;&gt;""),CN2,IF(AND(OR(O2&gt;0,R2&gt;0),CD2&lt;&gt;"",CI2&lt;&gt;"",CN2=""),CI2,IF(AND(OR(O2&gt;0,R2&gt;0),CD2&lt;&gt;"",CI2="",CN2=""),CD2,IF(AND(OR(O2&gt;0,R2&gt;0),CD2&lt;&gt;"",CI2="",CN2&lt;&gt;""),CN2,""))))</calculatedColumnFormula>
    </tableColumn>
    <tableColumn id="50" xr3:uid="{00000000-0010-0000-0000-000032000000}" name="T.A. SISTOLICA - ANTES DE SEMANA 12" dataDxfId="637" dataCellStyle="Normal 2"/>
    <tableColumn id="127" xr3:uid="{00000000-0010-0000-0000-00007F000000}" name="T.A. DIASTOLICA - ANTES DE SEMANA 12" dataDxfId="636" dataCellStyle="Normal 2"/>
    <tableColumn id="128" xr3:uid="{00000000-0010-0000-0000-000080000000}" name="ALARMA 1 T.A.  ANTES 12 SEMANAS" dataDxfId="635" dataCellStyle="Normal 2">
      <calculatedColumnFormula>IF(AND(OR(R2="",R2&lt;&gt;""),CQ2="",CP2=""),"",IF(AND(OR(O2&gt;0,R2&gt;0),OR(CP2&gt;=140,CQ2&gt;=90)),"DEFINIR ESTADIO HTA",IF(AND(OR(O2&gt;0,R2&gt;0),AND(CP2&gt;120,CP2&lt;=139)),"PRE HTA SEGUIMIENTO",IF(AND(OR(O2&gt;0,R2&gt;0),AND(CQ2&gt;80,CQ2&lt;=89)),"PRE HTA SEGUIMIENTO",IF(AND(OR(O2&gt;0,R2&gt;0),AND(CP2&gt;=80,CP2&lt;=120)),"APARENTEMENTE NORMAL",IF(AND(OR(O2&gt;0,R2&gt;0),AND(CQ2&gt;=50,CQ2&lt;=80)),"APARENTEMENTE NORMAL",IF(AND(OR(O2&gt;0,R2&gt;0),OR(CP2&lt;=70,CQ2&lt;=40)),"HIPOTENSIÓN","")))))))</calculatedColumnFormula>
    </tableColumn>
    <tableColumn id="129" xr3:uid="{00000000-0010-0000-0000-000081000000}" name="T.A. SISTOLICA (Entre semana 20 y 26)" dataDxfId="634" dataCellStyle="Normal 2"/>
    <tableColumn id="130" xr3:uid="{00000000-0010-0000-0000-000082000000}" name="T.A. DIATOLICA (Entre semana 20 y 26)" dataDxfId="633" dataCellStyle="Normal 2"/>
    <tableColumn id="131" xr3:uid="{00000000-0010-0000-0000-000083000000}" name="ALARMA 2 T.A.  ENTRE SEMANA 20 Y 26 " dataDxfId="632" dataCellStyle="Normal 2">
      <calculatedColumnFormula>IF(AND(OR(R2="",R2&lt;&gt;""),CS2="",CT2=""),"",IF(AND(OR(O2&gt;0,R2&gt;0),OR(CS2&gt;=140,CT2&gt;=90)),"ALTO RIESGO PREECLAMPSIA,DEFINIR ESTADIO HTA",IF(AND(OR(O2&gt;0,R2&gt;0),AND(CS2&gt;120,CS2&lt;=139)),"PRE HTA SEGUIMIENTO,RIESGO HIPERTENSION INDUCIDA POR EL EMBARAZO",IF(AND(OR(O2&gt;0,R2&gt;0),AND(CT2&gt;80,CT2&lt;=89)),"PRE HTA SEGUIMIENTO, RIESGO HIPERTENSION INDUCIDA POR EL EMBARAZO",IF(AND(OR(O2&lt;&gt;"",R2&lt;&gt;""),CQ2&lt;&gt;"",CT2&lt;&gt;"",CQ2&lt;=CT2),"VIGILAR CIFRAS PRESION ARTERIAL",IF(AND(OR(O2&gt;0,R2&gt;0),AND(CS2&gt;120,CS2&lt;=139)),"PRE HTA SEGUIMIENTO",IF(AND(OR(O2&gt;0,R2&gt;0),OR(CS2&lt;=60,CT2&lt;40)),"HIPOTENSIÓN",IF(AND(OR(O2&lt;&gt;"",R2&lt;&gt;""),CQ2&lt;&gt;"",CT2&lt;&gt;"",CQ2&gt;CT2),"APARENTEMENTE NORMAL",IF(AND(OR(O2&gt;0,R2&gt;0),AND(CS2&gt;=80,CS2&lt;=120)),"APARENTEMENTE NORMAL",IF(AND(OR(O2&gt;0,R2&gt;0),AND(CT2&gt;=50,CT2&lt;=80)),"APARENTEMENTE NORMAL",""))))))))))</calculatedColumnFormula>
    </tableColumn>
    <tableColumn id="132" xr3:uid="{00000000-0010-0000-0000-000084000000}" name="TA. SISTOLICA SEM 30 A 34" dataDxfId="631"/>
    <tableColumn id="133" xr3:uid="{00000000-0010-0000-0000-000085000000}" name="TA. DIASTOLICA SEM 30 A 34" dataDxfId="630" dataCellStyle="Normal 2"/>
    <tableColumn id="134" xr3:uid="{00000000-0010-0000-0000-000086000000}" name="TA SISTOLICA SEM 35 A 37 ULTIMO CONTROL" dataDxfId="629" dataCellStyle="Normal 2"/>
    <tableColumn id="135" xr3:uid="{00000000-0010-0000-0000-000087000000}" name="TA DIASTOLICA SEM 35 A 37 ULTIMO CONTROL" dataDxfId="628" dataCellStyle="Normal 2"/>
    <tableColumn id="136" xr3:uid="{00000000-0010-0000-0000-000088000000}" name="ALARMA 3 T.A.  III TRIMESTRE" dataDxfId="627" dataCellStyle="Normal 2">
      <calculatedColumnFormula>IF(AND(OR(R2="",R2&lt;&gt;""),CV2="",CW2="",CX2="",CY2=""),"",IF(AND(OR(O2&gt;0,R2&gt;0),OR(CV2&gt;=140,CW2&gt;=90,CX2&gt;=140,CY2&gt;=90)),"ESTUDIO INMEDIATO HTA PARA DESCARTAR PREECLAMSIA",IF(AND(OR(O2&gt;0,R2&gt;0),OR(AND(CX2&gt;=130,CX2&lt;=139),AND(CV2&gt;=130,CV2&lt;=139))),"PRE HTA,RIESGO ALTO PREECLAMPSIA",IF(AND(OR(O2&gt;0,R2&gt;0),OR(AND(CY2&gt;=80,CY2&lt;=89),AND(CW2&gt;=80,CW2&lt;=89))),"PRE HTA,RIESGO ALTO PREECLAMPSIA",IF(AND(OR(O2&gt;0,R2&gt;0),OR(AND(CX2&gt;120,CX2&lt;=129),AND(CV2&gt;120,CV2&lt;=129))),"RANGO PREHIPERTENSIVO SEGUIMIENTO HTA",IF(AND(OR(O2&lt;&gt;"",R2&lt;&gt;""),CQ2&lt;&gt;"",CW2&lt;&gt;"",CY2&lt;&gt;"",OR(CQ2&lt;CY2,CQ2&lt;CW2)),"VIGILAR CIFRAS PRESION ARTERIAL",IF(AND(OR(O2&lt;&gt;"",R2&lt;&gt;""),CP2="",CQ2="",OR(CW2&lt;CY2,CV2&lt;CX2)),"VIGILAR CIFRAS PRESION ARTERIAL",IF(AND(OR(O2&lt;&gt;"",R2&lt;&gt;""),CQ2&lt;&gt;"",CW2&lt;&gt;"",CY2&lt;&gt;"",OR(CQ2=CY2,CQ2=CW2)),"APARENTEMENTE NORMAL",IF(AND(OR(O2&gt;0,R2&gt;0),OR(AND(CX2&gt;=80,CX2&lt;=120),AND(CV2&gt;=80,CV2&lt;=120))),"APARENTEMENTE NORMAL",IF(AND(OR(O2&gt;0,R2&gt;0),OR(AND(CY2&gt;=50,CY2&lt;80),AND(CW2&gt;=50,CW2&lt;80))),"APARENTEMENTE NORMAL",""))))))))))</calculatedColumnFormula>
    </tableColumn>
    <tableColumn id="137" xr3:uid="{00000000-0010-0000-0000-000089000000}" name="FECHA ASESORIA EN LACTANCIA MATERNA DURANTE CPN" dataDxfId="626" dataCellStyle="Normal 2"/>
    <tableColumn id="138" xr3:uid="{00000000-0010-0000-0000-00008A000000}" name="FECHA ASESORIA EN ANTICONCEPCION DURANTE CPN" dataDxfId="625" dataCellStyle="Normal 2"/>
    <tableColumn id="139" xr3:uid="{00000000-0010-0000-0000-00008B000000}" name="FECHA C2" dataDxfId="624" dataCellStyle="Normal 2"/>
    <tableColumn id="144" xr3:uid="{00000000-0010-0000-0000-000090000000}" name="FECHA C3" dataDxfId="623" dataCellStyle="Normal 2"/>
    <tableColumn id="145" xr3:uid="{00000000-0010-0000-0000-000091000000}" name="FECHA C4" dataDxfId="622" dataCellStyle="Normal 2"/>
    <tableColumn id="146" xr3:uid="{00000000-0010-0000-0000-000092000000}" name="FECHA C5" dataDxfId="621" dataCellStyle="Normal 2"/>
    <tableColumn id="147" xr3:uid="{00000000-0010-0000-0000-000093000000}" name="FECHA C6" dataDxfId="620" dataCellStyle="Normal 2"/>
    <tableColumn id="148" xr3:uid="{00000000-0010-0000-0000-000094000000}" name="FECHA C7" dataDxfId="619" dataCellStyle="Normal 2"/>
    <tableColumn id="149" xr3:uid="{00000000-0010-0000-0000-000095000000}" name="FECHA C8" dataDxfId="618" dataCellStyle="Normal 2"/>
    <tableColumn id="150" xr3:uid="{00000000-0010-0000-0000-000096000000}" name="FECHA C9" dataDxfId="617" dataCellStyle="Normal 2"/>
    <tableColumn id="151" xr3:uid="{00000000-0010-0000-0000-000097000000}" name="FECHA C10" dataDxfId="616" dataCellStyle="Normal 2"/>
    <tableColumn id="152" xr3:uid="{00000000-0010-0000-0000-000098000000}" name="FECHA C11" dataDxfId="615" dataCellStyle="Normal 2"/>
    <tableColumn id="153" xr3:uid="{00000000-0010-0000-0000-000099000000}" name="FECHA C12" dataDxfId="614" dataCellStyle="Normal 2"/>
    <tableColumn id="83" xr3:uid="{00000000-0010-0000-0000-000053000000}" name="FECHA C13" dataDxfId="613" dataCellStyle="Normal 2"/>
    <tableColumn id="341" xr3:uid="{00000000-0010-0000-0000-000055010000}" name="CURSO DE MATERNIDAD Y PATERNIDAD" dataDxfId="612" dataCellStyle="Normal 2"/>
    <tableColumn id="342" xr3:uid="{00000000-0010-0000-0000-000056010000}" name="FECHA DE CONCERTACIÓN PLAN DE PARTO (Soporte HC)" dataDxfId="611" dataCellStyle="Normal 2"/>
    <tableColumn id="343" xr3:uid="{00000000-0010-0000-0000-000057010000}" name="ALERTA DE PLAN DE PARTO" dataDxfId="610" dataCellStyle="Normal 2">
      <calculatedColumnFormula>IF(AND(BP2="ERROR FUM O INGRESO",DP2&gt;0),"ERROR FUM O INGRESO",IF(AND(DP2="",R2="",O2=""),"",IF(OR(AND(DP2&lt;&gt;"",DP2&lt;BK2),AND(DP2&lt;&gt;"",AND(SUM((DP2-BK2)/7)&gt;0,SUM((DP2-BK2)/7)&lt;28))),"PLAN REALIZADO ANTES III TRIM", IF(AND(DP2="",OR(O2&gt;0,R2&gt;0),AND(BQ2&gt;=28, BQ2&lt;35,DR2="ACTIVA INGRESO A CPN")),"PLANEAR PLAN DE PARTO", IF(AND(DP2="",OR(O2&gt;0,R2&gt;0),BQ2&gt;=35,DR2="ACTIVA INGRESO A CPN"),"CONCERTAR PLAN DE PARTO INMEDIATO", IF(AND(DP2="",OR(O2&gt;0,R2&gt;0),AND(BQ2&gt;0, BQ2&lt;28),OR(DR2="ACTIVA INGRESO A CPN", DR2=" ACTIVA SIN INGRESO CPN")),"EN ESPERA", IF(AND(DP2="",OR(O2&gt;0,R2&gt;0),AND(IY2&gt;0, IY2&lt;28)),"NO APLICA SALE PROGRAMA ANTES III TRIM", IF(AND(DP2="",OR(O2&gt;0,R2&gt;0),AND(IY2&gt;=28, IY2&lt;35)),"SALE PROGRAMA ANTES SEMANA 35", IF(AND(DP2="",OR(O2&gt;0,R2&gt;0),IY2&gt;35),"SALE SIN PLAN DE PARTO",IF(DP2&gt;0,SUM(DP2-BK2)/7,""))))))))))</calculatedColumnFormula>
    </tableColumn>
    <tableColumn id="42" xr3:uid="{00000000-0010-0000-0000-00002A000000}" name="GESTANTES ACTUALES" dataDxfId="609" dataCellStyle="Normal 2">
      <calculatedColumnFormula>IF(AND(R2&lt;&gt;"",IT2="CAMBIO DE RESIDENCIA"),"SEGUIMIENTO REPORTE EPS",IF(AND(R2&lt;&gt;"",OR(IT2&lt;&gt;"",IW2&lt;&gt;"")),"SALIO PROGRAMA",IF(AND(AND(R2="",O2&gt;0),OR(IT2&lt;&gt;"",IW2&lt;&gt;"")),"SALE SIN INGRESO CPN",IF(AND(R2="",O2&gt;0,IT2="",IW2=""),"ACTIVA SIN INGRESO CPN",IF(AND(R2&lt;&gt;"",OR(IT2="",IW2="")),"ACTIVA INGRESO A CPN","")))))</calculatedColumnFormula>
    </tableColumn>
    <tableColumn id="85" xr3:uid="{00000000-0010-0000-0000-000055000000}" name="CITA PROXIMO CONTROL" dataDxfId="608" dataCellStyle="Normal 2">
      <calculatedColumnFormula>IF(Tabla1[[#This Row],[EDAD GESTACIONAL ÚLTIMO CPN]]="SD","CITA MANUAL",IF(Tabla1[[#This Row],[GESTANTES ACTUALES]]="SALIO PROGRAMA","NO APLICA",IF(AND(Tabla1[[#This Row],[EDAD GESTACIONAL ÚLTIMO CPN]]&gt;0,Tabla1[[#This Row],[EDAD GESTACIONAL ÚLTIMO CPN]]&lt;=35),WORKDAY(SUM(Tabla1[[#This Row],[FECHA ULTIMO CPN]]+30),1,#REF!),IF(AND(Tabla1[[#This Row],[EDAD GESTACIONAL ÚLTIMO CPN]]&gt;=36,Tabla1[[#This Row],[EDAD GESTACIONAL ÚLTIMO CPN]]&lt;=42),WORKDAY(SUM(Tabla1[[#This Row],[FECHA ULTIMO CPN]]+14)-3,1,#REF!),""))))</calculatedColumnFormula>
    </tableColumn>
    <tableColumn id="61" xr3:uid="{00000000-0010-0000-0000-00003D000000}" name="ALERTA SEGUIMIENTO" dataDxfId="607" dataCellStyle="Normal 2">
      <calculatedColumnFormula>IF(NR2="SD","",IF(AND(NR2&lt;=33,NR2&gt;=8),"MES DE CONTROL",IF(AND(NR2&gt;=1,NR2&lt;8),"SEMANA DE CONTROL",IF(NR2=0,"DIA DE CONTROL",IF(NR2&lt;0,"INASISTENTE",IF(NR2="Y","SEGUIMIENTO FUERA MUNICIPIO",IF(NR2="Z","BUSCAR PARA INGRESO A CPN",IF(NR2="W","DEFINIR FECHA CITA",IF(NR2="X","NO REALIZO CPN",IF(NR2="S","DILIGENCIAR FECHA SALIDA PROGRAMA","REVISAR FORMULA"))))))))))</calculatedColumnFormula>
    </tableColumn>
    <tableColumn id="62" xr3:uid="{00000000-0010-0000-0000-00003E000000}" name="FECHA ULTIMO CPN" dataDxfId="606" dataCellStyle="Normal 2">
      <calculatedColumnFormula>IF(R2="","",IF(R2&gt;0,MAX(Tabla1[[#This Row],[FECHA C2]:[FECHA C13]],Tabla1[[#This Row],[FECHA CONSULTA PRIMERA VEZ PROGRAMA CPN ]])))</calculatedColumnFormula>
    </tableColumn>
    <tableColumn id="154" xr3:uid="{00000000-0010-0000-0000-00009A000000}" name="EDAD GESTACIONAL ÚLTIMO CPN" dataDxfId="605" dataCellStyle="Normal 2">
      <calculatedColumnFormula>IF(AND(DU2="",BK2="",R2=""),"",IF(AND(R2="",BK2&gt;0,DU2=""),"",IF(AND(R2&gt;0,DU2&lt;BK2),"REVISAR FUM O FECHA PESO",IF(AND(R2&gt;0,DU2&gt;0,BK2=""),"SD",IF(AND(R2&gt;0,DU2&gt;0,BK2&gt;0),INT(SUM(DU2-BK2)/7))))))</calculatedColumnFormula>
    </tableColumn>
    <tableColumn id="122" xr3:uid="{00000000-0010-0000-0000-00007A000000}" name="TOTAL CONTROLES" dataDxfId="604" dataCellStyle="Normal 2">
      <calculatedColumnFormula>IF(R2&gt;0,SUM(COUNTA(DC2:DN2)+COUNTA(Tabla1[[#This Row],[FECHA CONSULTA PRIMERA VEZ PROGRAMA CPN ]])),"")</calculatedColumnFormula>
    </tableColumn>
    <tableColumn id="155" xr3:uid="{00000000-0010-0000-0000-00009B000000}" name="ADHERENCIA AL CPN" dataDxfId="603" dataCellStyle="Normal 2">
      <calculatedColumnFormula>IF(AND(DW2&gt;=0,DW2&lt;4),"NO",IF(AND(DW2&gt;=4,DW2&lt;12),"SI",""))</calculatedColumnFormula>
    </tableColumn>
    <tableColumn id="156" xr3:uid="{00000000-0010-0000-0000-00009C000000}" name="CONTROLES PROGRAMADOS " dataDxfId="602" dataCellStyle="Normal 2">
      <calculatedColumnFormula>IF(BO2="","",IF(BO2&gt;0,INT(SUM(((40-BO2)/4)+2)),"X"))</calculatedColumnFormula>
    </tableColumn>
    <tableColumn id="157" xr3:uid="{00000000-0010-0000-0000-00009D000000}" name="% CUMPLIM INDIVIDUAL" dataDxfId="601" dataCellStyle="Normal 2">
      <calculatedColumnFormula>IF(DY2="","",IF(DW2&gt;0,SUM(DW2/DY2),"X"))</calculatedColumnFormula>
    </tableColumn>
    <tableColumn id="158" xr3:uid="{00000000-0010-0000-0000-00009E000000}" name="FECHA  REMISION PSICOLOGIA" dataDxfId="600" dataCellStyle="Normal 2"/>
    <tableColumn id="159" xr3:uid="{00000000-0010-0000-0000-00009F000000}" name="FECHA ASISTENCIA A CONSULTA PSICOLOGIA" dataDxfId="599" dataCellStyle="Normal 2"/>
    <tableColumn id="160" xr3:uid="{00000000-0010-0000-0000-0000A0000000}" name="FECHA  REMISION NUTRICION" dataDxfId="598" dataCellStyle="Normal 2"/>
    <tableColumn id="161" xr3:uid="{00000000-0010-0000-0000-0000A1000000}" name="FECHA ASISTENCIA A CONSULTA NUTRICION" dataDxfId="597" dataCellStyle="Normal 2"/>
    <tableColumn id="162" xr3:uid="{00000000-0010-0000-0000-0000A2000000}" name="FECHA  REMISION GINECOLOGO" dataDxfId="596" dataCellStyle="Normal 2"/>
    <tableColumn id="163" xr3:uid="{00000000-0010-0000-0000-0000A3000000}" name="FECHA ASISTENCIA PRIMERA VEZ CON GINECOLOGÍA" dataDxfId="595" dataCellStyle="Normal 2"/>
    <tableColumn id="250" xr3:uid="{00000000-0010-0000-0000-0000FA000000}" name="FECHA ULTIMA ASISTENCIA A CONSULTA GINECO" dataDxfId="594" dataCellStyle="Normal 2"/>
    <tableColumn id="164" xr3:uid="{00000000-0010-0000-0000-0000A4000000}" name="No CONSULTAS GINECOLOGO" dataDxfId="593" dataCellStyle="Normal 2"/>
    <tableColumn id="165" xr3:uid="{00000000-0010-0000-0000-0000A5000000}" name="RESULTADO HEMOGLOBINA INGRESO" dataDxfId="592" dataCellStyle="Normal 2"/>
    <tableColumn id="167" xr3:uid="{00000000-0010-0000-0000-0000A7000000}" name="FECHA RESULTADO HB" dataDxfId="591" dataCellStyle="Normal 2"/>
    <tableColumn id="168" xr3:uid="{00000000-0010-0000-0000-0000A8000000}" name="EDAD GESTACIONAL HB" dataDxfId="590" dataCellStyle="Normal 2">
      <calculatedColumnFormula>IF(AND(BP2="ERROR FUM O INGRESO",EJ2&gt;0),"ERROR FUM O INGRESO",IF(AND(EJ2="",R2="",O2=""),"",IF(OR(AND(EJ2&lt;&gt;"",EJ2&lt;BK2),AND(EJ2&lt;&gt;"",SUM((EJ2-BK2)/7)&gt;40)),"CORREGIR FECHA RESULTADO",IF(AND(EJ2="",OR(O2&gt;0,R2&gt;0)),"TOMAR EXAMEN",IF(EJ2&gt;0,SUM(EJ2-BK2)/7,"")))))</calculatedColumnFormula>
    </tableColumn>
    <tableColumn id="169" xr3:uid="{00000000-0010-0000-0000-0000A9000000}" name="CONDUCTA HEMOGLOBINA" dataDxfId="589" dataCellStyle="Normal 2">
      <calculatedColumnFormula>IF(AND(OR(O2&gt;0,R2&gt;0),EI2=""),"",IF(AND(OR(O2&gt;0,R2&gt;0),EI2&gt;0,EI2&lt;11),"MANEJO MD POR ANEMIA FERROPENICA",IF(AND(OR(O2&gt;0,R2&gt;0),EI2&lt;=14),"NORMAL- SUMINISTRAR SULFATO FERROSO",IF(AND(OR(O2&gt;0,R2&gt;0),EI2&lt;20),"NO DAR SULFATO FERROSO",""))))</calculatedColumnFormula>
    </tableColumn>
    <tableColumn id="170" xr3:uid="{00000000-0010-0000-0000-0000AA000000}" name="TRIMESTRE DE GESTACION A LA TOMA EXAMEN" dataDxfId="588" dataCellStyle="Normal 2">
      <calculatedColumnFormula>IF(AND(EK2="",BP2=""),"",IF(AND(EK2&lt;&gt;"",BP2="SIN DATO"),"SIN DATO",IF(AND(EK2="",BP2&lt;&gt;""),"",IF(AND(EK2&lt;0,BP2&gt;0),"ERROR FUM O INGRESO",IF(EK2&lt;=13,"I TRIM",IF(EK2&lt;28,"II TRIM",IF(AND(EK2&gt;27,EK2&lt;45),"III TRIM","POR DEFINIR")))))))</calculatedColumnFormula>
    </tableColumn>
    <tableColumn id="214" xr3:uid="{00000000-0010-0000-0000-0000D6000000}" name="RESULTADO HEMOGLOBINA SEMANA 28" dataDxfId="587" dataCellStyle="Normal 2"/>
    <tableColumn id="171" xr3:uid="{00000000-0010-0000-0000-0000AB000000}" name="FECHA RESULTADO HB SEM 28" dataDxfId="586" dataCellStyle="Normal 2"/>
    <tableColumn id="172" xr3:uid="{00000000-0010-0000-0000-0000AC000000}" name="EDAD GESTACIONAL HB - SEM 28" dataDxfId="585" dataCellStyle="Normal 2">
      <calculatedColumnFormula>IF(AND(BP2="ERROR FUM O INGRESO",EO2&gt;0),"ERROR FUM O INGRESO",IF(AND(EO2="",R2="",O2=""),"",IF(OR(AND(EO2&lt;&gt;"",EO2&lt;BK2),AND(EO2&lt;&gt;"",SUM((EO2-BK2)/7)&gt;40)),"CORREGIR FECHA RESULTADO",IF(AND(EO2="",OR(O2&gt;0,R2&gt;0)),"TOMAR EXAMEN",IF(EO2&gt;0,SUM(EO2-BK2)/7,"")))))</calculatedColumnFormula>
    </tableColumn>
    <tableColumn id="173" xr3:uid="{00000000-0010-0000-0000-0000AD000000}" name="CONDUCTA HEMOGLOBINA10" dataDxfId="584" dataCellStyle="Normal 2">
      <calculatedColumnFormula>IF(AND(OR(O2&gt;0,R2&gt;0),EN2=""),"",IF(AND(OR(O2&gt;0,R2&gt;0),EN2&gt;0,EN2&lt;10.5),"MANEJO MD POR ANEMIA FERROPENICA",IF(AND(OR(O2&gt;0,R2&gt;0),EN2&lt;14),"NORMAL- SUMINISTRAR SULFATO FERROSO",IF(AND(OR(O2&gt;0,R2&gt;0),EN2&lt;20),"NO DAR SULFATO FERROSO",""))))</calculatedColumnFormula>
    </tableColumn>
    <tableColumn id="174" xr3:uid="{00000000-0010-0000-0000-0000AE000000}" name="RESULTADO GRUPO  SANGUINEO" dataDxfId="583" dataCellStyle="Normal 2"/>
    <tableColumn id="175" xr3:uid="{00000000-0010-0000-0000-0000AF000000}" name="FECHA RESULTADO GRUPO SANGUINEO" dataDxfId="582" dataCellStyle="Normal 2"/>
    <tableColumn id="176" xr3:uid="{00000000-0010-0000-0000-0000B0000000}" name="EDAD GESTACIONAL GRUPO SANGUINEO" dataDxfId="581" dataCellStyle="Normal 2">
      <calculatedColumnFormula>IF(AND(BP2="ERROR FUM O INGRESO",ES2&gt;0),"ERROR FUM O INGRESO",IF(AND(ES2="",R2="",O2=""),"",IF(OR(AND(ES2&lt;&gt;"",ES2&lt;BK2),AND(ES2&lt;&gt;"",SUM((ES2-BK2)/7)&gt;40)),"CORREGIR FECHA RESULTADO",IF(AND(ES2="",OR(O2&gt;0,R2&gt;0)),"TOMAR EXAMEN",IF(ES2&gt;0,SUM(ES2-BK2)/7,"")))))</calculatedColumnFormula>
    </tableColumn>
    <tableColumn id="177" xr3:uid="{00000000-0010-0000-0000-0000B1000000}" name="OBSERVACION GRUPO SANGUINEO" dataDxfId="580" dataCellStyle="Normal 2">
      <calculatedColumnFormula>IF(ER2="A-","RIESGO DE INCOMPATIBILIDAD RH",IF(ER2="B-","RIESGO DE INCOMPATIBILIDAD RH",IF(ER2="O-","RIESGO DE INCOMPATIBILIDAD RH",IF(ER2="AB-","RIESGO DE INCOMPATIBILIDAD RH",IF(OR(ER2="A+",ER2="A--"),"NO HAY RIESGO POR RH",IF(OR(ER2="B+",ER2="B--"),"NO HAY RIESGO POR RH",IF(OR(ER2="O+",ER2="O--"),"NO HAY RIESGO POR RH",IF(OR(ER2="AB+",ER2="AB--"),"NO HAY RIESGO POR RH",IF(ER2=0,"")))))))))</calculatedColumnFormula>
    </tableColumn>
    <tableColumn id="178" xr3:uid="{00000000-0010-0000-0000-0000B2000000}" name="GLICEMIA PRE " dataDxfId="579" dataCellStyle="Normal 2"/>
    <tableColumn id="179" xr3:uid="{00000000-0010-0000-0000-0000B3000000}" name="FECHA GLICEMIA" dataDxfId="578" dataCellStyle="Normal 2"/>
    <tableColumn id="180" xr3:uid="{00000000-0010-0000-0000-0000B4000000}" name="EDAD GESTACIONAL GLICEMIA" dataDxfId="577" dataCellStyle="Normal 2">
      <calculatedColumnFormula>IF(AND(BP2="ERROR FUM O INGRESO",EW2&gt;0),"ERROR FUM O INGRESO",IF(AND(EW2="",R2="",O2=""),"",IF(OR(AND(EW2&lt;&gt;"",EW2&lt;BK2),AND(EW2&lt;&gt;"",SUM((EW2-BK2)/7)&gt;40)),"CORREGIR FECHA RESULTADO",IF(AND(EW2="",OR(O2&gt;0,R2&gt;0)),"TOMAR EXAMEN",IF(EW2&gt;0,SUM(EW2-BK2)/7,"")))))</calculatedColumnFormula>
    </tableColumn>
    <tableColumn id="340" xr3:uid="{00000000-0010-0000-0000-000054010000}" name="PTOG. carga 75 gr PRE - VALOR" dataDxfId="576" dataCellStyle="Normal 2"/>
    <tableColumn id="185" xr3:uid="{00000000-0010-0000-0000-0000B9000000}" name="PTOG. carga 75 gr 1 HORA - VALOR" dataDxfId="575" dataCellStyle="Normal 2"/>
    <tableColumn id="186" xr3:uid="{00000000-0010-0000-0000-0000BA000000}" name="PTOG. carga 75 gr 2 HORA - VALOR" dataDxfId="574" dataCellStyle="Normal 2"/>
    <tableColumn id="187" xr3:uid="{00000000-0010-0000-0000-0000BB000000}" name="PTOG. carga 75 gr - RESULTADO" dataDxfId="573" dataCellStyle="Normal 2">
      <calculatedColumnFormula>IF(AND(OR(EY2&gt;0,EZ2&gt;0,FA2&gt;0),FD2&gt;0,FD2&lt;24,AND(EY2&gt;1,EY2&lt;92),AND(EZ2&gt;1,EZ2&lt;180),AND(FA2&gt;1,FA2&lt;153)),"NORMAL, NO DESCARTA DIABETES POR REALIZARLO ANTES DE  SEMANA 24, ",IF(AND(OR(EY2&gt;0,EZ2&gt;0,FA2&gt;0),FD2&gt;0,FD2&lt;24,OR(EY2&gt;=92,EZ2&gt;=180,FA2&gt;=153)),"DIABETES, REMITIR",IF(AND(BQ2="",FC2="",EY2="",EZ2="",FA2=""),"",IF(AND(BQ2&gt;=19,BQ2&lt;24,FC2="",EY2="",EZ2="",FA2=""),"PROGRAMAR TOMA PTOG SIGUIENTE CONTROL",IF(AND(BQ2&gt;=24,FC2="",EY2="",EZ2="",FA2=""),"TOMAR PTOG",IF(OR(EY2&gt;=92,EZ2&gt;=180,FA2&gt;=153),"DIABETES, REMITIR",IF(AND(AND(EY2&gt;1,EY2&lt;92),AND(EZ2&gt;1,EZ2&lt;180),AND(FA2&gt;1,FA2&lt;153)),"NORMAL",IF(AND(EY2&gt;0,OR(EZ2=0,FA2=0)),"NO COMPLETA EXAMEN",""))))))))</calculatedColumnFormula>
    </tableColumn>
    <tableColumn id="188" xr3:uid="{00000000-0010-0000-0000-0000BC000000}" name="FECHA TOMA EXAMEN PTOG" dataDxfId="572" dataCellStyle="Normal 2"/>
    <tableColumn id="189" xr3:uid="{00000000-0010-0000-0000-0000BD000000}" name="EDAD GESTACIONAL P.T.O.G" dataDxfId="571" dataCellStyle="Normal 2">
      <calculatedColumnFormula>IF(AND(BP2="ERROR FUM O INGRESO",FC2&gt;0),"ERROR FUM O INGRESO",IF(AND(FC2="",R2="",O2=""),"",IF(OR(AND(FC2&lt;&gt;"",FC2&lt;BK2),AND(FC2&lt;&gt;"",SUM((FC2-BK2)/7)&gt;40)),"CORREGIR FECHA RESULTADO",IF(AND(FC2="",OR(O2&gt;0,R2&gt;0)),"TOMAR EXAMEN",IF(FC2&gt;0,SUM(FC2-BK2)/7,"")))))</calculatedColumnFormula>
    </tableColumn>
    <tableColumn id="190" xr3:uid="{00000000-0010-0000-0000-0000BE000000}" name="TAMIZAJE  PARA SIFILIS  SEGÚN GPC SIFILIS I TRIMESTRE" dataDxfId="570" dataCellStyle="Normal 2"/>
    <tableColumn id="200" xr3:uid="{00000000-0010-0000-0000-0000C8000000}" name="FECHA RESULTADO I TRIM" dataDxfId="569" dataCellStyle="Normal 2"/>
    <tableColumn id="201" xr3:uid="{00000000-0010-0000-0000-0000C9000000}" name="ALARMA TAMIZAJE SIFILIS I TRIMESTRE" dataDxfId="568" dataCellStyle="Normal 2">
      <calculatedColumnFormula>IF(AND(BP2="ERROR FUM O INGRESO",FF2&gt;0),"ERROR FUM O INGRESO",IF(AND(FF2="",R2="",O2=""),"",IF(OR(AND(FF2&lt;&gt;"",FF2&lt;BK2),AND(FF2&lt;&gt;"",AND(SUM((FF2-BK2)/7)&gt;=13,SUM((FF2-BK2)/7)&lt;27))),"REGISTRAR EN II TRIMESTRE",IF(OR(AND(FF2&lt;&gt;"",FF2&lt;BK2),AND(FF2&lt;&gt;"",AND(SUM((FF2-BK2)/7)&gt;=27,SUM((FF2-BK2)/7)&lt;44))),"REGISTRAR EN III TRIMESTRE",IF(AND(FF2="",OR(O2&gt;0,R2&gt;0),AND(BQ2&gt;1,BQ2&lt;10)),"EN RANGO PARA TOMAR EXAMEN",IF(AND(FF2="",OR(O2&gt;0,R2&gt;0),AND(BQ2&gt;=10,BQ2&lt;13)),"TOMA INMEDIATA DE TAMIZAJE",IF(AND(FF2="",BO2&lt;13,OR(O2&gt;0,R2&gt;0)),"PIERDE TOMA DE TAMIZAJE",IF(AND(FF2="",OR(O2&gt;0,R2&gt;0),AND(BO2&gt;=13,BO2&lt;43)),"NO APLICA-INGRESO TARDIO",IF(FF2&gt;0,SUM(FF2-BK2)/7,"")))))))))</calculatedColumnFormula>
    </tableColumn>
    <tableColumn id="202" xr3:uid="{00000000-0010-0000-0000-0000CA000000}" name="TAMIZAJE  PARA SIFILIS  SEGÚN GPC SIFILIS II TRIMESTRE" dataDxfId="567" dataCellStyle="Normal 2"/>
    <tableColumn id="203" xr3:uid="{00000000-0010-0000-0000-0000CB000000}" name="FECHA RESULTADO PR-  II TRIM" dataDxfId="566" dataCellStyle="Normal 2"/>
    <tableColumn id="204" xr3:uid="{00000000-0010-0000-0000-0000CC000000}" name="ALARMA TAMIZAJE SIFILIS II TRIMESTRE2" dataDxfId="565" dataCellStyle="Normal 2">
      <calculatedColumnFormula>IF(AND(BP2="ERROR FUM O INGRESO",FI2&gt;0),"ERROR FUM O INGRESO",IF(AND(FI2="",R2="",O2=""),"",IF(AND(FI2&lt;&gt;"",FI2&lt;BK2), "INCOHERENCIA FUM Y FECHA TAMIZAJE",IF(AND(FI2="",DR2="ACTIVA INGRESO A CPN",AND(BQ2&gt;0,BQ2&lt;13)),"EN ESPERA-ESTÁ I TRIM", IF(AND(FI2="",AND(BO2&gt;0, BO2&lt;13),OR(O2&gt;0,R2&gt;0),AND(IY2&gt;0,IY2&lt;13)),"NO APLICA-SALIO DEL PROGRAMA I TRIM",IF(AND(FI2&lt;&gt;"",AND(SUM((FI2-BK2)/7)&gt;0,SUM((FI2-BK2)/7)&lt;13)),"REGISTRAR EN I TRIMESTRE",IF(AND(FI2&lt;&gt;"",AND(SUM((FI2-BK2)/7)&gt;=27,SUM((FI2-BK2)/7)&lt;44)),"REGISTRAR EN III TRIMESTRE",IF(AND(FI2="",OR(O2&gt;0,R2&gt;0),AND(BQ2&gt;=13,BQ2&lt;24),DR2="ACTIVA INGRESO A CPN"),"EN RANGO PARA TOMAR EXAMEN",IF(AND(FI2="",OR(O2&gt;0,R2&gt;0),AND(BQ2&gt;=25,BQ2&lt;27),DR2="ACTIVA INGRESO A CPN"),"TOMA INMEDIATA DE TAMIZAJE",IF(AND(FI2="",OR(O2&gt;0,R2&gt;0),AND(BO2&gt;=27,BO2&lt;44)),"NO APLICA-INGRESO TARDIO",IF(AND(FI2="",BO2&lt;27),"PIERDE TOMA DE TAMIZAJE",IF(FI2&gt;0,SUM(FI2-BK2)/7,""))))))))))))</calculatedColumnFormula>
    </tableColumn>
    <tableColumn id="205" xr3:uid="{00000000-0010-0000-0000-0000CD000000}" name="TAMIZAJE  PARA SIFILIS  SEGÚN GPC SIFILIS III TRIMESTRE" dataDxfId="564" dataCellStyle="Normal 2"/>
    <tableColumn id="206" xr3:uid="{00000000-0010-0000-0000-0000CE000000}" name="FECHA RESULTADO PR-  III TRIM" dataDxfId="563" dataCellStyle="Normal 2"/>
    <tableColumn id="207" xr3:uid="{00000000-0010-0000-0000-0000CF000000}" name="ALARMA TAMIZAJE SIFILIS III TRIMESTRE22" dataDxfId="562" dataCellStyle="Normal 2">
      <calculatedColumnFormula>IF(AND(BP2="ERROR FUM O INGRESO",FL2&gt;0),"ERROR FUM O INGRESO",IF(AND(FL2="",R2="",O2=""),"",IF(AND(FL2&lt;&gt;"",FL2&lt;BK2), "INCOHERENCIA FUM Y FECHA TAMIZAJE",IF(AND(FL2="",DR2="ACTIVA INGRESO A CPN",AND(BQ2&gt;0,BQ2&lt;27)),"EN ESPERA-ESTÁ I TRIM O II TRIM", IF(AND(FL2="",AND(BO2&gt;0, BO2&lt;27),OR(O2&gt;0,R2&gt;0),AND(IY2&gt;0,IY2&lt;27)),"NO APLICA-SALIO DEL PROGRAMA I O II TRIM",IF(AND(FL2&lt;&gt;"",AND(SUM((FL2-BK2)/7)&gt;0,SUM((FL2-BK2)/7)&lt;13)),"REGISTAR EN I TRIMESTRE",IF(AND(FL2&lt;&gt;"",AND(SUM((FL2-BK2)/7)&gt;=13,SUM((FL2-BK2)/7)&lt;27)),"REGISTRAR EN II TRIMESTRE",IF(AND(FL2="",OR(O2&gt;0,R2&gt;0),AND(BQ2&gt;=28,BQ2&lt;35),DR2="ACTIVA INGRESO A CPN"),"EN RANGO PARA TOMAR EXAMEN",IF(AND(FL2="",OR(O2&gt;0,R2&gt;0),BQ2&gt;=35, DR2="ACTIVA INGRESO A CPN"),"TOMA INMEDIATA DE TAMIZAJE",IF(AND(FL2="",DR2= "SALE SIN INGRESO CPN"),"NO APLICA-SIN CPN",IF(AND(FL2="",BO2&lt;44),"PIERDE TOMA DE TAMIZAJE",IF(FL2&gt;0,SUM(FL2-BK2)/7,""))))))))))))</calculatedColumnFormula>
    </tableColumn>
    <tableColumn id="208" xr3:uid="{00000000-0010-0000-0000-0000D0000000}" name="TAMIZAJE  PARA SIFILIS  SEGÚN GPC SIFILIS INTRAPARTO" dataDxfId="561" dataCellStyle="Normal 2"/>
    <tableColumn id="209" xr3:uid="{00000000-0010-0000-0000-0000D1000000}" name="FECHA RESULTADO PR INTRAPARTO" dataDxfId="560" dataCellStyle="Normal 2"/>
    <tableColumn id="210" xr3:uid="{00000000-0010-0000-0000-0000D2000000}" name="ALARMA CONSOLIDADA CASOS SIFILIS GESTACIONAL" dataDxfId="559" dataCellStyle="Normal 2">
      <calculatedColumnFormula>IF(AND(FE2="",FH2="",FK2="",FN2=""),"",IF(OR(OR(Tabla1[[#This Row],[TAMIZAJE  PARA SIFILIS  SEGÚN GPC SIFILIS I TRIMESTRE]]="P. R POSITIVA CASO SIFILIS",Tabla1[[#This Row],[TAMIZAJE  PARA SIFILIS  SEGÚN GPC SIFILIS II TRIMESTRE]]="P. R POSITIVA CASO SIFILIS",Tabla1[[#This Row],[TAMIZAJE  PARA SIFILIS  SEGÚN GPC SIFILIS III TRIMESTRE]]="P. R POSITIVA CASO SIFILIS",Tabla1[[#This Row],[TAMIZAJE  PARA SIFILIS  SEGÚN GPC SIFILIS INTRAPARTO]]="P. R POSITIVA CASO SIFILIS"),OR(Tabla1[[#This Row],[TAMIZAJE  PARA SIFILIS  SEGÚN GPC SIFILIS I TRIMESTRE]]="REINFECCIÓN-DILUCIONES AUMENTAN",Tabla1[[#This Row],[TAMIZAJE  PARA SIFILIS  SEGÚN GPC SIFILIS II TRIMESTRE]]="REINFECCIÓN-DILUCIONES AUMENTAN",Tabla1[[#This Row],[TAMIZAJE  PARA SIFILIS  SEGÚN GPC SIFILIS III TRIMESTRE]]="REINFECCIÓN-DILUCIONES AUMENTAN",Tabla1[[#This Row],[TAMIZAJE  PARA SIFILIS  SEGÚN GPC SIFILIS INTRAPARTO]]="REINFECCIÓN-DILUCIONES AUMENTAN")),"SIFILIS GESTACIONAL",""))</calculatedColumnFormula>
    </tableColumn>
    <tableColumn id="212" xr3:uid="{00000000-0010-0000-0000-0000D4000000}" name="RESULTADO ULTIMO UROANALISIS" dataDxfId="558" dataCellStyle="Normal 2"/>
    <tableColumn id="216" xr3:uid="{00000000-0010-0000-0000-0000D8000000}" name="FECHA RESULTADO UROANALISIS ULTIMO" dataDxfId="557" dataCellStyle="Normal 2"/>
    <tableColumn id="217" xr3:uid="{00000000-0010-0000-0000-0000D9000000}" name="EDAD GESTACIONAL UROANALSIS ULTIMO" dataDxfId="556" dataCellStyle="Normal 2">
      <calculatedColumnFormula>IF(AND(BP2="ERROR FUM O INGRESO",FR2&gt;0),"ERROR FUM O INGRESO",IF(AND(FR2="",R2="",O2=""),"",IF(OR(AND(FR2&lt;&gt;"",FR2&lt;BK2),AND(FR2&lt;&gt;"",SUM((FR2-BK2)/7)&gt;40)),"CORREGIR FECHA RESULTADO",IF(AND(FR2="",OR(O2&gt;0,R2&gt;0)),"TOMAR EXAMEN",IF(FR2&gt;0,SUM(FR2-BK2)/7,"")))))</calculatedColumnFormula>
    </tableColumn>
    <tableColumn id="218" xr3:uid="{00000000-0010-0000-0000-0000DA000000}" name="RESULTADO UROCULTIVO " dataDxfId="555" dataCellStyle="Normal 2"/>
    <tableColumn id="219" xr3:uid="{00000000-0010-0000-0000-0000DB000000}" name="FECHA RESULTADO UROCULTIVO" dataDxfId="554" dataCellStyle="Normal 2"/>
    <tableColumn id="220" xr3:uid="{00000000-0010-0000-0000-0000DC000000}" name="EDAD GESTACIONAL UROCULTIVO" dataDxfId="553" dataCellStyle="Normal 2">
      <calculatedColumnFormula>IF(AND(BP2="ERROR FUM O INGRESO",FU2&gt;0),"ERROR FUM O INGRESO",IF(AND(FU2="",R2="",O2=""),"",IF(OR(AND(FU2&lt;&gt;"",FU2&lt;BK2),AND(FU2&lt;&gt;"",SUM((FU2-BK2)/7)&gt;40)),"CORREGIR FECHA RESULTADO",IF(AND(FU2="",OR(O2&gt;0,R2&gt;0)),"TOMAR EXAMEN",IF(FU2&gt;0,SUM(FU2-BK2)/7,"")))))</calculatedColumnFormula>
    </tableColumn>
    <tableColumn id="221" xr3:uid="{00000000-0010-0000-0000-0000DD000000}" name="FECHA REGISTRO ASESORIA PRE TEST VIH EN HC" dataDxfId="552" dataCellStyle="Normal 2">
      <calculatedColumnFormula>IF(AND(BP2="ERROR FUM O INGRESO",FU2&gt;0),"ERROR FUM O INGRESO",IF(AND(FU2="",R2="",O2=""),"",IF(OR(AND(FU2&lt;&gt;"",FU2&lt;BK2),AND(FU2&lt;&gt;"",SUM((FU2-BK2)/7)&gt;40)),"CORREGIR FECHA RESULTADO",IF(AND(FU2="",OR(O2&gt;0,R2&gt;0)),"TOMAR EXAMEN",IF(FU2&gt;0,SUM(FU2-BK2)/7,"")))))</calculatedColumnFormula>
    </tableColumn>
    <tableColumn id="222" xr3:uid="{00000000-0010-0000-0000-0000DE000000}" name="FECHA FIRMA DE CONSENTIMIENTO INFORMADO EN HC" dataDxfId="551" dataCellStyle="Normal 2"/>
    <tableColumn id="223" xr3:uid="{00000000-0010-0000-0000-0000DF000000}" name="TAMIZAJE  PARA VIH I TRIM" dataDxfId="550" dataCellStyle="Normal 2"/>
    <tableColumn id="224" xr3:uid="{00000000-0010-0000-0000-0000E0000000}" name="FECHA RESULTADO TAMIZAJE VIH I TRIMESTRE" dataDxfId="549" dataCellStyle="Normal 2"/>
    <tableColumn id="225" xr3:uid="{00000000-0010-0000-0000-0000E1000000}" name="ALARMA TAMIZAJE VIH - I TRIM" dataDxfId="548" dataCellStyle="Normal 2">
      <calculatedColumnFormula>IF(AND(BP2="ERROR FUM O INGRESO",FZ2&gt;0),"ERROR FUM O INGRESO",IF(AND(FZ2="",R2="",O2=""),"",IF(OR(AND(FZ2&lt;&gt;"",FZ2&lt;BK2),AND(FZ2&lt;&gt;"",AND(SUM((FZ2-BK2)/7)&gt;=13,SUM((FZ2-BK2)/7)&lt;27))),"REGISTRAR EN II TRIMESTRE",IF(OR(AND(FZ2&lt;&gt;"",FZ2&lt;BK2),AND(FZ2&lt;&gt;"",AND(SUM((FZ2-BK2)/7)&gt;=27,SUM((FZ2-BK2)/7)&lt;44))),"REGISTRAR EN III TRIMESTRE",IF(AND(FZ2="",OR(O2&gt;0,R2&gt;0),AND(BQ2&gt;1,BQ2&lt;10)),"EN RANGO PARA TOMAR EXAMEN",IF(AND(FZ2="",OR(O2&gt;0,R2&gt;0),AND(BQ2&gt;=10,BQ2&lt;12)),"TOMA INMEDIATA DE TAMIZAJE",IF(AND(FZ2="",BO2&lt;12,OR(O2&gt;0,R2&gt;0)),"PIERDE TOMA DE TAMIZAJE",IF(AND(FZ2="",OR(O2&gt;0,R2&gt;0),AND(BO2&gt;=13,BO2&lt;44)),"NO APLICA-INGRESO TARDIO",IF(FZ2&gt;0,SUM(FZ2-BK2)/7,"")))))))))</calculatedColumnFormula>
    </tableColumn>
    <tableColumn id="226" xr3:uid="{00000000-0010-0000-0000-0000E2000000}" name="TAMIZAJE  PARA VIH II TRIM" dataDxfId="547" dataCellStyle="Normal 2"/>
    <tableColumn id="103" xr3:uid="{00000000-0010-0000-0000-000067000000}" name="FECHA RESULTADO TAMIZAJE VIH II TRIM" dataDxfId="546" dataCellStyle="Normal 2"/>
    <tableColumn id="345" xr3:uid="{00000000-0010-0000-0000-000059010000}" name="ALARMA TAMIZAJE VIH - II TRIM" dataDxfId="545" dataCellStyle="Normal 2">
      <calculatedColumnFormula>IF(AND(BP2="ERROR FUM O INGRESO",GC2&gt;0),"ERROR FUM O INGRESO",IF(AND(GC2="",R2="",O2=""),"",IF(AND(GC2&lt;&gt;"",GC2&lt;BK2), "INCOHERENCIA FUM Y FECHA TAMIZAJE",IF(AND(GC2="",DR2="ACTIVA INGRESO A CPN",AND(BQ2&gt;0,BQ2&lt;13)),"EN ESPERA-ESTÁ I TRIM", IF(AND(GC2="",AND(BO2&gt;0, BO2&lt;12),OR(O2&gt;0,R2&gt;0),AND(IY2&gt;0,IY2&lt;13)),"NO APLICA-SALIO DEL PROGRAMA I TRIM",IF(AND(GC2&lt;&gt;"",AND(SUM((GC2-BK2)/7)&gt;0,SUM((GC2-BK2)/7)&lt;13)),"REGISTRAR EN I TRIMESTRE",IF(AND(GC2&lt;&gt;"",AND(SUM((GC2-BK2)/7)&gt;=27,SUM((GC2-BK2)/7)&lt;44)),"REGISTRAR EN III TRIMESTRE",IF(AND(GC2="",OR(O2&gt;0,R2&gt;0),AND(BQ2&gt;=12,BQ2&lt;25),DR2="ACTIVA INGRESO A CPN"),"EN RANGO PARA TOMAR EXAMEN",IF(AND(GC2="",OR(O2&gt;0,R2&gt;0),AND(BQ2&gt;=25,BQ2&lt;27),DR2="ACTIVA INGRESO A CPN"),"TOMA INMEDIATA DE TAMIZAJE",IF(AND(GC2="",OR(O2&gt;0,R2&gt;0),AND(BO2&gt;=27,BO2&lt;43)),"NO APLICA-INGRESO TARDIO",IF(AND(GC2="",BO2&lt;27),"PIERDE TOMA DE TAMIZAJE",IF(GC2&gt;0,SUM(GC2-BK2)/7,""))))))))))))</calculatedColumnFormula>
    </tableColumn>
    <tableColumn id="106" xr3:uid="{00000000-0010-0000-0000-00006A000000}" name="TAMIZAJE  PARA VIH III TRIM" dataDxfId="544" dataCellStyle="Normal 2"/>
    <tableColumn id="228" xr3:uid="{00000000-0010-0000-0000-0000E4000000}" name="FECHA RESULTADO TAMIZAJE VIH III TRIM" dataDxfId="543" dataCellStyle="Normal 2"/>
    <tableColumn id="229" xr3:uid="{00000000-0010-0000-0000-0000E5000000}" name="ALARMA TAMIZAJE VIH - III TRIM" dataDxfId="542" dataCellStyle="Normal 2">
      <calculatedColumnFormula>IF(AND(BP2="ERROR FUM O INGRESO",GF2&gt;0),"ERROR FUM O INGRESO",IF(AND(GF2="",R2="",O2=""),"",IF(AND(GF2&lt;&gt;"",GF2&lt;BK2), "INCOHERENCIA FUM Y FECHA TAMIZAJE",IF(AND(GF2="",DR2="ACTIVA INGRESO A CPN",AND(BQ2&gt;0,BQ2&lt;27)),"EN ESPERA-ESTÁ I TRIM O II TRIM", IF(AND(GF2="",AND(BO2&gt;0, BO2&lt;28),OR(O2&gt;0,R2&gt;0),AND(IY2&gt;0,IY2&lt;28)),"NO APLICA-SALIO DEL PROGRAMA I O II TRIM",IF(AND(GF2&lt;&gt;"",AND(SUM((GF2-BK2)/7)&gt;0,SUM((GF2-BK2)/7)&lt;13)),"REGISTAR EN I TRIMESTRE",IF(AND(GF2&lt;&gt;"",AND(SUM((GF2-BK2)/7)&gt;=13,SUM((GF2-BK2)/7)&lt;27)),"REGISTRAR EN II TRIMESTRE",IF(AND(GF2="",OR(O2&gt;0,R2&gt;0),AND(BQ2&gt;=28,BQ2&lt;35),DR2="ACTIVA INGRESO A CPN"),"EN RANGO PARA TOMAR EXAMEN",IF(AND(GF2="",OR(O2&gt;0,R2&gt;0),BQ2&gt;=35, DR2="ACTIVA INGRESO A CPN"),"TOMA INMEDIATA DE TAMIZAJE",IF(AND(GF2="",DR2= "SALE SIN INGRESO CPN"),"NO APLICA-SIN CPN",IF(AND(GF2="",BO2&lt;44),"PIERDE TOMA DE TAMIZAJE",IF(GF2&gt;0,SUM(GF2-BK2)/7,""))))))))))))</calculatedColumnFormula>
    </tableColumn>
    <tableColumn id="230" xr3:uid="{00000000-0010-0000-0000-0000E6000000}" name="TAMIZAJE  PARA VIH INTRAPARTO SEGÚN GPC." dataDxfId="541" dataCellStyle="Normal 2"/>
    <tableColumn id="91" xr3:uid="{00000000-0010-0000-0000-00005B000000}" name="FECHA RESULTADO TAMIZAJE INTRAPARTO" dataDxfId="540" dataCellStyle="Normal 2"/>
    <tableColumn id="84" xr3:uid="{00000000-0010-0000-0000-000054000000}" name="SEGUNDA PRUEBA ELISA O PR PARA DEFINIR DIAGNOSTICO VIH SEGÚN PROTOCOLO INS" dataDxfId="539" dataCellStyle="Normal 2"/>
    <tableColumn id="140" xr3:uid="{00000000-0010-0000-0000-00008C000000}" name="FECHA RESULTADO SEGUNDA PRUEBA ELISA O PR PARA DEFINIR DIAGNOSTICO VIH SEGÚN PROTOCOLO INS" dataDxfId="538" dataCellStyle="Normal 2"/>
    <tableColumn id="141" xr3:uid="{00000000-0010-0000-0000-00008D000000}" name="RESULTADO CARGA VIRAL SEGÚN PROTOCOLO INS" dataDxfId="537" dataCellStyle="Normal 2"/>
    <tableColumn id="142" xr3:uid="{00000000-0010-0000-0000-00008E000000}" name="FECHA RESULTADO CARGA VIRAL SEGÚN PROTOCOLO INS" dataDxfId="536" dataCellStyle="Normal 2"/>
    <tableColumn id="143" xr3:uid="{00000000-0010-0000-0000-00008F000000}" name="RESULTADO HEP B ANTIGENO SUPERFICIE" dataDxfId="535" dataCellStyle="Normal 2"/>
    <tableColumn id="232" xr3:uid="{00000000-0010-0000-0000-0000E8000000}" name="FECHA RESULTADO H ASB" dataDxfId="534" dataCellStyle="Normal 2"/>
    <tableColumn id="233" xr3:uid="{00000000-0010-0000-0000-0000E9000000}" name="EDAD GESTACIONAL18" dataDxfId="533" dataCellStyle="Normal 2">
      <calculatedColumnFormula>IF(AND(BP2="ERROR FUM O INGRESO",GO2&gt;0),"ERROR FUM O INGRESO",IF(AND(GO2="",R2="",O2=""),"",IF(OR(AND(GO2&lt;&gt;"",GO2&lt;BK2),AND(GO2&lt;&gt;"",SUM((GO2-BK2)/7)&gt;40)),"CORREGIR FECHA RESULTADO",IF(AND(GO2="",OR(O2&gt;0,R2&gt;0)),"TOMAR EXAMEN",IF(GO2&gt;0,SUM(GO2-BK2)/7,"")))))</calculatedColumnFormula>
    </tableColumn>
    <tableColumn id="234" xr3:uid="{00000000-0010-0000-0000-0000EA000000}" name="RESULTADO Toxoplasma IgG" dataDxfId="532" dataCellStyle="Normal 2"/>
    <tableColumn id="236" xr3:uid="{00000000-0010-0000-0000-0000EC000000}" name="RESULTADO CONFIRM. TOXO. IgM" dataDxfId="531" dataCellStyle="Normal 2"/>
    <tableColumn id="237" xr3:uid="{00000000-0010-0000-0000-0000ED000000}" name="ALARMA TOXOPLASMOSIS" dataDxfId="530" dataCellStyle="Normal 2">
      <calculatedColumnFormula>IF(GQ2="NEGATIVO","CONTROL Igm",IF(AND(GQ2="POSITIVO",GR2="NEGATIVO"),"SE EXCLUYE INFECCION",IF(AND(GQ2="POSITIVO",GR2="POSITIVO"),"TOXOPLASMOSIS, REMITIR PARA MANEJO","")))</calculatedColumnFormula>
    </tableColumn>
    <tableColumn id="238" xr3:uid="{00000000-0010-0000-0000-0000EE000000}" name="FECHA RESULTADO TOXO" dataDxfId="529" dataCellStyle="Normal 2"/>
    <tableColumn id="239" xr3:uid="{00000000-0010-0000-0000-0000EF000000}" name="EDAD GESTACIONAL21" dataDxfId="528" dataCellStyle="Normal 2">
      <calculatedColumnFormula>IF(AND(BP2="ERROR FUM O INGRESO",GT2&gt;0),"ERROR FUM O INGRESO",IF(AND(GT2="",R2="",O2=""),"",IF(OR(AND(GT2&lt;&gt;"",GT2&lt;BK2),AND(GT2&lt;&gt;"",SUM((GT2-BK2)/7)&gt;40)),"CORREGIR FECHA RESULTADO",IF(AND(GT2="",OR(O2&gt;0,R2&gt;0)),"TOMAR EXAMEN",IF(GT2&gt;0,SUM(GT2-BK2)/7,"")))))</calculatedColumnFormula>
    </tableColumn>
    <tableColumn id="242" xr3:uid="{00000000-0010-0000-0000-0000F2000000}" name="TRIMESTRE DE GESTACION A LA TOMA EXAMEN52" dataDxfId="527" dataCellStyle="Normal 2">
      <calculatedColumnFormula>IF(AND(GU2="",BP2=""),"",IF(AND(GU2&lt;&gt;"",BP2="SIN DATO"),"SIN DATO",IF(AND(GU2="",BP2&lt;&gt;""),"",IF(AND(GU2&lt;0,BP2&gt;0),"ERROR FUM O INGRESO",IF(GU2&lt;=13,"I TRIM",IF(GU2&lt;28,"II TRIM",IF(AND(GU2&gt;27,GU2&lt;45),"III TRIM","POR DEFINIR")))))))</calculatedColumnFormula>
    </tableColumn>
    <tableColumn id="338" xr3:uid="{00000000-0010-0000-0000-000052010000}" name="RESULTADO TOXOPLASMOSIS ULTIMO IgM - SI APLICA SEGÚN GPC" dataDxfId="526" dataCellStyle="Normal 2"/>
    <tableColumn id="243" xr3:uid="{00000000-0010-0000-0000-0000F3000000}" name="NUMERO VECES TOMA TOXOPLASMA IgM - Control" dataDxfId="525" dataCellStyle="Normal 2"/>
    <tableColumn id="244" xr3:uid="{00000000-0010-0000-0000-0000F4000000}" name="RESULTADO ULTIMA CITOLOGIA (SEGÚN NORMA Y VIGENTE)" dataDxfId="524" dataCellStyle="Normal 2"/>
    <tableColumn id="245" xr3:uid="{00000000-0010-0000-0000-0000F5000000}" name="FECHA RESULTADO2" dataDxfId="523" dataCellStyle="Normal 2"/>
    <tableColumn id="246" xr3:uid="{00000000-0010-0000-0000-0000F6000000}" name="TIEMPO DE LA TOMA" dataDxfId="522" dataCellStyle="Normal 2">
      <calculatedColumnFormula>IF(GZ2&gt;0,SUM(GZ2-BK2)/7,"")</calculatedColumnFormula>
    </tableColumn>
    <tableColumn id="247" xr3:uid="{00000000-0010-0000-0000-0000F7000000}" name="CLASIFICACION TIEMPO TOMA" dataDxfId="521" dataCellStyle="Normal 2">
      <calculatedColumnFormula>IF(HA2&lt;0,"ANTES DEL EMBARAZO",IF(AND(HA2&gt;0,HA2&lt;13),"I TRIM",IF(AND(HA2&gt;12,HA2&lt;28),"II TRIM",IF(AND(HA2&gt;27,HA2&lt;41),"III TRIM",""))))</calculatedColumnFormula>
    </tableColumn>
    <tableColumn id="248" xr3:uid="{00000000-0010-0000-0000-0000F8000000}" name="CONDUCTA ANTE RESULTADO PATOLOGICO" dataDxfId="520" dataCellStyle="Normal 2">
      <calculatedColumnFormula>IF(GY2="","",IF(GY2="CARCINOMA ESCAMOCELULAR","CITAR PARA COLPOSCOPIA Y PATOLOGIA",IF(GY2="ASCUS","CITAR PARA COLPOSCOPIA",IF(GY2="ACSI","CITAR PARA COLPOSCOPIA",IF(GY2="INFECCION VPH","CITAR PARA COLPOSCOPIA",IF(GY2="NIC I","CITAR PARA COLPOSCOPIA",IF(GY2="NIC I VPH","CITAR PARA COLPOSCOPIA",IF(GY2="NIC II","CITAR PARA COLPOSCOPIA",IF(GY2="NIC III","CITAR PARA COLPOSCOPIA",IF(GY2="CAMBIOS INFLAMATORIOS","CONSULTA CON MÉDICO GENERAL",IF(GY2="INFECCION","CONSULTA CON MÉDICO GENERAL",IF(GY2="NEGATIVA PARA NEOPLASIA","CITA PARA CITOLOGIA SEGÚN ESQUEMA1-1-3",IF(GY2="MUESTRA INADECUADA","REPETIR CITOLOGIA",IF(GY2=0,"SD"))))))))))))))</calculatedColumnFormula>
    </tableColumn>
    <tableColumn id="363" xr3:uid="{00000000-0010-0000-0000-00006B010000}" name="TAMIZAJE PARA CHAGAS (ELISA para detección de anticuerpos IgG anti T. cruzi de antígenos totales)" dataDxfId="519" dataCellStyle="Normal 2"/>
    <tableColumn id="368" xr3:uid="{00000000-0010-0000-0000-000070010000}" name="FECHA RESULTADO TAMIZAJE CHAGAS" dataDxfId="518" dataCellStyle="Normal 2"/>
    <tableColumn id="356" xr3:uid="{00000000-0010-0000-0000-000064010000}" name="TAMIZAJE INICIAL DE GOTA GRUESA PARA MALARIA (En zonas endémicas)" dataDxfId="517" dataCellStyle="Normal 2"/>
    <tableColumn id="352" xr3:uid="{00000000-0010-0000-0000-000060010000}" name="FECHA RESULTADO TAMIZAJE INICIAL GOTA GRUESA PARA MALARIA" dataDxfId="516" dataCellStyle="Normal 2"/>
    <tableColumn id="351" xr3:uid="{00000000-0010-0000-0000-00005F010000}" name="RESULTADO ULTIMO TAMIZAJE GOTA GRUESA (Para Zonas endémicas)" dataDxfId="515" dataCellStyle="Normal 2"/>
    <tableColumn id="346" xr3:uid="{00000000-0010-0000-0000-00005A010000}" name="NUMERO TAMIZAJES TOMADOS DE GOTA GRUESA PARA MALARIA (Debe ser mensual para zonas endémicas)" dataDxfId="514" dataCellStyle="Normal 2"/>
    <tableColumn id="249" xr3:uid="{00000000-0010-0000-0000-0000F9000000}" name="DIAGNOSTICO POSITIVO COVID19 - INFECCIÓN POR SARS CoV2" dataDxfId="513" dataCellStyle="Normal 2"/>
    <tableColumn id="252" xr3:uid="{00000000-0010-0000-0000-0000FC000000}" name="ENFERMEDADES PROPIAS O CULTURALES" dataDxfId="512" dataCellStyle="Normal 2">
      <calculatedColumnFormula>IF(OR(O2&gt;0,R2&gt;0),CONCATENATE(IF(Tabla1[[#This Row],[NECESIDAD O DESARMONIA DESDE LO PROPIO 1]]&lt;&gt;"",Tabla1[[#This Row],[NECESIDAD O DESARMONIA DESDE LO PROPIO 1]],""),"*",CONCATENATE(IF(Tabla1[[#This Row],[NECESIDAD O DESARMONIA DESDE LO PROPIO 12]]&lt;&gt;"",Tabla1[[#This Row],[NECESIDAD O DESARMONIA DESDE LO PROPIO 12]],""),"*",CONCATENATE(IF(Tabla1[[#This Row],[NECESIDAD O DESARMONIA DESDE LO PROPIO 13]]&lt;&gt;"",Tabla1[[#This Row],[NECESIDAD O DESARMONIA DESDE LO PROPIO 13]],""),"*",CONCATENATE(IF(Tabla1[[#This Row],[NECESIDAD O DESARMONIA DESDE LO PROPIO 14]]&lt;&gt;"",Tabla1[[#This Row],[NECESIDAD O DESARMONIA DESDE LO PROPIO 14]],""),"*",CONCATENATE(IF(Tabla1[[#This Row],[NECESIDAD O DESARMONIA DESDE LO PROPIO 15]]&lt;&gt;"",Tabla1[[#This Row],[NECESIDAD O DESARMONIA DESDE LO PROPIO 15]],""),"*",CONCATENATE(IF(Tabla1[[#This Row],[NECESIDAD O DESARMONIA DESDE LO PROPIO 16]]&lt;&gt;"",Tabla1[[#This Row],[NECESIDAD O DESARMONIA DESDE LO PROPIO 16]],""),"*",CONCATENATE(IF(Tabla1[[#This Row],[NECESIDAD O DESARMONIA DESDE LO PROPIO 17444]]&lt;&gt;"",Tabla1[[#This Row],[NECESIDAD O DESARMONIA DESDE LO PROPIO 17444]],"")))))))),"")</calculatedColumnFormula>
    </tableColumn>
    <tableColumn id="253" xr3:uid="{00000000-0010-0000-0000-0000FD000000}" name="OTROS FACTORES DE RIESGO " dataDxfId="511" dataCellStyle="Normal 2">
      <calculatedColumnFormula>IF(OR(O2&gt;0,R2&gt;0),CONCATENATE(IF(AY2="SI","ANTECEDENTE EMBARAZO MOLAR",""),"*",CONCATENATE(IF(AZ2="SI","ANTECEDENTE MUERTE NEONATAL",""),"*",CONCATENATE(IF(AND(BM2&gt;0,BM2&lt;13),"PERIODO INTERGENESICO CORTO",""),"*",CONCATENATE(IF(AND(BO2&gt;13,BO2&lt;42),"INGRESO TARDIO A CPN",""),"*",CONCATENATE(IF(CO2="BAJO PESO","BAJO PESO",""),"*",CONCATENATE(IF(CO2="SOBREPESO","SOBREPESO",""),"*",CONCATENATE(IF(CO2="OBESIDAD","OBESIDAD",""),"*",CONCATENATE(IF(GN2="POSITIVO","SEGUIMIENTO INFECCIÓN HEP B",""),"*",CONCATENATE(IF(GS2="TOXOPLASMOSIS, REMITIR PARA MANEJO","INFECCIÓN TOXOPLASMOSIS",""),"*",CONCATENATE(IF(GS2="CONTROL Igm","PREVENCIÓN CONTAGIO TOXOPLASMOSIS",""),"*",CONCATENATE(IF(OR(HJ2="COVID19 PRIMER TRIMESTRE",HJ2="COVID19 SEGUNDO TRIMESTRE",HJ2="COVID19 TERCER TRIMESTRE",HJ2="COVID19 PUERPERIO"),"INFECCIÓN SARS-CoV2 CONFIRMADA",""),"*",CONCATENATE(IF(OR(HC2="CITAR PARA COLPOSCOPIA",HC2="CITAR PARA COLPOSCOPIA Y PATOLOGIA"),"DESCARTAR CANCER DE UTERO",""),"*",)))))))))))),"")</calculatedColumnFormula>
    </tableColumn>
    <tableColumn id="67" xr3:uid="{00000000-0010-0000-0000-000043000000}" name="RIESGO BIOPSICOSOCIAL" dataDxfId="510" dataCellStyle="Normal 2">
      <calculatedColumnFormula>IF(AND(O2="",R2=""),"",IF(AND(OR(O2&lt;&gt;"",R2&lt;&gt;""),OR(HO2="RIESGO ALTO DE COMPLICACIONES HIPERTENSIVAS VER MANEJO GUIA SUMINISTRO ASA Y CALCIO",HO2="RIESGO MODERADO (2 O MAS CRITERIOS) VER MANEJO GUIA SUMINISTRO ASA Y CALCIO")),"ALTO RIESGO",IF(AND(HL2="************",OR(O2&lt;&gt;"",R2&lt;&gt;""),AND(NM2&gt;=0,NM2&lt;3)),"BAJO RIESGO",IF(AND(OR(O2&lt;&gt;"",R2&lt;&gt;""),OR(HJ2="COVID19 PRIMER TRIMESTRE",HJ2="COVID19 SEGUNDO TRIMESTRE",HJ2="COVID19 TERCER TRIMESTRE",HJ2="COVID19 PUERPERIO")),"ALTO RIESGO",IF(AND(HL2&lt;&gt;"",OR(O2&lt;&gt;"",R2&lt;&gt;""),AND(NM2&gt;=0,NM2&lt;3)),"CON RIESGO",IF(AND(OR(O2&lt;&gt;"",R2&lt;&gt;""),NM2&gt;2),"ALTO RIESGO",""))))))</calculatedColumnFormula>
    </tableColumn>
    <tableColumn id="46" xr3:uid="{00000000-0010-0000-0000-00002E000000}" name="MOTIVOS PARA LA CLASIFICACION DEL RIESGO BIOPSICOSOCIAL" dataDxfId="509" dataCellStyle="Normal 2">
      <calculatedColumnFormula>IF(OR(O2&gt;0,R2&gt;0),CONCATENATE(IF(AK2="CON RIESGO","RIESGO PSICOSOCIAL",""),"*",CONCATENATE(IF(AL2="SI","ANTECEDENTE PREECLAMPSIA",""),"*",CONCATENATE(IF(AM2="SI","ANTECEDENTE HEMORRAGIA POSTPARTO O RETENCIÓN DE PLACENTA",""),"*",CONCATENATE(IF(AN2="SI","ANTECEDENTE RN BAJO PESO O MACROSOMICO",""),"*",CONCATENATE(IF(AP2="SI","ANTECEDENTE TRABAJO DE PARTO PROLONGADO",""),"*",CONCATENATE(IF(AU2="SI","INFERTILIDAD",""),"*",CONCATENATE(IF(BA2="SI","ENFERMERDAD AUTOINMUNE",""),"*",CONCATENATE(IF(BB2="SI","DIABETES PREGESTACIONAL",""),"*",CONCATENATE(IF(BC2="SI","ENFERMEDAD CARDIACA",""),"*",CONCATENATE(IF(BD2="SI","HTA CRÓNICA",""),"*",CONCATENATE(IF(BE2="SI","ENFERMEDAD RENAL CRÓNICA",""),"*",CONCATENATE(IF(BG2="SI","RUPTURA PREMATURA DE MEMBRANAS",""),"*",CONCATENATE(IF(OR(BH2="SI",BI2="SI"),"HEMORRAGIA DURANTE LA GESTACIÓN",""),"*",CONCATENATE(IF(BV2="SI","RCIU",""),"*",CONCATENATE(IF(BW2="SI","EMBARAZO GEMELAR",""),"*",CONCATENATE(IF(NJ2=3,"PRESENTACIÓN FETAL PODALICA O TRANSVERSA",""),"*",CONCATENATE(IF(BY2="SI","POLIHIDRAMNIOS",""),"*",CONCATENATE(IF(FB2="DIABETES, REMITIR","DIABETES GESTACIONAL",""),"*",CONCATENATE(IF(FP2&lt;&gt;"","SEGUIMIENTO PARA SIFILIS GESTACIONAL",""),"*",CONCATENATE(IF(NI2=3,"SEGUIMIENTO PARA VIH",""),"*",CONCATENATE(IF(NG2=1,"SEGUIMIENTO PARA ANEMIA",""),"*",CONCATENATE(IF(ND2=2,"MULTIPARIDAD",""),"*",CONCATENATE(IF(ND2=1,"MULTIPARIDAD",""),"*",CONCATENATE(IF(NC2=1,"ANTECEDENTE MUERTE PERINATAL",""),"*",CONCATENATE(IF(OR(NA2=2,NA2=1),"RIESGO POR EDAD",""),"*",CONCATENATE(IF(OR(NE2=1,NE2=2),"CESAREAS PREVIAS",""),"*",CONCATENATE(IF(NF2=1,"ANTECEDENTE ECTOPICO O CX UTERINA",""),"*",CONCATENATE(IF(NH2=1,"EMBARAZO PROLONGADO",""),"*",CONCATENATE(IF(NK2=2,"SEGUIMIENTO PARA CHAGAS",""),"*",CONCATENATE(IF(NL2=3,"SEGUIMIENTO PARA MALARIA",""),"*",CONCATENATE(IF(OR(HJ2="COVID19 PRIMER TRIMESTRE",HJ2="COVID19 SEGUNDO TRIMESTRE", HJ2="COVID19 TERCER TRIMESTRE",HJ2="COVID19 PUERPERIO"),"SEGUIMIENTO PARA COVID19",""),"*",CONCATENATE(IF(EU2="RIESGO DE INCOMPATIBILIDAD RH","SEGUIMIENTO PARA INCOMPATIBILIDAD RH",""),"*")))))))))))))))))))))))))))))))),"")</calculatedColumnFormula>
    </tableColumn>
    <tableColumn id="255" xr3:uid="{00000000-0010-0000-0000-0000FF000000}" name="ALARMA FACTORES DE RIESGO COMPLICACIONES HIPERTENSIVAS3" dataDxfId="508" dataCellStyle="Normal 2">
      <calculatedColumnFormula>IF(AND(O2="",R2=""),"",IF(AND(OR(O2&gt;0,R2&gt;0),OR(AL2="SI",BD2="SI",BA2="SI",BB2="SI",BE2="SI")),"RIESGO ALTO DE COMPLICACIONES HIPERTENSIVAS VER MANEJO GUIA SUMINISTRO ASA Y CALCIO",IF(AND(OR(O2&gt;0,R2&gt;0),NN2&gt;1),"RIESGO MODERADO (2 O MAS CRITERIOS) VER MANEJO GUIA SUMINISTRO ASA Y CALCIO","SIN ANTECEDENTES DE RIESGO")))</calculatedColumnFormula>
    </tableColumn>
    <tableColumn id="21" xr3:uid="{00000000-0010-0000-0000-000015000000}" name="ALARMA POR SEGUIMIENTO CIFRAS PRESIÓN ARTERIAL ÚLTIMO REGISTRO." dataDxfId="507" dataCellStyle="Normal 2">
      <calculatedColumnFormula>IF(AND(O2="",R2=""),"",IF(AND(OR(O2&gt;0,R2&gt;0),CR2&lt;&gt;"",CU2&lt;&gt;"",CZ2&lt;&gt;""),CZ2,IF(AND(OR(O2&gt;0,R2&gt;0),CR2&lt;&gt;"",CU2&lt;&gt;"",CZ2=""),CU2,IF(AND(OR(O2&gt;0,R2&gt;0),CR2&lt;&gt;"",CU2="",CZ2=""),CR2,IF(AND(OR(O2&gt;0,R2&gt;0),CR2="",CU2="",CZ2&lt;&gt;""),CZ2,IF(AND(OR(O2&gt;0,R2&gt;0),CR2="",CU2&lt;&gt;"",CZ2&lt;&gt;""),CZ2,IF(AND(OR(O2&gt;0,R2&gt;0),CR2&lt;&gt;"",CU2="",CZ2&lt;&gt;""),CZ2,IF(AND(OR(O2&gt;0,R2&gt;0),CR2="",CU2&lt;&gt;"",CZ2=""),CU2,""))))))))</calculatedColumnFormula>
    </tableColumn>
    <tableColumn id="196" xr3:uid="{00000000-0010-0000-0000-0000C4000000}" name="ALERTA SEGUIMIENTO2" dataDxfId="506" dataCellStyle="Normal 2">
      <calculatedColumnFormula>IF(NR2="SD","",IF(AND(NR2&lt;=33,NR2&gt;=8),"MES DE CONTROL",IF(AND(NR2&gt;=1,NR2&lt;8),"SEMANA DE CONTROL",IF(NR2=0,"DIA DE CONTROL",IF(NR2&lt;0,"INASISTENTE",IF(NR2="Y","SEGUIMIENTO FUERA MUNICIPIO",IF(NR2="Z","BUSCAR PARA INGRESO A CPN",IF(NR2="W","DEFINIR FECHA CITA",IF(NR2="X","NO REALIZO CPN",IF(NR2="S","DILIGENCIAR FECHA SALIDA PROGRAMA","REVISAR FORMULA"))))))))))</calculatedColumnFormula>
    </tableColumn>
    <tableColumn id="73" xr3:uid="{00000000-0010-0000-0000-000049000000}" name="GESTANTES ACTUALES22" dataDxfId="505" dataCellStyle="Normal 2">
      <calculatedColumnFormula>IF(AND(R2&lt;&gt;"",IT2="CAMBIO DE RESIDENCIA"),"SEGUIMIENTO REPORTE EPS",IF(AND(R2&lt;&gt;"",OR(IT2&lt;&gt;"",IW2&lt;&gt;"")),"SALIO PROGRAMA",IF(AND(AND(R2="",O2&gt;0),OR(IT2&lt;&gt;"",IW2&lt;&gt;"")),"SALE SIN INGRESO CPN",IF(AND(R2="",O2&gt;0,IT2="",IW2=""),"ACTIVA SIN INGRESO CPN",IF(AND(R2&lt;&gt;"",OR(IT2="",IW2="")),"ACTIVA INGRESO A CPN","")))))</calculatedColumnFormula>
    </tableColumn>
    <tableColumn id="75" xr3:uid="{00000000-0010-0000-0000-00004B000000}" name="LA CLASIFICACIÓN DEL RIESGO ES ADECUADA" dataDxfId="504" dataCellStyle="Normal 2"/>
    <tableColumn id="102" xr3:uid="{00000000-0010-0000-0000-000066000000}" name="SUMINISTRO DE ASA SEGÚN GPC" dataDxfId="503" dataCellStyle="Normal 2"/>
    <tableColumn id="23" xr3:uid="{00000000-0010-0000-0000-000017000000}" name="FECHA INICIO SUMINISTRO CALCIO" dataDxfId="502" dataCellStyle="Normal 2"/>
    <tableColumn id="181" xr3:uid="{00000000-0010-0000-0000-0000B5000000}" name="SUMINISTRO CALCIO " dataDxfId="501" dataCellStyle="Normal 2"/>
    <tableColumn id="60" xr3:uid="{00000000-0010-0000-0000-00003C000000}" name="FECHA INICIO SUMINISTRO ACIDO FOLICO " dataDxfId="500" dataCellStyle="Normal 2"/>
    <tableColumn id="241" xr3:uid="{00000000-0010-0000-0000-0000F1000000}" name="SUMINISTRO DE ACIDO FOLICO " dataDxfId="499" dataCellStyle="Normal 2"/>
    <tableColumn id="256" xr3:uid="{00000000-0010-0000-0000-000000010000}" name="FECHA INICIO SUMINISTRO SULFATO FERROSO " dataDxfId="498" dataCellStyle="Normal 2"/>
    <tableColumn id="254" xr3:uid="{00000000-0010-0000-0000-0000FE000000}" name="SUMINISTRO DE SULFATO FERROSO " dataDxfId="497" dataCellStyle="Normal 2"/>
    <tableColumn id="257" xr3:uid="{00000000-0010-0000-0000-000001010000}" name="SUPLEMENTACION ALIMENTARIA  O DIRECCIONAMIENTO A AUTONOMIA ALIMENTARIA" dataDxfId="496" dataCellStyle="Normal 2"/>
    <tableColumn id="63" xr3:uid="{00000000-0010-0000-0000-00003F000000}" name="FECHA CONSULTA DE 1RA VEZ POR ODONTOLOGIA" dataDxfId="495" dataCellStyle="Normal 2"/>
    <tableColumn id="258" xr3:uid="{00000000-0010-0000-0000-000002010000}" name="SEMANAS DE GESTACION A LA CONSULTA ODONTOLOGICA" dataDxfId="494" dataCellStyle="Normal 2">
      <calculatedColumnFormula>IF(AND(BP2="ERROR FUM O INGRESO",IB2&gt;0),"ERROR FUM O INGRESO",IF(AND(IB2="",R2=""),"",IF(OR(AND(IB2&lt;&gt;"",IB2&lt;BK2),AND(IB2&lt;&gt;"",SUM((IB2-BK2)/7)&gt;40)),"CORREGIR FECHA CONSULTA",IF(AND(IB2="",R2&gt;0),"PENDIENTE CONSULTA",IF(IB2&gt;0,SUM(IB2-BK2)/7,"")))))</calculatedColumnFormula>
    </tableColumn>
    <tableColumn id="259" xr3:uid="{00000000-0010-0000-0000-000003010000}" name="REQUIRIO MANEJO ODONTOLOGICO DURANTE LA GESTACIÓN" dataDxfId="493" dataCellStyle="Normal 2"/>
    <tableColumn id="388" xr3:uid="{00000000-0010-0000-0000-000084010000}" name="Tipo Biológico Vacuna anti COVID-19 (Disentimiento)" dataDxfId="492"/>
    <tableColumn id="386" xr3:uid="{00000000-0010-0000-0000-000082010000}" name="Fecha 1ra Dosis Anti COVID-19" dataDxfId="491"/>
    <tableColumn id="336" xr3:uid="{00000000-0010-0000-0000-000050010000}" name="Tipo Biológico Vacuna anti COVID-19 (2da Dosis)" dataDxfId="490"/>
    <tableColumn id="382" xr3:uid="{00000000-0010-0000-0000-00007E010000}" name="Fecha 2da Dosis Anti COVID-19" dataDxfId="489"/>
    <tableColumn id="339" xr3:uid="{00000000-0010-0000-0000-000053010000}" name="Tipo Biológico Vacuna anti COVID-19 (Refuerzo)" dataDxfId="488"/>
    <tableColumn id="335" xr3:uid="{00000000-0010-0000-0000-00004F010000}" name="Fecha Refuerzo Anti COVID-20" dataDxfId="487"/>
    <tableColumn id="381" xr3:uid="{00000000-0010-0000-0000-00007D010000}" name="Alarma Vacunación Anti COVID-19" dataDxfId="486">
      <calculatedColumnFormula>IF(AND(BK2="",PM2="SD"),"SIN DATO EDAD GESTACIONAL",IF(AND(BK2="",PN2=""),"",IF(AND(AND(BQ2&gt;0,BQ2&lt;12),PN2=""),"MENOR 12 SEMANAS",IF(AND(BQ2&gt;11.6,PN2="",HJ2="BAJO RIESGO O SE DESCARTA INFECCIÓN POR SARS-CoV2"),"PROGRAMAR APLICACION DE VACUNA",IF(OR(AND(BQ2&gt;11.6,PN2=""),HJ2="FACTOR DE RIESGO PARA COVID19",HJ2="COVID19 PRIMER TRIMESTRE",HJ2="COVID19 SEGUNDO TRIMESTRE",HJ2="COVID19 TERCER TRIMESTRE",HJ2="COVID19 PUERPERIO"),"DIFERIR FECHA DE VACUNACION SEGÚN LINEAMIENTOS",IF(AND(BQ2&gt;11.6,PN2="Error Jansen X Fecha Segunda Dosis"),"Error Jansen X Fecha Segunda Dosis",IF(AND(BQ2&gt;11.6,PN2="Firma"),"FIRMA DISENTIMIENTO",IF(AND(BQ2&gt;11.6,PN2="Firma3"),"NO ACEPTA VACUNA Y NO FIRMA DISCENTIMIENTO",IF(AND(BQ2&gt;11.6,PN2="Firma2"),"Error en Fecha x Firma Disentimiento",IF(AND(BQ2&gt;11.6,PN2="Firma4"),"Error en Fecha x No Acepta no Firma",IF(AND(BQ2&gt;11.6,PN2="Completo",Tabla1[[#This Row],[Fecha Refuerzo Anti COVID-20]]=""),"PENDIENTE REFUERZO",IF(AND(BQ2&gt;11.6,PN2="Completo",Tabla1[[#This Row],[Fecha Refuerzo Anti COVID-20]]&lt;&gt;""),"CON REFUERZO",IF(AND(BQ2&gt;11.6,PN2="Falta Dosis"),PQ2,IF(OR(AND(BQ2&gt;11.6,PN2=""),HJ2="",HJ2="NO SE EVALUA RIESGO INFECCIÓN COVID19"),"DEFINIR RIESGO CONTAGIO SARS-CoV2, columna GZ",""))))))))))))))</calculatedColumnFormula>
    </tableColumn>
    <tableColumn id="260" xr3:uid="{00000000-0010-0000-0000-000004010000}" name="FECHA VACUNA ANTI INFLUENZA" dataDxfId="485" dataCellStyle="Normal 2"/>
    <tableColumn id="268" xr3:uid="{00000000-0010-0000-0000-00000C010000}" name="FECHA VACUNA DPT ACELULAR" dataDxfId="484" dataCellStyle="Normal 2"/>
    <tableColumn id="269" xr3:uid="{00000000-0010-0000-0000-00000D010000}" name="ALARMA DPT ACELULAR" dataDxfId="483" dataCellStyle="Normal 2">
      <calculatedColumnFormula>IF(AND(BK2="",NO2="SD"),"SIN DATO EDAD GESTACIONAL",IF(AND(BK2="",IM2=""),"",IF(AND(AND(BQ2&gt;0,BQ2&lt;20),IM2=""),"EN ESPERA PARA VACUNAR",IF(AND(AND(BQ2&gt;19,BQ2&lt;27),IM2=""),"PROGRAMAR APLICACION DE VACUNA",IF(AND(AND(BQ2&gt;26,BQ2&lt;43),IM2=""),"INASISTENTE",IF(AND(AND(NO2&gt;19,NO2&lt;27),IM2&gt;0),"VACUNA APLICADA ENTRE SEMANA 20 Y SEMANA 26",IF(AND(NO2&lt;20,IM2&gt;0),"VACUNA APLICADA ANTES SEMANA 20",IF(AND(NO2&gt;26,IM2&gt;0),"VACUNA APLICADA ENTRE SEMANA 27 Y EL PARTO",IF(AND(OR(IT2="CESAREA",IT2="PARTO"),IR2="POSIBLEMENTE NACIO",IM2=""),"SALE SIN VACUNA","")))))))))</calculatedColumnFormula>
    </tableColumn>
    <tableColumn id="333" xr3:uid="{00000000-0010-0000-0000-00004D010000}" name="FECHA VACUNA TD" dataDxfId="482" dataCellStyle="Normal 2"/>
    <tableColumn id="271" xr3:uid="{00000000-0010-0000-0000-00000F010000}" name="FPP2" dataDxfId="481" dataCellStyle="Normal 2">
      <calculatedColumnFormula>IF(OR(BL2="SI",BL2="Corregida",BL2="NO"),(BK2+280),IF(BL2="Sin Dato","DEFINIR FPP POR ECO",""))</calculatedColumnFormula>
    </tableColumn>
    <tableColumn id="72" xr3:uid="{00000000-0010-0000-0000-000048000000}" name="DIAS PARA EL PARTO2" dataDxfId="480" dataCellStyle="Normal 2">
      <calculatedColumnFormula>IF(OR(IP2="DEFINIR FPP POR ECO",BP2="ERROR FUM O INGRESO"),"SIN DEFINIR",IF(IP2="","",IF(IP2&gt;0,SUM(IP2-TODAY()),"X")))</calculatedColumnFormula>
    </tableColumn>
    <tableColumn id="70" xr3:uid="{00000000-0010-0000-0000-000046000000}" name="ALERTA PARA PARTO3" dataDxfId="479" dataCellStyle="Normal 2">
      <calculatedColumnFormula>IF(IQ2&lt;0,"POSIBLEMENTE NACIO",IF(IQ2="SIN DEFINIR","SIN DATO",IF(AND(IQ2&gt;=0,IQ2&lt;=7),"SEMANA DE PARTO",IF(AND(IQ2&gt;=8,IQ2&lt;=28),"MENOS DE 4 SEMANAS",IF(AND(IQ2&gt;=29,IQ2&lt;=280),"PENDIENTE","")))))</calculatedColumnFormula>
    </tableColumn>
    <tableColumn id="71" xr3:uid="{00000000-0010-0000-0000-000047000000}" name="FECHA ULTIMA REMISION URG" dataDxfId="478" dataCellStyle="Normal 2"/>
    <tableColumn id="273" xr3:uid="{00000000-0010-0000-0000-000011010000}" name="SALE DEL PROGRAMA POR" dataDxfId="477" dataCellStyle="Normal 2"/>
    <tableColumn id="275" xr3:uid="{00000000-0010-0000-0000-000013010000}" name=" EVENTO DE INTERES EN SALUD PÚBLICA DE LA MADRE" dataDxfId="476" dataCellStyle="Normal 2"/>
    <tableColumn id="276" xr3:uid="{00000000-0010-0000-0000-000014010000}" name=" EVENTO DE INTERES EN SALUD PÚBLICA DEL RECIÉN NACIDO2" dataDxfId="475" dataCellStyle="Normal 2"/>
    <tableColumn id="277" xr3:uid="{00000000-0010-0000-0000-000015010000}" name="FECHA DE SALIDA  DEL PROGRAMA" dataDxfId="474" dataCellStyle="Normal 2"/>
    <tableColumn id="278" xr3:uid="{00000000-0010-0000-0000-000016010000}" name="LUGAR DE ATENCION DEL PARTO" dataDxfId="473" dataCellStyle="Normal 2"/>
    <tableColumn id="281" xr3:uid="{00000000-0010-0000-0000-000019010000}" name="EDAD GESTACIONAL SALIDA PROGRAMA" dataDxfId="472" dataCellStyle="Normal 2">
      <calculatedColumnFormula>IF(AND(IW2&gt;0,IT2&lt;&gt;""),SUM(IW2-BK2)/7,"")</calculatedColumnFormula>
    </tableColumn>
    <tableColumn id="282" xr3:uid="{00000000-0010-0000-0000-00001A010000}" name="NOMBRE DE LA INSTITUCION DONDE SE ATENDIO EL PARTO O LUGAR ESPECIFICO DEL PARTO SI APLICA" dataDxfId="471" dataCellStyle="Normal 2"/>
    <tableColumn id="283" xr3:uid="{00000000-0010-0000-0000-00001B010000}" name="NIVEL DE COMPLEJIDAD DE LA ATENCION DE LA INSTITUCION DONDE SE ATENDIO EL PARTO" dataDxfId="470" dataCellStyle="Normal 2"/>
    <tableColumn id="284" xr3:uid="{00000000-0010-0000-0000-00001C010000}" name="PROFESIONAL O PERSONA QUE ATIENDE EL PARTO" dataDxfId="469" dataCellStyle="Normal 2"/>
    <tableColumn id="373" xr3:uid="{00000000-0010-0000-0000-000075010000}" name="INICIO TRABAJO DE PARTO" dataDxfId="468" dataCellStyle="Normal 2"/>
    <tableColumn id="285" xr3:uid="{00000000-0010-0000-0000-00001D010000}" name="ACOMPAÑAMIENTO POR PERSONA DE CONFIANZA DURANTE TRABAJO DE PARTO Y PARTO" dataDxfId="467" dataCellStyle="Normal 2"/>
    <tableColumn id="251" xr3:uid="{00000000-0010-0000-0000-0000FB000000}" name="DILIGENCIAMIENTO DE PARTOGRAMA (NO APLICA EN EXPULSIVO)" dataDxfId="466" dataCellStyle="Normal 2"/>
    <tableColumn id="261" xr3:uid="{00000000-0010-0000-0000-000005010000}" name="MANEJO ACTIVO DEL TERCER PERIODO DEL PARTO (USO OXITOCINA,MASAJE UTERINO Y TRACCIÓN SOSTENIDA DE CORDÓN)2" dataDxfId="465" dataCellStyle="Normal 2"/>
    <tableColumn id="262" xr3:uid="{00000000-0010-0000-0000-000006010000}" name="CONTACTO PIEL A PIEL DURANTE MÍNIMO 30 MINUTOS " dataDxfId="464" dataCellStyle="Normal 2"/>
    <tableColumn id="263" xr3:uid="{00000000-0010-0000-0000-000007010000}" name="INICIO DE LACTANCIA MATERNA DURANTE EL CONTACTO PIEL A PIEL O EN LA PRIMERA HORA DE VIDA" dataDxfId="463" dataCellStyle="Normal 2"/>
    <tableColumn id="92" xr3:uid="{00000000-0010-0000-0000-00005C000000}" name="MONITORIA CADA 15 MINUTOS DE SIGNOS VITALES DURANTES LAS PRIMERAS DOS HORAS POSTPARTO (SOPORTE EN HC - 8 VALORACIONES EN LAS PRIMERAS 2 HORAS)" dataDxfId="462" dataCellStyle="Normal 2"/>
    <tableColumn id="264" xr3:uid="{00000000-0010-0000-0000-000008010000}" name="COMPLICACIONES POSTPARTO - HASTA 42 DÍAS" dataDxfId="461" dataCellStyle="Normal 2"/>
    <tableColumn id="286" xr3:uid="{00000000-0010-0000-0000-00001E010000}" name="NUMERO NACIDOS VIVOS" dataDxfId="460" dataCellStyle="Normal 2"/>
    <tableColumn id="288" xr3:uid="{00000000-0010-0000-0000-000020010000}" name="SEXO RN" dataDxfId="459" dataCellStyle="Normal 2"/>
    <tableColumn id="289" xr3:uid="{00000000-0010-0000-0000-000021010000}" name="PESO RN  EN GRAMOS" dataDxfId="458" dataCellStyle="Normal 2"/>
    <tableColumn id="290" xr3:uid="{00000000-0010-0000-0000-000022010000}" name="PESO AL NACER POR EDAD GESTACIONAL" dataDxfId="457" dataCellStyle="Normal 2">
      <calculatedColumnFormula>IF(AND(JM2&gt;700,JM2&lt;2500,IY2&gt;36),"BAJO PESO AL NACER",IF(AND(JM2&gt;500,JM2&lt;2500,IY2&lt;37),"PREMATURO",IF(AND(JM2&gt;2499,JM2&lt;4000,IY2&gt;36),"PESO ADECUADO EDAD GESTACIONAL",IF(AND(JM2&gt;3999,JM2&lt;6000,IY2&gt;36),"PESO GRANDE EDAD GESTACIONAL",""))))</calculatedColumnFormula>
    </tableColumn>
    <tableColumn id="291" xr3:uid="{00000000-0010-0000-0000-000023010000}" name="FECHA TOMA TSH" dataDxfId="456" dataCellStyle="Normal 2"/>
    <tableColumn id="294" xr3:uid="{00000000-0010-0000-0000-000026010000}" name="RESULTADO TSH" dataDxfId="455" dataCellStyle="Normal 2"/>
    <tableColumn id="295" xr3:uid="{00000000-0010-0000-0000-000027010000}" name=" FECHA RESULTADO TSH" dataDxfId="454" dataCellStyle="Normal 2"/>
    <tableColumn id="296" xr3:uid="{00000000-0010-0000-0000-000028010000}" name="APLICACIÓN DE VIT K" dataDxfId="453" dataCellStyle="Normal 2"/>
    <tableColumn id="297" xr3:uid="{00000000-0010-0000-0000-000029010000}" name="GRUPO SANGUINEO RN" dataDxfId="452" dataCellStyle="Normal 2"/>
    <tableColumn id="298" xr3:uid="{00000000-0010-0000-0000-00002A010000}" name="FECHA APLICACIÓN VACUNA HEPATITIS B" dataDxfId="451" dataCellStyle="Normal 2"/>
    <tableColumn id="299" xr3:uid="{00000000-0010-0000-0000-00002B010000}" name="FECHA APLICACIÓN VACUNA BCG" dataDxfId="450" dataCellStyle="Normal 2"/>
    <tableColumn id="300" xr3:uid="{00000000-0010-0000-0000-00002C010000}" name="SEXO RN 2" dataDxfId="449" dataCellStyle="Normal 2"/>
    <tableColumn id="301" xr3:uid="{00000000-0010-0000-0000-00002D010000}" name="PESO RN 2 EN GRAMOS2" dataDxfId="448" dataCellStyle="Normal 2"/>
    <tableColumn id="302" xr3:uid="{00000000-0010-0000-0000-00002E010000}" name="PESO AL NACER POR EDAD GESTACIONAL RN 2" dataDxfId="447" dataCellStyle="Normal 2">
      <calculatedColumnFormula>IF(AND(JW2&gt;700,JW2&lt;2500,IY2&gt;36,IY2&lt;43),"BAJO PESO AL NACER",IF(AND(JW2&gt;700,JW2&lt;2500,IY2&lt;37),"PREMATURO",IF(AND(JW2&gt;2499,JW2&lt;4000,IY2&gt;36,IY2&lt;43),"PESO ADECUADO EDAD GESTACIONAL",IF(AND(JW2&gt;3999,JW2&lt;6000,IY2&gt;36,IY2&lt;43),"PESO GRANDE EDAD GESTACIONAL",""))))</calculatedColumnFormula>
    </tableColumn>
    <tableColumn id="303" xr3:uid="{00000000-0010-0000-0000-00002F010000}" name="FECHA TOMA TSH 2" dataDxfId="446" dataCellStyle="Normal 2"/>
    <tableColumn id="306" xr3:uid="{00000000-0010-0000-0000-000032010000}" name="RESULTADO TSH 2" dataDxfId="445" dataCellStyle="Normal 2"/>
    <tableColumn id="307" xr3:uid="{00000000-0010-0000-0000-000033010000}" name=" FECHA RESULTADO TSH 2" dataDxfId="444" dataCellStyle="Normal 2"/>
    <tableColumn id="308" xr3:uid="{00000000-0010-0000-0000-000034010000}" name="APLICACIÓN DE VIT K 2" dataDxfId="443" dataCellStyle="Normal 2"/>
    <tableColumn id="309" xr3:uid="{00000000-0010-0000-0000-000035010000}" name="GRUPO SANGUINEO RN 2" dataDxfId="442" dataCellStyle="Normal 2"/>
    <tableColumn id="310" xr3:uid="{00000000-0010-0000-0000-000036010000}" name="FECHA APLICACIÓN VACUNA HEPATITIS B 2" dataDxfId="441" dataCellStyle="Normal 2"/>
    <tableColumn id="311" xr3:uid="{00000000-0010-0000-0000-000037010000}" name="FECHA APLICACIÓN VACUNA BCG 2" dataDxfId="440" dataCellStyle="Normal 2"/>
    <tableColumn id="312" xr3:uid="{00000000-0010-0000-0000-000038010000}" name="CONTROL RN FECHA ASISTIO " dataDxfId="439" dataCellStyle="Normal 2"/>
    <tableColumn id="313" xr3:uid="{00000000-0010-0000-0000-000039010000}" name="ALARMA 1 CONTROL RN" dataDxfId="438" dataCellStyle="Normal 2">
      <calculatedColumnFormula>IF(AND(KF2&lt;&gt;"",KF2&lt;IW2),"INCONSISTENCIA FECHA CONTROL",IF(AND(OR(IT2="Parto",IT2="Cesarea"),KF2&gt;0,IW2&gt;0),SUM(KF2-IW2),IF(AND(OR(IT2="Parto",IT2="Cesarea"),KF2="",IW2&gt;0),"INASISTENTE","")))</calculatedColumnFormula>
    </tableColumn>
    <tableColumn id="314" xr3:uid="{00000000-0010-0000-0000-00003A010000}" name="CONTROL DE PUERPERIO FECHA" dataDxfId="437" dataCellStyle="Normal 2"/>
    <tableColumn id="316" xr3:uid="{00000000-0010-0000-0000-00003C010000}" name="ALARMA CONTROL PUERPERIO" dataDxfId="436" dataCellStyle="Normal 2">
      <calculatedColumnFormula>IF(AND(KH2&lt;&gt;"",KH2&lt;IW2),"INCONSISTENCIA FECHA CONTROL",IF(AND(OR(IT2="Parto",IT2="Cesarea",IT2="Aborto Espontaneo",IT2="Aborto Inducido",IT2="IVE"),KH2&gt;0,IW2&gt;0),SUM(KH2-IW2),IF(AND(KH2&lt;&gt;"",KH2&lt;IW2),"INCONSISTENCIA FECHA CONTROL",IF(AND(OR(IT2="Parto",IT2="Cesarea",IT2="Aborto Espontaneo",IT2="Aborto Inducido",IT2="IVE"),KH2="",IW2&gt;0),"INASISTENTE",""))))</calculatedColumnFormula>
    </tableColumn>
    <tableColumn id="317" xr3:uid="{00000000-0010-0000-0000-00003D010000}" name="ASESORIA EN LACTANCIA MATERNA EXCLUSIVA EN AMBITO HOSPITALARIO" dataDxfId="435" dataCellStyle="Normal 2"/>
    <tableColumn id="265" xr3:uid="{00000000-0010-0000-0000-000009010000}" name="ASESORIA EN PLANIFICACIÓN FAMILIAR POST EVENTO OBSTETRICO EN AMBITO HOSPITALARIO" dataDxfId="434" dataCellStyle="Normal 2"/>
    <tableColumn id="240" xr3:uid="{00000000-0010-0000-0000-0000F0000000}" name="PUERPERA SALE CON PLANIFICACIÓN FAMILIAR POST EVENTO OBSTETRICO " dataDxfId="433" dataCellStyle="Normal 2"/>
    <tableColumn id="97" xr3:uid="{00000000-0010-0000-0000-000061000000}" name="FECHA INSCRIPCION A PLANIFICACION FAMILIAR2" dataDxfId="432" dataCellStyle="Normal 2"/>
    <tableColumn id="319" xr3:uid="{00000000-0010-0000-0000-00003F010000}" name="METODO DE ANTICONCEPCION INICIADO POSTPARTO" dataDxfId="431" dataCellStyle="Normal 2"/>
    <tableColumn id="320" xr3:uid="{00000000-0010-0000-0000-000040010000}" name="TIPO DE APOYO REALIZADO POR LA EPS" dataDxfId="430" dataCellStyle="Normal 2"/>
    <tableColumn id="321" xr3:uid="{00000000-0010-0000-0000-000041010000}" name="TIPO DE APOYO REALIZADO POR LA IPS PRIMARIA" dataDxfId="429" dataCellStyle="Normal 2"/>
    <tableColumn id="322" xr3:uid="{00000000-0010-0000-0000-000042010000}" name="FECHA SEGUIMIENTO INICIAL POR PERSONAL DE SALUD EN TERRENO" dataDxfId="428" dataCellStyle="Normal 2"/>
    <tableColumn id="304" xr3:uid="{00000000-0010-0000-0000-000030010000}" name="FECHA ÚLTIMO SEGUIMIENTO" dataDxfId="427" dataCellStyle="Normal 2"/>
    <tableColumn id="318" xr3:uid="{00000000-0010-0000-0000-00003E010000}" name="NÚMERO DE SEGUIMIENTOS CPN" dataDxfId="426" dataCellStyle="Normal 2"/>
    <tableColumn id="183" xr3:uid="{00000000-0010-0000-0000-0000B7000000}" name="HALLAZGO GESTACIÓN SEGUIMIENTO POR VISITA DOMICILIARIA" dataDxfId="425" dataCellStyle="Normal 2"/>
    <tableColumn id="332" xr3:uid="{00000000-0010-0000-0000-00004C010000}" name="FECHA SEGUIMIENTOS TELÉFONICOS" dataDxfId="424" dataCellStyle="Normal 2"/>
    <tableColumn id="266" xr3:uid="{00000000-0010-0000-0000-00000A010000}" name="NÚMERO SEGUIMIENTOS TELÉFONCOS" dataDxfId="423" dataCellStyle="Normal 2"/>
    <tableColumn id="267" xr3:uid="{00000000-0010-0000-0000-00000B010000}" name="OBSERVACIÓN SEGUIMIENTO TELÉFONCO" dataDxfId="422" dataCellStyle="Normal 2"/>
    <tableColumn id="272" xr3:uid="{00000000-0010-0000-0000-000010010000}" name="FECHA SEGUIMIENTO POR PERSONAL DE SALUD EN TERRENO  EN PUERPERIO" dataDxfId="421" dataCellStyle="Normal 2"/>
    <tableColumn id="344" xr3:uid="{00000000-0010-0000-0000-000058010000}" name="HALLAZGOS ACOMPAÑAMIENTO PERSONAL DE SALUD PUERPERA" dataDxfId="420" dataCellStyle="Normal 2"/>
    <tableColumn id="347" xr3:uid="{00000000-0010-0000-0000-00005B010000}" name="HALLAZGOS ACOMPAÑAMIENTO PERSONAL DE SALUD RECIEN NACIDO" dataDxfId="419" dataCellStyle="Normal 2"/>
    <tableColumn id="348" xr3:uid="{00000000-0010-0000-0000-00005C010000}" name="FECHA ULTIMO SEGUIMIENTO POR PERSONAL DE SALUD EN TERRENO  EN PUERPERIO" dataDxfId="418" dataCellStyle="Normal 2"/>
    <tableColumn id="349" xr3:uid="{00000000-0010-0000-0000-00005D010000}" name="NÚMERO DE SEGUIMIENTOS EN PUERPERIO" dataDxfId="417" dataCellStyle="Normal 2"/>
    <tableColumn id="350" xr3:uid="{00000000-0010-0000-0000-00005E010000}" name="FECHA PRIMER ACOMPAÑAMIENTO SABEDOR ANCESTRAL" dataDxfId="416" dataCellStyle="Normal 2"/>
    <tableColumn id="22" xr3:uid="{00000000-0010-0000-0000-000016000000}" name="TIPO DE SABEDOR" dataDxfId="415" dataCellStyle="Normal 2"/>
    <tableColumn id="191" xr3:uid="{00000000-0010-0000-0000-0000BF000000}" name="NECESIDAD O DESARMONIA DESDE LO PROPIO 1" dataDxfId="414" dataCellStyle="Normal 2"/>
    <tableColumn id="353" xr3:uid="{00000000-0010-0000-0000-000061010000}" name="ACTIVIDAD O RITUALIDAD REALIZADA1" dataDxfId="413" dataCellStyle="Normal 2"/>
    <tableColumn id="93" xr3:uid="{00000000-0010-0000-0000-00005D000000}" name="FECHA  ACOMPAÑAMIENTO SABEDOR ANCESTRAL2" dataDxfId="412" dataCellStyle="Normal 2"/>
    <tableColumn id="354" xr3:uid="{00000000-0010-0000-0000-000062010000}" name="TIPO DE SABEDOR2" dataDxfId="411" dataCellStyle="Normal 2"/>
    <tableColumn id="355" xr3:uid="{00000000-0010-0000-0000-000063010000}" name="NECESIDAD O DESARMONIA DESDE LO PROPIO 12" dataDxfId="410" dataCellStyle="Normal 2"/>
    <tableColumn id="107" xr3:uid="{00000000-0010-0000-0000-00006B000000}" name="ACTIVIDAD O RITUALIDAD REALIZADA13" dataDxfId="409" dataCellStyle="Normal 2"/>
    <tableColumn id="357" xr3:uid="{00000000-0010-0000-0000-000065010000}" name="FECHA ACOMPAÑAMIENTO SABEDOR ANCESTRAL3" dataDxfId="408" dataCellStyle="Normal 2"/>
    <tableColumn id="358" xr3:uid="{00000000-0010-0000-0000-000066010000}" name="TIPO DE SABEDOR3" dataDxfId="407" dataCellStyle="Normal 2"/>
    <tableColumn id="359" xr3:uid="{00000000-0010-0000-0000-000067010000}" name="NECESIDAD O DESARMONIA DESDE LO PROPIO 13" dataDxfId="406" dataCellStyle="Normal 2"/>
    <tableColumn id="360" xr3:uid="{00000000-0010-0000-0000-000068010000}" name="ACTIVIDAD O RITUALIDAD REALIZADA14" dataDxfId="405" dataCellStyle="Normal 2"/>
    <tableColumn id="361" xr3:uid="{00000000-0010-0000-0000-000069010000}" name="FECHA ACOMPAÑAMIENTO SABEDOR ANCESTRAL4" dataDxfId="404" dataCellStyle="Normal 2"/>
    <tableColumn id="109" xr3:uid="{00000000-0010-0000-0000-00006D000000}" name="TIPO DE SABEDOR4" dataDxfId="403" dataCellStyle="Normal 2"/>
    <tableColumn id="362" xr3:uid="{00000000-0010-0000-0000-00006A010000}" name="NECESIDAD O DESARMONIA DESDE LO PROPIO 14" dataDxfId="402" dataCellStyle="Normal 2"/>
    <tableColumn id="364" xr3:uid="{00000000-0010-0000-0000-00006C010000}" name="ACTIVIDAD O RITUALIDAD REALIZADA15" dataDxfId="401" dataCellStyle="Normal 2"/>
    <tableColumn id="365" xr3:uid="{00000000-0010-0000-0000-00006D010000}" name="FECHA ACOMPAÑAMIENTO SABEDOR ANCESTRAL5" dataDxfId="400" dataCellStyle="Normal 2"/>
    <tableColumn id="366" xr3:uid="{00000000-0010-0000-0000-00006E010000}" name="TIPO DE SABEDOR5" dataDxfId="399" dataCellStyle="Normal 2"/>
    <tableColumn id="367" xr3:uid="{00000000-0010-0000-0000-00006F010000}" name="NECESIDAD O DESARMONIA DESDE LO PROPIO 15" dataDxfId="398" dataCellStyle="Normal 2"/>
    <tableColumn id="369" xr3:uid="{00000000-0010-0000-0000-000071010000}" name="ACTIVIDAD O RITUALIDAD REALIZADA16" dataDxfId="397" dataCellStyle="Normal 2"/>
    <tableColumn id="370" xr3:uid="{00000000-0010-0000-0000-000072010000}" name="FECHA ACOMPAÑAMIENTO SABEDOR ANCESTRAL PUERPERIO Y RECIEN NACIDO" dataDxfId="396" dataCellStyle="Normal 2"/>
    <tableColumn id="371" xr3:uid="{00000000-0010-0000-0000-000073010000}" name="TIPO DE SABEDOR6" dataDxfId="395" dataCellStyle="Normal 2"/>
    <tableColumn id="372" xr3:uid="{00000000-0010-0000-0000-000074010000}" name="NECESIDAD O DESARMONIA DESDE LO PROPIO 16" dataDxfId="394" dataCellStyle="Normal 2"/>
    <tableColumn id="69" xr3:uid="{00000000-0010-0000-0000-000045000000}" name="ACTIVIDAD O RITUALIDAD REALIZADA 6" dataDxfId="393" dataCellStyle="Normal 2"/>
    <tableColumn id="374" xr3:uid="{00000000-0010-0000-0000-000076010000}" name="FECHA ACOMPAÑAMIENTO SABEDOR ANCESTRAL PUERPERIO Y RECIEN NACIDO2" dataDxfId="392" dataCellStyle="Normal 2"/>
    <tableColumn id="182" xr3:uid="{00000000-0010-0000-0000-0000B6000000}" name="TIPO DE SABEDOR7" dataDxfId="391" dataCellStyle="Normal 2"/>
    <tableColumn id="274" xr3:uid="{00000000-0010-0000-0000-000012010000}" name="NECESIDAD O DESARMONIA DESDE LO PROPIO 17" dataDxfId="390" dataCellStyle="Normal 2"/>
    <tableColumn id="292" xr3:uid="{00000000-0010-0000-0000-000024010000}" name="ACTIVIDAD O RITUALIDAD REALIZADA18" dataDxfId="389" dataCellStyle="Normal 2"/>
    <tableColumn id="323" xr3:uid="{00000000-0010-0000-0000-000043010000}" name="FECHA ACOMPAÑAMIENTO SABEDOR ANCESTRAL PUERPERIO Y RECIEN NACIDO22" dataDxfId="388" dataCellStyle="Normal 2"/>
    <tableColumn id="324" xr3:uid="{00000000-0010-0000-0000-000044010000}" name="TIPO DE SABEDOR73" dataDxfId="387" dataCellStyle="Normal 2"/>
    <tableColumn id="325" xr3:uid="{00000000-0010-0000-0000-000045010000}" name="NECESIDAD O DESARMONIA DESDE LO PROPIO 174" dataDxfId="386" dataCellStyle="Normal 2"/>
    <tableColumn id="326" xr3:uid="{00000000-0010-0000-0000-000046010000}" name="ACTIVIDAD O RITUALIDAD REALIZADA185" dataDxfId="385" dataCellStyle="Normal 2"/>
    <tableColumn id="327" xr3:uid="{00000000-0010-0000-0000-000047010000}" name="FECHA ACOMPAÑAMIENTO SABEDOR ANCESTRAL PUERPERIO Y RECIEN NACIDO222" dataDxfId="384" dataCellStyle="Normal 2"/>
    <tableColumn id="328" xr3:uid="{00000000-0010-0000-0000-000048010000}" name="TIPO DE SABEDOR733" dataDxfId="383" dataCellStyle="Normal 2"/>
    <tableColumn id="329" xr3:uid="{00000000-0010-0000-0000-000049010000}" name="NECESIDAD O DESARMONIA DESDE LO PROPIO 1744" dataDxfId="382" dataCellStyle="Normal 2"/>
    <tableColumn id="330" xr3:uid="{00000000-0010-0000-0000-00004A010000}" name="ACTIVIDAD O RITUALIDAD REALIZADA1855" dataDxfId="381" dataCellStyle="Normal 2"/>
    <tableColumn id="331" xr3:uid="{00000000-0010-0000-0000-00004B010000}" name="FECHA ACOMPAÑAMIENTO SABEDOR ANCESTRAL PUERPERIO Y RECIEN NACIDO2222" dataDxfId="380" dataCellStyle="Normal 2"/>
    <tableColumn id="375" xr3:uid="{00000000-0010-0000-0000-000077010000}" name="TIPO DE SABEDOR7333" dataDxfId="379" dataCellStyle="Normal 2"/>
    <tableColumn id="376" xr3:uid="{00000000-0010-0000-0000-000078010000}" name="NECESIDAD O DESARMONIA DESDE LO PROPIO 17444" dataDxfId="378" dataCellStyle="Normal 2"/>
    <tableColumn id="377" xr3:uid="{00000000-0010-0000-0000-000079010000}" name="ACTIVIDAD O RITUALIDAD REALIZADA18555" dataDxfId="377" dataCellStyle="Normal 2"/>
    <tableColumn id="383" xr3:uid="{00000000-0010-0000-0000-00007F010000}" name="TOTAL SEGUIMIENTOS POR PARTERA" dataDxfId="376">
      <calculatedColumnFormula>SUM(COUNTIF(LD2,"PARTERO (A)"),COUNTIF(LH2,"PARTERO (A)"),COUNTIF(LL2,"PARTERO (A)"),COUNTIF(LP2,"PARTERO (A)"),COUNTIF(LT2,"PARTERO (A)"),COUNTIF(LX2,"PARTERO (A)"),COUNTIF(MN2,"PARTERO (A)"))</calculatedColumnFormula>
    </tableColumn>
    <tableColumn id="384" xr3:uid="{00000000-0010-0000-0000-000080010000}" name="EDAD GESTACIONAL PRIMER ACOMPAÑAMIENTO SABEDOR ANCESTRAL">
      <calculatedColumnFormula>IF(AND(R2="",O2=""),"",IF(AND(OR(O2&gt;0,R2&gt;0),LC2&gt;0),SUM(LC2-BK2)/7,""))</calculatedColumnFormula>
    </tableColumn>
    <tableColumn id="387" xr3:uid="{00000000-0010-0000-0000-000083010000}" name="TRIMESTRE DE GESTACIÓN AL PRIMER SEGUIMIENTO POR SABEDOR">
      <calculatedColumnFormula>IF(AND(MR2="",BP2=""),"",IF(AND(MR2&lt;&gt;"",BP2="SIN DATO"),"SIN DATO",IF(AND(MR2="",BP2&lt;&gt;""),"",IF(AND(MR2&lt;0,BP2&gt;0),"ERROR FUM O INGRESO",IF(MR2&lt;=13,"I TRIM",IF(MR2&lt;28,"II TRIM",IF(AND(MR2&gt;27,MR2&lt;45),"III TRIM","POR DEFINIR")))))))</calculatedColumnFormula>
    </tableColumn>
    <tableColumn id="385" xr3:uid="{00000000-0010-0000-0000-000081010000}" name="TOTAL SEGUIMIENTOS POR MEDICINA TRADICIONAL">
      <calculatedColumnFormula>SUM(COUNTIF(LD2,"MEDICO (A) TRADICIONAL"),COUNTIF(LH2,"MEDICO (A) TRADICIONAL"),COUNTIF(LL2,"MEDICO (A) TRADICIONAL"),COUNTIF(LP2,"MEDICO (A) TRADICIONAL"),COUNTIF(LT2,"MEDICO (A) TRADICIONAL"),COUNTIF(LX2,"MEDICO (A) TRADICIONAL"),COUNTIF(MN2,"MEDICO (A) TRADICIONAL"))</calculatedColumnFormula>
    </tableColumn>
    <tableColumn id="393" xr3:uid="{00000000-0010-0000-0000-000089010000}" name="OPORTUNIDAD EN DIAS, INGRESO AL CONTROL PRENATAL DESDE EL MOMENDO DE LA IDENTIFICACIÓN">
      <calculatedColumnFormula>IF(AND(Tabla1[[#This Row],[FECHA DE IDENTIFICACION DE LA GESTANTE]]="",Tabla1[[#This Row],[FECHA CONSULTA PRIMERA VEZ PROGRAMA CPN ]]=""),"",IF(AND(Tabla1[[#This Row],[FECHA DE IDENTIFICACION DE LA GESTANTE]]&gt;0,Tabla1[[#This Row],[FECHA CONSULTA PRIMERA VEZ PROGRAMA CPN ]]=""),"SIN INGRESO CPN",IF(AND(Tabla1[[#This Row],[FECHA DE IDENTIFICACION DE LA GESTANTE]]="",Tabla1[[#This Row],[FECHA CONSULTA PRIMERA VEZ PROGRAMA CPN ]]&gt;0),"NO APLICA",SUM(Tabla1[[#This Row],[FECHA CONSULTA PRIMERA VEZ PROGRAMA CPN ]]-Tabla1[[#This Row],[FECHA DE IDENTIFICACION DE LA GESTANTE]]))))</calculatedColumnFormula>
    </tableColumn>
    <tableColumn id="394" xr3:uid="{00000000-0010-0000-0000-00008A010000}" name="EDAD GESTACIONAL AL MOMENTO DE LA IDENTIFICACIÓN">
      <calculatedColumnFormula>IF(AND(O2&gt;0,BK2&gt;0),SUM(O2-BK2)/7,"")</calculatedColumnFormula>
    </tableColumn>
    <tableColumn id="184" xr3:uid="{00000000-0010-0000-0000-0000B8000000}" name="MES2 INGRESO CPN">
      <calculatedColumnFormula>IF(R2&gt;0,MONTH(R2),"")</calculatedColumnFormula>
    </tableColumn>
    <tableColumn id="192" xr3:uid="{00000000-0010-0000-0000-0000C0000000}" name="AÑO3 INGRESO CPN">
      <calculatedColumnFormula>IF(R2&gt;0,YEAR(R2),"")</calculatedColumnFormula>
    </tableColumn>
    <tableColumn id="193" xr3:uid="{00000000-0010-0000-0000-0000C1000000}" name="TRIM DEL AÑOS4 INGRESO CPN">
      <calculatedColumnFormula>IF(AND(MW2&gt;=1,MW2&lt;=3),"I TRIMESTRE AÑO",IF(AND(MW2&gt;=4,MW2&lt;=6),"II TRIMESTRE AÑO",IF(AND(MW2&gt;=7,MW2&lt;=9),"III TRIMESTRE AÑO",IF(AND(MW2&gt;=10,MW2&lt;=12),"IV TRIMESTRE AÑO",""))))</calculatedColumnFormula>
    </tableColumn>
    <tableColumn id="197" xr3:uid="{00000000-0010-0000-0000-0000C5000000}" name="AÑOS AL INICIO5 CPN">
      <calculatedColumnFormula>IF(AND(M2&gt;0,R2&gt;0),DAYS360(M2,R2)/30.44/12,IF(AND(M2&gt;0,O2&gt;0,R2=""),DAYS360(M2,O2)/30.44/12,""))</calculatedColumnFormula>
    </tableColumn>
    <tableColumn id="198" xr3:uid="{00000000-0010-0000-0000-0000C6000000}" name="PUNTAJE ERBPS6 EDAD">
      <calculatedColumnFormula>IF(AND(MZ2&gt;7,MZ2&lt;14),2,IF(MZ2&lt;16,1,IF(MZ2&lt;=35,0,IF(AND(MZ2&gt;35,MZ2&lt;50),2,""))))</calculatedColumnFormula>
    </tableColumn>
    <tableColumn id="199" xr3:uid="{00000000-0010-0000-0000-0000C7000000}" name="RANGO DE EDAD INICIO7">
      <calculatedColumnFormula>+IF(MZ2="","",IF(MZ2&lt;14,"MENOR 14 AÑOS",IF(MZ2&lt;20,"DE 14 A 19AÑOS",IF(MZ2&lt;25," DE 20 A 24 AÑOS",IF(MZ2&lt;30," DE 25 A 29 AÑOS",IF(MZ2&lt;35," DE 30 A 34 AÑOS",IF(MZ2&lt;40," DE 35 A 39 AÑOS"," DE 40 Y MAS")))))))</calculatedColumnFormula>
    </tableColumn>
    <tableColumn id="211" xr3:uid="{00000000-0010-0000-0000-0000D3000000}" name="OBITO MUERTE PERINAT2">
      <calculatedColumnFormula>IF(AW2="SI",1,IF(AW2="NO",0,""))</calculatedColumnFormula>
    </tableColumn>
    <tableColumn id="213" xr3:uid="{00000000-0010-0000-0000-0000D5000000}" name="PARTOS23">
      <calculatedColumnFormula>IF(AS2="","",IF(AS2=0,1,IF(AND(AS2&gt;=1,AS2&lt;=4),0,IF(AS2&gt;=5,2,"X"))))</calculatedColumnFormula>
    </tableColumn>
    <tableColumn id="215" xr3:uid="{00000000-0010-0000-0000-0000D7000000}" name="CESAREAS34">
      <calculatedColumnFormula>IF(AV2="","",IF(AV2=0,0,IF(AV2=1,1,IF(OR(AV2=2,AV2="3 O MAS"),2,"X"))))</calculatedColumnFormula>
    </tableColumn>
    <tableColumn id="227" xr3:uid="{00000000-0010-0000-0000-0000E3000000}" name="EMB ECTOP CX UTER5">
      <calculatedColumnFormula>IF(AX2="SI",1,IF(AX2="NO",0,""))</calculatedColumnFormula>
    </tableColumn>
    <tableColumn id="80" xr3:uid="{00000000-0010-0000-0000-000050000000}" name="PUNTAJE ANEMIA RBPS">
      <calculatedColumnFormula>IF(OR(AND(EI2&gt;0,EI2&lt;11),AND(EN2&gt;0,EN2&lt;10.5)),1,"")</calculatedColumnFormula>
    </tableColumn>
    <tableColumn id="78" xr3:uid="{00000000-0010-0000-0000-00004E000000}" name="PUNTAJE EMBARAZO PROLONGADO RBPS2">
      <calculatedColumnFormula>IF(AND(AND(BQ2&gt;40.9,BQ2&lt;43),IW2=""),1,"")</calculatedColumnFormula>
    </tableColumn>
    <tableColumn id="82" xr3:uid="{00000000-0010-0000-0000-000052000000}" name="PUNTAJE VIH RBPS3">
      <calculatedColumnFormula>IF(AND(FY2="",GB2="",GE2="",GH2=""),"",IF(OR(OR(FY2="P.R REACTIVA",FY2="ELISA REACTIVA"),OR(GB2="P.R REACTIVA",GB2="ELISA REACTIVA"),OR(GE2="P.R REACTIVA",GE2="ELISA REACTIVA"),OR(GH2="P.R REACTIVA",GH2="ELISA REACTIVA")),3,""))</calculatedColumnFormula>
    </tableColumn>
    <tableColumn id="378" xr3:uid="{00000000-0010-0000-0000-00007A010000}" name="PUNTAJE PRESENTACIÓN RBPS4" dataDxfId="375">
      <calculatedColumnFormula>IF(BX2="","",IF(OR(BX2="CEFÁLICA",BX2="SD"),0,IF(OR(BX2="PODÁLICA",BX2="TRANSVERSA O DE FRENTE",BX2="OBLICUA"),3,"")))</calculatedColumnFormula>
    </tableColumn>
    <tableColumn id="379" xr3:uid="{00000000-0010-0000-0000-00007B010000}" name="PUNTAJE TAMIZAJE CHAGAS RBPS5" dataDxfId="374">
      <calculatedColumnFormula>IF(HD2="","",IF(HD2="POSITIVO",2,"0"))</calculatedColumnFormula>
    </tableColumn>
    <tableColumn id="380" xr3:uid="{00000000-0010-0000-0000-00007C010000}" name="PUNTAJE TAMIZAJE MALARIA RBPS6" dataDxfId="373">
      <calculatedColumnFormula>IF(AND(HF2="",HH2=""),"",IF(OR(HF2="POSITIVO",HH2="POSITIVO"),3,0))</calculatedColumnFormula>
    </tableColumn>
    <tableColumn id="231" xr3:uid="{00000000-0010-0000-0000-0000E7000000}" name="PUNTAJE TOTAL ERBPS2" dataDxfId="372">
      <calculatedColumnFormula>IF(AND(O2="",R2=""),"",IF(OR(O2&lt;&gt;"",R2&lt;&gt;""),SUM(COUNTIF(AL2:AP2,"SI"),COUNTIF(AU2,"SI"),COUNTIF(BF2,"SI"),COUNTIF(BI2,"SI"),SUM(COUNTIF(BA2:BC2,"SI")*3),SUM(COUNTIF(BV2:BW2,"SI")*3),SUM(COUNTIF(BH2,"SI")*3),SUM(COUNTIF(BG2,"SI")*2),SUM(COUNTIF(BY2,"SI")*2),SUM(COUNTIF(BE2,"SI")*2),SUM(COUNTIF(FB2,"DIABETES, REMITIR")*2),SUM(NC2:NL2),SUM(NA2),SUM(NP2),SUM(COUNTIF(EU2,"RIESGO DE INCOMPATIBILIDAD RH")*3),SUM(COUNTIF(FP2,"SIFILIS GESTACIONAL")*3)),""))</calculatedColumnFormula>
    </tableColumn>
    <tableColumn id="235" xr3:uid="{00000000-0010-0000-0000-0000EB000000}" name="PUNT. RIESGO MODERADO COMPL HIPERTENSIVAS2">
      <calculatedColumnFormula>IF(OR(O2&gt;0,R2&gt;0),SUM(COUNTIF(Tabla1[[#This Row],[AÑOS AL INICIO5 CPN]],"&gt;=40"),COUNTIF(AR2,"0"),COUNTIF(AQ2,"SI"),COUNTIF(BW2,"SI"),COUNTIF(BM2,"&gt;119"),COUNTIF(CC2,"&gt;=35")),"")</calculatedColumnFormula>
    </tableColumn>
    <tableColumn id="116" xr3:uid="{00000000-0010-0000-0000-000074000000}" name="EDAD GESTACIÓN DPT ACELULAR" dataDxfId="371">
      <calculatedColumnFormula>IF(AND(R2="",O2=""),"",IF(AND(OR(O2&gt;0,R2&gt;0),BK2=""),"SD",IF(AND(OR(O2&gt;0,R2&gt;0),IM2&gt;0),SUM(IM2-BK2)/7,"")))</calculatedColumnFormula>
    </tableColumn>
    <tableColumn id="17" xr3:uid="{00000000-0010-0000-0000-000011000000}" name="CUENTA RIESGO PSICOSOCIAL">
      <calculatedColumnFormula>IF(AND(AE2="",AF2="",AG2="",AH2="",AI2="",AJ2=""),"",SUM(SUM(COUNTIF(AE2,"NO")/2),COUNTIF(AF2,"NO"),SUM(COUNTIF(AG2,"SI")/2),COUNTIF(AH2,"SI"),SUM(COUNTIF(AJ2,"SI")*2),COUNTIF(AI2,"DESPLAZADA"),COUNTIF(AI2,"MIGRATORIA"),COUNTIF(AI2,"DISCAPACIDAD FISICA"),COUNTIF(AI2,"DISCAPACIDAD CONDUCTUAL"),COUNTIF(AI2,"DISCAPACIDAD VISUAL"),COUNTIF(AI2,"DISCAPACIDAD AUDITIVA"),COUNTIF(AI2,"DISCAPACIDAD MULTIPLE"),COUNTIF(AI2,"DISCAPACIDAD SISTEMICA")))</calculatedColumnFormula>
    </tableColumn>
    <tableColumn id="18" xr3:uid="{00000000-0010-0000-0000-000012000000}" name="DIAS GESTACION ECO 12">
      <calculatedColumnFormula>IF(BS2&gt;0,BS2*7,"")</calculatedColumnFormula>
    </tableColumn>
    <tableColumn id="86" xr3:uid="{00000000-0010-0000-0000-000056000000}" name="DIAS2 " dataDxfId="370">
      <calculatedColumnFormula>IF(Tabla1[[#This Row],[GESTANTES ACTUALES]]="","SD",IF(Tabla1[[#This Row],[GESTANTES ACTUALES]]="SEGUIMIENTO REPORTE EPS","Y",IF(Tabla1[[#This Row],[GESTANTES ACTUALES]]="SALE SIN INGRESO CPN","X",IF(AND(Tabla1[[#This Row],[CITA PROXIMO CONTROL]]="",Tabla1[[#This Row],[GESTANTES ACTUALES]]="ACTIVA SIN INGRESO CPN",P2="NO"),"Z",IF(AND(Tabla1[[#This Row],[CITA PROXIMO CONTROL]]="CITA MANUAL",Tabla1[[#This Row],[GESTANTES ACTUALES]]="ACTIVA INGRESO A CPN"),"W",IF(AND(Tabla1[[#This Row],[GESTANTES ACTUALES]]="SALIO PROGRAMA",IW2=""),"S",IF(AND(Tabla1[[#This Row],[CITA PROXIMO CONTROL]]&gt;0,IW2=""),(Tabla1[[#This Row],[CITA PROXIMO CONTROL]]-TODAY()),"SD")))))))</calculatedColumnFormula>
    </tableColumn>
    <tableColumn id="108" xr3:uid="{00000000-0010-0000-0000-00006C000000}" name="MES PARTO">
      <calculatedColumnFormula>MONTH(Tabla1[[#This Row],[FECHA DE SALIDA  DEL PROGRAMA]])</calculatedColumnFormula>
    </tableColumn>
    <tableColumn id="98" xr3:uid="{00000000-0010-0000-0000-000062000000}" name="AÑO PARTO">
      <calculatedColumnFormula>YEAR(Tabla1[[#This Row],[FECHA DE SALIDA  DEL PROGRAMA]])</calculatedColumnFormula>
    </tableColumn>
    <tableColumn id="88" xr3:uid="{00000000-0010-0000-0000-000058000000}" name="OPORTUNIDAD CONSULTA GINECOLOGÍA (DIAS)">
      <calculatedColumnFormula>IF(AND(O2&gt;0,R2=""),"NO CPN",IF(AND(O2="",R2=""),"",IF(AND(R2&gt;0,EF2&gt;0,EE2&gt;0),_xlfn.DAYS(EF2,EE2),IF(AND(R2&gt;0,EF2&gt;0,EE2=""),"NO CITA","X"))))</calculatedColumnFormula>
    </tableColumn>
    <tableColumn id="166" xr3:uid="{00000000-0010-0000-0000-0000A6000000}" name="GESTANTES CON RESULTADO DE EXAMENES DE INGRESO ">
      <calculatedColumnFormula>IF(AND(O2&gt;0,R2=""),"NO CPN",IF(AND(O2="",R2=""),"",IF(AND(EJ2&lt;&gt;"",ES2&lt;&gt;"",EW2&lt;&gt;"",FF2&lt;&gt;"",FU2&lt;&gt;"",FZ2&lt;&gt;"",GO2&lt;&gt;"",GQ2&lt;&gt;"",GR2&lt;&gt;""),"SI","NO")))</calculatedColumnFormula>
    </tableColumn>
    <tableColumn id="194" xr3:uid="{00000000-0010-0000-0000-0000C2000000}" name="GESTANTES CON RESULTADOS DE EXAMENES II TRIMESTRE">
      <calculatedColumnFormula>IF(AND(O2&gt;0,R2=""),"NO CPN",IF(AND(O2="",R2=""),"",IF(AND(R2&gt;0,Tabla1[[#This Row],[SEMANAS DE GESTACION ACTUALIZADAS]]&lt;=12),"NO APLICA",IF(AND(FC2&lt;&gt;"",FI2&lt;&gt;""),"SI","NO"))))</calculatedColumnFormula>
    </tableColumn>
    <tableColumn id="195" xr3:uid="{00000000-0010-0000-0000-0000C3000000}" name="GESTANTES CON RESULTADOS DE EXAMENES III TRIMESTRE2" dataDxfId="369">
      <calculatedColumnFormula>IF(AND(O2&gt;0,R2=""),"NO CPN",IF(AND(O2="",R2=""),"",IF(AND(R2&gt;0,Tabla1[[#This Row],[SEMANAS DE GESTACION ACTUALIZADAS]]&lt;=27),"NO APLICA",IF(AND(EO2&lt;&gt;"",FL2&lt;&gt;"",GF2&lt;&gt;""),"SI","NO"))))</calculatedColumnFormula>
    </tableColumn>
    <tableColumn id="334" xr3:uid="{00000000-0010-0000-0000-00004E010000}" name="CAPTACIÓN A SEMANA 10" dataDxfId="368" dataCellStyle="Normal 2">
      <calculatedColumnFormula>IF(AND(BO2="",IP2=""),"",IF(AND(BO2="",IP2="DEFINIR FPP POR ECO"),"SIN DATO",IF(BO2&lt;0,"ERROR FUM O INGRESO",IF(BL2="NO","DEFINIR CON ECO",IF(BO2&lt;10,"I TRIM",IF(BO2&lt;27,"II TRIM",IF(AND(BO2&gt;26,BO2&lt;45),"III TRIM","ERROR FUM O INGRESO")))))))</calculatedColumnFormula>
    </tableColumn>
    <tableColumn id="389" xr3:uid="{00000000-0010-0000-0000-000085010000}" name="Puntaje ROBSON" dataDxfId="367" dataCellStyle="Normal 2">
      <calculatedColumnFormula>IF(AND(IY3&gt;0,IY3&lt;37),10,IF(OR(BX3="Transversa",BX3="Oblicua"),9,IF(BW3="SI",8,IF(AND(AS3=0,AV3=0,BW3="NO",BX3="Cefálica",IY3&gt;=37,JC3="INICIO ESPONTÁNEO"),1,IF(AND(AND(AS3=0,AV3=0,BW3="NO",BX3="Cefálica",IY3&gt;=37),OR(JC3="LE HACEN INDUCCIÓN",JC3="LE HACEN CESÁREA SIN INICIO TRABAJO DE PARTO")),2,IF(AND(AS3&gt;=1,AV3=0,BW3="NO",BX3="Cefálica",IY3&gt;=37,JC3="INICIO ESPONTÁNEO"),3,IF(AND(AND(AS3&gt;=1,AV3=0,BW3="NO",BX3="Cefálica",IY3&gt;=37),OR(JC3="LE HACEN INDUCCIÓN",JC3="LE HACEN CESÁREA SIN INICIO TRABAJO DE PARTO")),4,IF(AND(AND(AS3&gt;=1,AV3&gt;=1,BW3="NO",BX3="Cefálica",IY3&gt;=37),OR(JC3="LE HACEN INDUCCIÓN",JC3="LE HACEN CESÁREA SIN INICIO TRABAJO DE PARTO",JC3="INICIO ESPONTÁNEO")),5,IF(AND(AND(AS3=0,AV3=0,BW3="NO",BX3="Podálica",IY3&gt;=1),OR(JC3="LE HACEN INDUCCIÓN",JC3="LE HACEN CESÁREA SIN INICIO TRABAJO DE PARTO",JC3="INICIO ESPONTÁNEO")),6,IF(AND(AND(AS3&gt;=1,BW3="NO",BX3="Podálica",IY3&gt;=1),OR(JC3="LE HACEN INDUCCIÓN",JC3="LE HACEN CESÁREA SIN INICIO TRABAJO DE PARTO",JC3="INICIO ESPONTÁNEO"),OR(AV3=0,AV3&gt;=1)),7,""))))))))))</calculatedColumnFormula>
    </tableColumn>
    <tableColumn id="390" xr3:uid="{00000000-0010-0000-0000-000086010000}" name="# DE TAMIZAJES VIH Y SIFILIS A TOMAR SEGÚN TRIM INICIO CPN Y SALIDA DEL PROGRAMA" dataDxfId="366" dataCellStyle="Normal 2">
      <calculatedColumnFormula>IF(AND(O2="",R2=""),"",IF(AND(BO2&gt;0,BO2&lt;12,IY2&gt;28,IY2&lt;44),3, IF(OR(AND(BO2&gt;=12,BO2&lt;28,IY2&gt;=28,IY2&lt;44),AND(BO2&gt;0,BO2&lt;12,IY2&gt;=12,IY2&lt;29)),2,IF(OR(AND(BO2&gt;=28,BO2&lt;44),AND(BO2&gt;0,BO2&lt;12,IY2&gt;0,IY2&lt;12),AND(BO2&gt;=12,BO2&lt;28,IY2&gt;=12,IY2&lt;28)),1,IF(AND(BO2&gt;0,BO2&lt;12,BQ2&gt;=28,BQ2&lt;44,DR2="ACTIVA INGRESO A CPN"),3,IF(OR(AND(BO2&gt;0,BO2&lt;12,BQ2&gt;=12,BQ2&lt;28,DR2="ACTIVA INGRESO A CPN"),AND(BO2&gt;=12,BO2&lt;28,BQ2&gt;=28,BQ2&lt;44,DR2="ACTIVA INGRESO A CPN")),2,IF(OR(AND(BO2&gt;0,BO2&lt;12,BQ2&gt;0,BQ2&lt;12,DR2="ACTIVA INGRESO A CPN"),AND(BO2&gt;=12,BO2&lt;28,BQ2&gt;=12,BQ2&lt;28,DR2="ACTIVA INGRESO A CPN")),1,"REVISAR FUM O FECHA SALIDA PROGRAMA")))))))</calculatedColumnFormula>
    </tableColumn>
    <tableColumn id="391" xr3:uid="{00000000-0010-0000-0000-000087010000}" name="# DE TAMIZAJES SIFILIS TOMADOS " dataDxfId="365" dataCellStyle="Normal 2">
      <calculatedColumnFormula>COUNT(FG2,FJ2,FM2,FO2)</calculatedColumnFormula>
    </tableColumn>
    <tableColumn id="392" xr3:uid="{00000000-0010-0000-0000-000088010000}" name="# DE TAMIZAJES VIH TOMADOS " dataDxfId="364" dataCellStyle="Normal 2">
      <calculatedColumnFormula>COUNT(GA2,GD2,GG2,GI2)</calculatedColumnFormula>
    </tableColumn>
    <tableColumn id="396" xr3:uid="{00000000-0010-0000-0000-00008C010000}" name="Alarma de apoyo Tamizaje Sífilis" dataDxfId="363" dataCellStyle="Normal 2">
      <calculatedColumnFormula>IF(OA2="","",IF(OA2="REVISAR FUM O FECHA SALIDA PROGRAMA","POR DEFINIR",IF(OR(OA2=OB2,OB2&gt;OA2),"COMPLETO",IF(OB2&lt;OA2,"INCOMPLETO",""))))</calculatedColumnFormula>
    </tableColumn>
    <tableColumn id="397" xr3:uid="{00000000-0010-0000-0000-00008D010000}" name="Alarma de apoyo Tamizaje VIH" dataDxfId="362" dataCellStyle="Normal 2">
      <calculatedColumnFormula>IF(OA2="","",IF(OA2="REVISAR FUM O FECHA SALIDA PROGRAMA","POR DEFINIR",IF(OR(OA2=OC2,OC2&gt;OA2),"COMPLETO",IF(OC2&lt;OA2,"INCOMPLETO",""))))</calculatedColumnFormula>
    </tableColumn>
    <tableColumn id="270" xr3:uid="{00000000-0010-0000-0000-00000E010000}" name="# DE MUJERES CON SUMINISTRO ADECUADO DE MICRONUTRIENTES" dataDxfId="361" dataCellStyle="Normal 2">
      <calculatedColumnFormula>IF(AND(O2="",R2=""),"",IF(OR(AND(Tabla1[[#This Row],[SUMINISTRO DE SULFATO FERROSO ]]="ADECUADO SEGÚN GPC",Tabla1[[#This Row],[SUMINISTRO CALCIO ]]="ADECUADO SEGÚN GPC",Tabla1[[#This Row],[SUMINISTRO DE ACIDO FOLICO ]]="ADECUADO SEGÚN GPC"),AND(Tabla1[[#This Row],[SUMINISTRO DE SULFATO FERROSO ]]="NO APLICA",Tabla1[[#This Row],[SUMINISTRO CALCIO ]]="ADECUADO SEGÚN GPC",Tabla1[[#This Row],[SUMINISTRO DE ACIDO FOLICO ]]="ADECUADO SEGÚN GPC"),AND(Tabla1[[#This Row],[SUMINISTRO DE SULFATO FERROSO ]]="ADECUADO SEGÚN GPC",Tabla1[[#This Row],[SUMINISTRO CALCIO ]]="NO APLICA",Tabla1[[#This Row],[SUMINISTRO DE ACIDO FOLICO ]]="ADECUADO SEGÚN GPC"),AND(Tabla1[[#This Row],[SUMINISTRO DE SULFATO FERROSO ]]="ADECUADO SEGÚN GPC",Tabla1[[#This Row],[SUMINISTRO CALCIO ]]="ADECUADO SEGÚN GPC",Tabla1[[#This Row],[SUMINISTRO DE ACIDO FOLICO ]]="NO APLICA"),AND(Tabla1[[#This Row],[SUMINISTRO DE SULFATO FERROSO ]]="NO APLICA",Tabla1[[#This Row],[SUMINISTRO CALCIO ]]="ADECUADO SEGÚN GPC",Tabla1[[#This Row],[SUMINISTRO DE ACIDO FOLICO ]]="NO APLICA"),AND(Tabla1[[#This Row],[SUMINISTRO DE SULFATO FERROSO ]]="NO APLICA",Tabla1[[#This Row],[SUMINISTRO CALCIO ]]="NO APLICA",Tabla1[[#This Row],[SUMINISTRO DE ACIDO FOLICO ]]="ADECUADO SEGÚN GPC"),AND(Tabla1[[#This Row],[SUMINISTRO DE SULFATO FERROSO ]]="ADECUADO SEGÚN GPC",Tabla1[[#This Row],[SUMINISTRO CALCIO ]]="NO APLICA",Tabla1[[#This Row],[SUMINISTRO DE ACIDO FOLICO ]]="NO APLICA"),AND(Tabla1[[#This Row],[SUMINISTRO DE SULFATO FERROSO ]]="NO APLICA",Tabla1[[#This Row],[SUMINISTRO CALCIO ]]="NO APLICA",Tabla1[[#This Row],[SUMINISTRO DE ACIDO FOLICO ]]="NO APLICA")),"COMPLETO","INCOMPLETO"))</calculatedColumnFormula>
    </tableColumn>
    <tableColumn id="395" xr3:uid="{00000000-0010-0000-0000-00008B010000}" name="Alarma apoyo DPT Acelular vacunadas" dataDxfId="360" dataCellStyle="Normal 2">
      <calculatedColumnFormula>IF(AND(O2="",R2=""),"",IF(OR(IN2="VACUNA APLICADA ENTRE SEMANA 20 Y SEMANA 26",IN2="VACUNA APLICADA ENTRE SEMANA 27 Y EL PARTO",IN2="VACUNA APLICADA ANTES SEMANA 20"),"VACUNADA","SIN VACUNAR"))</calculatedColumnFormula>
    </tableColumn>
  </tableColumns>
  <tableStyleInfo name="TableStyleLight21"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 Id="rId4"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D5"/>
  <sheetViews>
    <sheetView zoomScale="70" zoomScaleNormal="70" workbookViewId="0">
      <selection activeCell="C11" sqref="C11"/>
    </sheetView>
  </sheetViews>
  <sheetFormatPr baseColWidth="10" defaultRowHeight="15" x14ac:dyDescent="0.25"/>
  <cols>
    <col min="1" max="1" width="38.28515625" customWidth="1"/>
    <col min="2" max="3" width="30.7109375" customWidth="1"/>
    <col min="4" max="4" width="34.140625" customWidth="1"/>
    <col min="5" max="5" width="22.85546875" customWidth="1"/>
    <col min="6" max="6" width="22.7109375" customWidth="1"/>
    <col min="7" max="7" width="22.85546875" customWidth="1"/>
    <col min="8" max="8" width="23.28515625" customWidth="1"/>
    <col min="9" max="10" width="23" customWidth="1"/>
    <col min="11" max="11" width="23.28515625" customWidth="1"/>
    <col min="12" max="12" width="22.85546875" customWidth="1"/>
    <col min="13" max="13" width="22.5703125" customWidth="1"/>
    <col min="14" max="14" width="22.28515625" customWidth="1"/>
    <col min="15" max="15" width="23.140625" customWidth="1"/>
    <col min="16" max="16" width="27.42578125" customWidth="1"/>
    <col min="17" max="17" width="22.5703125" customWidth="1"/>
    <col min="18" max="18" width="23" customWidth="1"/>
    <col min="19" max="19" width="16" customWidth="1"/>
    <col min="20" max="20" width="16.5703125" customWidth="1"/>
    <col min="21" max="21" width="17" customWidth="1"/>
    <col min="22" max="22" width="18.85546875" customWidth="1"/>
    <col min="23" max="23" width="16.7109375" customWidth="1"/>
    <col min="24" max="24" width="17.7109375" customWidth="1"/>
    <col min="25" max="25" width="18.5703125" customWidth="1"/>
    <col min="26" max="26" width="15.7109375" customWidth="1"/>
    <col min="27" max="27" width="16.28515625" customWidth="1"/>
    <col min="28" max="28" width="17.5703125" customWidth="1"/>
    <col min="29" max="29" width="19.42578125" customWidth="1"/>
    <col min="30" max="30" width="22.42578125" customWidth="1"/>
    <col min="31" max="31" width="21.28515625" customWidth="1"/>
    <col min="32" max="32" width="28.85546875" customWidth="1"/>
    <col min="33" max="33" width="23.28515625" customWidth="1"/>
    <col min="34" max="34" width="27.140625" customWidth="1"/>
    <col min="35" max="35" width="23.140625" customWidth="1"/>
    <col min="36" max="36" width="16.140625" customWidth="1"/>
    <col min="37" max="37" width="18.85546875" customWidth="1"/>
    <col min="38" max="38" width="14.140625" customWidth="1"/>
    <col min="39" max="39" width="15.28515625" customWidth="1"/>
    <col min="40" max="40" width="14.5703125" customWidth="1"/>
    <col min="42" max="42" width="12" customWidth="1"/>
    <col min="43" max="43" width="14.28515625" customWidth="1"/>
    <col min="44" max="44" width="18.5703125" customWidth="1"/>
    <col min="45" max="45" width="17.42578125" customWidth="1"/>
    <col min="46" max="46" width="17.28515625" customWidth="1"/>
    <col min="47" max="47" width="16.42578125" customWidth="1"/>
    <col min="48" max="48" width="16" customWidth="1"/>
    <col min="49" max="49" width="21" customWidth="1"/>
    <col min="50" max="50" width="21.85546875" customWidth="1"/>
    <col min="51" max="51" width="17.7109375" customWidth="1"/>
    <col min="52" max="52" width="16.85546875" customWidth="1"/>
    <col min="53" max="53" width="16.28515625" customWidth="1"/>
    <col min="54" max="63" width="14.85546875" customWidth="1"/>
    <col min="64" max="64" width="19.28515625" customWidth="1"/>
    <col min="65" max="65" width="15.140625" customWidth="1"/>
    <col min="66" max="66" width="23.140625" customWidth="1"/>
    <col min="67" max="67" width="14.5703125" customWidth="1"/>
    <col min="68" max="68" width="14.28515625" customWidth="1"/>
    <col min="69" max="69" width="16.7109375" customWidth="1"/>
    <col min="70" max="70" width="15.28515625" customWidth="1"/>
    <col min="71" max="71" width="14.7109375" customWidth="1"/>
    <col min="74" max="74" width="21" customWidth="1"/>
    <col min="75" max="75" width="19.28515625" customWidth="1"/>
    <col min="76" max="76" width="36.140625" customWidth="1"/>
    <col min="77" max="77" width="25.7109375" customWidth="1"/>
    <col min="78" max="78" width="23.42578125" customWidth="1"/>
    <col min="80" max="80" width="22.28515625" customWidth="1"/>
    <col min="83" max="83" width="16" customWidth="1"/>
    <col min="84" max="84" width="13.85546875" customWidth="1"/>
    <col min="86" max="86" width="15.28515625" customWidth="1"/>
    <col min="87" max="87" width="20.42578125" customWidth="1"/>
    <col min="90" max="90" width="15.5703125" customWidth="1"/>
    <col min="91" max="91" width="18" customWidth="1"/>
    <col min="92" max="92" width="23.5703125" customWidth="1"/>
    <col min="93" max="93" width="23.42578125" customWidth="1"/>
    <col min="94" max="94" width="15" customWidth="1"/>
    <col min="95" max="95" width="15.85546875" customWidth="1"/>
    <col min="96" max="96" width="19.85546875" customWidth="1"/>
    <col min="97" max="97" width="14" customWidth="1"/>
    <col min="98" max="98" width="18.85546875" customWidth="1"/>
    <col min="99" max="99" width="25.140625" customWidth="1"/>
    <col min="104" max="104" width="19.5703125" customWidth="1"/>
    <col min="119" max="119" width="15.5703125" customWidth="1"/>
    <col min="120" max="120" width="17" customWidth="1"/>
    <col min="121" max="121" width="21.5703125" customWidth="1"/>
    <col min="122" max="122" width="15.7109375" customWidth="1"/>
    <col min="124" max="124" width="16.7109375" customWidth="1"/>
    <col min="136" max="136" width="16" customWidth="1"/>
    <col min="139" max="139" width="34.140625" customWidth="1"/>
    <col min="140" max="140" width="32.28515625" customWidth="1"/>
    <col min="141" max="141" width="19.140625" customWidth="1"/>
    <col min="142" max="142" width="21" customWidth="1"/>
    <col min="143" max="143" width="16.7109375" customWidth="1"/>
    <col min="148" max="148" width="26.140625" customWidth="1"/>
    <col min="149" max="149" width="14.42578125" customWidth="1"/>
    <col min="151" max="151" width="22" customWidth="1"/>
    <col min="154" max="154" width="15.7109375" customWidth="1"/>
    <col min="158" max="158" width="17.7109375" customWidth="1"/>
    <col min="160" max="160" width="18" customWidth="1"/>
    <col min="161" max="161" width="39.140625" customWidth="1"/>
    <col min="162" max="162" width="14.42578125" customWidth="1"/>
    <col min="163" max="163" width="48.28515625" customWidth="1"/>
    <col min="164" max="164" width="55.28515625" customWidth="1"/>
    <col min="166" max="166" width="53" customWidth="1"/>
    <col min="167" max="167" width="51.5703125" customWidth="1"/>
    <col min="169" max="169" width="55.85546875" customWidth="1"/>
    <col min="170" max="170" width="46.140625" customWidth="1"/>
    <col min="171" max="171" width="14.7109375" customWidth="1"/>
    <col min="172" max="172" width="17.85546875" customWidth="1"/>
    <col min="181" max="181" width="24.42578125" customWidth="1"/>
    <col min="183" max="183" width="44" customWidth="1"/>
    <col min="184" max="184" width="19.42578125" customWidth="1"/>
    <col min="186" max="186" width="51.28515625" customWidth="1"/>
    <col min="187" max="187" width="20.28515625" customWidth="1"/>
    <col min="189" max="189" width="56" customWidth="1"/>
    <col min="190" max="190" width="22" customWidth="1"/>
    <col min="191" max="191" width="15.5703125" customWidth="1"/>
    <col min="192" max="192" width="23.28515625" customWidth="1"/>
    <col min="193" max="193" width="17.42578125" customWidth="1"/>
    <col min="194" max="194" width="23" customWidth="1"/>
    <col min="195" max="195" width="18.5703125" customWidth="1"/>
    <col min="196" max="196" width="16.28515625" customWidth="1"/>
    <col min="197" max="197" width="15" customWidth="1"/>
    <col min="198" max="198" width="14" customWidth="1"/>
    <col min="199" max="199" width="16.140625" customWidth="1"/>
    <col min="200" max="200" width="18" customWidth="1"/>
    <col min="201" max="201" width="17.28515625" customWidth="1"/>
    <col min="202" max="202" width="16.7109375" customWidth="1"/>
    <col min="205" max="205" width="20.7109375" customWidth="1"/>
    <col min="206" max="206" width="15.85546875" customWidth="1"/>
    <col min="207" max="207" width="18.5703125" customWidth="1"/>
    <col min="212" max="212" width="17.85546875" customWidth="1"/>
    <col min="213" max="213" width="13.28515625" customWidth="1"/>
    <col min="214" max="214" width="13.5703125" customWidth="1"/>
    <col min="215" max="215" width="15.28515625" customWidth="1"/>
    <col min="216" max="216" width="15.85546875" customWidth="1"/>
    <col min="217" max="217" width="22.5703125" customWidth="1"/>
    <col min="218" max="218" width="24.42578125" customWidth="1"/>
    <col min="219" max="219" width="15.85546875" customWidth="1"/>
    <col min="220" max="220" width="24" customWidth="1"/>
    <col min="221" max="221" width="21.7109375" customWidth="1"/>
    <col min="222" max="222" width="24.5703125" customWidth="1"/>
    <col min="223" max="223" width="25" customWidth="1"/>
    <col min="224" max="224" width="24.28515625" customWidth="1"/>
    <col min="225" max="225" width="34.140625" customWidth="1"/>
    <col min="226" max="226" width="29" customWidth="1"/>
    <col min="227" max="227" width="18.28515625" customWidth="1"/>
    <col min="228" max="229" width="15.85546875" customWidth="1"/>
    <col min="230" max="230" width="47.7109375" customWidth="1"/>
    <col min="231" max="231" width="23.42578125" customWidth="1"/>
    <col min="232" max="232" width="48" customWidth="1"/>
    <col min="233" max="233" width="22" customWidth="1"/>
    <col min="234" max="234" width="43.28515625" customWidth="1"/>
    <col min="235" max="235" width="24.7109375" customWidth="1"/>
    <col min="236" max="236" width="17.85546875" customWidth="1"/>
    <col min="237" max="237" width="17.7109375" customWidth="1"/>
    <col min="238" max="238" width="20.42578125" customWidth="1"/>
    <col min="239" max="244" width="14.7109375" customWidth="1"/>
    <col min="245" max="245" width="33.85546875" customWidth="1"/>
    <col min="248" max="248" width="42.7109375" customWidth="1"/>
    <col min="249" max="249" width="19.5703125" customWidth="1"/>
    <col min="251" max="251" width="23.85546875" customWidth="1"/>
    <col min="252" max="252" width="19.7109375" customWidth="1"/>
    <col min="254" max="254" width="15.85546875" customWidth="1"/>
    <col min="255" max="255" width="39" customWidth="1"/>
    <col min="256" max="256" width="41.140625" customWidth="1"/>
    <col min="257" max="257" width="15.85546875" customWidth="1"/>
    <col min="258" max="258" width="17" customWidth="1"/>
    <col min="260" max="260" width="26" customWidth="1"/>
    <col min="261" max="261" width="19.5703125" customWidth="1"/>
    <col min="262" max="263" width="18" customWidth="1"/>
    <col min="264" max="264" width="32.28515625" customWidth="1"/>
    <col min="265" max="265" width="38" customWidth="1"/>
    <col min="266" max="266" width="38.7109375" customWidth="1"/>
    <col min="267" max="267" width="32.28515625" customWidth="1"/>
    <col min="268" max="268" width="40.85546875" customWidth="1"/>
    <col min="269" max="269" width="52.5703125" customWidth="1"/>
    <col min="270" max="270" width="24.42578125" customWidth="1"/>
    <col min="271" max="271" width="19.140625" customWidth="1"/>
    <col min="272" max="272" width="22.85546875" customWidth="1"/>
    <col min="274" max="274" width="15.140625" customWidth="1"/>
    <col min="296" max="296" width="27" customWidth="1"/>
    <col min="297" max="297" width="29.85546875" customWidth="1"/>
    <col min="298" max="298" width="23.140625" customWidth="1"/>
    <col min="299" max="299" width="18.42578125" customWidth="1"/>
    <col min="300" max="302" width="17.28515625" customWidth="1"/>
    <col min="303" max="303" width="13.85546875" customWidth="1"/>
    <col min="304" max="304" width="16.5703125" customWidth="1"/>
    <col min="305" max="305" width="21.7109375" customWidth="1"/>
    <col min="306" max="306" width="22.140625" customWidth="1"/>
    <col min="307" max="307" width="17.140625" customWidth="1"/>
    <col min="308" max="308" width="18.85546875" customWidth="1"/>
    <col min="309" max="309" width="27.85546875" customWidth="1"/>
    <col min="310" max="314" width="18.42578125" customWidth="1"/>
    <col min="315" max="315" width="15.5703125" customWidth="1"/>
    <col min="316" max="316" width="23.28515625" customWidth="1"/>
    <col min="317" max="317" width="19.5703125" customWidth="1"/>
    <col min="318" max="318" width="20.5703125" customWidth="1"/>
    <col min="319" max="319" width="17.85546875" customWidth="1"/>
    <col min="320" max="320" width="17.140625" customWidth="1"/>
    <col min="321" max="321" width="20.42578125" customWidth="1"/>
    <col min="322" max="322" width="18" customWidth="1"/>
    <col min="323" max="323" width="17.140625" customWidth="1"/>
    <col min="324" max="324" width="17.28515625" customWidth="1"/>
    <col min="335" max="335" width="20" customWidth="1"/>
    <col min="336" max="336" width="16.7109375" customWidth="1"/>
    <col min="337" max="337" width="19.7109375" customWidth="1"/>
    <col min="338" max="338" width="22.85546875" customWidth="1"/>
    <col min="339" max="339" width="19.85546875" customWidth="1"/>
    <col min="340" max="340" width="17.140625" customWidth="1"/>
    <col min="341" max="341" width="17" customWidth="1"/>
    <col min="342" max="342" width="19.140625" customWidth="1"/>
  </cols>
  <sheetData>
    <row r="1" spans="1:342" ht="45" customHeight="1" x14ac:dyDescent="0.25">
      <c r="A1" s="240" t="s">
        <v>475</v>
      </c>
      <c r="B1" s="240"/>
      <c r="C1" s="240"/>
      <c r="D1" s="240"/>
      <c r="E1" s="240"/>
      <c r="F1" s="240"/>
    </row>
    <row r="2" spans="1:342" ht="44.25" customHeight="1" x14ac:dyDescent="0.3">
      <c r="A2" s="241" t="s">
        <v>637</v>
      </c>
      <c r="B2" s="241"/>
      <c r="C2" s="241"/>
      <c r="D2" s="241"/>
      <c r="E2" s="241"/>
      <c r="F2" s="241"/>
    </row>
    <row r="3" spans="1:342" ht="44.25" customHeight="1" x14ac:dyDescent="0.3">
      <c r="A3" s="241" t="s">
        <v>531</v>
      </c>
      <c r="B3" s="241"/>
      <c r="C3" s="241"/>
      <c r="D3" s="241"/>
      <c r="E3" s="241"/>
      <c r="F3" s="241"/>
    </row>
    <row r="4" spans="1:342" ht="100.5" customHeight="1" thickBot="1" x14ac:dyDescent="0.3">
      <c r="A4" s="8" t="s">
        <v>638</v>
      </c>
      <c r="B4" s="8" t="s">
        <v>313</v>
      </c>
      <c r="C4" s="7" t="s">
        <v>32</v>
      </c>
      <c r="D4" s="177" t="s">
        <v>689</v>
      </c>
      <c r="E4" s="7" t="s">
        <v>102</v>
      </c>
      <c r="F4" s="7" t="s">
        <v>21</v>
      </c>
      <c r="G4" s="7" t="s">
        <v>0</v>
      </c>
      <c r="H4" s="7" t="s">
        <v>1</v>
      </c>
      <c r="I4" s="7" t="s">
        <v>2</v>
      </c>
      <c r="J4" s="7" t="s">
        <v>3</v>
      </c>
      <c r="K4" s="7" t="s">
        <v>19</v>
      </c>
      <c r="L4" s="7" t="s">
        <v>20</v>
      </c>
      <c r="M4" s="7" t="s">
        <v>4</v>
      </c>
      <c r="N4" s="21" t="s">
        <v>5</v>
      </c>
      <c r="O4" s="7" t="s">
        <v>47</v>
      </c>
      <c r="P4" s="21" t="s">
        <v>46</v>
      </c>
      <c r="Q4" s="7" t="s">
        <v>50</v>
      </c>
      <c r="R4" s="8" t="s">
        <v>172</v>
      </c>
      <c r="S4" s="7" t="s">
        <v>29</v>
      </c>
      <c r="T4" s="7" t="s">
        <v>6</v>
      </c>
      <c r="U4" s="7" t="s">
        <v>147</v>
      </c>
      <c r="V4" s="7" t="s">
        <v>7</v>
      </c>
      <c r="W4" s="7" t="s">
        <v>52</v>
      </c>
      <c r="X4" s="8" t="s">
        <v>199</v>
      </c>
      <c r="Y4" s="7" t="s">
        <v>49</v>
      </c>
      <c r="Z4" s="7" t="s">
        <v>8</v>
      </c>
      <c r="AA4" s="7" t="s">
        <v>25</v>
      </c>
      <c r="AB4" s="7" t="s">
        <v>31</v>
      </c>
      <c r="AC4" s="7" t="s">
        <v>9</v>
      </c>
      <c r="AD4" s="19" t="s">
        <v>379</v>
      </c>
      <c r="AE4" s="7" t="s">
        <v>151</v>
      </c>
      <c r="AF4" s="7" t="s">
        <v>10</v>
      </c>
      <c r="AG4" s="7" t="s">
        <v>26</v>
      </c>
      <c r="AH4" s="7" t="s">
        <v>150</v>
      </c>
      <c r="AI4" s="7" t="s">
        <v>30</v>
      </c>
      <c r="AJ4" s="7" t="s">
        <v>27</v>
      </c>
      <c r="AK4" s="21" t="s">
        <v>53</v>
      </c>
      <c r="AL4" s="81" t="s">
        <v>479</v>
      </c>
      <c r="AM4" s="81" t="s">
        <v>480</v>
      </c>
      <c r="AN4" s="81" t="s">
        <v>481</v>
      </c>
      <c r="AO4" s="81" t="s">
        <v>482</v>
      </c>
      <c r="AP4" s="81" t="s">
        <v>483</v>
      </c>
      <c r="AQ4" s="81" t="s">
        <v>484</v>
      </c>
      <c r="AR4" s="81" t="s">
        <v>123</v>
      </c>
      <c r="AS4" s="81" t="s">
        <v>485</v>
      </c>
      <c r="AT4" s="81" t="s">
        <v>486</v>
      </c>
      <c r="AU4" s="81" t="s">
        <v>148</v>
      </c>
      <c r="AV4" s="81" t="s">
        <v>500</v>
      </c>
      <c r="AW4" s="81" t="s">
        <v>487</v>
      </c>
      <c r="AX4" s="81" t="s">
        <v>488</v>
      </c>
      <c r="AY4" s="81" t="s">
        <v>489</v>
      </c>
      <c r="AZ4" s="81" t="s">
        <v>490</v>
      </c>
      <c r="BA4" s="7" t="s">
        <v>153</v>
      </c>
      <c r="BB4" s="7" t="s">
        <v>154</v>
      </c>
      <c r="BC4" s="7" t="s">
        <v>155</v>
      </c>
      <c r="BD4" s="7" t="s">
        <v>156</v>
      </c>
      <c r="BE4" s="8" t="s">
        <v>168</v>
      </c>
      <c r="BF4" s="7" t="s">
        <v>167</v>
      </c>
      <c r="BG4" s="7" t="s">
        <v>159</v>
      </c>
      <c r="BH4" s="7" t="s">
        <v>160</v>
      </c>
      <c r="BI4" s="8" t="s">
        <v>158</v>
      </c>
      <c r="BJ4" s="80" t="s">
        <v>360</v>
      </c>
      <c r="BK4" s="7" t="s">
        <v>54</v>
      </c>
      <c r="BL4" s="7" t="s">
        <v>40</v>
      </c>
      <c r="BM4" s="21" t="s">
        <v>35</v>
      </c>
      <c r="BN4" s="21" t="s">
        <v>57</v>
      </c>
      <c r="BO4" s="21" t="s">
        <v>11</v>
      </c>
      <c r="BP4" s="21" t="s">
        <v>12</v>
      </c>
      <c r="BQ4" s="21" t="s">
        <v>13</v>
      </c>
      <c r="BR4" s="7" t="s">
        <v>55</v>
      </c>
      <c r="BS4" s="7" t="s">
        <v>56</v>
      </c>
      <c r="BT4" s="7" t="s">
        <v>58</v>
      </c>
      <c r="BU4" s="7" t="s">
        <v>59</v>
      </c>
      <c r="BV4" s="7" t="s">
        <v>161</v>
      </c>
      <c r="BW4" s="8" t="s">
        <v>215</v>
      </c>
      <c r="BX4" s="178" t="s">
        <v>739</v>
      </c>
      <c r="BY4" s="7" t="s">
        <v>157</v>
      </c>
      <c r="BZ4" s="7" t="s">
        <v>121</v>
      </c>
      <c r="CA4" s="8" t="s">
        <v>45</v>
      </c>
      <c r="CB4" s="7" t="s">
        <v>122</v>
      </c>
      <c r="CC4" s="21" t="s">
        <v>17</v>
      </c>
      <c r="CD4" s="21" t="s">
        <v>60</v>
      </c>
      <c r="CE4" s="19" t="s">
        <v>61</v>
      </c>
      <c r="CF4" s="19" t="s">
        <v>514</v>
      </c>
      <c r="CG4" s="21" t="s">
        <v>506</v>
      </c>
      <c r="CH4" s="21" t="s">
        <v>505</v>
      </c>
      <c r="CI4" s="21" t="s">
        <v>507</v>
      </c>
      <c r="CJ4" s="80" t="s">
        <v>62</v>
      </c>
      <c r="CK4" s="19" t="s">
        <v>515</v>
      </c>
      <c r="CL4" s="21" t="s">
        <v>508</v>
      </c>
      <c r="CM4" s="21" t="s">
        <v>509</v>
      </c>
      <c r="CN4" s="21" t="s">
        <v>510</v>
      </c>
      <c r="CO4" s="21" t="s">
        <v>511</v>
      </c>
      <c r="CP4" s="7" t="s">
        <v>134</v>
      </c>
      <c r="CQ4" s="7" t="s">
        <v>135</v>
      </c>
      <c r="CR4" s="21" t="s">
        <v>149</v>
      </c>
      <c r="CS4" s="7" t="s">
        <v>165</v>
      </c>
      <c r="CT4" s="7" t="s">
        <v>166</v>
      </c>
      <c r="CU4" s="21" t="s">
        <v>173</v>
      </c>
      <c r="CV4" s="7" t="s">
        <v>141</v>
      </c>
      <c r="CW4" s="7" t="s">
        <v>146</v>
      </c>
      <c r="CX4" s="7" t="s">
        <v>142</v>
      </c>
      <c r="CY4" s="7" t="s">
        <v>143</v>
      </c>
      <c r="CZ4" s="21" t="s">
        <v>174</v>
      </c>
      <c r="DA4" s="19" t="s">
        <v>357</v>
      </c>
      <c r="DB4" s="19" t="s">
        <v>358</v>
      </c>
      <c r="DC4" s="20" t="s">
        <v>63</v>
      </c>
      <c r="DD4" s="20" t="s">
        <v>64</v>
      </c>
      <c r="DE4" s="20" t="s">
        <v>65</v>
      </c>
      <c r="DF4" s="20" t="s">
        <v>66</v>
      </c>
      <c r="DG4" s="20" t="s">
        <v>67</v>
      </c>
      <c r="DH4" s="20" t="s">
        <v>68</v>
      </c>
      <c r="DI4" s="20" t="s">
        <v>69</v>
      </c>
      <c r="DJ4" s="20" t="s">
        <v>70</v>
      </c>
      <c r="DK4" s="20" t="s">
        <v>71</v>
      </c>
      <c r="DL4" s="20" t="s">
        <v>72</v>
      </c>
      <c r="DM4" s="20" t="s">
        <v>325</v>
      </c>
      <c r="DN4" s="20" t="s">
        <v>644</v>
      </c>
      <c r="DO4" s="179" t="s">
        <v>684</v>
      </c>
      <c r="DP4" s="179" t="s">
        <v>708</v>
      </c>
      <c r="DQ4" s="180" t="s">
        <v>685</v>
      </c>
      <c r="DR4" s="21" t="s">
        <v>48</v>
      </c>
      <c r="DS4" s="21" t="s">
        <v>22</v>
      </c>
      <c r="DT4" s="21" t="s">
        <v>326</v>
      </c>
      <c r="DU4" s="21" t="s">
        <v>291</v>
      </c>
      <c r="DV4" s="21" t="s">
        <v>292</v>
      </c>
      <c r="DW4" s="21" t="s">
        <v>43</v>
      </c>
      <c r="DX4" s="21" t="s">
        <v>33</v>
      </c>
      <c r="DY4" s="21" t="s">
        <v>51</v>
      </c>
      <c r="DZ4" s="21" t="s">
        <v>73</v>
      </c>
      <c r="EA4" s="7" t="s">
        <v>74</v>
      </c>
      <c r="EB4" s="7" t="s">
        <v>75</v>
      </c>
      <c r="EC4" s="10" t="s">
        <v>76</v>
      </c>
      <c r="ED4" s="7" t="s">
        <v>77</v>
      </c>
      <c r="EE4" s="7" t="s">
        <v>78</v>
      </c>
      <c r="EF4" s="82" t="s">
        <v>351</v>
      </c>
      <c r="EG4" s="7" t="s">
        <v>125</v>
      </c>
      <c r="EH4" s="7" t="s">
        <v>124</v>
      </c>
      <c r="EI4" s="83" t="s">
        <v>103</v>
      </c>
      <c r="EJ4" s="80" t="s">
        <v>79</v>
      </c>
      <c r="EK4" s="21" t="s">
        <v>80</v>
      </c>
      <c r="EL4" s="21" t="s">
        <v>126</v>
      </c>
      <c r="EM4" s="21" t="s">
        <v>169</v>
      </c>
      <c r="EN4" s="83" t="s">
        <v>104</v>
      </c>
      <c r="EO4" s="19" t="s">
        <v>109</v>
      </c>
      <c r="EP4" s="21" t="s">
        <v>108</v>
      </c>
      <c r="EQ4" s="21" t="s">
        <v>162</v>
      </c>
      <c r="ER4" s="83" t="s">
        <v>127</v>
      </c>
      <c r="ES4" s="80" t="s">
        <v>128</v>
      </c>
      <c r="ET4" s="21" t="s">
        <v>129</v>
      </c>
      <c r="EU4" s="21" t="s">
        <v>130</v>
      </c>
      <c r="EV4" s="83" t="s">
        <v>371</v>
      </c>
      <c r="EW4" s="80" t="s">
        <v>152</v>
      </c>
      <c r="EX4" s="21" t="s">
        <v>171</v>
      </c>
      <c r="EY4" s="19" t="s">
        <v>110</v>
      </c>
      <c r="EZ4" s="19" t="s">
        <v>111</v>
      </c>
      <c r="FA4" s="19" t="s">
        <v>112</v>
      </c>
      <c r="FB4" s="21" t="s">
        <v>107</v>
      </c>
      <c r="FC4" s="19" t="s">
        <v>113</v>
      </c>
      <c r="FD4" s="21" t="s">
        <v>139</v>
      </c>
      <c r="FE4" s="83" t="s">
        <v>686</v>
      </c>
      <c r="FF4" s="80" t="s">
        <v>709</v>
      </c>
      <c r="FG4" s="21" t="s">
        <v>690</v>
      </c>
      <c r="FH4" s="83" t="s">
        <v>470</v>
      </c>
      <c r="FI4" s="19" t="s">
        <v>114</v>
      </c>
      <c r="FJ4" s="181" t="s">
        <v>691</v>
      </c>
      <c r="FK4" s="83" t="s">
        <v>471</v>
      </c>
      <c r="FL4" s="19" t="s">
        <v>115</v>
      </c>
      <c r="FM4" s="181" t="s">
        <v>692</v>
      </c>
      <c r="FN4" s="83" t="s">
        <v>472</v>
      </c>
      <c r="FO4" s="19" t="s">
        <v>116</v>
      </c>
      <c r="FP4" s="21" t="s">
        <v>136</v>
      </c>
      <c r="FQ4" s="19" t="s">
        <v>140</v>
      </c>
      <c r="FR4" s="19" t="s">
        <v>137</v>
      </c>
      <c r="FS4" s="21" t="s">
        <v>138</v>
      </c>
      <c r="FT4" s="83" t="s">
        <v>81</v>
      </c>
      <c r="FU4" s="19" t="s">
        <v>82</v>
      </c>
      <c r="FV4" s="21" t="s">
        <v>83</v>
      </c>
      <c r="FW4" s="19" t="s">
        <v>362</v>
      </c>
      <c r="FX4" s="19" t="s">
        <v>366</v>
      </c>
      <c r="FY4" s="83" t="s">
        <v>687</v>
      </c>
      <c r="FZ4" s="84" t="s">
        <v>710</v>
      </c>
      <c r="GA4" s="181" t="s">
        <v>694</v>
      </c>
      <c r="GB4" s="83" t="s">
        <v>340</v>
      </c>
      <c r="GC4" s="84" t="s">
        <v>341</v>
      </c>
      <c r="GD4" s="181" t="s">
        <v>695</v>
      </c>
      <c r="GE4" s="83" t="s">
        <v>367</v>
      </c>
      <c r="GF4" s="19" t="s">
        <v>548</v>
      </c>
      <c r="GG4" s="181" t="s">
        <v>696</v>
      </c>
      <c r="GH4" s="83" t="s">
        <v>469</v>
      </c>
      <c r="GI4" s="19" t="s">
        <v>384</v>
      </c>
      <c r="GJ4" s="85" t="s">
        <v>342</v>
      </c>
      <c r="GK4" s="19" t="s">
        <v>344</v>
      </c>
      <c r="GL4" s="85" t="s">
        <v>345</v>
      </c>
      <c r="GM4" s="19" t="s">
        <v>346</v>
      </c>
      <c r="GN4" s="83" t="s">
        <v>84</v>
      </c>
      <c r="GO4" s="80" t="s">
        <v>85</v>
      </c>
      <c r="GP4" s="21" t="s">
        <v>163</v>
      </c>
      <c r="GQ4" s="83" t="s">
        <v>86</v>
      </c>
      <c r="GR4" s="83" t="s">
        <v>88</v>
      </c>
      <c r="GS4" s="21" t="s">
        <v>119</v>
      </c>
      <c r="GT4" s="80" t="s">
        <v>87</v>
      </c>
      <c r="GU4" s="21" t="s">
        <v>164</v>
      </c>
      <c r="GV4" s="21" t="s">
        <v>170</v>
      </c>
      <c r="GW4" s="19" t="s">
        <v>284</v>
      </c>
      <c r="GX4" s="19" t="s">
        <v>120</v>
      </c>
      <c r="GY4" s="19" t="s">
        <v>24</v>
      </c>
      <c r="GZ4" s="19" t="s">
        <v>343</v>
      </c>
      <c r="HA4" s="21" t="s">
        <v>37</v>
      </c>
      <c r="HB4" s="21" t="s">
        <v>38</v>
      </c>
      <c r="HC4" s="21" t="s">
        <v>36</v>
      </c>
      <c r="HD4" s="182" t="s">
        <v>697</v>
      </c>
      <c r="HE4" s="177" t="s">
        <v>698</v>
      </c>
      <c r="HF4" s="182" t="s">
        <v>699</v>
      </c>
      <c r="HG4" s="177" t="s">
        <v>700</v>
      </c>
      <c r="HH4" s="182" t="s">
        <v>701</v>
      </c>
      <c r="HI4" s="177" t="s">
        <v>711</v>
      </c>
      <c r="HJ4" s="177" t="s">
        <v>669</v>
      </c>
      <c r="HK4" s="21" t="s">
        <v>320</v>
      </c>
      <c r="HL4" s="21" t="s">
        <v>385</v>
      </c>
      <c r="HM4" s="21" t="s">
        <v>380</v>
      </c>
      <c r="HN4" s="21" t="s">
        <v>369</v>
      </c>
      <c r="HO4" s="21" t="s">
        <v>323</v>
      </c>
      <c r="HP4" s="21" t="s">
        <v>368</v>
      </c>
      <c r="HQ4" s="21" t="s">
        <v>376</v>
      </c>
      <c r="HR4" s="21" t="s">
        <v>375</v>
      </c>
      <c r="HS4" s="86" t="s">
        <v>397</v>
      </c>
      <c r="HT4" s="19" t="s">
        <v>324</v>
      </c>
      <c r="HU4" s="19" t="s">
        <v>627</v>
      </c>
      <c r="HV4" s="19" t="s">
        <v>294</v>
      </c>
      <c r="HW4" s="19" t="s">
        <v>628</v>
      </c>
      <c r="HX4" s="19" t="s">
        <v>293</v>
      </c>
      <c r="HY4" s="19" t="s">
        <v>629</v>
      </c>
      <c r="HZ4" s="19" t="s">
        <v>299</v>
      </c>
      <c r="IA4" s="19" t="s">
        <v>570</v>
      </c>
      <c r="IB4" s="7" t="s">
        <v>34</v>
      </c>
      <c r="IC4" s="21" t="s">
        <v>14</v>
      </c>
      <c r="ID4" s="19" t="s">
        <v>769</v>
      </c>
      <c r="IE4" s="183" t="s">
        <v>680</v>
      </c>
      <c r="IF4" s="19" t="s">
        <v>671</v>
      </c>
      <c r="IG4" s="183" t="s">
        <v>682</v>
      </c>
      <c r="IH4" s="19" t="s">
        <v>672</v>
      </c>
      <c r="II4" s="183" t="s">
        <v>683</v>
      </c>
      <c r="IJ4" s="19" t="s">
        <v>681</v>
      </c>
      <c r="IK4" s="159" t="s">
        <v>673</v>
      </c>
      <c r="IL4" s="8" t="s">
        <v>117</v>
      </c>
      <c r="IM4" s="7" t="s">
        <v>118</v>
      </c>
      <c r="IN4" s="21" t="s">
        <v>364</v>
      </c>
      <c r="IO4" s="8" t="s">
        <v>573</v>
      </c>
      <c r="IP4" s="21" t="s">
        <v>374</v>
      </c>
      <c r="IQ4" s="60" t="s">
        <v>372</v>
      </c>
      <c r="IR4" s="21" t="s">
        <v>373</v>
      </c>
      <c r="IS4" s="89" t="s">
        <v>285</v>
      </c>
      <c r="IT4" s="89" t="s">
        <v>23</v>
      </c>
      <c r="IU4" s="229" t="s">
        <v>764</v>
      </c>
      <c r="IV4" s="229" t="s">
        <v>765</v>
      </c>
      <c r="IW4" s="89" t="s">
        <v>28</v>
      </c>
      <c r="IX4" s="89" t="s">
        <v>583</v>
      </c>
      <c r="IY4" s="9" t="s">
        <v>89</v>
      </c>
      <c r="IZ4" s="89" t="s">
        <v>585</v>
      </c>
      <c r="JA4" s="89" t="s">
        <v>459</v>
      </c>
      <c r="JB4" s="89" t="s">
        <v>16</v>
      </c>
      <c r="JC4" s="89" t="s">
        <v>703</v>
      </c>
      <c r="JD4" s="86" t="s">
        <v>353</v>
      </c>
      <c r="JE4" s="86" t="s">
        <v>355</v>
      </c>
      <c r="JF4" s="86" t="s">
        <v>354</v>
      </c>
      <c r="JG4" s="86" t="s">
        <v>393</v>
      </c>
      <c r="JH4" s="86" t="s">
        <v>394</v>
      </c>
      <c r="JI4" s="86" t="s">
        <v>356</v>
      </c>
      <c r="JJ4" s="7" t="s">
        <v>145</v>
      </c>
      <c r="JK4" s="7" t="s">
        <v>39</v>
      </c>
      <c r="JL4" s="7" t="s">
        <v>90</v>
      </c>
      <c r="JM4" s="8" t="s">
        <v>179</v>
      </c>
      <c r="JN4" s="9" t="s">
        <v>44</v>
      </c>
      <c r="JO4" s="8" t="s">
        <v>596</v>
      </c>
      <c r="JP4" s="7" t="s">
        <v>91</v>
      </c>
      <c r="JQ4" s="7" t="s">
        <v>92</v>
      </c>
      <c r="JR4" s="7" t="s">
        <v>41</v>
      </c>
      <c r="JS4" s="7" t="s">
        <v>42</v>
      </c>
      <c r="JT4" s="7" t="s">
        <v>131</v>
      </c>
      <c r="JU4" s="7" t="s">
        <v>105</v>
      </c>
      <c r="JV4" s="7" t="s">
        <v>93</v>
      </c>
      <c r="JW4" s="8" t="s">
        <v>178</v>
      </c>
      <c r="JX4" s="9" t="s">
        <v>94</v>
      </c>
      <c r="JY4" s="7" t="s">
        <v>95</v>
      </c>
      <c r="JZ4" s="7" t="s">
        <v>96</v>
      </c>
      <c r="KA4" s="7" t="s">
        <v>97</v>
      </c>
      <c r="KB4" s="7" t="s">
        <v>98</v>
      </c>
      <c r="KC4" s="7" t="s">
        <v>99</v>
      </c>
      <c r="KD4" s="7" t="s">
        <v>132</v>
      </c>
      <c r="KE4" s="7" t="s">
        <v>106</v>
      </c>
      <c r="KF4" s="10" t="s">
        <v>100</v>
      </c>
      <c r="KG4" s="9" t="s">
        <v>176</v>
      </c>
      <c r="KH4" s="7" t="s">
        <v>101</v>
      </c>
      <c r="KI4" s="9" t="s">
        <v>177</v>
      </c>
      <c r="KJ4" s="86" t="s">
        <v>458</v>
      </c>
      <c r="KK4" s="86" t="s">
        <v>395</v>
      </c>
      <c r="KL4" s="86" t="s">
        <v>396</v>
      </c>
      <c r="KM4" s="7" t="s">
        <v>144</v>
      </c>
      <c r="KN4" s="7" t="s">
        <v>133</v>
      </c>
      <c r="KO4" s="101" t="s">
        <v>634</v>
      </c>
      <c r="KP4" s="81" t="s">
        <v>635</v>
      </c>
      <c r="KQ4" s="90" t="s">
        <v>386</v>
      </c>
      <c r="KR4" s="90" t="s">
        <v>377</v>
      </c>
      <c r="KS4" s="90" t="s">
        <v>378</v>
      </c>
      <c r="KT4" s="90" t="s">
        <v>387</v>
      </c>
      <c r="KU4" s="97" t="s">
        <v>630</v>
      </c>
      <c r="KV4" s="97" t="s">
        <v>631</v>
      </c>
      <c r="KW4" s="97" t="s">
        <v>632</v>
      </c>
      <c r="KX4" s="91" t="s">
        <v>606</v>
      </c>
      <c r="KY4" s="91" t="s">
        <v>389</v>
      </c>
      <c r="KZ4" s="91" t="s">
        <v>391</v>
      </c>
      <c r="LA4" s="91" t="s">
        <v>390</v>
      </c>
      <c r="LB4" s="91" t="s">
        <v>388</v>
      </c>
      <c r="LC4" s="92" t="s">
        <v>300</v>
      </c>
      <c r="LD4" s="92" t="s">
        <v>298</v>
      </c>
      <c r="LE4" s="93" t="s">
        <v>297</v>
      </c>
      <c r="LF4" s="92" t="s">
        <v>329</v>
      </c>
      <c r="LG4" s="94" t="s">
        <v>302</v>
      </c>
      <c r="LH4" s="94" t="s">
        <v>303</v>
      </c>
      <c r="LI4" s="93" t="s">
        <v>328</v>
      </c>
      <c r="LJ4" s="94" t="s">
        <v>330</v>
      </c>
      <c r="LK4" s="92" t="s">
        <v>304</v>
      </c>
      <c r="LL4" s="92" t="s">
        <v>301</v>
      </c>
      <c r="LM4" s="93" t="s">
        <v>331</v>
      </c>
      <c r="LN4" s="92" t="s">
        <v>332</v>
      </c>
      <c r="LO4" s="94" t="s">
        <v>305</v>
      </c>
      <c r="LP4" s="94" t="s">
        <v>306</v>
      </c>
      <c r="LQ4" s="93" t="s">
        <v>333</v>
      </c>
      <c r="LR4" s="94" t="s">
        <v>334</v>
      </c>
      <c r="LS4" s="92" t="s">
        <v>307</v>
      </c>
      <c r="LT4" s="92" t="s">
        <v>308</v>
      </c>
      <c r="LU4" s="93" t="s">
        <v>335</v>
      </c>
      <c r="LV4" s="92" t="s">
        <v>336</v>
      </c>
      <c r="LW4" s="95" t="s">
        <v>327</v>
      </c>
      <c r="LX4" s="95" t="s">
        <v>309</v>
      </c>
      <c r="LY4" s="93" t="s">
        <v>337</v>
      </c>
      <c r="LZ4" s="95" t="s">
        <v>310</v>
      </c>
      <c r="MA4" s="95" t="s">
        <v>370</v>
      </c>
      <c r="MB4" s="95" t="s">
        <v>311</v>
      </c>
      <c r="MC4" s="93" t="s">
        <v>338</v>
      </c>
      <c r="MD4" s="95" t="s">
        <v>339</v>
      </c>
    </row>
    <row r="5" spans="1:342" ht="347.25" customHeight="1" x14ac:dyDescent="0.25">
      <c r="A5" s="11" t="s">
        <v>473</v>
      </c>
      <c r="B5" s="11" t="s">
        <v>474</v>
      </c>
      <c r="C5" s="11" t="s">
        <v>476</v>
      </c>
      <c r="D5" s="11" t="s">
        <v>732</v>
      </c>
      <c r="E5" s="11" t="s">
        <v>180</v>
      </c>
      <c r="F5" s="11" t="s">
        <v>181</v>
      </c>
      <c r="G5" s="11" t="s">
        <v>182</v>
      </c>
      <c r="H5" s="11" t="s">
        <v>183</v>
      </c>
      <c r="I5" s="12" t="s">
        <v>184</v>
      </c>
      <c r="J5" s="13" t="s">
        <v>185</v>
      </c>
      <c r="K5" s="14" t="s">
        <v>186</v>
      </c>
      <c r="L5" s="11" t="s">
        <v>187</v>
      </c>
      <c r="M5" s="11" t="s">
        <v>190</v>
      </c>
      <c r="N5" s="14" t="s">
        <v>188</v>
      </c>
      <c r="O5" s="11" t="s">
        <v>189</v>
      </c>
      <c r="P5" s="11" t="s">
        <v>209</v>
      </c>
      <c r="Q5" s="11" t="s">
        <v>670</v>
      </c>
      <c r="R5" s="11" t="s">
        <v>532</v>
      </c>
      <c r="S5" s="11" t="s">
        <v>191</v>
      </c>
      <c r="T5" s="11" t="s">
        <v>192</v>
      </c>
      <c r="U5" s="11" t="s">
        <v>193</v>
      </c>
      <c r="V5" s="11" t="s">
        <v>194</v>
      </c>
      <c r="W5" s="11" t="s">
        <v>195</v>
      </c>
      <c r="X5" s="11" t="s">
        <v>196</v>
      </c>
      <c r="Y5" s="11" t="s">
        <v>197</v>
      </c>
      <c r="Z5" s="11" t="s">
        <v>198</v>
      </c>
      <c r="AA5" s="11" t="s">
        <v>201</v>
      </c>
      <c r="AB5" s="11" t="s">
        <v>202</v>
      </c>
      <c r="AC5" s="11" t="s">
        <v>203</v>
      </c>
      <c r="AD5" s="11" t="s">
        <v>477</v>
      </c>
      <c r="AE5" s="11" t="s">
        <v>204</v>
      </c>
      <c r="AF5" s="11" t="s">
        <v>205</v>
      </c>
      <c r="AG5" s="11" t="s">
        <v>206</v>
      </c>
      <c r="AH5" s="11" t="s">
        <v>207</v>
      </c>
      <c r="AI5" s="11" t="s">
        <v>478</v>
      </c>
      <c r="AJ5" s="11" t="s">
        <v>208</v>
      </c>
      <c r="AK5" s="11" t="s">
        <v>210</v>
      </c>
      <c r="AL5" s="242" t="s">
        <v>211</v>
      </c>
      <c r="AM5" s="242"/>
      <c r="AN5" s="242"/>
      <c r="AO5" s="242"/>
      <c r="AP5" s="242"/>
      <c r="AQ5" s="242"/>
      <c r="AR5" s="11" t="s">
        <v>218</v>
      </c>
      <c r="AS5" s="11" t="s">
        <v>212</v>
      </c>
      <c r="AT5" s="11" t="s">
        <v>213</v>
      </c>
      <c r="AU5" s="11" t="s">
        <v>499</v>
      </c>
      <c r="AV5" s="11" t="s">
        <v>214</v>
      </c>
      <c r="AW5" s="11" t="s">
        <v>491</v>
      </c>
      <c r="AX5" s="11" t="s">
        <v>492</v>
      </c>
      <c r="AY5" s="11" t="s">
        <v>493</v>
      </c>
      <c r="AZ5" s="11" t="s">
        <v>494</v>
      </c>
      <c r="BA5" s="11" t="s">
        <v>217</v>
      </c>
      <c r="BB5" s="11" t="s">
        <v>220</v>
      </c>
      <c r="BC5" s="11" t="s">
        <v>221</v>
      </c>
      <c r="BD5" s="11" t="s">
        <v>216</v>
      </c>
      <c r="BE5" s="11" t="s">
        <v>222</v>
      </c>
      <c r="BF5" s="11" t="s">
        <v>219</v>
      </c>
      <c r="BG5" s="11" t="s">
        <v>219</v>
      </c>
      <c r="BH5" s="11" t="s">
        <v>216</v>
      </c>
      <c r="BI5" s="11" t="s">
        <v>219</v>
      </c>
      <c r="BJ5" s="11" t="s">
        <v>223</v>
      </c>
      <c r="BK5" s="11" t="s">
        <v>225</v>
      </c>
      <c r="BL5" s="11" t="s">
        <v>497</v>
      </c>
      <c r="BM5" s="11" t="s">
        <v>224</v>
      </c>
      <c r="BN5" s="184" t="s">
        <v>496</v>
      </c>
      <c r="BO5" s="11" t="s">
        <v>226</v>
      </c>
      <c r="BP5" s="11" t="s">
        <v>498</v>
      </c>
      <c r="BQ5" s="11" t="s">
        <v>227</v>
      </c>
      <c r="BR5" s="11" t="s">
        <v>228</v>
      </c>
      <c r="BS5" s="11" t="s">
        <v>229</v>
      </c>
      <c r="BT5" s="11" t="s">
        <v>230</v>
      </c>
      <c r="BU5" s="11" t="s">
        <v>231</v>
      </c>
      <c r="BV5" s="11" t="s">
        <v>501</v>
      </c>
      <c r="BW5" s="11" t="s">
        <v>502</v>
      </c>
      <c r="BX5" s="11" t="s">
        <v>712</v>
      </c>
      <c r="BY5" s="11" t="s">
        <v>503</v>
      </c>
      <c r="BZ5" s="11" t="s">
        <v>513</v>
      </c>
      <c r="CA5" s="11" t="s">
        <v>232</v>
      </c>
      <c r="CB5" s="11" t="s">
        <v>504</v>
      </c>
      <c r="CC5" s="11" t="s">
        <v>233</v>
      </c>
      <c r="CD5" s="11" t="s">
        <v>234</v>
      </c>
      <c r="CE5" s="11" t="s">
        <v>512</v>
      </c>
      <c r="CF5" s="11" t="s">
        <v>519</v>
      </c>
      <c r="CG5" s="11" t="s">
        <v>521</v>
      </c>
      <c r="CH5" s="11" t="s">
        <v>516</v>
      </c>
      <c r="CI5" s="11" t="s">
        <v>517</v>
      </c>
      <c r="CJ5" s="11" t="s">
        <v>518</v>
      </c>
      <c r="CK5" s="11" t="s">
        <v>520</v>
      </c>
      <c r="CL5" s="11" t="s">
        <v>522</v>
      </c>
      <c r="CM5" s="11" t="s">
        <v>523</v>
      </c>
      <c r="CN5" s="11" t="s">
        <v>524</v>
      </c>
      <c r="CO5" s="11" t="s">
        <v>525</v>
      </c>
      <c r="CP5" s="11" t="s">
        <v>526</v>
      </c>
      <c r="CQ5" s="11" t="s">
        <v>527</v>
      </c>
      <c r="CR5" s="11" t="s">
        <v>235</v>
      </c>
      <c r="CS5" s="11" t="s">
        <v>528</v>
      </c>
      <c r="CT5" s="11" t="s">
        <v>529</v>
      </c>
      <c r="CU5" s="11" t="s">
        <v>236</v>
      </c>
      <c r="CV5" s="11" t="s">
        <v>237</v>
      </c>
      <c r="CW5" s="11" t="s">
        <v>238</v>
      </c>
      <c r="CX5" s="11" t="s">
        <v>239</v>
      </c>
      <c r="CY5" s="11" t="s">
        <v>240</v>
      </c>
      <c r="CZ5" s="11" t="s">
        <v>236</v>
      </c>
      <c r="DA5" s="11" t="s">
        <v>530</v>
      </c>
      <c r="DB5" s="11" t="s">
        <v>530</v>
      </c>
      <c r="DC5" s="237" t="s">
        <v>533</v>
      </c>
      <c r="DD5" s="238"/>
      <c r="DE5" s="238"/>
      <c r="DF5" s="238"/>
      <c r="DG5" s="238"/>
      <c r="DH5" s="238"/>
      <c r="DI5" s="238"/>
      <c r="DJ5" s="238"/>
      <c r="DK5" s="238"/>
      <c r="DL5" s="238"/>
      <c r="DM5" s="238"/>
      <c r="DN5" s="239"/>
      <c r="DO5" s="175" t="s">
        <v>733</v>
      </c>
      <c r="DP5" s="11" t="s">
        <v>713</v>
      </c>
      <c r="DQ5" s="175" t="s">
        <v>714</v>
      </c>
      <c r="DR5" s="11" t="s">
        <v>535</v>
      </c>
      <c r="DS5" s="11" t="s">
        <v>534</v>
      </c>
      <c r="DT5" s="11" t="s">
        <v>734</v>
      </c>
      <c r="DU5" s="185" t="s">
        <v>536</v>
      </c>
      <c r="DV5" s="185" t="s">
        <v>537</v>
      </c>
      <c r="DW5" s="176" t="s">
        <v>241</v>
      </c>
      <c r="DX5" s="176" t="s">
        <v>242</v>
      </c>
      <c r="DY5" s="11" t="s">
        <v>243</v>
      </c>
      <c r="DZ5" s="176" t="s">
        <v>538</v>
      </c>
      <c r="EA5" s="243" t="s">
        <v>244</v>
      </c>
      <c r="EB5" s="244"/>
      <c r="EC5" s="244"/>
      <c r="ED5" s="244"/>
      <c r="EE5" s="245"/>
      <c r="EF5" s="176" t="s">
        <v>539</v>
      </c>
      <c r="EG5" s="176" t="s">
        <v>540</v>
      </c>
      <c r="EH5" s="176" t="s">
        <v>541</v>
      </c>
      <c r="EI5" s="176" t="s">
        <v>245</v>
      </c>
      <c r="EJ5" s="176" t="s">
        <v>246</v>
      </c>
      <c r="EK5" s="176" t="s">
        <v>247</v>
      </c>
      <c r="EL5" s="176" t="s">
        <v>248</v>
      </c>
      <c r="EM5" s="176" t="s">
        <v>249</v>
      </c>
      <c r="EN5" s="176" t="s">
        <v>250</v>
      </c>
      <c r="EO5" s="176" t="s">
        <v>246</v>
      </c>
      <c r="EP5" s="176" t="s">
        <v>247</v>
      </c>
      <c r="EQ5" s="176" t="s">
        <v>248</v>
      </c>
      <c r="ER5" s="176" t="s">
        <v>542</v>
      </c>
      <c r="ES5" s="176" t="s">
        <v>251</v>
      </c>
      <c r="ET5" s="11" t="s">
        <v>252</v>
      </c>
      <c r="EU5" s="176" t="s">
        <v>253</v>
      </c>
      <c r="EV5" s="176" t="s">
        <v>254</v>
      </c>
      <c r="EW5" s="176" t="s">
        <v>543</v>
      </c>
      <c r="EX5" s="11" t="s">
        <v>255</v>
      </c>
      <c r="EY5" s="176" t="s">
        <v>256</v>
      </c>
      <c r="EZ5" s="176" t="s">
        <v>257</v>
      </c>
      <c r="FA5" s="176" t="s">
        <v>258</v>
      </c>
      <c r="FB5" s="176" t="s">
        <v>259</v>
      </c>
      <c r="FC5" s="176" t="s">
        <v>251</v>
      </c>
      <c r="FD5" s="11" t="s">
        <v>260</v>
      </c>
      <c r="FE5" s="186" t="s">
        <v>715</v>
      </c>
      <c r="FF5" s="176" t="s">
        <v>716</v>
      </c>
      <c r="FG5" s="11" t="s">
        <v>717</v>
      </c>
      <c r="FH5" s="186" t="s">
        <v>718</v>
      </c>
      <c r="FI5" s="176" t="s">
        <v>261</v>
      </c>
      <c r="FJ5" s="11" t="s">
        <v>719</v>
      </c>
      <c r="FK5" s="186" t="s">
        <v>720</v>
      </c>
      <c r="FL5" s="176" t="s">
        <v>261</v>
      </c>
      <c r="FM5" s="11" t="s">
        <v>721</v>
      </c>
      <c r="FN5" s="186" t="s">
        <v>720</v>
      </c>
      <c r="FO5" s="176" t="s">
        <v>262</v>
      </c>
      <c r="FP5" s="11" t="s">
        <v>722</v>
      </c>
      <c r="FQ5" s="11" t="s">
        <v>267</v>
      </c>
      <c r="FR5" s="176" t="s">
        <v>263</v>
      </c>
      <c r="FS5" s="11" t="s">
        <v>264</v>
      </c>
      <c r="FT5" s="11" t="s">
        <v>266</v>
      </c>
      <c r="FU5" s="176" t="s">
        <v>268</v>
      </c>
      <c r="FV5" s="11" t="s">
        <v>265</v>
      </c>
      <c r="FW5" s="11" t="s">
        <v>545</v>
      </c>
      <c r="FX5" s="11" t="s">
        <v>544</v>
      </c>
      <c r="FY5" s="11" t="s">
        <v>546</v>
      </c>
      <c r="FZ5" s="176" t="s">
        <v>547</v>
      </c>
      <c r="GA5" s="11" t="s">
        <v>717</v>
      </c>
      <c r="GB5" s="11" t="s">
        <v>546</v>
      </c>
      <c r="GC5" s="176" t="s">
        <v>547</v>
      </c>
      <c r="GD5" s="11" t="s">
        <v>719</v>
      </c>
      <c r="GE5" s="11" t="s">
        <v>546</v>
      </c>
      <c r="GF5" s="176" t="s">
        <v>269</v>
      </c>
      <c r="GG5" s="11" t="s">
        <v>721</v>
      </c>
      <c r="GH5" s="11" t="s">
        <v>546</v>
      </c>
      <c r="GI5" s="176" t="s">
        <v>547</v>
      </c>
      <c r="GJ5" s="11" t="s">
        <v>550</v>
      </c>
      <c r="GK5" s="176" t="s">
        <v>551</v>
      </c>
      <c r="GL5" s="11" t="s">
        <v>549</v>
      </c>
      <c r="GM5" s="11" t="s">
        <v>552</v>
      </c>
      <c r="GN5" s="11" t="s">
        <v>554</v>
      </c>
      <c r="GO5" s="176" t="s">
        <v>553</v>
      </c>
      <c r="GP5" s="11" t="s">
        <v>271</v>
      </c>
      <c r="GQ5" s="11" t="s">
        <v>554</v>
      </c>
      <c r="GR5" s="11" t="s">
        <v>554</v>
      </c>
      <c r="GS5" s="11" t="s">
        <v>555</v>
      </c>
      <c r="GT5" s="176" t="s">
        <v>556</v>
      </c>
      <c r="GU5" s="11" t="s">
        <v>272</v>
      </c>
      <c r="GV5" s="11" t="s">
        <v>270</v>
      </c>
      <c r="GW5" s="11" t="s">
        <v>557</v>
      </c>
      <c r="GX5" s="11" t="s">
        <v>558</v>
      </c>
      <c r="GY5" s="11" t="s">
        <v>559</v>
      </c>
      <c r="GZ5" s="176" t="s">
        <v>273</v>
      </c>
      <c r="HA5" s="176" t="s">
        <v>560</v>
      </c>
      <c r="HB5" s="176" t="s">
        <v>561</v>
      </c>
      <c r="HC5" s="176" t="s">
        <v>562</v>
      </c>
      <c r="HD5" s="176" t="s">
        <v>723</v>
      </c>
      <c r="HE5" s="176" t="s">
        <v>724</v>
      </c>
      <c r="HF5" s="176" t="s">
        <v>725</v>
      </c>
      <c r="HG5" s="176" t="s">
        <v>726</v>
      </c>
      <c r="HH5" s="176" t="s">
        <v>725</v>
      </c>
      <c r="HI5" s="11" t="s">
        <v>727</v>
      </c>
      <c r="HJ5" s="11" t="s">
        <v>728</v>
      </c>
      <c r="HK5" s="11" t="s">
        <v>563</v>
      </c>
      <c r="HL5" s="176" t="s">
        <v>564</v>
      </c>
      <c r="HM5" s="176" t="s">
        <v>565</v>
      </c>
      <c r="HN5" s="176" t="s">
        <v>566</v>
      </c>
      <c r="HO5" s="176" t="s">
        <v>567</v>
      </c>
      <c r="HP5" s="176" t="s">
        <v>568</v>
      </c>
      <c r="HQ5" s="11" t="s">
        <v>735</v>
      </c>
      <c r="HR5" s="11" t="s">
        <v>535</v>
      </c>
      <c r="HS5" s="176" t="s">
        <v>569</v>
      </c>
      <c r="HT5" s="176" t="s">
        <v>768</v>
      </c>
      <c r="HU5" s="176" t="s">
        <v>639</v>
      </c>
      <c r="HV5" s="176" t="s">
        <v>767</v>
      </c>
      <c r="HW5" s="176" t="s">
        <v>640</v>
      </c>
      <c r="HX5" s="176" t="s">
        <v>761</v>
      </c>
      <c r="HY5" s="176" t="s">
        <v>641</v>
      </c>
      <c r="HZ5" s="176" t="s">
        <v>762</v>
      </c>
      <c r="IA5" s="176" t="s">
        <v>571</v>
      </c>
      <c r="IB5" s="176" t="s">
        <v>276</v>
      </c>
      <c r="IC5" s="176" t="s">
        <v>274</v>
      </c>
      <c r="ID5" s="11" t="s">
        <v>770</v>
      </c>
      <c r="IE5" s="11" t="s">
        <v>729</v>
      </c>
      <c r="IF5" s="176" t="s">
        <v>275</v>
      </c>
      <c r="IG5" s="11" t="s">
        <v>729</v>
      </c>
      <c r="IH5" s="176" t="s">
        <v>275</v>
      </c>
      <c r="II5" s="11" t="s">
        <v>729</v>
      </c>
      <c r="IJ5" s="176" t="s">
        <v>275</v>
      </c>
      <c r="IK5" s="11" t="s">
        <v>737</v>
      </c>
      <c r="IL5" s="176" t="s">
        <v>275</v>
      </c>
      <c r="IM5" s="176" t="s">
        <v>275</v>
      </c>
      <c r="IN5" s="176" t="s">
        <v>736</v>
      </c>
      <c r="IO5" s="176" t="s">
        <v>574</v>
      </c>
      <c r="IP5" s="176" t="s">
        <v>575</v>
      </c>
      <c r="IQ5" s="176" t="s">
        <v>576</v>
      </c>
      <c r="IR5" s="176" t="s">
        <v>577</v>
      </c>
      <c r="IS5" s="176" t="s">
        <v>578</v>
      </c>
      <c r="IT5" s="176" t="s">
        <v>277</v>
      </c>
      <c r="IU5" s="176" t="s">
        <v>579</v>
      </c>
      <c r="IV5" s="176" t="s">
        <v>582</v>
      </c>
      <c r="IW5" s="176" t="s">
        <v>580</v>
      </c>
      <c r="IX5" s="11" t="s">
        <v>584</v>
      </c>
      <c r="IY5" s="11" t="s">
        <v>278</v>
      </c>
      <c r="IZ5" s="11" t="s">
        <v>766</v>
      </c>
      <c r="JA5" s="11" t="s">
        <v>586</v>
      </c>
      <c r="JB5" s="11" t="s">
        <v>587</v>
      </c>
      <c r="JC5" s="11" t="s">
        <v>730</v>
      </c>
      <c r="JD5" s="11" t="s">
        <v>588</v>
      </c>
      <c r="JE5" s="11" t="s">
        <v>589</v>
      </c>
      <c r="JF5" s="11" t="s">
        <v>590</v>
      </c>
      <c r="JG5" s="11" t="s">
        <v>591</v>
      </c>
      <c r="JH5" s="11" t="s">
        <v>592</v>
      </c>
      <c r="JI5" s="11" t="s">
        <v>593</v>
      </c>
      <c r="JJ5" s="11" t="s">
        <v>572</v>
      </c>
      <c r="JK5" s="11" t="s">
        <v>594</v>
      </c>
      <c r="JL5" s="11" t="s">
        <v>594</v>
      </c>
      <c r="JM5" s="11" t="s">
        <v>279</v>
      </c>
      <c r="JN5" s="11" t="s">
        <v>595</v>
      </c>
      <c r="JO5" s="176" t="s">
        <v>280</v>
      </c>
      <c r="JP5" s="11" t="s">
        <v>594</v>
      </c>
      <c r="JQ5" s="176" t="s">
        <v>280</v>
      </c>
      <c r="JR5" s="11" t="s">
        <v>597</v>
      </c>
      <c r="JS5" s="11" t="s">
        <v>597</v>
      </c>
      <c r="JT5" s="176" t="s">
        <v>598</v>
      </c>
      <c r="JU5" s="176" t="s">
        <v>599</v>
      </c>
      <c r="JV5" s="237" t="s">
        <v>281</v>
      </c>
      <c r="JW5" s="238"/>
      <c r="JX5" s="238"/>
      <c r="JY5" s="238"/>
      <c r="JZ5" s="238"/>
      <c r="KA5" s="238"/>
      <c r="KB5" s="238"/>
      <c r="KC5" s="238"/>
      <c r="KD5" s="238"/>
      <c r="KE5" s="239"/>
      <c r="KF5" s="176" t="s">
        <v>280</v>
      </c>
      <c r="KG5" s="176" t="s">
        <v>282</v>
      </c>
      <c r="KH5" s="176" t="s">
        <v>280</v>
      </c>
      <c r="KI5" s="176" t="s">
        <v>283</v>
      </c>
      <c r="KJ5" s="11" t="s">
        <v>600</v>
      </c>
      <c r="KK5" s="11" t="s">
        <v>600</v>
      </c>
      <c r="KL5" s="176" t="s">
        <v>601</v>
      </c>
      <c r="KM5" s="176" t="s">
        <v>602</v>
      </c>
      <c r="KN5" s="176" t="s">
        <v>280</v>
      </c>
      <c r="KO5" s="176" t="s">
        <v>572</v>
      </c>
      <c r="KP5" s="176" t="s">
        <v>572</v>
      </c>
      <c r="KQ5" s="176" t="s">
        <v>603</v>
      </c>
      <c r="KR5" s="176" t="s">
        <v>605</v>
      </c>
      <c r="KS5" s="176" t="s">
        <v>643</v>
      </c>
      <c r="KT5" s="176" t="s">
        <v>604</v>
      </c>
      <c r="KU5" s="176" t="s">
        <v>280</v>
      </c>
      <c r="KV5" s="176" t="s">
        <v>642</v>
      </c>
      <c r="KW5" s="176" t="s">
        <v>604</v>
      </c>
      <c r="KX5" s="176" t="s">
        <v>608</v>
      </c>
      <c r="KY5" s="176" t="s">
        <v>609</v>
      </c>
      <c r="KZ5" s="176" t="s">
        <v>610</v>
      </c>
      <c r="LA5" s="176" t="s">
        <v>611</v>
      </c>
      <c r="LB5" s="176" t="s">
        <v>612</v>
      </c>
      <c r="LC5" s="176" t="s">
        <v>616</v>
      </c>
      <c r="LD5" s="176" t="s">
        <v>613</v>
      </c>
      <c r="LE5" s="176" t="s">
        <v>615</v>
      </c>
      <c r="LF5" s="176" t="s">
        <v>614</v>
      </c>
      <c r="LG5" s="176" t="s">
        <v>617</v>
      </c>
      <c r="LH5" s="176" t="s">
        <v>618</v>
      </c>
      <c r="LI5" s="176" t="s">
        <v>619</v>
      </c>
      <c r="LJ5" s="176" t="s">
        <v>614</v>
      </c>
      <c r="LK5" s="176" t="s">
        <v>620</v>
      </c>
      <c r="LL5" s="176" t="s">
        <v>618</v>
      </c>
      <c r="LM5" s="176" t="s">
        <v>619</v>
      </c>
      <c r="LN5" s="176" t="s">
        <v>614</v>
      </c>
      <c r="LO5" s="176" t="s">
        <v>621</v>
      </c>
      <c r="LP5" s="176" t="s">
        <v>618</v>
      </c>
      <c r="LQ5" s="176" t="s">
        <v>619</v>
      </c>
      <c r="LR5" s="176" t="s">
        <v>614</v>
      </c>
      <c r="LS5" s="176" t="s">
        <v>622</v>
      </c>
      <c r="LT5" s="176" t="s">
        <v>618</v>
      </c>
      <c r="LU5" s="176" t="s">
        <v>619</v>
      </c>
      <c r="LV5" s="176" t="s">
        <v>614</v>
      </c>
      <c r="LW5" s="176" t="s">
        <v>623</v>
      </c>
      <c r="LX5" s="176" t="s">
        <v>624</v>
      </c>
      <c r="LY5" s="176" t="s">
        <v>625</v>
      </c>
      <c r="LZ5" s="176" t="s">
        <v>626</v>
      </c>
      <c r="MA5" s="176" t="s">
        <v>623</v>
      </c>
      <c r="MB5" s="176" t="s">
        <v>624</v>
      </c>
      <c r="MC5" s="176" t="s">
        <v>625</v>
      </c>
      <c r="MD5" s="176" t="s">
        <v>626</v>
      </c>
    </row>
  </sheetData>
  <protectedRanges>
    <protectedRange algorithmName="SHA-512" hashValue="T5GM3Hk55ikn4L72qf8drBnciehouugFmTxRvg4z3stC5BBsVfGehiKpXxQpfmvaGh0Uim03HEhyKoQz33dQCw==" saltValue="LyjMVodEJcZwL7GZBzd+0Q==" spinCount="100000" sqref="EG4:EH4 B4:C4 E4:AC4 AE4:AK4 BA4:BI4 BK4:BL4 BR4:CB4 CP4:CQ4 CS4:CT4 CV4:CY4 EA4:EE4 IB4:IC4 IL4:IM4 IT4 JB4 JJ4:KI4 KM4:KN4 DC4:DN4 IO4 IW4:IZ4" name="Rango2_1"/>
    <protectedRange algorithmName="SHA-512" hashValue="ViAdlylmV/HxJpF2FDYKuH1mdmYsDnRhOXspwOCuVIrui3X95V+H1cTu4IZ7ydSeEvlINtU9D++BdH163/ljAg==" saltValue="hbrHMpaiZ6YuEWTen54dCg==" spinCount="100000" sqref="AD4" name="Rango2"/>
    <protectedRange algorithmName="SHA-512" hashValue="R3mlUfs93ql+nRuDqs1ZcwWF91QEb2Q4R7h9Ngo+dskn1eGMrJGVGDO5YgMn2mZOVwGOiWDgWtpCLr8EMEFOzw==" saltValue="YKZE/6kOH0IfGYrvnmMFzQ==" spinCount="100000" sqref="AL4:AQ4" name="Rango2_6_1"/>
    <protectedRange algorithmName="SHA-512" hashValue="cR34urYs1moDUzMXhK608cryS72KFuIJr+USDU/e4HbjGNrIxLzShpb/NptCKibwUZ1E/l35OgxZzAFEYDJegw==" saltValue="w6wxOOpoqFE0jOhV3+UUQA==" spinCount="100000" sqref="AR4:AV4" name="Rango2_6_2"/>
    <protectedRange algorithmName="SHA-512" hashValue="rlvKbsY5OB4J8ccWHpZYbFQzCwfTDWvDzv9p08ujW6w6pi994C6qGZdUSfaBGNnOtQ5Q91R47IzeMiTzMeo6FA==" saltValue="oR23eM03O0q7bRNQmWIbuQ==" spinCount="100000" sqref="AW4:AY4" name="Rango2_6_3"/>
    <protectedRange algorithmName="SHA-512" hashValue="myGEtfYF6AVqbJhHXZw0izMYIxSEKNsDFti90+N06CAmGRe41BoPZvpC7X152Y6k1FwDPSFjs8gQtTjs4uLFtw==" saltValue="nFPM53YLPjyH63GlBIVt0g==" spinCount="100000" sqref="AZ4" name="Rango2_6_4"/>
    <protectedRange algorithmName="SHA-512" hashValue="/qgJpRcRIMoD5yDlKeL9SCTiNLX5HdTpVLT3nPjFfjLni52un5ad5QWvqmeZHSN/u+A8K8wo0XdKrLSrAcCvig==" saltValue="f1kIlCMpbeMFbbHrVj2hrw==" spinCount="100000" sqref="BJ4" name="Rango2_27"/>
    <protectedRange algorithmName="SHA-512" hashValue="fT1Y1d+I+IQszeVy1GKNi12uAKgjcVKtTUZ3adselWe9NMQPUBp2Vb3P2HdgYzWifLnMB6ORab3RFeOppzcKcg==" saltValue="SQkbkmlyiNxk/ptcjFvu7A==" spinCount="100000" sqref="BM4:BQ4" name="Rango2_2"/>
    <protectedRange algorithmName="SHA-512" hashValue="OdwF1CjCdp5mF4AFI6eFL6p7Tp8LtqF4bDQuAqL9/fv/F58gsq+g7Ek9tQxpQZU3gKSp9tu4FYOupovoMQ8HBw==" saltValue="sB/ZQbdLJugKwIKTVF9VgQ==" spinCount="100000" sqref="CC4:CD4" name="Rango2_3"/>
    <protectedRange algorithmName="SHA-512" hashValue="uCPT+CnjzYb3pqx+xmrN8yG0Lv8eEzoaaPZLFWPlol2TnaMkpJMzFWx2N7ARQIC9388o1GAdZA0XnKjkIlRM9Q==" saltValue="B8AP82wWv9yDWLSkoke/yA==" spinCount="100000" sqref="CI4 CG4" name="Rango2_4"/>
    <protectedRange algorithmName="SHA-512" hashValue="io5CEzupsVP7BVZWmGgh2Fiiqy28oR4nVuFhZUu5bDqWL8B92AHEzFujKnwsMdjc8k6xTt/gE4APV67GfD5MQw==" saltValue="DNq0lpKTAKnTxLvspvo6Eg==" spinCount="100000" sqref="CH4" name="Rango2_55"/>
    <protectedRange algorithmName="SHA-512" hashValue="yCjXa27SGqVXpur8tDu+prHjVpJEPoOD0ebXZtbqdc7z5f3SPatm4gVx5+G1mUkXd0dL/ZnLjBosZBlrGZ1PDg==" saltValue="p+VzU/xb6zEYH/xVgDEyAw==" spinCount="100000" sqref="CE4" name="Rango2_53"/>
    <protectedRange algorithmName="SHA-512" hashValue="mULTMdOTHFwqRTLDBhkWPY4OJA24+Jrky6A8O5ipHF4JxEMCgeG9FC7SjMmepYO7Hy71Ar+z5E5SSA2Os5hQrA==" saltValue="Q9GNoe+SS4HHa7LHJWjmyQ==" spinCount="100000" sqref="CF4" name="Rango2_54"/>
    <protectedRange algorithmName="SHA-512" hashValue="wy9DjrdH6LxUIr3oDgDpLR4eCwbHP8yWBA+Z4Rq2M1Zu5j1WwyL367+f/TLu/7VdSusgBi8GxziX2d9B9jfw+A==" saltValue="TojtaNVUEuGta992cnA1NA==" spinCount="100000" sqref="CL4 CN4" name="Rango2_5"/>
    <protectedRange algorithmName="SHA-512" hashValue="nw61xs4oYZQH2yhOZqO+zmXwB8TXhJuVimRa6305+2Weg46tjt5nCVgnmHT1DSXbNJr+ngm4cwvAQynVsBFdJw==" saltValue="RfdW58gNwedf8x8I9bvfRQ==" spinCount="100000" sqref="CJ4" name="Rango2_56"/>
    <protectedRange algorithmName="SHA-512" hashValue="QvCnlHGtZHeu01oxnTvOeH0IJg2D2qfRlbKin+P1vUdkB9vFMxFCbnj7/C9J8Dmqb/YyYLMG7BiFVe181qLyEg==" saltValue="7i/7UaYYfbVb3WzpwFUXQw==" spinCount="100000" sqref="CK4" name="Rango2_57"/>
    <protectedRange algorithmName="SHA-512" hashValue="3VPi4mseeSIVEvPGGJVvc7/KedUs+XHRGUxQg9kgTmQ8Gfe79DYX1+zxQwtUhRV8Xh3dQD8M/Pev9Idpk6IFPw==" saltValue="9EIIWYzFMtYxQbeQacaZjg==" spinCount="100000" sqref="CM4" name="Rango2_58"/>
    <protectedRange algorithmName="SHA-512" hashValue="miIZYa95nA/eq4xiagm2eHLPup45QRZI8rvL3UpFkdCgFyesnkNpbDVsTglsFEbXK3zb2nwALA+4xt74FNdaJw==" saltValue="O5gcwYgh1/uSgWPZIX1bdg==" spinCount="100000" sqref="CO4" name="Rango2_7"/>
    <protectedRange algorithmName="SHA-512" hashValue="03axmgossuKmEDp7qaMZLyAd4ZhJFGdYvuLpTcXCCtGLSxwv1T7UfM1yayEOXNJa+h0zxN+sB+olo35egTOB8Q==" saltValue="3BUqA8rhAdrSg5jbmpHM0Q==" spinCount="100000" sqref="DA4:DB4" name="Rango2_75"/>
    <protectedRange algorithmName="SHA-512" hashValue="BmJj4VfqXT18pzBiEquA/vWlWPO69wKDRh9rM9XfgKCVBmeXdO3VIFlBfi8vos5hWcg4uLyhkmgtGb3voCou7w==" saltValue="Gem4qNbUQoN0/wXsvkWUWA==" spinCount="100000" sqref="CR4" name="Rango2_8"/>
    <protectedRange algorithmName="SHA-512" hashValue="7m6qbk+O4sCixrFzGVsOc4ZzJ0sgp3Qqq4On0s22ePyLFPtyCFeubzB3k9IlHbv8r5PdNiXmLMAxnruhXZiKAw==" saltValue="fJza2K4m7NOTLPE8/GTlfA==" spinCount="100000" sqref="CU4" name="Rango2_10"/>
    <protectedRange algorithmName="SHA-512" hashValue="yK13XepkuRHPmANaEf5/cZgh4wTHV9CqAeAOyl1tiXkYDXO7bgllxNBNuKw2IAFPpeI0jNULFtLHoxpFD9JOdg==" saltValue="5tFkD3sJfOee7DQ89F68Bw==" spinCount="100000" sqref="CZ4" name="Rango2_11"/>
    <protectedRange algorithmName="SHA-512" hashValue="pa0ZC7QQGBngYLhOuEtMW8kDNmJy8a7AvDszT0PnEbjcknLxGD1a4tQwcE4uzq2fNeIJw/xhs6WGrDVj/bmxBg==" saltValue="gMbDGSVESDnhggI6QIAsoA==" spinCount="100000" sqref="DT4 DR4" name="Rango2_12"/>
    <protectedRange algorithmName="SHA-512" hashValue="WxN0SqVtk/lEOls7K/aqveg6Ch2vLpeDNbPsxO3zBMHVh+h79e4zFJuJ7HOTIL1lpmdzyTOgxdpVKTSf4STOUw==" saltValue="jiyF7rgqLQtTZmwOcTqYNQ==" spinCount="100000" sqref="DS4" name="Rango2_77"/>
    <protectedRange algorithmName="SHA-512" hashValue="wWvy47fvn33asxtX4l6U82ssQrKYExOzr2xXLlT5/5tZuOxl/DQ5CGK7Aa5AKdsqNFWp6ON1Pr4x2ZQUM6ld4w==" saltValue="anEr8gWk6CEqsX7cwo+oUg==" spinCount="100000" sqref="DU4:DV4" name="Rango2_78"/>
    <protectedRange algorithmName="SHA-512" hashValue="Qo3nc1FmzMPTXbH4v/fT5g4pCtgLm2usUFRZa2vKdnFfWpEZXcOx6Ei/HgaP8SgHrezXAvqnz5FkVTXueU2vXA==" saltValue="uw5KemXb2X/UvoQvdBtKrw==" spinCount="100000" sqref="DW4:DZ4" name="Rango2_13"/>
    <protectedRange algorithmName="SHA-512" hashValue="vyE6EWOfNttk7jMui+O1oRF5qt3fL5w9J+o2gY0ma0egVHvooF0Z/j+PNF5LlIhMEMVvZ8y7Ono4j/2TJ7d0RQ==" saltValue="rNDzvsLL+egg8OaHGNF7Rg==" spinCount="100000" sqref="EF4" name="Rango2_79"/>
    <protectedRange algorithmName="SHA-512" hashValue="zpyJK1fZ5KqPwEQyrQbZ5bbZUtd9tt1Y53C5HGkbyJBJm9hdnzjquRoDhw2cRyMuTL/Sghd6TSNJ82Mdz7k4mQ==" saltValue="cAXeuT82v+t9sJ2nS0egNQ==" spinCount="100000" sqref="EK4:EM4" name="Rango2_14"/>
    <protectedRange algorithmName="SHA-512" hashValue="taf8VKDI2aAYCtPSdeLNozUIAoyZdqZ84fYKL08pHFLcT6e4qP6JrFPSSTKmIpeyfLFEQeG0AZ3p4asp6xgYIQ==" saltValue="zYxlhSM202DbCtHgWdae/A==" spinCount="100000" sqref="EI4:EJ4" name="Rango2_79_1"/>
    <protectedRange algorithmName="SHA-512" hashValue="4tyXukZ9cdLiYgyD2L9x1PAaa6BAy/aLryktdm8lP4Vc2hKqcJbhPDcal3aKR373rd8YNWt79fmku+QUcQv7rQ==" saltValue="qr7PcNGavPXCGfTUZgJ6rw==" spinCount="100000" sqref="EP4:EQ4" name="Rango2_15"/>
    <protectedRange algorithmName="SHA-512" hashValue="LvKtPFwui+7ubAgeVxwzglpzDySTbK7PWHkePx3rKw7aIiOt1RmbrHwYEh1n4nBsdYmuR7OPamMrEQDJk6BYzw==" saltValue="JxgEvhhAsUL8aMP+840epw==" spinCount="100000" sqref="EN4:EO4" name="Rango2_89"/>
    <protectedRange algorithmName="SHA-512" hashValue="JvAi32sct5f8O675sSKEjxxz7zOqaWWoDt8TVhRPO9DEd9/d7k9RCFul7AtvVPsh4dHL1YBbWZJxPuEVtF/83w==" saltValue="a4z5CF2NghJo6Cz+N0GWjQ==" spinCount="100000" sqref="ET4:EU4" name="Rango2_16"/>
    <protectedRange algorithmName="SHA-512" hashValue="Mp1wLqteJvE+hDjkrUF/omlHQ/rjwx/szrcYUp54LeP8iLHGrUy1PAvAwP+kPAq1DLtOrD+4OJrygqZLh48vng==" saltValue="9SoGPDk6mEm23pN7/OHPyQ==" spinCount="100000" sqref="ER4:ES4" name="Rango2_96"/>
    <protectedRange algorithmName="SHA-512" hashValue="v+4aSz2fsHgt/41QaEP7ZLG6704x7VAWY9DXFlOgnsmMJLcfC7PjwSVfzneaS0yG/ygAzUUS8kU/8cdurc2f1Q==" saltValue="2FsOfLaYy631fU2za+rhGQ==" spinCount="100000" sqref="EX4" name="Rango2_17"/>
    <protectedRange algorithmName="SHA-512" hashValue="jTBHe379JZ81c1mfTNeZ/wTMBE/fvOQ3yr9UAKF3A5UAPrXUZkfA91oh9Hx1LcCs5qsD/SThyLM5G7Dr/t8Sbw==" saltValue="Z2pHRIVxnBmWJpWKckJc6A==" spinCount="100000" sqref="EV4:EW4" name="Rango2_97"/>
    <protectedRange algorithmName="SHA-512" hashValue="DiwwdNDeO+fFKT7GhEYKDNxhvhf4s2macsAyOWO58xNgAAJmbqnozvXQQ/FdkuGPK+T2G7ePrqgM9WoErPq3uw==" saltValue="fP7LveFGnJnQToiIfvXzpw==" spinCount="100000" sqref="EY4:FD4" name="Rango2_18"/>
    <protectedRange algorithmName="SHA-512" hashValue="uqqwwxkwMi9KoivZhGNEZes2GaZhqoXAo6ntRNLe72iY7nJynrRMoYoEVJ05s/kk0sHhfOnOSH/9bKDkAGJtNQ==" saltValue="+yWPLzVgRUwfRhhJaZFGLA==" spinCount="100000" sqref="FE4:FI4 FK4:FL4 FN4:FP4" name="Rango2_20"/>
    <protectedRange algorithmName="SHA-512" hashValue="2sQQ4Vlkx0elRvn4R4gqJfr/i9dYAzSLOctdQA/AjtaBR6aBrE8bk+9r4itN/oYZtRw96bLvgj0zQJB/41+XXA==" saltValue="gYgbBDHnn+FZFzeDgwgllQ==" spinCount="100000" sqref="FQ4:FV4" name="Rango2_22"/>
    <protectedRange algorithmName="SHA-512" hashValue="OYb+xRwYRUMYp+jmLKVnCN65WfONBjRiJFKT61S+ppQCNTnE5ahYwXAyJvjyBrKpirUw6npW68UYzaNrwjtFtA==" saltValue="eHM5svdobfHLJYEr8Uo/1g==" spinCount="100000" sqref="FW4:FX4" name="Rango2_23"/>
    <protectedRange algorithmName="SHA-512" hashValue="5t5OY/1WmEf2AJsZrJZLc8Yph8rgJ1TiEofSeET0/DK97W5CUbxH4EhMSAtDU+qGQzPBUKJFRIgZ3Ik7C2fktw==" saltValue="bitiG/6a8YtXK0XJyFqCvg==" spinCount="100000" sqref="GB4:GC4" name="Rango2_25"/>
    <protectedRange algorithmName="SHA-512" hashValue="CNaXgIJSmN9LhCrV0UaWY0ziZjkgUCqMW7Hfs8srxxy11kvQG9mHpz4+VqLWENMl1tjQMecBH6ZOi3I5xoGSnA==" saltValue="lf96LJU7jZL80tiPQUNjBA==" spinCount="100000" sqref="GH4:GK4" name="Rango2_26"/>
    <protectedRange algorithmName="SHA-512" hashValue="tTode/DgoACcHZi/pl/crwhRqQNV2BkuEzrzlAZpiN6rs4ChFphUDOqtiJFQCBvr5JNsivpKoJti+kQCDjwZww==" saltValue="68QMzv0M4uUVXPa5Wqjzlw==" spinCount="100000" sqref="GL4:GM4" name="Rango2_28"/>
    <protectedRange algorithmName="SHA-512" hashValue="hNKjoTglZhwS7YWoVv82sJD5cgxLo7TsvUjsN+CQwFhjpuWAwGhWR8uLljQcTusZMYgcSfpo4Epb4MLwRPSFHQ==" saltValue="bgxMoG3ClTGQHeoV6H83Ug==" spinCount="100000" sqref="GE4" name="Rango2_30"/>
    <protectedRange algorithmName="SHA-512" hashValue="TixJhnE3PsZQs1hQOyaqKL2HvwKWMQSrR/K6tsRAfIQrTYVah/jfCb5grNr2RHsPfmE7NFuv1DPXLowN4TlL7Q==" saltValue="3MqGBtwHwAUvhuLM9Ir9yg==" spinCount="100000" sqref="GF4" name="Rango2_31"/>
    <protectedRange algorithmName="SHA-512" hashValue="6a2me31Q+LTB4mAWSoBQi/4PdX0dGAsyK4ow7os3vmDbF9JzZwQeF2MoVxZqV72HN1O3GY7C41Fp98nEwwOpYw==" saltValue="E8iZTjQFcSJgrANQDlDCIw==" spinCount="100000" sqref="GN4:GP4" name="Rango2_33"/>
    <protectedRange algorithmName="SHA-512" hashValue="ojSOqHto1RcxnXA4K3xvlQbNPvluARCRbIFb8mRcrEQxIZVBaykCNvULZBywfN378JaFfsyrjiGYVmIBNvQYHA==" saltValue="uyDhcHzUDuPQ1g+Hgf82Bg==" spinCount="100000" sqref="GQ4:GV4" name="Rango2_34"/>
    <protectedRange algorithmName="SHA-512" hashValue="sOileb7kkqTRbACZ/X69lSpx8p/USwvFmfrL+ioD5EXbk5ZGgWA80DYDFfRmmWiHnotfyqsKpcYlgTJdwgW88w==" saltValue="4G/tMBgMo12oOO+MfUrVBQ==" spinCount="100000" sqref="GW4:GZ4" name="Rango2_35"/>
    <protectedRange algorithmName="SHA-512" hashValue="lUsFisR3cBz9dH0XTc4XVfFjG3Cfj4n78CGhb6z1fLOWytRrKcST1J4etoWXd2CBltjs04ato/gRxUHPDam6QQ==" saltValue="LM5KQiMciCVFU22CApsKMg==" spinCount="100000" sqref="HA4:HC4" name="Rango2_36"/>
    <protectedRange algorithmName="SHA-512" hashValue="nGRv0xVNxiYCg9USDLLrECQlscKnukp1MUI6u2F3K2KjpEf7VZ8ypr23qdNPojFM215QYQIqM6MO4ponutiknQ==" saltValue="ORTrLhTWKcfiBcs5Tn92XA==" spinCount="100000" sqref="HK4:HN4" name="Rango2_37"/>
    <protectedRange algorithmName="SHA-512" hashValue="7VX5ovLqPUJ5V0hiTTZNSKRdKv/WIyvf2TF6fMOFlW9VyqjD7j+kMZoKYqcdQHmWZEpxyDIywPTGidqHmyTffg==" saltValue="4Bf7rfTVhEtPrx17D9kRkA==" spinCount="100000" sqref="HQ4:HR4" name="Rango2_38"/>
    <protectedRange algorithmName="SHA-512" hashValue="S4DCHo/8Pb92Pe+armNJCa6XsMAgoAOdMUbwK9eYcI7o1wg0bllAboVAYzce8BaO3lUV5SXjdrQMDG3Gz4xbdQ==" saltValue="H++ZT9i4vimtX0wTeRVJNg==" spinCount="100000" sqref="HJ4" name="Rango2_39"/>
    <protectedRange algorithmName="SHA-512" hashValue="9+DNppQbWrLYYUMoJ+lyQctV2bX3Vq9kZnegLbpjTLP49It2ovUbcartuoQTeXgP+TGpY//7mDH/UQlFCKDGiA==" saltValue="KUnni6YEm00anzSSvyLqQA==" spinCount="100000" sqref="HV4 HX4 HZ4" name="Rango2_6"/>
    <protectedRange algorithmName="SHA-512" hashValue="9+DNppQbWrLYYUMoJ+lyQctV2bX3Vq9kZnegLbpjTLP49It2ovUbcartuoQTeXgP+TGpY//7mDH/UQlFCKDGiA==" saltValue="KUnni6YEm00anzSSvyLqQA==" spinCount="100000" sqref="IN4" name="Rango2_9"/>
    <protectedRange algorithmName="SHA-512" hashValue="9+DNppQbWrLYYUMoJ+lyQctV2bX3Vq9kZnegLbpjTLP49It2ovUbcartuoQTeXgP+TGpY//7mDH/UQlFCKDGiA==" saltValue="KUnni6YEm00anzSSvyLqQA==" spinCount="100000" sqref="IP4:IR4" name="Rango2_19"/>
    <protectedRange algorithmName="SHA-512" hashValue="9+DNppQbWrLYYUMoJ+lyQctV2bX3Vq9kZnegLbpjTLP49It2ovUbcartuoQTeXgP+TGpY//7mDH/UQlFCKDGiA==" saltValue="KUnni6YEm00anzSSvyLqQA==" spinCount="100000" sqref="JD4:JH4" name="Rango2_21"/>
    <protectedRange algorithmName="SHA-512" hashValue="9+DNppQbWrLYYUMoJ+lyQctV2bX3Vq9kZnegLbpjTLP49It2ovUbcartuoQTeXgP+TGpY//7mDH/UQlFCKDGiA==" saltValue="KUnni6YEm00anzSSvyLqQA==" spinCount="100000" sqref="JI4" name="Rango2_29"/>
    <protectedRange algorithmName="SHA-512" hashValue="9+DNppQbWrLYYUMoJ+lyQctV2bX3Vq9kZnegLbpjTLP49It2ovUbcartuoQTeXgP+TGpY//7mDH/UQlFCKDGiA==" saltValue="KUnni6YEm00anzSSvyLqQA==" spinCount="100000" sqref="IA4" name="Rango2_40"/>
    <protectedRange algorithmName="SHA-512" hashValue="9+DNppQbWrLYYUMoJ+lyQctV2bX3Vq9kZnegLbpjTLP49It2ovUbcartuoQTeXgP+TGpY//7mDH/UQlFCKDGiA==" saltValue="KUnni6YEm00anzSSvyLqQA==" spinCount="100000" sqref="JA4" name="Rango2_41"/>
    <protectedRange algorithmName="SHA-512" hashValue="9+DNppQbWrLYYUMoJ+lyQctV2bX3Vq9kZnegLbpjTLP49It2ovUbcartuoQTeXgP+TGpY//7mDH/UQlFCKDGiA==" saltValue="KUnni6YEm00anzSSvyLqQA==" spinCount="100000" sqref="IS4" name="Rango2_42"/>
    <protectedRange algorithmName="SHA-512" hashValue="9+DNppQbWrLYYUMoJ+lyQctV2bX3Vq9kZnegLbpjTLP49It2ovUbcartuoQTeXgP+TGpY//7mDH/UQlFCKDGiA==" saltValue="KUnni6YEm00anzSSvyLqQA==" spinCount="100000" sqref="KJ4:KL4" name="Rango2_43"/>
    <protectedRange algorithmName="SHA-512" hashValue="9+DNppQbWrLYYUMoJ+lyQctV2bX3Vq9kZnegLbpjTLP49It2ovUbcartuoQTeXgP+TGpY//7mDH/UQlFCKDGiA==" saltValue="KUnni6YEm00anzSSvyLqQA==" spinCount="100000" sqref="KQ4:KT4 KX4:LB4" name="Rango2_44"/>
    <protectedRange algorithmName="SHA-512" hashValue="9+DNppQbWrLYYUMoJ+lyQctV2bX3Vq9kZnegLbpjTLP49It2ovUbcartuoQTeXgP+TGpY//7mDH/UQlFCKDGiA==" saltValue="KUnni6YEm00anzSSvyLqQA==" spinCount="100000" sqref="KO4:KP4" name="Rango2_45"/>
    <protectedRange algorithmName="SHA-512" hashValue="9+DNppQbWrLYYUMoJ+lyQctV2bX3Vq9kZnegLbpjTLP49It2ovUbcartuoQTeXgP+TGpY//7mDH/UQlFCKDGiA==" saltValue="KUnni6YEm00anzSSvyLqQA==" spinCount="100000" sqref="KU4:KW4" name="Rango2_46"/>
    <protectedRange algorithmName="SHA-512" hashValue="+u8ETP7RnmTFzwP1xRwajJa0k8e4nLv8tEoGW4GVn+3uAiDu7IjPSpc8eJAORlZW6vPJAWwmGRugW8VCG8sO4g==" saltValue="npbfSwlEiEyOodcwZD1w4Q==" spinCount="100000" sqref="DO4" name="Rango2_78_1"/>
    <protectedRange algorithmName="SHA-512" hashValue="+u8ETP7RnmTFzwP1xRwajJa0k8e4nLv8tEoGW4GVn+3uAiDu7IjPSpc8eJAORlZW6vPJAWwmGRugW8VCG8sO4g==" saltValue="npbfSwlEiEyOodcwZD1w4Q==" spinCount="100000" sqref="DQ4" name="Rango2_78_2"/>
    <protectedRange algorithmName="SHA-512" hashValue="9+DNppQbWrLYYUMoJ+lyQctV2bX3Vq9kZnegLbpjTLP49It2ovUbcartuoQTeXgP+TGpY//7mDH/UQlFCKDGiA==" saltValue="KUnni6YEm00anzSSvyLqQA==" spinCount="100000" sqref="FJ4" name="Rango2_47"/>
    <protectedRange algorithmName="SHA-512" hashValue="9+DNppQbWrLYYUMoJ+lyQctV2bX3Vq9kZnegLbpjTLP49It2ovUbcartuoQTeXgP+TGpY//7mDH/UQlFCKDGiA==" saltValue="KUnni6YEm00anzSSvyLqQA==" spinCount="100000" sqref="FM4" name="Rango2_48"/>
    <protectedRange algorithmName="SHA-512" hashValue="9+DNppQbWrLYYUMoJ+lyQctV2bX3Vq9kZnegLbpjTLP49It2ovUbcartuoQTeXgP+TGpY//7mDH/UQlFCKDGiA==" saltValue="KUnni6YEm00anzSSvyLqQA==" spinCount="100000" sqref="FY4" name="Rango2_49"/>
    <protectedRange algorithmName="SHA-512" hashValue="9+DNppQbWrLYYUMoJ+lyQctV2bX3Vq9kZnegLbpjTLP49It2ovUbcartuoQTeXgP+TGpY//7mDH/UQlFCKDGiA==" saltValue="KUnni6YEm00anzSSvyLqQA==" spinCount="100000" sqref="FZ4" name="Rango2_50"/>
    <protectedRange algorithmName="SHA-512" hashValue="9+DNppQbWrLYYUMoJ+lyQctV2bX3Vq9kZnegLbpjTLP49It2ovUbcartuoQTeXgP+TGpY//7mDH/UQlFCKDGiA==" saltValue="KUnni6YEm00anzSSvyLqQA==" spinCount="100000" sqref="GA4" name="Rango2_51"/>
    <protectedRange algorithmName="SHA-512" hashValue="9+DNppQbWrLYYUMoJ+lyQctV2bX3Vq9kZnegLbpjTLP49It2ovUbcartuoQTeXgP+TGpY//7mDH/UQlFCKDGiA==" saltValue="KUnni6YEm00anzSSvyLqQA==" spinCount="100000" sqref="GD4" name="Rango2_52"/>
    <protectedRange algorithmName="SHA-512" hashValue="9+DNppQbWrLYYUMoJ+lyQctV2bX3Vq9kZnegLbpjTLP49It2ovUbcartuoQTeXgP+TGpY//7mDH/UQlFCKDGiA==" saltValue="KUnni6YEm00anzSSvyLqQA==" spinCount="100000" sqref="GG4" name="Rango2_59"/>
    <protectedRange algorithmName="SHA-512" hashValue="9+DNppQbWrLYYUMoJ+lyQctV2bX3Vq9kZnegLbpjTLP49It2ovUbcartuoQTeXgP+TGpY//7mDH/UQlFCKDGiA==" saltValue="KUnni6YEm00anzSSvyLqQA==" spinCount="100000" sqref="HD4:HI4" name="Rango2_60"/>
    <protectedRange algorithmName="SHA-512" hashValue="9+DNppQbWrLYYUMoJ+lyQctV2bX3Vq9kZnegLbpjTLP49It2ovUbcartuoQTeXgP+TGpY//7mDH/UQlFCKDGiA==" saltValue="KUnni6YEm00anzSSvyLqQA==" spinCount="100000" sqref="IE4:IJ4" name="Rango2_61"/>
    <protectedRange algorithmName="SHA-512" hashValue="9+DNppQbWrLYYUMoJ+lyQctV2bX3Vq9kZnegLbpjTLP49It2ovUbcartuoQTeXgP+TGpY//7mDH/UQlFCKDGiA==" saltValue="KUnni6YEm00anzSSvyLqQA==" spinCount="100000" sqref="IK4" name="Rango2_62"/>
    <protectedRange algorithmName="SHA-512" hashValue="9+DNppQbWrLYYUMoJ+lyQctV2bX3Vq9kZnegLbpjTLP49It2ovUbcartuoQTeXgP+TGpY//7mDH/UQlFCKDGiA==" saltValue="KUnni6YEm00anzSSvyLqQA==" spinCount="100000" sqref="JC4" name="Rango2_63"/>
    <protectedRange algorithmName="SHA-512" hashValue="+u8ETP7RnmTFzwP1xRwajJa0k8e4nLv8tEoGW4GVn+3uAiDu7IjPSpc8eJAORlZW6vPJAWwmGRugW8VCG8sO4g==" saltValue="npbfSwlEiEyOodcwZD1w4Q==" spinCount="100000" sqref="DP4" name="Rango2_78_3"/>
    <protectedRange algorithmName="SHA-512" hashValue="9+DNppQbWrLYYUMoJ+lyQctV2bX3Vq9kZnegLbpjTLP49It2ovUbcartuoQTeXgP+TGpY//7mDH/UQlFCKDGiA==" saltValue="KUnni6YEm00anzSSvyLqQA==" spinCount="100000" sqref="ID4" name="Rango2_24"/>
    <protectedRange algorithmName="SHA-512" hashValue="9+DNppQbWrLYYUMoJ+lyQctV2bX3Vq9kZnegLbpjTLP49It2ovUbcartuoQTeXgP+TGpY//7mDH/UQlFCKDGiA==" saltValue="KUnni6YEm00anzSSvyLqQA==" spinCount="100000" sqref="IU4" name="Rango2_32"/>
    <protectedRange algorithmName="SHA-512" hashValue="9+DNppQbWrLYYUMoJ+lyQctV2bX3Vq9kZnegLbpjTLP49It2ovUbcartuoQTeXgP+TGpY//7mDH/UQlFCKDGiA==" saltValue="KUnni6YEm00anzSSvyLqQA==" spinCount="100000" sqref="IV4" name="Rango2_64"/>
  </protectedRanges>
  <mergeCells count="7">
    <mergeCell ref="JV5:KE5"/>
    <mergeCell ref="A1:F1"/>
    <mergeCell ref="A2:F2"/>
    <mergeCell ref="A3:F3"/>
    <mergeCell ref="AL5:AQ5"/>
    <mergeCell ref="DC5:DN5"/>
    <mergeCell ref="EA5:EE5"/>
  </mergeCells>
  <conditionalFormatting sqref="IY4">
    <cfRule type="notContainsBlanks" dxfId="343" priority="5">
      <formula>LEN(TRIM(IY4))&gt;0</formula>
    </cfRule>
  </conditionalFormatting>
  <conditionalFormatting sqref="JN4">
    <cfRule type="notContainsBlanks" dxfId="342" priority="4">
      <formula>LEN(TRIM(JN4))&gt;0</formula>
    </cfRule>
  </conditionalFormatting>
  <conditionalFormatting sqref="JX4">
    <cfRule type="notContainsBlanks" dxfId="341" priority="3">
      <formula>LEN(TRIM(JX4))&gt;0</formula>
    </cfRule>
  </conditionalFormatting>
  <conditionalFormatting sqref="KG4">
    <cfRule type="notContainsBlanks" dxfId="340" priority="2">
      <formula>LEN(TRIM(KG4))&gt;0</formula>
    </cfRule>
  </conditionalFormatting>
  <conditionalFormatting sqref="KI4">
    <cfRule type="notContainsBlanks" dxfId="339" priority="1">
      <formula>LEN(TRIM(KI4))&gt;0</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XFD153"/>
  <sheetViews>
    <sheetView topLeftCell="A9" zoomScale="115" zoomScaleNormal="115" workbookViewId="0">
      <selection activeCell="L21" sqref="L21"/>
    </sheetView>
  </sheetViews>
  <sheetFormatPr baseColWidth="10" defaultRowHeight="15" x14ac:dyDescent="0.25"/>
  <cols>
    <col min="1" max="1" width="43.42578125" customWidth="1"/>
    <col min="2" max="13" width="8.140625" customWidth="1"/>
  </cols>
  <sheetData>
    <row r="3" spans="1:13" ht="23.25" x14ac:dyDescent="0.35">
      <c r="A3" s="70" t="s">
        <v>436</v>
      </c>
      <c r="L3" s="234" t="s">
        <v>849</v>
      </c>
    </row>
    <row r="4" spans="1:13" ht="18.75" x14ac:dyDescent="0.3">
      <c r="A4" s="77" t="s">
        <v>18</v>
      </c>
      <c r="B4" s="77">
        <v>2022</v>
      </c>
    </row>
    <row r="5" spans="1:13" ht="15.75" thickBot="1" x14ac:dyDescent="0.3">
      <c r="A5" t="s">
        <v>444</v>
      </c>
      <c r="B5" t="s">
        <v>398</v>
      </c>
      <c r="C5" t="s">
        <v>399</v>
      </c>
      <c r="D5" t="s">
        <v>400</v>
      </c>
      <c r="E5" t="s">
        <v>401</v>
      </c>
      <c r="F5" t="s">
        <v>402</v>
      </c>
      <c r="G5" t="s">
        <v>403</v>
      </c>
      <c r="H5" t="s">
        <v>404</v>
      </c>
      <c r="I5" t="s">
        <v>405</v>
      </c>
      <c r="J5" t="s">
        <v>406</v>
      </c>
      <c r="K5" t="s">
        <v>407</v>
      </c>
      <c r="L5" t="s">
        <v>408</v>
      </c>
      <c r="M5" t="s">
        <v>409</v>
      </c>
    </row>
    <row r="6" spans="1:13" x14ac:dyDescent="0.25">
      <c r="A6" s="74" t="s">
        <v>435</v>
      </c>
      <c r="B6" s="136">
        <v>1</v>
      </c>
      <c r="C6" s="138">
        <v>2</v>
      </c>
      <c r="D6" s="138">
        <v>3</v>
      </c>
      <c r="E6" s="138">
        <v>4</v>
      </c>
      <c r="F6" s="138">
        <v>5</v>
      </c>
      <c r="G6" s="138">
        <v>6</v>
      </c>
      <c r="H6" s="138">
        <v>7</v>
      </c>
      <c r="I6" s="138">
        <v>8</v>
      </c>
      <c r="J6" s="138">
        <v>9</v>
      </c>
      <c r="K6" s="138">
        <v>10</v>
      </c>
      <c r="L6" s="138">
        <v>11</v>
      </c>
      <c r="M6" s="139">
        <v>12</v>
      </c>
    </row>
    <row r="7" spans="1:13" x14ac:dyDescent="0.25">
      <c r="A7" s="75" t="s">
        <v>440</v>
      </c>
      <c r="B7" s="226">
        <f>COUNTIFS(Tabla1[GESTANTES ACTUALES],"ACTIVA INGRESO A CPN")</f>
        <v>0</v>
      </c>
      <c r="C7" s="226">
        <f>COUNTIFS(Tabla1[GESTANTES ACTUALES],"ACTIVA INGRESO A CPN")</f>
        <v>0</v>
      </c>
      <c r="D7" s="226">
        <f>COUNTIFS(Tabla1[GESTANTES ACTUALES],"ACTIVA INGRESO A CPN")</f>
        <v>0</v>
      </c>
      <c r="E7" s="226">
        <f>COUNTIFS(Tabla1[GESTANTES ACTUALES],"ACTIVA INGRESO A CPN")</f>
        <v>0</v>
      </c>
      <c r="F7" s="226">
        <f>COUNTIFS(Tabla1[GESTANTES ACTUALES],"ACTIVA INGRESO A CPN")</f>
        <v>0</v>
      </c>
      <c r="G7" s="226">
        <f>COUNTIFS(Tabla1[GESTANTES ACTUALES],"ACTIVA INGRESO A CPN")</f>
        <v>0</v>
      </c>
      <c r="H7" s="226">
        <f>COUNTIFS(Tabla1[GESTANTES ACTUALES],"ACTIVA INGRESO A CPN")</f>
        <v>0</v>
      </c>
      <c r="I7" s="226">
        <f>COUNTIFS(Tabla1[GESTANTES ACTUALES],"ACTIVA INGRESO A CPN")</f>
        <v>0</v>
      </c>
      <c r="J7" s="226">
        <f>COUNTIFS(Tabla1[GESTANTES ACTUALES],"ACTIVA INGRESO A CPN")</f>
        <v>0</v>
      </c>
      <c r="K7" s="226">
        <f>COUNTIFS(Tabla1[GESTANTES ACTUALES],"ACTIVA INGRESO A CPN")</f>
        <v>0</v>
      </c>
      <c r="L7" s="226">
        <f>COUNTIFS(Tabla1[GESTANTES ACTUALES],"ACTIVA INGRESO A CPN")</f>
        <v>0</v>
      </c>
      <c r="M7" s="226">
        <f>COUNTIFS(Tabla1[GESTANTES ACTUALES],"ACTIVA INGRESO A CPN")</f>
        <v>0</v>
      </c>
    </row>
    <row r="8" spans="1:13" x14ac:dyDescent="0.25">
      <c r="A8" s="75" t="s">
        <v>434</v>
      </c>
      <c r="B8" s="137">
        <f>COUNTIFS(Tabla1[GESTANTES ACTUALES],"ACTIVA INGRESO A CPN",Tabla1[ALERTA SEGUIMIENTO],"INASISTENTE")</f>
        <v>0</v>
      </c>
      <c r="C8" s="137">
        <f>COUNTIFS(Tabla1[GESTANTES ACTUALES],"ACTIVA INGRESO A CPN",Tabla1[ALERTA SEGUIMIENTO],"INASISTENTE")</f>
        <v>0</v>
      </c>
      <c r="D8" s="137">
        <f>COUNTIFS(Tabla1[GESTANTES ACTUALES],"ACTIVA INGRESO A CPN",Tabla1[ALERTA SEGUIMIENTO],"INASISTENTE")</f>
        <v>0</v>
      </c>
      <c r="E8" s="137">
        <f>COUNTIFS(Tabla1[GESTANTES ACTUALES],"ACTIVA INGRESO A CPN",Tabla1[ALERTA SEGUIMIENTO],"INASISTENTE")</f>
        <v>0</v>
      </c>
      <c r="F8" s="137">
        <f>COUNTIFS(Tabla1[GESTANTES ACTUALES],"ACTIVA INGRESO A CPN",Tabla1[ALERTA SEGUIMIENTO],"INASISTENTE")</f>
        <v>0</v>
      </c>
      <c r="G8" s="137">
        <f>COUNTIFS(Tabla1[GESTANTES ACTUALES],"ACTIVA INGRESO A CPN",Tabla1[ALERTA SEGUIMIENTO],"INASISTENTE")</f>
        <v>0</v>
      </c>
      <c r="H8" s="137">
        <f>COUNTIFS(Tabla1[GESTANTES ACTUALES],"ACTIVA INGRESO A CPN",Tabla1[ALERTA SEGUIMIENTO],"INASISTENTE")</f>
        <v>0</v>
      </c>
      <c r="I8" s="137">
        <f>COUNTIFS(Tabla1[GESTANTES ACTUALES],"ACTIVA INGRESO A CPN",Tabla1[ALERTA SEGUIMIENTO],"INASISTENTE")</f>
        <v>0</v>
      </c>
      <c r="J8" s="137">
        <f>COUNTIFS(Tabla1[GESTANTES ACTUALES],"ACTIVA INGRESO A CPN",Tabla1[ALERTA SEGUIMIENTO],"INASISTENTE")</f>
        <v>0</v>
      </c>
      <c r="K8" s="137">
        <f>COUNTIFS(Tabla1[GESTANTES ACTUALES],"ACTIVA INGRESO A CPN",Tabla1[ALERTA SEGUIMIENTO],"INASISTENTE")</f>
        <v>0</v>
      </c>
      <c r="L8" s="137">
        <f>COUNTIFS(Tabla1[GESTANTES ACTUALES],"ACTIVA INGRESO A CPN",Tabla1[ALERTA SEGUIMIENTO],"INASISTENTE")</f>
        <v>0</v>
      </c>
      <c r="M8" s="137">
        <f>COUNTIFS(Tabla1[GESTANTES ACTUALES],"ACTIVA INGRESO A CPN",Tabla1[ALERTA SEGUIMIENTO],"INASISTENTE")</f>
        <v>0</v>
      </c>
    </row>
    <row r="9" spans="1:13" x14ac:dyDescent="0.25">
      <c r="A9" s="75" t="s">
        <v>441</v>
      </c>
      <c r="B9" s="137">
        <f>COUNTIFS(Tabla1[GESTANTES ACTUALES],"ACTIVA SIN INGRESO CPN")</f>
        <v>0</v>
      </c>
      <c r="C9" s="137">
        <f>COUNTIFS(Tabla1[GESTANTES ACTUALES],"ACTIVA SIN INGRESO CPN")</f>
        <v>0</v>
      </c>
      <c r="D9" s="137">
        <f>COUNTIFS(Tabla1[GESTANTES ACTUALES],"ACTIVA SIN INGRESO CPN")</f>
        <v>0</v>
      </c>
      <c r="E9" s="137">
        <f>COUNTIFS(Tabla1[GESTANTES ACTUALES],"ACTIVA SIN INGRESO CPN")</f>
        <v>0</v>
      </c>
      <c r="F9" s="137">
        <f>COUNTIFS(Tabla1[GESTANTES ACTUALES],"ACTIVA SIN INGRESO CPN")</f>
        <v>0</v>
      </c>
      <c r="G9" s="137">
        <f>COUNTIFS(Tabla1[GESTANTES ACTUALES],"ACTIVA SIN INGRESO CPN")</f>
        <v>0</v>
      </c>
      <c r="H9" s="137">
        <f>COUNTIFS(Tabla1[GESTANTES ACTUALES],"ACTIVA SIN INGRESO CPN")</f>
        <v>0</v>
      </c>
      <c r="I9" s="137">
        <f>COUNTIFS(Tabla1[GESTANTES ACTUALES],"ACTIVA SIN INGRESO CPN")</f>
        <v>0</v>
      </c>
      <c r="J9" s="137">
        <f>COUNTIFS(Tabla1[GESTANTES ACTUALES],"ACTIVA SIN INGRESO CPN")</f>
        <v>0</v>
      </c>
      <c r="K9" s="137">
        <f>COUNTIFS(Tabla1[GESTANTES ACTUALES],"ACTIVA SIN INGRESO CPN")</f>
        <v>0</v>
      </c>
      <c r="L9" s="137">
        <f>COUNTIFS(Tabla1[GESTANTES ACTUALES],"ACTIVA SIN INGRESO CPN")</f>
        <v>0</v>
      </c>
      <c r="M9" s="137">
        <f>COUNTIFS(Tabla1[GESTANTES ACTUALES],"ACTIVA SIN INGRESO CPN")</f>
        <v>0</v>
      </c>
    </row>
    <row r="10" spans="1:13" x14ac:dyDescent="0.25">
      <c r="A10" s="75" t="s">
        <v>442</v>
      </c>
      <c r="B10" s="137">
        <f>COUNTIFS(Tabla1[GESTANTES ACTUALES],"SALE SIN INGRESO CPN")</f>
        <v>0</v>
      </c>
      <c r="C10" s="137">
        <f>COUNTIFS(Tabla1[GESTANTES ACTUALES],"SALE SIN INGRESO CPN")</f>
        <v>0</v>
      </c>
      <c r="D10" s="137">
        <f>COUNTIFS(Tabla1[GESTANTES ACTUALES],"SALE SIN INGRESO CPN")</f>
        <v>0</v>
      </c>
      <c r="E10" s="137">
        <f>COUNTIFS(Tabla1[GESTANTES ACTUALES],"SALE SIN INGRESO CPN")</f>
        <v>0</v>
      </c>
      <c r="F10" s="137">
        <f>COUNTIFS(Tabla1[GESTANTES ACTUALES],"SALE SIN INGRESO CPN")</f>
        <v>0</v>
      </c>
      <c r="G10" s="137">
        <f>COUNTIFS(Tabla1[GESTANTES ACTUALES],"SALE SIN INGRESO CPN")</f>
        <v>0</v>
      </c>
      <c r="H10" s="137">
        <f>COUNTIFS(Tabla1[GESTANTES ACTUALES],"SALE SIN INGRESO CPN")</f>
        <v>0</v>
      </c>
      <c r="I10" s="137">
        <f>COUNTIFS(Tabla1[GESTANTES ACTUALES],"SALE SIN INGRESO CPN")</f>
        <v>0</v>
      </c>
      <c r="J10" s="137">
        <f>COUNTIFS(Tabla1[GESTANTES ACTUALES],"SALE SIN INGRESO CPN")</f>
        <v>0</v>
      </c>
      <c r="K10" s="137">
        <f>COUNTIFS(Tabla1[GESTANTES ACTUALES],"SALE SIN INGRESO CPN")</f>
        <v>0</v>
      </c>
      <c r="L10" s="137">
        <f>COUNTIFS(Tabla1[GESTANTES ACTUALES],"SALE SIN INGRESO CPN")</f>
        <v>0</v>
      </c>
      <c r="M10" s="137">
        <f>COUNTIFS(Tabla1[GESTANTES ACTUALES],"SALE SIN INGRESO CPN")</f>
        <v>0</v>
      </c>
    </row>
    <row r="11" spans="1:13" x14ac:dyDescent="0.25">
      <c r="A11" s="76" t="s">
        <v>443</v>
      </c>
      <c r="B11" s="71" t="str">
        <f t="shared" ref="B11:M11" si="0">IF(B7=0,"",SUM(B8/B7))</f>
        <v/>
      </c>
      <c r="C11" s="71" t="str">
        <f t="shared" si="0"/>
        <v/>
      </c>
      <c r="D11" s="71" t="str">
        <f t="shared" si="0"/>
        <v/>
      </c>
      <c r="E11" s="71" t="str">
        <f t="shared" si="0"/>
        <v/>
      </c>
      <c r="F11" s="71" t="str">
        <f t="shared" si="0"/>
        <v/>
      </c>
      <c r="G11" s="71" t="str">
        <f t="shared" si="0"/>
        <v/>
      </c>
      <c r="H11" s="71" t="str">
        <f t="shared" si="0"/>
        <v/>
      </c>
      <c r="I11" s="71" t="str">
        <f t="shared" si="0"/>
        <v/>
      </c>
      <c r="J11" s="71" t="str">
        <f t="shared" si="0"/>
        <v/>
      </c>
      <c r="K11" s="71" t="str">
        <f t="shared" si="0"/>
        <v/>
      </c>
      <c r="L11" s="71" t="str">
        <f t="shared" si="0"/>
        <v/>
      </c>
      <c r="M11" s="71" t="str">
        <f t="shared" si="0"/>
        <v/>
      </c>
    </row>
    <row r="12" spans="1:13" ht="15.75" thickBot="1" x14ac:dyDescent="0.3">
      <c r="A12" s="78"/>
      <c r="B12" s="225"/>
      <c r="C12" s="103"/>
      <c r="D12" s="103"/>
      <c r="E12" s="103"/>
      <c r="F12" s="103"/>
      <c r="G12" s="103"/>
      <c r="H12" s="103"/>
      <c r="I12" s="103"/>
      <c r="J12" s="103"/>
      <c r="K12" s="103"/>
      <c r="L12" s="103"/>
      <c r="M12" s="103"/>
    </row>
    <row r="13" spans="1:13" ht="19.5" thickBot="1" x14ac:dyDescent="0.35">
      <c r="A13" s="228" t="s">
        <v>800</v>
      </c>
      <c r="B13" s="246" t="s">
        <v>812</v>
      </c>
      <c r="C13" s="247"/>
      <c r="D13" s="248" t="s">
        <v>833</v>
      </c>
      <c r="E13" s="249"/>
      <c r="F13" s="103"/>
      <c r="G13" s="103"/>
      <c r="H13" s="103"/>
      <c r="I13" s="103"/>
      <c r="J13" s="103"/>
      <c r="K13" s="103"/>
      <c r="L13" s="103"/>
      <c r="M13" s="103"/>
    </row>
    <row r="14" spans="1:13" ht="26.25" thickBot="1" x14ac:dyDescent="0.3">
      <c r="A14" s="224" t="s">
        <v>803</v>
      </c>
      <c r="B14" s="227">
        <f>COUNTIFS(Tabla1[GESTANTES ACTUALES],"ACTIVA INGRESO A CPN",Tabla1[RIESGO BIOPSICOSOCIAL],"ALTO RIESGO",Tabla1[FECHA ASISTENCIA PRIMERA VEZ CON GINECOLOGÍA],"&lt;&gt;",Tabla1[ASEGURADORA],$A$13)</f>
        <v>0</v>
      </c>
      <c r="C14" s="252" t="str">
        <f>IFERROR((SUM(B14/B15)),"")</f>
        <v/>
      </c>
      <c r="D14" s="227">
        <f>COUNTIFS(Tabla1[GESTANTES ACTUALES],"ACTIVA INGRESO A CPN",Tabla1[RIESGO BIOPSICOSOCIAL],"ALTO RIESGO",Tabla1[FECHA ASISTENCIA PRIMERA VEZ CON GINECOLOGÍA],"&lt;&gt;")</f>
        <v>0</v>
      </c>
      <c r="E14" s="252" t="str">
        <f>IFERROR(SUM(D14/D15),"")</f>
        <v/>
      </c>
      <c r="F14" s="103"/>
      <c r="G14" s="103"/>
      <c r="H14" s="103"/>
      <c r="I14" s="103"/>
      <c r="J14" s="103"/>
      <c r="K14" s="103"/>
      <c r="L14" s="103"/>
      <c r="M14" s="103"/>
    </row>
    <row r="15" spans="1:13" ht="23.25" customHeight="1" thickBot="1" x14ac:dyDescent="0.3">
      <c r="A15" s="224" t="s">
        <v>802</v>
      </c>
      <c r="B15" s="227">
        <f>COUNTIFS(Tabla1[GESTANTES ACTUALES],"ACTIVA INGRESO A CPN",Tabla1[RIESGO BIOPSICOSOCIAL],"ALTO RIESGO",Tabla1[ASEGURADORA],$A$13)</f>
        <v>0</v>
      </c>
      <c r="C15" s="253"/>
      <c r="D15" s="227">
        <f>COUNTIFS(Tabla1[GESTANTES ACTUALES],"ACTIVA INGRESO A CPN",Tabla1[RIESGO BIOPSICOSOCIAL],"ALTO RIESGO")</f>
        <v>0</v>
      </c>
      <c r="E15" s="253"/>
      <c r="F15" s="103"/>
      <c r="G15" s="103"/>
      <c r="H15" s="103"/>
      <c r="I15" s="103"/>
      <c r="J15" s="103"/>
      <c r="K15" s="103"/>
      <c r="L15" s="103"/>
      <c r="M15" s="103"/>
    </row>
    <row r="16" spans="1:13" ht="19.5" thickBot="1" x14ac:dyDescent="0.35">
      <c r="B16" s="246" t="s">
        <v>812</v>
      </c>
      <c r="C16" s="247"/>
      <c r="D16" s="248" t="s">
        <v>833</v>
      </c>
      <c r="E16" s="249"/>
      <c r="F16" s="103"/>
      <c r="G16" s="103"/>
      <c r="H16" s="103"/>
      <c r="I16" s="103"/>
      <c r="J16" s="103"/>
      <c r="K16" s="103"/>
      <c r="L16" s="103"/>
      <c r="M16" s="103"/>
    </row>
    <row r="17" spans="1:13" ht="26.25" thickBot="1" x14ac:dyDescent="0.3">
      <c r="A17" s="224" t="s">
        <v>811</v>
      </c>
      <c r="B17" s="227">
        <f>COUNTIFS(Tabla1[GESTANTES ACTUALES],"ACTIVA INGRESO A CPN",Tabla1['# DE MUJERES CON SUMINISTRO ADECUADO DE MICRONUTRIENTES],"COMPLETO",Tabla1[ASEGURADORA],$A$13)</f>
        <v>0</v>
      </c>
      <c r="C17" s="254" t="str">
        <f>IFERROR(SUM(B17/B18),"")</f>
        <v/>
      </c>
      <c r="D17" s="227">
        <f>COUNTIFS(Tabla1[GESTANTES ACTUALES],"ACTIVA INGRESO A CPN",Tabla1['# DE MUJERES CON SUMINISTRO ADECUADO DE MICRONUTRIENTES],"COMPLETO")</f>
        <v>0</v>
      </c>
      <c r="E17" s="254" t="str">
        <f>IFERROR(SUM(D17/D18),"")</f>
        <v/>
      </c>
      <c r="F17" s="103"/>
      <c r="G17" s="103"/>
      <c r="H17" s="103"/>
      <c r="I17" s="103"/>
      <c r="J17" s="103"/>
      <c r="K17" s="103"/>
      <c r="L17" s="103"/>
      <c r="M17" s="103"/>
    </row>
    <row r="18" spans="1:13" ht="15.75" thickBot="1" x14ac:dyDescent="0.3">
      <c r="A18" s="75" t="s">
        <v>440</v>
      </c>
      <c r="B18" s="227">
        <f>COUNTIFS(Tabla1[GESTANTES ACTUALES],"ACTIVA INGRESO A CPN",Tabla1[ASEGURADORA],$A$13)</f>
        <v>0</v>
      </c>
      <c r="C18" s="255"/>
      <c r="D18" s="227">
        <f>COUNTIFS(Tabla1[GESTANTES ACTUALES],"ACTIVA INGRESO A CPN")</f>
        <v>0</v>
      </c>
      <c r="E18" s="255"/>
      <c r="F18" s="103"/>
      <c r="G18" s="103"/>
      <c r="H18" s="103"/>
      <c r="I18" s="103"/>
      <c r="J18" s="103"/>
      <c r="K18" s="103"/>
      <c r="L18" s="103"/>
      <c r="M18" s="103"/>
    </row>
    <row r="19" spans="1:13" ht="19.5" thickBot="1" x14ac:dyDescent="0.35">
      <c r="B19" s="246" t="s">
        <v>812</v>
      </c>
      <c r="C19" s="247"/>
      <c r="D19" s="248" t="s">
        <v>833</v>
      </c>
      <c r="E19" s="249"/>
      <c r="F19" s="103"/>
      <c r="G19" s="103"/>
      <c r="H19" s="103"/>
      <c r="I19" s="103"/>
      <c r="J19" s="103"/>
      <c r="K19" s="103"/>
      <c r="L19" s="103"/>
      <c r="M19" s="103"/>
    </row>
    <row r="20" spans="1:13" ht="26.25" thickBot="1" x14ac:dyDescent="0.3">
      <c r="A20" s="224" t="s">
        <v>832</v>
      </c>
      <c r="B20" s="227">
        <f>COUNTIFS(Tabla1[GESTANTES ACTUALES],"ACTIVA INGRESO A CPN",Tabla1[Alarma de apoyo Tamizaje Sífilis],"COMPLETO",Tabla1[ASEGURADORA],$A$13)</f>
        <v>0</v>
      </c>
      <c r="C20" s="250" t="str">
        <f>IFERROR(SUM(B20/B21),"")</f>
        <v/>
      </c>
      <c r="D20" s="227">
        <f>COUNTIFS(Tabla1[GESTANTES ACTUALES],"ACTIVA INGRESO A CPN",Tabla1[Alarma de apoyo Tamizaje Sífilis],"COMPLETO")</f>
        <v>0</v>
      </c>
      <c r="E20" s="250" t="str">
        <f>IFERROR(SUM(D20/D21),"")</f>
        <v/>
      </c>
      <c r="F20" s="103"/>
      <c r="G20" s="103"/>
      <c r="H20" s="103"/>
      <c r="I20" s="103"/>
      <c r="J20" s="103"/>
      <c r="K20" s="103"/>
      <c r="L20" s="103"/>
      <c r="M20" s="103"/>
    </row>
    <row r="21" spans="1:13" ht="15.75" customHeight="1" thickBot="1" x14ac:dyDescent="0.3">
      <c r="A21" s="75" t="s">
        <v>440</v>
      </c>
      <c r="B21" s="227">
        <f>COUNTIFS(Tabla1[GESTANTES ACTUALES],"ACTIVA INGRESO A CPN",Tabla1[ASEGURADORA],$A$13)</f>
        <v>0</v>
      </c>
      <c r="C21" s="251"/>
      <c r="D21" s="227">
        <f>COUNTIFS(Tabla1[GESTANTES ACTUALES],"ACTIVA INGRESO A CPN")</f>
        <v>0</v>
      </c>
      <c r="E21" s="251"/>
      <c r="F21" s="103"/>
      <c r="G21" s="103"/>
      <c r="H21" s="103"/>
      <c r="I21" s="103"/>
      <c r="J21" s="103"/>
      <c r="K21" s="103"/>
      <c r="L21" s="103"/>
      <c r="M21" s="103"/>
    </row>
    <row r="22" spans="1:13" ht="19.5" thickBot="1" x14ac:dyDescent="0.35">
      <c r="B22" s="246" t="s">
        <v>812</v>
      </c>
      <c r="C22" s="247"/>
      <c r="D22" s="248" t="s">
        <v>833</v>
      </c>
      <c r="E22" s="249"/>
      <c r="F22" s="103"/>
      <c r="G22" s="103"/>
      <c r="H22" s="103"/>
      <c r="I22" s="103"/>
      <c r="J22" s="103"/>
      <c r="K22" s="103"/>
      <c r="L22" s="103"/>
      <c r="M22" s="103"/>
    </row>
    <row r="23" spans="1:13" ht="26.25" thickBot="1" x14ac:dyDescent="0.3">
      <c r="A23" s="224" t="s">
        <v>836</v>
      </c>
      <c r="B23" s="227">
        <f>COUNTIFS(Tabla1[GESTANTES ACTUALES],"ACTIVA INGRESO A CPN",Tabla1[Alarma de apoyo Tamizaje VIH],"COMPLETO",Tabla1[ASEGURADORA],$A$13)</f>
        <v>0</v>
      </c>
      <c r="C23" s="250" t="str">
        <f>IFERROR(SUM(B23/B24),"")</f>
        <v/>
      </c>
      <c r="D23" s="227">
        <f>COUNTIFS(Tabla1[GESTANTES ACTUALES],"ACTIVA INGRESO A CPN",Tabla1[Alarma de apoyo Tamizaje VIH],"COMPLETO")</f>
        <v>0</v>
      </c>
      <c r="E23" s="250" t="str">
        <f>IFERROR(SUM(D23/D24),"")</f>
        <v/>
      </c>
      <c r="F23" s="103"/>
      <c r="G23" s="103"/>
      <c r="H23" s="103"/>
      <c r="I23" s="103"/>
      <c r="J23" s="103"/>
      <c r="K23" s="103"/>
      <c r="L23" s="103"/>
      <c r="M23" s="103"/>
    </row>
    <row r="24" spans="1:13" ht="15.75" thickBot="1" x14ac:dyDescent="0.3">
      <c r="A24" s="75" t="s">
        <v>440</v>
      </c>
      <c r="B24" s="227">
        <f>COUNTIFS(Tabla1[GESTANTES ACTUALES],"ACTIVA INGRESO A CPN",Tabla1[ASEGURADORA],$A$13)</f>
        <v>0</v>
      </c>
      <c r="C24" s="251"/>
      <c r="D24" s="227">
        <f>COUNTIFS(Tabla1[GESTANTES ACTUALES],"ACTIVA INGRESO A CPN")</f>
        <v>0</v>
      </c>
      <c r="E24" s="251"/>
      <c r="F24" s="103"/>
      <c r="G24" s="103"/>
      <c r="H24" s="103"/>
      <c r="I24" s="103"/>
      <c r="J24" s="103"/>
      <c r="K24" s="103"/>
      <c r="L24" s="103"/>
      <c r="M24" s="103"/>
    </row>
    <row r="25" spans="1:13" ht="19.5" thickBot="1" x14ac:dyDescent="0.35">
      <c r="B25" s="246" t="s">
        <v>812</v>
      </c>
      <c r="C25" s="247"/>
      <c r="D25" s="248" t="s">
        <v>833</v>
      </c>
      <c r="E25" s="249"/>
      <c r="F25" s="103"/>
      <c r="G25" s="103"/>
      <c r="H25" s="103"/>
      <c r="I25" s="103"/>
      <c r="J25" s="103"/>
      <c r="K25" s="103"/>
      <c r="L25" s="103"/>
      <c r="M25" s="103"/>
    </row>
    <row r="26" spans="1:13" ht="26.25" thickBot="1" x14ac:dyDescent="0.3">
      <c r="A26" s="224" t="s">
        <v>835</v>
      </c>
      <c r="B26" s="227">
        <f>COUNTIFS(Tabla1[GESTANTES ACTUALES],"ACTIVA INGRESO A CPN",Tabla1[SEMANAS DE GESTACION ACTUALIZADAS],"&gt;36",Tabla1[SEMANAS DE GESTACION ACTUALIZADAS],"&lt;44",Tabla1[FECHA DE CONCERTACIÓN PLAN DE PARTO (Soporte HC)],"&lt;&gt;",Tabla1[ASEGURADORA],$A$13)</f>
        <v>0</v>
      </c>
      <c r="C26" s="250" t="str">
        <f>IFERROR(SUM(B26/B27),"")</f>
        <v/>
      </c>
      <c r="D26" s="227">
        <f>COUNTIFS(Tabla1[GESTANTES ACTUALES],"ACTIVA INGRESO A CPN",Tabla1[SEMANAS DE GESTACION ACTUALIZADAS],"&gt;36",Tabla1[SEMANAS DE GESTACION ACTUALIZADAS],"&lt;44",Tabla1[FECHA DE CONCERTACIÓN PLAN DE PARTO (Soporte HC)],"&lt;&gt;")</f>
        <v>0</v>
      </c>
      <c r="E26" s="250" t="str">
        <f>IFERROR(SUM(D26/D27),"")</f>
        <v/>
      </c>
      <c r="F26" s="103"/>
      <c r="G26" s="103"/>
      <c r="H26" s="103"/>
      <c r="I26" s="103"/>
      <c r="J26" s="103"/>
      <c r="K26" s="103"/>
      <c r="L26" s="103"/>
      <c r="M26" s="103"/>
    </row>
    <row r="27" spans="1:13" ht="15.75" thickBot="1" x14ac:dyDescent="0.3">
      <c r="A27" s="75" t="s">
        <v>834</v>
      </c>
      <c r="B27" s="227">
        <f>COUNTIFS(Tabla1[GESTANTES ACTUALES],"ACTIVA INGRESO A CPN",Tabla1[SEMANAS DE GESTACION ACTUALIZADAS],"&gt;36",Tabla1[SEMANAS DE GESTACION ACTUALIZADAS],"&lt;44",Tabla1[ASEGURADORA],$A$13)</f>
        <v>0</v>
      </c>
      <c r="C27" s="251"/>
      <c r="D27" s="227">
        <f>COUNTIFS(Tabla1[GESTANTES ACTUALES],"ACTIVA INGRESO A CPN",Tabla1[SEMANAS DE GESTACION ACTUALIZADAS],"&gt;36",Tabla1[SEMANAS DE GESTACION ACTUALIZADAS],"&lt;44")</f>
        <v>0</v>
      </c>
      <c r="E27" s="251"/>
      <c r="F27" s="103"/>
      <c r="G27" s="103"/>
      <c r="H27" s="103"/>
      <c r="I27" s="103"/>
      <c r="J27" s="103"/>
      <c r="K27" s="103"/>
      <c r="L27" s="103"/>
      <c r="M27" s="103"/>
    </row>
    <row r="28" spans="1:13" ht="19.5" thickBot="1" x14ac:dyDescent="0.35">
      <c r="B28" s="246" t="s">
        <v>812</v>
      </c>
      <c r="C28" s="247"/>
      <c r="D28" s="248" t="s">
        <v>833</v>
      </c>
      <c r="E28" s="249"/>
      <c r="F28" s="103"/>
      <c r="G28" s="103"/>
      <c r="H28" s="103"/>
      <c r="I28" s="103"/>
      <c r="J28" s="103"/>
      <c r="K28" s="103"/>
      <c r="L28" s="103"/>
      <c r="M28" s="103"/>
    </row>
    <row r="29" spans="1:13" ht="26.25" thickBot="1" x14ac:dyDescent="0.3">
      <c r="A29" s="235" t="s">
        <v>850</v>
      </c>
      <c r="B29" s="227">
        <f>COUNTIFS(Tabla1[GESTANTES ACTUALES],"ACTIVA INGRESO A CPN",Tabla1[SEMANAS DE GESTACION ACTUALIZADAS],"&gt;36",Tabla1[SEMANAS DE GESTACION ACTUALIZADAS],"&lt;44",Tabla1[FECHA VACUNA DPT ACELULAR],"&lt;&gt;",Tabla1[ASEGURADORA],$A$13)</f>
        <v>0</v>
      </c>
      <c r="C29" s="250" t="str">
        <f>IFERROR(SUM(B29/B30),"")</f>
        <v/>
      </c>
      <c r="D29" s="227">
        <f>COUNTIFS(Tabla1[GESTANTES ACTUALES],"ACTIVA INGRESO A CPN",Tabla1[SEMANAS DE GESTACION ACTUALIZADAS],"&gt;36",Tabla1[SEMANAS DE GESTACION ACTUALIZADAS],"&lt;44",Tabla1[FECHA VACUNA DPT ACELULAR],"&lt;&gt;")</f>
        <v>0</v>
      </c>
      <c r="E29" s="250" t="str">
        <f>IFERROR(SUM(D29/D30),"")</f>
        <v/>
      </c>
      <c r="F29" s="103"/>
      <c r="G29" s="103"/>
      <c r="H29" s="103"/>
      <c r="I29" s="103"/>
      <c r="J29" s="103"/>
      <c r="K29" s="103"/>
      <c r="L29" s="103"/>
      <c r="M29" s="103"/>
    </row>
    <row r="30" spans="1:13" ht="15.75" thickBot="1" x14ac:dyDescent="0.3">
      <c r="A30" s="75" t="s">
        <v>834</v>
      </c>
      <c r="B30" s="227">
        <f>COUNTIFS(Tabla1[GESTANTES ACTUALES],"ACTIVA INGRESO A CPN",Tabla1[SEMANAS DE GESTACION ACTUALIZADAS],"&gt;36",Tabla1[SEMANAS DE GESTACION ACTUALIZADAS],"&lt;44",Tabla1[ASEGURADORA],$A$13)</f>
        <v>0</v>
      </c>
      <c r="C30" s="251"/>
      <c r="D30" s="227">
        <f>COUNTIFS(Tabla1[GESTANTES ACTUALES],"ACTIVA INGRESO A CPN",Tabla1[SEMANAS DE GESTACION ACTUALIZADAS],"&gt;36",Tabla1[SEMANAS DE GESTACION ACTUALIZADAS],"&lt;44")</f>
        <v>0</v>
      </c>
      <c r="E30" s="251"/>
      <c r="F30" s="103"/>
      <c r="G30" s="103"/>
      <c r="H30" s="103"/>
      <c r="I30" s="103"/>
      <c r="J30" s="103"/>
      <c r="K30" s="103"/>
      <c r="L30" s="103"/>
      <c r="M30" s="103"/>
    </row>
    <row r="31" spans="1:13" x14ac:dyDescent="0.25">
      <c r="C31" s="103"/>
      <c r="D31" s="103"/>
      <c r="E31" s="103"/>
      <c r="F31" s="103"/>
      <c r="G31" s="103"/>
      <c r="H31" s="103"/>
      <c r="I31" s="103"/>
      <c r="J31" s="103"/>
      <c r="K31" s="103"/>
      <c r="L31" s="103"/>
      <c r="M31" s="103"/>
    </row>
    <row r="32" spans="1:13" x14ac:dyDescent="0.25">
      <c r="C32" s="103"/>
      <c r="D32" s="103"/>
      <c r="E32" s="103"/>
      <c r="F32" s="103"/>
      <c r="G32" s="103"/>
      <c r="H32" s="103"/>
      <c r="I32" s="103"/>
      <c r="J32" s="103"/>
      <c r="K32" s="103"/>
      <c r="L32" s="103"/>
      <c r="M32" s="103"/>
    </row>
    <row r="33" spans="1:14" x14ac:dyDescent="0.25">
      <c r="A33" s="104" t="s">
        <v>647</v>
      </c>
      <c r="B33" s="103"/>
      <c r="C33" s="103"/>
      <c r="D33" s="103"/>
      <c r="E33" s="103"/>
      <c r="F33" s="103"/>
      <c r="G33" s="103"/>
      <c r="H33" s="103"/>
      <c r="I33" s="103"/>
      <c r="J33" s="103"/>
      <c r="K33" s="103"/>
      <c r="L33" s="103"/>
      <c r="M33" s="103"/>
    </row>
    <row r="34" spans="1:14" ht="15.75" thickBot="1" x14ac:dyDescent="0.3">
      <c r="A34" s="72"/>
      <c r="B34" s="73"/>
      <c r="C34" s="73"/>
      <c r="D34" s="73"/>
      <c r="E34" s="73"/>
      <c r="F34" s="73"/>
      <c r="G34" s="73"/>
      <c r="H34" s="73"/>
      <c r="I34" s="73"/>
      <c r="J34" s="73"/>
      <c r="K34" s="73"/>
      <c r="L34" s="73"/>
      <c r="M34" s="73"/>
    </row>
    <row r="35" spans="1:14" ht="16.5" thickBot="1" x14ac:dyDescent="0.3">
      <c r="A35" s="109" t="s">
        <v>444</v>
      </c>
      <c r="B35" s="111" t="s">
        <v>398</v>
      </c>
      <c r="C35" s="112" t="s">
        <v>399</v>
      </c>
      <c r="D35" s="112" t="s">
        <v>400</v>
      </c>
      <c r="E35" s="112" t="s">
        <v>401</v>
      </c>
      <c r="F35" s="112" t="s">
        <v>402</v>
      </c>
      <c r="G35" s="112" t="s">
        <v>403</v>
      </c>
      <c r="H35" s="112" t="s">
        <v>404</v>
      </c>
      <c r="I35" s="112" t="s">
        <v>405</v>
      </c>
      <c r="J35" s="112" t="s">
        <v>406</v>
      </c>
      <c r="K35" s="112" t="s">
        <v>407</v>
      </c>
      <c r="L35" s="112" t="s">
        <v>408</v>
      </c>
      <c r="M35" s="114" t="s">
        <v>409</v>
      </c>
      <c r="N35" s="258" t="s">
        <v>456</v>
      </c>
    </row>
    <row r="36" spans="1:14" ht="15.75" thickBot="1" x14ac:dyDescent="0.3">
      <c r="A36" s="110" t="s">
        <v>410</v>
      </c>
      <c r="B36" s="111">
        <v>1</v>
      </c>
      <c r="C36" s="112">
        <v>2</v>
      </c>
      <c r="D36" s="112">
        <v>3</v>
      </c>
      <c r="E36" s="112">
        <v>4</v>
      </c>
      <c r="F36" s="112">
        <v>5</v>
      </c>
      <c r="G36" s="112">
        <v>6</v>
      </c>
      <c r="H36" s="112">
        <v>7</v>
      </c>
      <c r="I36" s="112">
        <v>8</v>
      </c>
      <c r="J36" s="112">
        <v>9</v>
      </c>
      <c r="K36" s="112">
        <v>10</v>
      </c>
      <c r="L36" s="112">
        <v>11</v>
      </c>
      <c r="M36" s="113">
        <v>12</v>
      </c>
      <c r="N36" s="259"/>
    </row>
    <row r="37" spans="1:14" ht="25.5" x14ac:dyDescent="0.25">
      <c r="A37" s="120" t="s">
        <v>648</v>
      </c>
      <c r="B37" s="115">
        <f>COUNTIFS(Tabla1[AÑO3 INGRESO CPN],$B$4,Tabla1[MES2 INGRESO CPN],B6,Tabla1[NOVEDAD AL MOMENTO DE LA IDENTIFICACIÓN Y/O CAPTACIÓN ],$A$33)</f>
        <v>0</v>
      </c>
      <c r="C37" s="115">
        <f>COUNTIFS(Tabla1[AÑO3 INGRESO CPN],$B$4,Tabla1[MES2 INGRESO CPN],C6,Tabla1[NOVEDAD AL MOMENTO DE LA IDENTIFICACIÓN Y/O CAPTACIÓN ],$A$33)</f>
        <v>0</v>
      </c>
      <c r="D37" s="115">
        <f>COUNTIFS(Tabla1[AÑO3 INGRESO CPN],$B$4,Tabla1[MES2 INGRESO CPN],D6,Tabla1[NOVEDAD AL MOMENTO DE LA IDENTIFICACIÓN Y/O CAPTACIÓN ],$A$33)</f>
        <v>0</v>
      </c>
      <c r="E37" s="115">
        <f>COUNTIFS(Tabla1[AÑO3 INGRESO CPN],$B$4,Tabla1[MES2 INGRESO CPN],E6,Tabla1[NOVEDAD AL MOMENTO DE LA IDENTIFICACIÓN Y/O CAPTACIÓN ],$A$33)</f>
        <v>0</v>
      </c>
      <c r="F37" s="115">
        <f>COUNTIFS(Tabla1[AÑO3 INGRESO CPN],$B$4,Tabla1[MES2 INGRESO CPN],F6,Tabla1[NOVEDAD AL MOMENTO DE LA IDENTIFICACIÓN Y/O CAPTACIÓN ],$A$33)</f>
        <v>0</v>
      </c>
      <c r="G37" s="115">
        <f>COUNTIFS(Tabla1[AÑO3 INGRESO CPN],$B$4,Tabla1[MES2 INGRESO CPN],G6,Tabla1[NOVEDAD AL MOMENTO DE LA IDENTIFICACIÓN Y/O CAPTACIÓN ],$A$33)</f>
        <v>0</v>
      </c>
      <c r="H37" s="115">
        <f>COUNTIFS(Tabla1[AÑO3 INGRESO CPN],$B$4,Tabla1[MES2 INGRESO CPN],H6,Tabla1[NOVEDAD AL MOMENTO DE LA IDENTIFICACIÓN Y/O CAPTACIÓN ],$A$33)</f>
        <v>0</v>
      </c>
      <c r="I37" s="115">
        <f>COUNTIFS(Tabla1[AÑO3 INGRESO CPN],$B$4,Tabla1[MES2 INGRESO CPN],I6,Tabla1[NOVEDAD AL MOMENTO DE LA IDENTIFICACIÓN Y/O CAPTACIÓN ],$A$33)</f>
        <v>0</v>
      </c>
      <c r="J37" s="115">
        <f>COUNTIFS(Tabla1[AÑO3 INGRESO CPN],$B$4,Tabla1[MES2 INGRESO CPN],J6,Tabla1[NOVEDAD AL MOMENTO DE LA IDENTIFICACIÓN Y/O CAPTACIÓN ],$A$33)</f>
        <v>0</v>
      </c>
      <c r="K37" s="115">
        <f>COUNTIFS(Tabla1[AÑO3 INGRESO CPN],$B$4,Tabla1[MES2 INGRESO CPN],K6,Tabla1[NOVEDAD AL MOMENTO DE LA IDENTIFICACIÓN Y/O CAPTACIÓN ],$A$33)</f>
        <v>0</v>
      </c>
      <c r="L37" s="115">
        <f>COUNTIFS(Tabla1[AÑO3 INGRESO CPN],$B$4,Tabla1[MES2 INGRESO CPN],L6,Tabla1[NOVEDAD AL MOMENTO DE LA IDENTIFICACIÓN Y/O CAPTACIÓN ],$A$33)</f>
        <v>0</v>
      </c>
      <c r="M37" s="115">
        <f>COUNTIFS(Tabla1[AÑO3 INGRESO CPN],$B$4,Tabla1[MES2 INGRESO CPN],M6,Tabla1[NOVEDAD AL MOMENTO DE LA IDENTIFICACIÓN Y/O CAPTACIÓN ],$A$33)</f>
        <v>0</v>
      </c>
      <c r="N37" s="121">
        <f>SUM(B37:M37)</f>
        <v>0</v>
      </c>
    </row>
    <row r="38" spans="1:14" ht="26.25" thickBot="1" x14ac:dyDescent="0.3">
      <c r="A38" s="122" t="s">
        <v>837</v>
      </c>
      <c r="B38" s="116">
        <f>COUNTIFS(Tabla1[AÑO3 INGRESO CPN],$B$4,Tabla1[MES2 INGRESO CPN],B6,Tabla1[TRIMESTRE DE  INGRESO AL CPN],"I TRIM",Tabla1[NOVEDAD AL MOMENTO DE LA IDENTIFICACIÓN Y/O CAPTACIÓN ],$A$33)</f>
        <v>0</v>
      </c>
      <c r="C38" s="116">
        <f>COUNTIFS(Tabla1[AÑO3 INGRESO CPN],$B$4,Tabla1[MES2 INGRESO CPN],C6,Tabla1[TRIMESTRE DE  INGRESO AL CPN],"I TRIM",Tabla1[NOVEDAD AL MOMENTO DE LA IDENTIFICACIÓN Y/O CAPTACIÓN ],$A$33)</f>
        <v>0</v>
      </c>
      <c r="D38" s="116">
        <f>COUNTIFS(Tabla1[AÑO3 INGRESO CPN],$B$4,Tabla1[MES2 INGRESO CPN],D6,Tabla1[TRIMESTRE DE  INGRESO AL CPN],"I TRIM",Tabla1[NOVEDAD AL MOMENTO DE LA IDENTIFICACIÓN Y/O CAPTACIÓN ],$A$33)</f>
        <v>0</v>
      </c>
      <c r="E38" s="116">
        <f>COUNTIFS(Tabla1[AÑO3 INGRESO CPN],$B$4,Tabla1[MES2 INGRESO CPN],E6,Tabla1[TRIMESTRE DE  INGRESO AL CPN],"I TRIM",Tabla1[NOVEDAD AL MOMENTO DE LA IDENTIFICACIÓN Y/O CAPTACIÓN ],$A$33)</f>
        <v>0</v>
      </c>
      <c r="F38" s="116">
        <f>COUNTIFS(Tabla1[AÑO3 INGRESO CPN],$B$4,Tabla1[MES2 INGRESO CPN],F6,Tabla1[TRIMESTRE DE  INGRESO AL CPN],"I TRIM",Tabla1[NOVEDAD AL MOMENTO DE LA IDENTIFICACIÓN Y/O CAPTACIÓN ],$A$33)</f>
        <v>0</v>
      </c>
      <c r="G38" s="116">
        <f>COUNTIFS(Tabla1[AÑO3 INGRESO CPN],$B$4,Tabla1[MES2 INGRESO CPN],G6,Tabla1[TRIMESTRE DE  INGRESO AL CPN],"I TRIM",Tabla1[NOVEDAD AL MOMENTO DE LA IDENTIFICACIÓN Y/O CAPTACIÓN ],$A$33)</f>
        <v>0</v>
      </c>
      <c r="H38" s="116">
        <f>COUNTIFS(Tabla1[AÑO3 INGRESO CPN],$B$4,Tabla1[MES2 INGRESO CPN],H6,Tabla1[TRIMESTRE DE  INGRESO AL CPN],"I TRIM",Tabla1[NOVEDAD AL MOMENTO DE LA IDENTIFICACIÓN Y/O CAPTACIÓN ],$A$33)</f>
        <v>0</v>
      </c>
      <c r="I38" s="116">
        <f>COUNTIFS(Tabla1[AÑO3 INGRESO CPN],$B$4,Tabla1[MES2 INGRESO CPN],I6,Tabla1[TRIMESTRE DE  INGRESO AL CPN],"I TRIM",Tabla1[NOVEDAD AL MOMENTO DE LA IDENTIFICACIÓN Y/O CAPTACIÓN ],$A$33)</f>
        <v>0</v>
      </c>
      <c r="J38" s="116">
        <f>COUNTIFS(Tabla1[AÑO3 INGRESO CPN],$B$4,Tabla1[MES2 INGRESO CPN],J6,Tabla1[TRIMESTRE DE  INGRESO AL CPN],"I TRIM",Tabla1[NOVEDAD AL MOMENTO DE LA IDENTIFICACIÓN Y/O CAPTACIÓN ],$A$33)</f>
        <v>0</v>
      </c>
      <c r="K38" s="116">
        <f>COUNTIFS(Tabla1[AÑO3 INGRESO CPN],$B$4,Tabla1[MES2 INGRESO CPN],K6,Tabla1[TRIMESTRE DE  INGRESO AL CPN],"I TRIM",Tabla1[NOVEDAD AL MOMENTO DE LA IDENTIFICACIÓN Y/O CAPTACIÓN ],$A$33)</f>
        <v>0</v>
      </c>
      <c r="L38" s="116">
        <f>COUNTIFS(Tabla1[AÑO3 INGRESO CPN],$B$4,Tabla1[MES2 INGRESO CPN],L6,Tabla1[TRIMESTRE DE  INGRESO AL CPN],"I TRIM",Tabla1[NOVEDAD AL MOMENTO DE LA IDENTIFICACIÓN Y/O CAPTACIÓN ],$A$33)</f>
        <v>0</v>
      </c>
      <c r="M38" s="116">
        <f>COUNTIFS(Tabla1[AÑO3 INGRESO CPN],$B$4,Tabla1[MES2 INGRESO CPN],M6,Tabla1[TRIMESTRE DE  INGRESO AL CPN],"I TRIM",Tabla1[NOVEDAD AL MOMENTO DE LA IDENTIFICACIÓN Y/O CAPTACIÓN ],$A$33)</f>
        <v>0</v>
      </c>
      <c r="N38" s="123">
        <f>SUM(B38:M38)</f>
        <v>0</v>
      </c>
    </row>
    <row r="39" spans="1:14" ht="15.75" thickBot="1" x14ac:dyDescent="0.3">
      <c r="A39" s="106" t="s">
        <v>649</v>
      </c>
      <c r="B39" s="117" t="str">
        <f>IF(B37=0,"",SUM(B38/B37))</f>
        <v/>
      </c>
      <c r="C39" s="118" t="str">
        <f>IF(C37=0,"",SUM(C38/C37))</f>
        <v/>
      </c>
      <c r="D39" s="118" t="str">
        <f t="shared" ref="D39:N39" si="1">IF(D37=0,"",SUM(D38/D37))</f>
        <v/>
      </c>
      <c r="E39" s="118" t="str">
        <f t="shared" si="1"/>
        <v/>
      </c>
      <c r="F39" s="118" t="str">
        <f t="shared" si="1"/>
        <v/>
      </c>
      <c r="G39" s="118" t="str">
        <f t="shared" si="1"/>
        <v/>
      </c>
      <c r="H39" s="118" t="str">
        <f t="shared" si="1"/>
        <v/>
      </c>
      <c r="I39" s="118" t="str">
        <f t="shared" si="1"/>
        <v/>
      </c>
      <c r="J39" s="118" t="str">
        <f t="shared" si="1"/>
        <v/>
      </c>
      <c r="K39" s="118" t="str">
        <f t="shared" si="1"/>
        <v/>
      </c>
      <c r="L39" s="118" t="str">
        <f t="shared" si="1"/>
        <v/>
      </c>
      <c r="M39" s="118" t="str">
        <f t="shared" si="1"/>
        <v/>
      </c>
      <c r="N39" s="119" t="str">
        <f t="shared" si="1"/>
        <v/>
      </c>
    </row>
    <row r="40" spans="1:14" ht="31.5" customHeight="1" x14ac:dyDescent="0.25">
      <c r="A40" s="120" t="s">
        <v>650</v>
      </c>
      <c r="B40" s="115">
        <f>COUNTIFS(Tabla1[AÑO3 INGRESO CPN],$B$4,Tabla1[MES2 INGRESO CPN],$B$6)</f>
        <v>0</v>
      </c>
      <c r="C40" s="115">
        <f>COUNTIFS(Tabla1[AÑO3 INGRESO CPN],B4,Tabla1[MES2 INGRESO CPN],C6)</f>
        <v>0</v>
      </c>
      <c r="D40" s="115">
        <f>COUNTIFS(Tabla1[AÑO3 INGRESO CPN],B4,Tabla1[MES2 INGRESO CPN],D6)</f>
        <v>0</v>
      </c>
      <c r="E40" s="115">
        <f>COUNTIFS(Tabla1[AÑO3 INGRESO CPN],B4,Tabla1[MES2 INGRESO CPN],E6)</f>
        <v>1</v>
      </c>
      <c r="F40" s="115">
        <f>COUNTIFS(Tabla1[AÑO3 INGRESO CPN],B4,Tabla1[MES2 INGRESO CPN],F6)</f>
        <v>0</v>
      </c>
      <c r="G40" s="115">
        <f>COUNTIFS(Tabla1[AÑO3 INGRESO CPN],B4,Tabla1[MES2 INGRESO CPN],G6)</f>
        <v>2</v>
      </c>
      <c r="H40" s="115">
        <f>COUNTIFS(Tabla1[AÑO3 INGRESO CPN],B4,Tabla1[MES2 INGRESO CPN],H6)</f>
        <v>0</v>
      </c>
      <c r="I40" s="115">
        <f>COUNTIFS(Tabla1[AÑO3 INGRESO CPN],B4,Tabla1[MES2 INGRESO CPN],I6)</f>
        <v>0</v>
      </c>
      <c r="J40" s="115">
        <f>COUNTIFS(Tabla1[AÑO3 INGRESO CPN],B4,Tabla1[MES2 INGRESO CPN],J6)</f>
        <v>0</v>
      </c>
      <c r="K40" s="115">
        <f>COUNTIFS(Tabla1[AÑO3 INGRESO CPN],B4,Tabla1[MES2 INGRESO CPN],K6)</f>
        <v>0</v>
      </c>
      <c r="L40" s="115">
        <f>COUNTIFS(Tabla1[AÑO3 INGRESO CPN],B4,Tabla1[MES2 INGRESO CPN],L6)</f>
        <v>0</v>
      </c>
      <c r="M40" s="115">
        <f>COUNTIFS(Tabla1[AÑO3 INGRESO CPN],B4,Tabla1[MES2 INGRESO CPN],M6)</f>
        <v>0</v>
      </c>
      <c r="N40" s="124">
        <f>SUM(B40:M40)</f>
        <v>3</v>
      </c>
    </row>
    <row r="41" spans="1:14" ht="31.5" customHeight="1" thickBot="1" x14ac:dyDescent="0.3">
      <c r="A41" s="122" t="s">
        <v>411</v>
      </c>
      <c r="B41" s="116">
        <f>COUNTIFS(Tabla1[AÑO3 INGRESO CPN],$B$4,Tabla1[MES2 INGRESO CPN],$B$6,Tabla1[TRIMESTRE DE  INGRESO AL CPN],"I TRIM")</f>
        <v>0</v>
      </c>
      <c r="C41" s="116">
        <f>COUNTIFS(Tabla1[AÑO3 INGRESO CPN],B4,Tabla1[MES2 INGRESO CPN],C6,Tabla1[TRIMESTRE DE  INGRESO AL CPN],"I TRIM")</f>
        <v>0</v>
      </c>
      <c r="D41" s="116">
        <f>COUNTIFS(Tabla1[AÑO3 INGRESO CPN],B4,Tabla1[MES2 INGRESO CPN],D6,Tabla1[TRIMESTRE DE  INGRESO AL CPN],"I TRIM")</f>
        <v>0</v>
      </c>
      <c r="E41" s="116">
        <f>COUNTIFS(Tabla1[AÑO3 INGRESO CPN],B4,Tabla1[MES2 INGRESO CPN],E6,Tabla1[TRIMESTRE DE  INGRESO AL CPN],"I TRIM")</f>
        <v>1</v>
      </c>
      <c r="F41" s="116">
        <f>COUNTIFS(Tabla1[AÑO3 INGRESO CPN],B4,Tabla1[MES2 INGRESO CPN],F6,Tabla1[TRIMESTRE DE  INGRESO AL CPN],"I TRIM")</f>
        <v>0</v>
      </c>
      <c r="G41" s="116">
        <f>COUNTIFS(Tabla1[AÑO3 INGRESO CPN],B4,Tabla1[MES2 INGRESO CPN],G6,Tabla1[TRIMESTRE DE  INGRESO AL CPN],"I TRIM")</f>
        <v>2</v>
      </c>
      <c r="H41" s="116">
        <f>COUNTIFS(Tabla1[AÑO3 INGRESO CPN],B4,Tabla1[MES2 INGRESO CPN],H6,Tabla1[TRIMESTRE DE  INGRESO AL CPN],"I TRIM")</f>
        <v>0</v>
      </c>
      <c r="I41" s="116">
        <f>COUNTIFS(Tabla1[AÑO3 INGRESO CPN],B4,Tabla1[MES2 INGRESO CPN],I6,Tabla1[TRIMESTRE DE  INGRESO AL CPN],"I TRIM")</f>
        <v>0</v>
      </c>
      <c r="J41" s="116">
        <f>COUNTIFS(Tabla1[AÑO3 INGRESO CPN],B4,Tabla1[MES2 INGRESO CPN],J6,Tabla1[TRIMESTRE DE  INGRESO AL CPN],"I TRIM")</f>
        <v>0</v>
      </c>
      <c r="K41" s="116">
        <f>COUNTIFS(Tabla1[AÑO3 INGRESO CPN],B4,Tabla1[MES2 INGRESO CPN],K6,Tabla1[TRIMESTRE DE  INGRESO AL CPN],"I TRIM")</f>
        <v>0</v>
      </c>
      <c r="L41" s="116">
        <f>COUNTIFS(Tabla1[AÑO3 INGRESO CPN],B4,Tabla1[MES2 INGRESO CPN],L6,Tabla1[TRIMESTRE DE  INGRESO AL CPN],"I TRIM")</f>
        <v>0</v>
      </c>
      <c r="M41" s="116">
        <f>COUNTIFS(Tabla1[AÑO3 INGRESO CPN],B4,Tabla1[MES2 INGRESO CPN],M6,Tabla1[TRIMESTRE DE  INGRESO AL CPN],"I TRIM")</f>
        <v>0</v>
      </c>
      <c r="N41" s="125">
        <f>SUM(B41:M41)</f>
        <v>3</v>
      </c>
    </row>
    <row r="42" spans="1:14" ht="31.5" customHeight="1" thickBot="1" x14ac:dyDescent="0.3">
      <c r="A42" s="107" t="s">
        <v>666</v>
      </c>
      <c r="B42" s="117" t="str">
        <f>IF($B$40=0,"",SUM(B41/$B$40))</f>
        <v/>
      </c>
      <c r="C42" s="118" t="str">
        <f t="shared" ref="C42:N42" si="2">IF(C40=0,"",SUM(C41/C40))</f>
        <v/>
      </c>
      <c r="D42" s="118" t="str">
        <f t="shared" si="2"/>
        <v/>
      </c>
      <c r="E42" s="118">
        <f t="shared" si="2"/>
        <v>1</v>
      </c>
      <c r="F42" s="118" t="str">
        <f t="shared" si="2"/>
        <v/>
      </c>
      <c r="G42" s="118">
        <f t="shared" si="2"/>
        <v>1</v>
      </c>
      <c r="H42" s="118" t="str">
        <f t="shared" si="2"/>
        <v/>
      </c>
      <c r="I42" s="118" t="str">
        <f t="shared" si="2"/>
        <v/>
      </c>
      <c r="J42" s="118" t="str">
        <f t="shared" si="2"/>
        <v/>
      </c>
      <c r="K42" s="118" t="str">
        <f t="shared" si="2"/>
        <v/>
      </c>
      <c r="L42" s="118" t="str">
        <f t="shared" si="2"/>
        <v/>
      </c>
      <c r="M42" s="118" t="str">
        <f t="shared" si="2"/>
        <v/>
      </c>
      <c r="N42" s="119">
        <f t="shared" si="2"/>
        <v>1</v>
      </c>
    </row>
    <row r="43" spans="1:14" ht="31.5" customHeight="1" thickBot="1" x14ac:dyDescent="0.3">
      <c r="A43" s="140" t="s">
        <v>668</v>
      </c>
      <c r="B43" s="143">
        <f>COUNTIFS(Tabla1[AÑO3 INGRESO CPN],$B$4,Tabla1[MES2 INGRESO CPN],$B$6,Tabla1[CAPTACIÓN A SEMANA 10],"I TRIM")</f>
        <v>0</v>
      </c>
      <c r="C43" s="143">
        <f>COUNTIFS(Tabla1[AÑO3 INGRESO CPN],B4,Tabla1[MES2 INGRESO CPN],C6,Tabla1[CAPTACIÓN A SEMANA 10],"I TRIM")</f>
        <v>0</v>
      </c>
      <c r="D43" s="143">
        <f>COUNTIFS(Tabla1[AÑO3 INGRESO CPN],B4,Tabla1[MES2 INGRESO CPN],D6,Tabla1[CAPTACIÓN A SEMANA 10],"I TRIM")</f>
        <v>0</v>
      </c>
      <c r="E43" s="143">
        <f>COUNTIFS(Tabla1[AÑO3 INGRESO CPN],B4,Tabla1[MES2 INGRESO CPN],E5,Tabla1[CAPTACIÓN A SEMANA 10],"I TRIM")</f>
        <v>0</v>
      </c>
      <c r="F43" s="143">
        <f>COUNTIFS(Tabla1[AÑO3 INGRESO CPN],B4,Tabla1[MES2 INGRESO CPN],F6,Tabla1[CAPTACIÓN A SEMANA 10],"I TRIM")</f>
        <v>0</v>
      </c>
      <c r="G43" s="143">
        <f>COUNTIFS(Tabla1[AÑO3 INGRESO CPN],B4,Tabla1[MES2 INGRESO CPN],G6,Tabla1[CAPTACIÓN A SEMANA 10],"I TRIM")</f>
        <v>0</v>
      </c>
      <c r="H43" s="143">
        <f>COUNTIFS(Tabla1[AÑO3 INGRESO CPN],B4,Tabla1[MES2 INGRESO CPN],H6,Tabla1[CAPTACIÓN A SEMANA 10],"I TRIM")</f>
        <v>0</v>
      </c>
      <c r="I43" s="143">
        <f>COUNTIFS(Tabla1[AÑO3 INGRESO CPN],B4,Tabla1[MES2 INGRESO CPN],I6,Tabla1[CAPTACIÓN A SEMANA 10],"I TRIM")</f>
        <v>0</v>
      </c>
      <c r="J43" s="143">
        <f>COUNTIFS(Tabla1[AÑO3 INGRESO CPN],B4,Tabla1[MES2 INGRESO CPN],J6,Tabla1[CAPTACIÓN A SEMANA 10],"I TRIM")</f>
        <v>0</v>
      </c>
      <c r="K43" s="143">
        <f>COUNTIFS(Tabla1[AÑO3 INGRESO CPN],B4,Tabla1[MES2 INGRESO CPN],K6,Tabla1[CAPTACIÓN A SEMANA 10],"I TRIM")</f>
        <v>0</v>
      </c>
      <c r="L43" s="143">
        <f>COUNTIFS(Tabla1[AÑO3 INGRESO CPN],B4,Tabla1[MES2 INGRESO CPN],L6,Tabla1[CAPTACIÓN A SEMANA 10],"I TRIM")</f>
        <v>0</v>
      </c>
      <c r="M43" s="143">
        <f>COUNTIFS(Tabla1[AÑO3 INGRESO CPN],B4,Tabla1[MES2 INGRESO CPN],M6,Tabla1[CAPTACIÓN A SEMANA 10],"I TRIM")</f>
        <v>0</v>
      </c>
      <c r="N43" s="125">
        <f>SUM(B43:M43)</f>
        <v>0</v>
      </c>
    </row>
    <row r="44" spans="1:14" ht="31.5" customHeight="1" thickBot="1" x14ac:dyDescent="0.3">
      <c r="A44" s="144" t="s">
        <v>667</v>
      </c>
      <c r="B44" s="117" t="str">
        <f>IF(B40=0,"",SUM(B43/B40))</f>
        <v/>
      </c>
      <c r="C44" s="118" t="str">
        <f t="shared" ref="C44:M44" si="3">IF(C40=0,"",SUM(C43/C40))</f>
        <v/>
      </c>
      <c r="D44" s="118" t="str">
        <f t="shared" si="3"/>
        <v/>
      </c>
      <c r="E44" s="118">
        <f t="shared" si="3"/>
        <v>0</v>
      </c>
      <c r="F44" s="118" t="str">
        <f t="shared" si="3"/>
        <v/>
      </c>
      <c r="G44" s="118">
        <f t="shared" si="3"/>
        <v>0</v>
      </c>
      <c r="H44" s="118" t="str">
        <f t="shared" si="3"/>
        <v/>
      </c>
      <c r="I44" s="118" t="str">
        <f t="shared" si="3"/>
        <v/>
      </c>
      <c r="J44" s="118" t="str">
        <f t="shared" si="3"/>
        <v/>
      </c>
      <c r="K44" s="118" t="str">
        <f t="shared" si="3"/>
        <v/>
      </c>
      <c r="L44" s="118" t="str">
        <f t="shared" si="3"/>
        <v/>
      </c>
      <c r="M44" s="118" t="str">
        <f t="shared" si="3"/>
        <v/>
      </c>
      <c r="N44" s="119">
        <f>IF(N40=0,"",SUM(N43/N40))</f>
        <v>0</v>
      </c>
    </row>
    <row r="45" spans="1:14" ht="31.5" customHeight="1" x14ac:dyDescent="0.25">
      <c r="A45" s="120" t="s">
        <v>651</v>
      </c>
      <c r="B45" s="115">
        <f>SUM(B40-B37)</f>
        <v>0</v>
      </c>
      <c r="C45" s="115">
        <f t="shared" ref="C45:M45" si="4">SUM(C40-C37)</f>
        <v>0</v>
      </c>
      <c r="D45" s="115">
        <f t="shared" si="4"/>
        <v>0</v>
      </c>
      <c r="E45" s="115">
        <f t="shared" si="4"/>
        <v>1</v>
      </c>
      <c r="F45" s="115">
        <f t="shared" si="4"/>
        <v>0</v>
      </c>
      <c r="G45" s="115">
        <f t="shared" si="4"/>
        <v>2</v>
      </c>
      <c r="H45" s="115">
        <f t="shared" si="4"/>
        <v>0</v>
      </c>
      <c r="I45" s="115">
        <f t="shared" si="4"/>
        <v>0</v>
      </c>
      <c r="J45" s="115">
        <f t="shared" si="4"/>
        <v>0</v>
      </c>
      <c r="K45" s="115">
        <f t="shared" si="4"/>
        <v>0</v>
      </c>
      <c r="L45" s="115">
        <f t="shared" si="4"/>
        <v>0</v>
      </c>
      <c r="M45" s="115">
        <f t="shared" si="4"/>
        <v>0</v>
      </c>
      <c r="N45" s="124">
        <f>SUM(B45:M45)</f>
        <v>3</v>
      </c>
    </row>
    <row r="46" spans="1:14" ht="31.5" customHeight="1" thickBot="1" x14ac:dyDescent="0.3">
      <c r="A46" s="122" t="s">
        <v>411</v>
      </c>
      <c r="B46" s="116">
        <f>+B41-B38</f>
        <v>0</v>
      </c>
      <c r="C46" s="116">
        <f t="shared" ref="C46:M46" si="5">+C41-C38</f>
        <v>0</v>
      </c>
      <c r="D46" s="116">
        <f t="shared" si="5"/>
        <v>0</v>
      </c>
      <c r="E46" s="116">
        <f t="shared" si="5"/>
        <v>1</v>
      </c>
      <c r="F46" s="116">
        <f t="shared" si="5"/>
        <v>0</v>
      </c>
      <c r="G46" s="116">
        <f t="shared" si="5"/>
        <v>2</v>
      </c>
      <c r="H46" s="116">
        <f t="shared" si="5"/>
        <v>0</v>
      </c>
      <c r="I46" s="116">
        <f t="shared" si="5"/>
        <v>0</v>
      </c>
      <c r="J46" s="116">
        <f t="shared" si="5"/>
        <v>0</v>
      </c>
      <c r="K46" s="116">
        <f t="shared" si="5"/>
        <v>0</v>
      </c>
      <c r="L46" s="116">
        <f t="shared" si="5"/>
        <v>0</v>
      </c>
      <c r="M46" s="116">
        <f t="shared" si="5"/>
        <v>0</v>
      </c>
      <c r="N46" s="125">
        <f>SUM(B46:M46)</f>
        <v>3</v>
      </c>
    </row>
    <row r="47" spans="1:14" ht="31.5" customHeight="1" thickBot="1" x14ac:dyDescent="0.3">
      <c r="A47" s="108" t="s">
        <v>652</v>
      </c>
      <c r="B47" s="117" t="str">
        <f>IF(B45=0,"",SUM(B46/B45))</f>
        <v/>
      </c>
      <c r="C47" s="118" t="str">
        <f t="shared" ref="C47:M47" si="6">IF(C45=0,"",SUM(C46/C45))</f>
        <v/>
      </c>
      <c r="D47" s="118" t="str">
        <f t="shared" si="6"/>
        <v/>
      </c>
      <c r="E47" s="118">
        <f t="shared" si="6"/>
        <v>1</v>
      </c>
      <c r="F47" s="118" t="str">
        <f t="shared" si="6"/>
        <v/>
      </c>
      <c r="G47" s="118">
        <f t="shared" si="6"/>
        <v>1</v>
      </c>
      <c r="H47" s="118" t="str">
        <f t="shared" si="6"/>
        <v/>
      </c>
      <c r="I47" s="118" t="str">
        <f t="shared" si="6"/>
        <v/>
      </c>
      <c r="J47" s="118" t="str">
        <f t="shared" si="6"/>
        <v/>
      </c>
      <c r="K47" s="118" t="str">
        <f t="shared" si="6"/>
        <v/>
      </c>
      <c r="L47" s="118" t="str">
        <f t="shared" si="6"/>
        <v/>
      </c>
      <c r="M47" s="118" t="str">
        <f t="shared" si="6"/>
        <v/>
      </c>
      <c r="N47" s="119">
        <f>IF(N45=0,"",SUM(N46/N45))</f>
        <v>1</v>
      </c>
    </row>
    <row r="48" spans="1:14" ht="31.5" customHeight="1" thickBot="1" x14ac:dyDescent="0.3">
      <c r="A48" s="120" t="s">
        <v>778</v>
      </c>
      <c r="B48" s="115">
        <f>COUNTIFS(Tabla1[AÑO3 INGRESO CPN],$B$4,Tabla1[MES2 INGRESO CPN],B19,Tabla1[ATENCIÓN PRECONCEPCIONAL],"PROCESO COMPLETO DE ATENCIÓN")</f>
        <v>0</v>
      </c>
      <c r="C48" s="115">
        <f>COUNTIFS(Tabla1[AÑO3 INGRESO CPN],$B$4,Tabla1[MES2 INGRESO CPN],C19,Tabla1[ATENCIÓN PRECONCEPCIONAL],"PROCESO COMPLETO DE ATENCIÓN")</f>
        <v>0</v>
      </c>
      <c r="D48" s="115">
        <f>COUNTIFS(Tabla1[AÑO3 INGRESO CPN],$B$4,Tabla1[MES2 INGRESO CPN],D19,Tabla1[ATENCIÓN PRECONCEPCIONAL],"PROCESO COMPLETO DE ATENCIÓN")</f>
        <v>0</v>
      </c>
      <c r="E48" s="115">
        <f>COUNTIFS(Tabla1[AÑO3 INGRESO CPN],$B$4,Tabla1[MES2 INGRESO CPN],E19,Tabla1[ATENCIÓN PRECONCEPCIONAL],"PROCESO COMPLETO DE ATENCIÓN")</f>
        <v>0</v>
      </c>
      <c r="F48" s="115">
        <f>COUNTIFS(Tabla1[AÑO3 INGRESO CPN],$B$4,Tabla1[MES2 INGRESO CPN],F19,Tabla1[ATENCIÓN PRECONCEPCIONAL],"PROCESO COMPLETO DE ATENCIÓN")</f>
        <v>0</v>
      </c>
      <c r="G48" s="115">
        <f>COUNTIFS(Tabla1[AÑO3 INGRESO CPN],$B$4,Tabla1[MES2 INGRESO CPN],G19,Tabla1[ATENCIÓN PRECONCEPCIONAL],"PROCESO COMPLETO DE ATENCIÓN")</f>
        <v>0</v>
      </c>
      <c r="H48" s="115">
        <f>COUNTIFS(Tabla1[AÑO3 INGRESO CPN],$B$4,Tabla1[MES2 INGRESO CPN],H19,Tabla1[ATENCIÓN PRECONCEPCIONAL],"PROCESO COMPLETO DE ATENCIÓN")</f>
        <v>0</v>
      </c>
      <c r="I48" s="115">
        <f>COUNTIFS(Tabla1[AÑO3 INGRESO CPN],$B$4,Tabla1[MES2 INGRESO CPN],I19,Tabla1[ATENCIÓN PRECONCEPCIONAL],"PROCESO COMPLETO DE ATENCIÓN")</f>
        <v>0</v>
      </c>
      <c r="J48" s="115">
        <f>COUNTIFS(Tabla1[AÑO3 INGRESO CPN],$B$4,Tabla1[MES2 INGRESO CPN],J19,Tabla1[ATENCIÓN PRECONCEPCIONAL],"PROCESO COMPLETO DE ATENCIÓN")</f>
        <v>0</v>
      </c>
      <c r="K48" s="115">
        <f>COUNTIFS(Tabla1[AÑO3 INGRESO CPN],$B$4,Tabla1[MES2 INGRESO CPN],K19,Tabla1[ATENCIÓN PRECONCEPCIONAL],"PROCESO COMPLETO DE ATENCIÓN")</f>
        <v>0</v>
      </c>
      <c r="L48" s="115">
        <f>COUNTIFS(Tabla1[AÑO3 INGRESO CPN],$B$4,Tabla1[MES2 INGRESO CPN],L19,Tabla1[ATENCIÓN PRECONCEPCIONAL],"PROCESO COMPLETO DE ATENCIÓN")</f>
        <v>0</v>
      </c>
      <c r="M48" s="115">
        <f>COUNTIFS(Tabla1[AÑO3 INGRESO CPN],$B$4,Tabla1[MES2 INGRESO CPN],M19,Tabla1[ATENCIÓN PRECONCEPCIONAL],"PROCESO COMPLETO DE ATENCIÓN")</f>
        <v>0</v>
      </c>
      <c r="N48" s="121">
        <f>SUM(B48:M48)</f>
        <v>0</v>
      </c>
    </row>
    <row r="49" spans="1:14" ht="31.5" customHeight="1" thickBot="1" x14ac:dyDescent="0.3">
      <c r="A49" s="207" t="s">
        <v>777</v>
      </c>
      <c r="B49" s="117" t="str">
        <f t="shared" ref="B49:N49" si="7">IF(B53=0,"",SUM(B48/B53))</f>
        <v/>
      </c>
      <c r="C49" s="118" t="str">
        <f t="shared" si="7"/>
        <v/>
      </c>
      <c r="D49" s="118" t="str">
        <f t="shared" si="7"/>
        <v/>
      </c>
      <c r="E49" s="118" t="str">
        <f t="shared" si="7"/>
        <v/>
      </c>
      <c r="F49" s="118" t="str">
        <f t="shared" si="7"/>
        <v/>
      </c>
      <c r="G49" s="118" t="str">
        <f t="shared" si="7"/>
        <v/>
      </c>
      <c r="H49" s="118" t="str">
        <f t="shared" si="7"/>
        <v/>
      </c>
      <c r="I49" s="118" t="str">
        <f t="shared" si="7"/>
        <v/>
      </c>
      <c r="J49" s="118" t="str">
        <f t="shared" si="7"/>
        <v/>
      </c>
      <c r="K49" s="118" t="str">
        <f t="shared" si="7"/>
        <v/>
      </c>
      <c r="L49" s="118" t="str">
        <f t="shared" si="7"/>
        <v/>
      </c>
      <c r="M49" s="118" t="str">
        <f t="shared" si="7"/>
        <v/>
      </c>
      <c r="N49" s="119" t="str">
        <f t="shared" si="7"/>
        <v/>
      </c>
    </row>
    <row r="50" spans="1:14" ht="42" customHeight="1" x14ac:dyDescent="0.25">
      <c r="A50" s="231" t="s">
        <v>780</v>
      </c>
      <c r="B50" s="116">
        <f>COUNTIFS(Tabla1[AÑO3 INGRESO CPN],$B$4,Tabla1[MES2 INGRESO CPN],B6,Tabla1[RIESGO BIOPSICOSOCIAL],"ALTO RIESGO",Tabla1[FECHA ASISTENCIA PRIMERA VEZ CON GINECOLOGÍA],"&lt;&gt;")</f>
        <v>0</v>
      </c>
      <c r="C50" s="116">
        <f>COUNTIFS(Tabla1[AÑO3 INGRESO CPN],$B$4,Tabla1[MES2 INGRESO CPN],C6,Tabla1[RIESGO BIOPSICOSOCIAL],"ALTO RIESGO",Tabla1[FECHA ASISTENCIA PRIMERA VEZ CON GINECOLOGÍA],"&lt;&gt;")</f>
        <v>0</v>
      </c>
      <c r="D50" s="116">
        <f>COUNTIFS(Tabla1[AÑO3 INGRESO CPN],$B$4,Tabla1[MES2 INGRESO CPN],D6,Tabla1[RIESGO BIOPSICOSOCIAL],"ALTO RIESGO",Tabla1[FECHA ASISTENCIA PRIMERA VEZ CON GINECOLOGÍA],"&lt;&gt;")</f>
        <v>0</v>
      </c>
      <c r="E50" s="116">
        <f ca="1">COUNTIFS(Tabla1[AÑO3 INGRESO CPN],$B$4,Tabla1[MES2 INGRESO CPN],E6,Tabla1[RIESGO BIOPSICOSOCIAL],"ALTO RIESGO",Tabla1[FECHA ASISTENCIA PRIMERA VEZ CON GINECOLOGÍA],"&lt;&gt;")</f>
        <v>0</v>
      </c>
      <c r="F50" s="116">
        <f>COUNTIFS(Tabla1[AÑO3 INGRESO CPN],$B$4,Tabla1[MES2 INGRESO CPN],F6,Tabla1[RIESGO BIOPSICOSOCIAL],"ALTO RIESGO",Tabla1[FECHA ASISTENCIA PRIMERA VEZ CON GINECOLOGÍA],"&lt;&gt;")</f>
        <v>0</v>
      </c>
      <c r="G50" s="116">
        <f ca="1">COUNTIFS(Tabla1[AÑO3 INGRESO CPN],$B$4,Tabla1[MES2 INGRESO CPN],G6,Tabla1[RIESGO BIOPSICOSOCIAL],"ALTO RIESGO",Tabla1[FECHA ASISTENCIA PRIMERA VEZ CON GINECOLOGÍA],"&lt;&gt;")</f>
        <v>0</v>
      </c>
      <c r="H50" s="116">
        <f>COUNTIFS(Tabla1[AÑO3 INGRESO CPN],$B$4,Tabla1[MES2 INGRESO CPN],H6,Tabla1[RIESGO BIOPSICOSOCIAL],"ALTO RIESGO",Tabla1[FECHA ASISTENCIA PRIMERA VEZ CON GINECOLOGÍA],"&lt;&gt;")</f>
        <v>0</v>
      </c>
      <c r="I50" s="116">
        <f>COUNTIFS(Tabla1[AÑO3 INGRESO CPN],$B$4,Tabla1[MES2 INGRESO CPN],I6,Tabla1[RIESGO BIOPSICOSOCIAL],"ALTO RIESGO",Tabla1[FECHA ASISTENCIA PRIMERA VEZ CON GINECOLOGÍA],"&lt;&gt;")</f>
        <v>0</v>
      </c>
      <c r="J50" s="116">
        <f>COUNTIFS(Tabla1[AÑO3 INGRESO CPN],$B$4,Tabla1[MES2 INGRESO CPN],J6,Tabla1[RIESGO BIOPSICOSOCIAL],"ALTO RIESGO",Tabla1[FECHA ASISTENCIA PRIMERA VEZ CON GINECOLOGÍA],"&lt;&gt;")</f>
        <v>0</v>
      </c>
      <c r="K50" s="116">
        <f>COUNTIFS(Tabla1[AÑO3 INGRESO CPN],$B$4,Tabla1[MES2 INGRESO CPN],K6,Tabla1[RIESGO BIOPSICOSOCIAL],"ALTO RIESGO",Tabla1[FECHA ASISTENCIA PRIMERA VEZ CON GINECOLOGÍA],"&lt;&gt;")</f>
        <v>0</v>
      </c>
      <c r="L50" s="116">
        <f>COUNTIFS(Tabla1[AÑO3 INGRESO CPN],$B$4,Tabla1[MES2 INGRESO CPN],L6,Tabla1[RIESGO BIOPSICOSOCIAL],"ALTO RIESGO",Tabla1[FECHA ASISTENCIA PRIMERA VEZ CON GINECOLOGÍA],"&lt;&gt;")</f>
        <v>0</v>
      </c>
      <c r="M50" s="116">
        <f>COUNTIFS(Tabla1[AÑO3 INGRESO CPN],$B$4,Tabla1[MES2 INGRESO CPN],M6,Tabla1[RIESGO BIOPSICOSOCIAL],"ALTO RIESGO",Tabla1[FECHA ASISTENCIA PRIMERA VEZ CON GINECOLOGÍA],"&lt;&gt;")</f>
        <v>0</v>
      </c>
      <c r="N50" s="125">
        <f ca="1">SUM(B50:M50)</f>
        <v>0</v>
      </c>
    </row>
    <row r="51" spans="1:14" ht="42" customHeight="1" thickBot="1" x14ac:dyDescent="0.3">
      <c r="A51" s="122" t="s">
        <v>790</v>
      </c>
      <c r="B51" s="116">
        <f>COUNTIFS(Tabla1[AÑO3 INGRESO CPN],$B$4,Tabla1[MES2 INGRESO CPN],B6,Tabla1[RIESGO BIOPSICOSOCIAL],"ALTO RIESGO")</f>
        <v>0</v>
      </c>
      <c r="C51" s="116">
        <f>COUNTIFS(Tabla1[AÑO3 INGRESO CPN],$B$4,Tabla1[MES2 INGRESO CPN],C6,Tabla1[RIESGO BIOPSICOSOCIAL],"ALTO RIESGO")</f>
        <v>0</v>
      </c>
      <c r="D51" s="116">
        <f>COUNTIFS(Tabla1[AÑO3 INGRESO CPN],$B$4,Tabla1[MES2 INGRESO CPN],D6,Tabla1[RIESGO BIOPSICOSOCIAL],"ALTO RIESGO")</f>
        <v>0</v>
      </c>
      <c r="E51" s="116">
        <f ca="1">COUNTIFS(Tabla1[AÑO3 INGRESO CPN],$B$4,Tabla1[MES2 INGRESO CPN],E6,Tabla1[RIESGO BIOPSICOSOCIAL],"ALTO RIESGO")</f>
        <v>0</v>
      </c>
      <c r="F51" s="116">
        <f>COUNTIFS(Tabla1[AÑO3 INGRESO CPN],$B$4,Tabla1[MES2 INGRESO CPN],F6,Tabla1[RIESGO BIOPSICOSOCIAL],"ALTO RIESGO")</f>
        <v>0</v>
      </c>
      <c r="G51" s="116">
        <f ca="1">COUNTIFS(Tabla1[AÑO3 INGRESO CPN],$B$4,Tabla1[MES2 INGRESO CPN],G6,Tabla1[RIESGO BIOPSICOSOCIAL],"ALTO RIESGO")</f>
        <v>0</v>
      </c>
      <c r="H51" s="116">
        <f>COUNTIFS(Tabla1[AÑO3 INGRESO CPN],$B$4,Tabla1[MES2 INGRESO CPN],H6,Tabla1[RIESGO BIOPSICOSOCIAL],"ALTO RIESGO")</f>
        <v>0</v>
      </c>
      <c r="I51" s="116">
        <f>COUNTIFS(Tabla1[AÑO3 INGRESO CPN],$B$4,Tabla1[MES2 INGRESO CPN],I6,Tabla1[RIESGO BIOPSICOSOCIAL],"ALTO RIESGO")</f>
        <v>0</v>
      </c>
      <c r="J51" s="116">
        <f>COUNTIFS(Tabla1[AÑO3 INGRESO CPN],$B$4,Tabla1[MES2 INGRESO CPN],J6,Tabla1[RIESGO BIOPSICOSOCIAL],"ALTO RIESGO")</f>
        <v>0</v>
      </c>
      <c r="K51" s="116">
        <f>COUNTIFS(Tabla1[AÑO3 INGRESO CPN],$B$4,Tabla1[MES2 INGRESO CPN],K6,Tabla1[RIESGO BIOPSICOSOCIAL],"ALTO RIESGO")</f>
        <v>0</v>
      </c>
      <c r="L51" s="116">
        <f>COUNTIFS(Tabla1[AÑO3 INGRESO CPN],$B$4,Tabla1[MES2 INGRESO CPN],L6,Tabla1[RIESGO BIOPSICOSOCIAL],"ALTO RIESGO")</f>
        <v>0</v>
      </c>
      <c r="M51" s="116">
        <f>COUNTIFS(Tabla1[AÑO3 INGRESO CPN],$B$4,Tabla1[MES2 INGRESO CPN],M6,Tabla1[RIESGO BIOPSICOSOCIAL],"ALTO RIESGO")</f>
        <v>0</v>
      </c>
      <c r="N51" s="125">
        <f ca="1">SUM(B51:M51)</f>
        <v>0</v>
      </c>
    </row>
    <row r="52" spans="1:14" ht="31.5" customHeight="1" thickBot="1" x14ac:dyDescent="0.3">
      <c r="A52" s="220" t="s">
        <v>779</v>
      </c>
      <c r="B52" s="117" t="str">
        <f>IF(B51=0,"",SUM(B50/B51))</f>
        <v/>
      </c>
      <c r="C52" s="118" t="str">
        <f t="shared" ref="C52:N52" si="8">IF(C51=0,"",SUM(C50/C51))</f>
        <v/>
      </c>
      <c r="D52" s="118" t="str">
        <f t="shared" si="8"/>
        <v/>
      </c>
      <c r="E52" s="118" t="str">
        <f t="shared" ca="1" si="8"/>
        <v/>
      </c>
      <c r="F52" s="118" t="str">
        <f t="shared" si="8"/>
        <v/>
      </c>
      <c r="G52" s="118" t="str">
        <f t="shared" ca="1" si="8"/>
        <v/>
      </c>
      <c r="H52" s="118" t="str">
        <f t="shared" si="8"/>
        <v/>
      </c>
      <c r="I52" s="118" t="str">
        <f t="shared" si="8"/>
        <v/>
      </c>
      <c r="J52" s="118" t="str">
        <f t="shared" si="8"/>
        <v/>
      </c>
      <c r="K52" s="118" t="str">
        <f t="shared" si="8"/>
        <v/>
      </c>
      <c r="L52" s="118" t="str">
        <f t="shared" si="8"/>
        <v/>
      </c>
      <c r="M52" s="118" t="str">
        <f t="shared" si="8"/>
        <v/>
      </c>
      <c r="N52" s="119" t="str">
        <f t="shared" ca="1" si="8"/>
        <v/>
      </c>
    </row>
    <row r="53" spans="1:14" ht="39" customHeight="1" thickBot="1" x14ac:dyDescent="0.3">
      <c r="A53" s="122" t="s">
        <v>808</v>
      </c>
      <c r="B53" s="116">
        <f>SUM(COUNTIFS(Tabla1[AÑO PARTO],$B$4,Tabla1[MES PARTO],B6,Tabla1[SALE DEL PROGRAMA POR],"PARTO",Tabla1[EDAD GESTACIONAL SALIDA PROGRAMA],"&gt;36",Tabla1[EDAD GESTACIONAL SALIDA PROGRAMA],"&lt;44",Tabla1[FECHA ASISTENCIA A CONSULTA NUTRICION],"&lt;&gt;"),COUNTIFS(Tabla1[AÑO PARTO],$B$4,Tabla1[MES PARTO],B6,Tabla1[SALE DEL PROGRAMA POR],"CESAREA",Tabla1[EDAD GESTACIONAL SALIDA PROGRAMA],"&gt;36",Tabla1[EDAD GESTACIONAL SALIDA PROGRAMA],"&lt;44",Tabla1[FECHA ASISTENCIA A CONSULTA NUTRICION],"&lt;&gt;"))</f>
        <v>0</v>
      </c>
      <c r="C53" s="116">
        <f>SUM(COUNTIFS(Tabla1[AÑO PARTO],$B$4,Tabla1[MES PARTO],C6,Tabla1[SALE DEL PROGRAMA POR],"PARTO",Tabla1[EDAD GESTACIONAL SALIDA PROGRAMA],"&gt;36",Tabla1[EDAD GESTACIONAL SALIDA PROGRAMA],"&lt;44",Tabla1[FECHA ASISTENCIA A CONSULTA NUTRICION],"&lt;&gt;"),COUNTIFS(Tabla1[AÑO PARTO],$B$4,Tabla1[MES PARTO],C6,Tabla1[SALE DEL PROGRAMA POR],"CESAREA",Tabla1[EDAD GESTACIONAL SALIDA PROGRAMA],"&gt;36",Tabla1[EDAD GESTACIONAL SALIDA PROGRAMA],"&lt;44",Tabla1[FECHA ASISTENCIA A CONSULTA NUTRICION],"&lt;&gt;"))</f>
        <v>0</v>
      </c>
      <c r="D53" s="116">
        <f>SUM(COUNTIFS(Tabla1[AÑO PARTO],$B$4,Tabla1[MES PARTO],D6,Tabla1[SALE DEL PROGRAMA POR],"PARTO",Tabla1[EDAD GESTACIONAL SALIDA PROGRAMA],"&gt;36",Tabla1[EDAD GESTACIONAL SALIDA PROGRAMA],"&lt;44",Tabla1[FECHA ASISTENCIA A CONSULTA NUTRICION],"&lt;&gt;"),COUNTIFS(Tabla1[AÑO PARTO],$B$4,Tabla1[MES PARTO],D6,Tabla1[SALE DEL PROGRAMA POR],"CESAREA",Tabla1[EDAD GESTACIONAL SALIDA PROGRAMA],"&gt;36",Tabla1[EDAD GESTACIONAL SALIDA PROGRAMA],"&lt;44",Tabla1[FECHA ASISTENCIA A CONSULTA NUTRICION],"&lt;&gt;"))</f>
        <v>0</v>
      </c>
      <c r="E53" s="116">
        <f>SUM(COUNTIFS(Tabla1[AÑO PARTO],$B$4,Tabla1[MES PARTO],E6,Tabla1[SALE DEL PROGRAMA POR],"PARTO",Tabla1[EDAD GESTACIONAL SALIDA PROGRAMA],"&gt;36",Tabla1[EDAD GESTACIONAL SALIDA PROGRAMA],"&lt;44",Tabla1[FECHA ASISTENCIA A CONSULTA NUTRICION],"&lt;&gt;"),COUNTIFS(Tabla1[AÑO PARTO],$B$4,Tabla1[MES PARTO],E6,Tabla1[SALE DEL PROGRAMA POR],"CESAREA",Tabla1[EDAD GESTACIONAL SALIDA PROGRAMA],"&gt;36",Tabla1[EDAD GESTACIONAL SALIDA PROGRAMA],"&lt;44",Tabla1[FECHA ASISTENCIA A CONSULTA NUTRICION],"&lt;&gt;"))</f>
        <v>0</v>
      </c>
      <c r="F53" s="116">
        <f>SUM(COUNTIFS(Tabla1[AÑO PARTO],$B$4,Tabla1[MES PARTO],F6,Tabla1[SALE DEL PROGRAMA POR],"PARTO",Tabla1[EDAD GESTACIONAL SALIDA PROGRAMA],"&gt;36",Tabla1[EDAD GESTACIONAL SALIDA PROGRAMA],"&lt;44",Tabla1[FECHA ASISTENCIA A CONSULTA NUTRICION],"&lt;&gt;"),COUNTIFS(Tabla1[AÑO PARTO],$B$4,Tabla1[MES PARTO],F6,Tabla1[SALE DEL PROGRAMA POR],"CESAREA",Tabla1[EDAD GESTACIONAL SALIDA PROGRAMA],"&gt;36",Tabla1[EDAD GESTACIONAL SALIDA PROGRAMA],"&lt;44",Tabla1[FECHA ASISTENCIA A CONSULTA NUTRICION],"&lt;&gt;"))</f>
        <v>0</v>
      </c>
      <c r="G53" s="116">
        <f>SUM(COUNTIFS(Tabla1[AÑO PARTO],$B$4,Tabla1[MES PARTO],G6,Tabla1[SALE DEL PROGRAMA POR],"PARTO",Tabla1[EDAD GESTACIONAL SALIDA PROGRAMA],"&gt;36",Tabla1[EDAD GESTACIONAL SALIDA PROGRAMA],"&lt;44",Tabla1[FECHA ASISTENCIA A CONSULTA NUTRICION],"&lt;&gt;"),COUNTIFS(Tabla1[AÑO PARTO],$B$4,Tabla1[MES PARTO],G6,Tabla1[SALE DEL PROGRAMA POR],"CESAREA",Tabla1[EDAD GESTACIONAL SALIDA PROGRAMA],"&gt;36",Tabla1[EDAD GESTACIONAL SALIDA PROGRAMA],"&lt;44",Tabla1[FECHA ASISTENCIA A CONSULTA NUTRICION],"&lt;&gt;"))</f>
        <v>0</v>
      </c>
      <c r="H53" s="116">
        <f>SUM(COUNTIFS(Tabla1[AÑO PARTO],$B$4,Tabla1[MES PARTO],H6,Tabla1[SALE DEL PROGRAMA POR],"PARTO",Tabla1[EDAD GESTACIONAL SALIDA PROGRAMA],"&gt;36",Tabla1[EDAD GESTACIONAL SALIDA PROGRAMA],"&lt;44",Tabla1[FECHA ASISTENCIA A CONSULTA NUTRICION],"&lt;&gt;"),COUNTIFS(Tabla1[AÑO PARTO],$B$4,Tabla1[MES PARTO],H6,Tabla1[SALE DEL PROGRAMA POR],"CESAREA",Tabla1[EDAD GESTACIONAL SALIDA PROGRAMA],"&gt;36",Tabla1[EDAD GESTACIONAL SALIDA PROGRAMA],"&lt;44",Tabla1[FECHA ASISTENCIA A CONSULTA NUTRICION],"&lt;&gt;"))</f>
        <v>0</v>
      </c>
      <c r="I53" s="116">
        <f>SUM(COUNTIFS(Tabla1[AÑO PARTO],$B$4,Tabla1[MES PARTO],I6,Tabla1[SALE DEL PROGRAMA POR],"PARTO",Tabla1[EDAD GESTACIONAL SALIDA PROGRAMA],"&gt;36",Tabla1[EDAD GESTACIONAL SALIDA PROGRAMA],"&lt;44",Tabla1[FECHA ASISTENCIA A CONSULTA NUTRICION],"&lt;&gt;"),COUNTIFS(Tabla1[AÑO PARTO],$B$4,Tabla1[MES PARTO],I6,Tabla1[SALE DEL PROGRAMA POR],"CESAREA",Tabla1[EDAD GESTACIONAL SALIDA PROGRAMA],"&gt;36",Tabla1[EDAD GESTACIONAL SALIDA PROGRAMA],"&lt;44",Tabla1[FECHA ASISTENCIA A CONSULTA NUTRICION],"&lt;&gt;"))</f>
        <v>0</v>
      </c>
      <c r="J53" s="116">
        <f>SUM(COUNTIFS(Tabla1[AÑO PARTO],$B$4,Tabla1[MES PARTO],J6,Tabla1[SALE DEL PROGRAMA POR],"PARTO",Tabla1[EDAD GESTACIONAL SALIDA PROGRAMA],"&gt;36",Tabla1[EDAD GESTACIONAL SALIDA PROGRAMA],"&lt;44",Tabla1[FECHA ASISTENCIA A CONSULTA NUTRICION],"&lt;&gt;"),COUNTIFS(Tabla1[AÑO PARTO],$B$4,Tabla1[MES PARTO],J6,Tabla1[SALE DEL PROGRAMA POR],"CESAREA",Tabla1[EDAD GESTACIONAL SALIDA PROGRAMA],"&gt;36",Tabla1[EDAD GESTACIONAL SALIDA PROGRAMA],"&lt;44",Tabla1[FECHA ASISTENCIA A CONSULTA NUTRICION],"&lt;&gt;"))</f>
        <v>0</v>
      </c>
      <c r="K53" s="116">
        <f>SUM(COUNTIFS(Tabla1[AÑO PARTO],$B$4,Tabla1[MES PARTO],K6,Tabla1[SALE DEL PROGRAMA POR],"PARTO",Tabla1[EDAD GESTACIONAL SALIDA PROGRAMA],"&gt;36",Tabla1[EDAD GESTACIONAL SALIDA PROGRAMA],"&lt;44",Tabla1[FECHA ASISTENCIA A CONSULTA NUTRICION],"&lt;&gt;"),COUNTIFS(Tabla1[AÑO PARTO],$B$4,Tabla1[MES PARTO],K6,Tabla1[SALE DEL PROGRAMA POR],"CESAREA",Tabla1[EDAD GESTACIONAL SALIDA PROGRAMA],"&gt;36",Tabla1[EDAD GESTACIONAL SALIDA PROGRAMA],"&lt;44",Tabla1[FECHA ASISTENCIA A CONSULTA NUTRICION],"&lt;&gt;"))</f>
        <v>0</v>
      </c>
      <c r="L53" s="116">
        <f>SUM(COUNTIFS(Tabla1[AÑO PARTO],$B$4,Tabla1[MES PARTO],L6,Tabla1[SALE DEL PROGRAMA POR],"PARTO",Tabla1[EDAD GESTACIONAL SALIDA PROGRAMA],"&gt;36",Tabla1[EDAD GESTACIONAL SALIDA PROGRAMA],"&lt;44",Tabla1[FECHA ASISTENCIA A CONSULTA NUTRICION],"&lt;&gt;"),COUNTIFS(Tabla1[AÑO PARTO],$B$4,Tabla1[MES PARTO],L6,Tabla1[SALE DEL PROGRAMA POR],"CESAREA",Tabla1[EDAD GESTACIONAL SALIDA PROGRAMA],"&gt;36",Tabla1[EDAD GESTACIONAL SALIDA PROGRAMA],"&lt;44",Tabla1[FECHA ASISTENCIA A CONSULTA NUTRICION],"&lt;&gt;"))</f>
        <v>0</v>
      </c>
      <c r="M53" s="116">
        <f>SUM(COUNTIFS(Tabla1[AÑO PARTO],$B$4,Tabla1[MES PARTO],M6,Tabla1[SALE DEL PROGRAMA POR],"PARTO",Tabla1[EDAD GESTACIONAL SALIDA PROGRAMA],"&gt;36",Tabla1[EDAD GESTACIONAL SALIDA PROGRAMA],"&lt;44",Tabla1[FECHA ASISTENCIA A CONSULTA NUTRICION],"&lt;&gt;"),COUNTIFS(Tabla1[AÑO PARTO],$B$4,Tabla1[MES PARTO],M6,Tabla1[SALE DEL PROGRAMA POR],"CESAREA",Tabla1[EDAD GESTACIONAL SALIDA PROGRAMA],"&gt;36",Tabla1[EDAD GESTACIONAL SALIDA PROGRAMA],"&lt;44",Tabla1[FECHA ASISTENCIA A CONSULTA NUTRICION],"&lt;&gt;"))</f>
        <v>0</v>
      </c>
      <c r="N53" s="125">
        <f>SUM(B53:M53)</f>
        <v>0</v>
      </c>
    </row>
    <row r="54" spans="1:14" ht="31.5" customHeight="1" thickBot="1" x14ac:dyDescent="0.3">
      <c r="A54" s="220" t="s">
        <v>807</v>
      </c>
      <c r="B54" s="117" t="str">
        <f t="shared" ref="B54:N54" si="9">IF(B$60=0,"",SUM(B53/B$60))</f>
        <v/>
      </c>
      <c r="C54" s="118" t="str">
        <f t="shared" si="9"/>
        <v/>
      </c>
      <c r="D54" s="118" t="str">
        <f t="shared" si="9"/>
        <v/>
      </c>
      <c r="E54" s="118" t="str">
        <f t="shared" si="9"/>
        <v/>
      </c>
      <c r="F54" s="118" t="str">
        <f t="shared" si="9"/>
        <v/>
      </c>
      <c r="G54" s="118" t="str">
        <f t="shared" si="9"/>
        <v/>
      </c>
      <c r="H54" s="118" t="str">
        <f t="shared" si="9"/>
        <v/>
      </c>
      <c r="I54" s="118" t="str">
        <f t="shared" si="9"/>
        <v/>
      </c>
      <c r="J54" s="118" t="str">
        <f t="shared" si="9"/>
        <v/>
      </c>
      <c r="K54" s="118" t="str">
        <f t="shared" si="9"/>
        <v/>
      </c>
      <c r="L54" s="118" t="str">
        <f t="shared" si="9"/>
        <v/>
      </c>
      <c r="M54" s="118" t="str">
        <f t="shared" si="9"/>
        <v/>
      </c>
      <c r="N54" s="119" t="str">
        <f t="shared" si="9"/>
        <v/>
      </c>
    </row>
    <row r="55" spans="1:14" ht="31.5" customHeight="1" x14ac:dyDescent="0.25">
      <c r="A55" s="122" t="s">
        <v>784</v>
      </c>
      <c r="B55" s="116">
        <f>COUNTIFS(Tabla1[AÑO PARTO],$B$4,Tabla1[MES PARTO],B6,Tabla1[GESTANTES ACTUALES],"SALIO PROGRAMA")</f>
        <v>0</v>
      </c>
      <c r="C55" s="116">
        <f>COUNTIFS(Tabla1[AÑO PARTO],$B$4,Tabla1[MES PARTO],C6,Tabla1[GESTANTES ACTUALES],"SALIO PROGRAMA")</f>
        <v>0</v>
      </c>
      <c r="D55" s="116">
        <f>COUNTIFS(Tabla1[AÑO PARTO],$B$4,Tabla1[MES PARTO],D6,Tabla1[GESTANTES ACTUALES],"SALIO PROGRAMA")</f>
        <v>0</v>
      </c>
      <c r="E55" s="116">
        <f>COUNTIFS(Tabla1[AÑO PARTO],$B$4,Tabla1[MES PARTO],E6,Tabla1[GESTANTES ACTUALES],"SALIO PROGRAMA")</f>
        <v>0</v>
      </c>
      <c r="F55" s="116">
        <f>COUNTIFS(Tabla1[AÑO PARTO],$B$4,Tabla1[MES PARTO],F6,Tabla1[GESTANTES ACTUALES],"SALIO PROGRAMA")</f>
        <v>0</v>
      </c>
      <c r="G55" s="116">
        <f>COUNTIFS(Tabla1[AÑO PARTO],$B$4,Tabla1[MES PARTO],G6,Tabla1[GESTANTES ACTUALES],"SALIO PROGRAMA")</f>
        <v>0</v>
      </c>
      <c r="H55" s="116">
        <f>COUNTIFS(Tabla1[AÑO PARTO],$B$4,Tabla1[MES PARTO],H6,Tabla1[GESTANTES ACTUALES],"SALIO PROGRAMA")</f>
        <v>0</v>
      </c>
      <c r="I55" s="116">
        <f>COUNTIFS(Tabla1[AÑO PARTO],$B$4,Tabla1[MES PARTO],I6,Tabla1[GESTANTES ACTUALES],"SALIO PROGRAMA")</f>
        <v>0</v>
      </c>
      <c r="J55" s="116">
        <f>COUNTIFS(Tabla1[AÑO PARTO],$B$4,Tabla1[MES PARTO],J6,Tabla1[GESTANTES ACTUALES],"SALIO PROGRAMA")</f>
        <v>0</v>
      </c>
      <c r="K55" s="116">
        <f>COUNTIFS(Tabla1[AÑO PARTO],$B$4,Tabla1[MES PARTO],K6,Tabla1[GESTANTES ACTUALES],"SALIO PROGRAMA")</f>
        <v>0</v>
      </c>
      <c r="L55" s="116">
        <f>COUNTIFS(Tabla1[AÑO PARTO],$B$4,Tabla1[MES PARTO],L6,Tabla1[GESTANTES ACTUALES],"SALIO PROGRAMA")</f>
        <v>0</v>
      </c>
      <c r="M55" s="116">
        <f>COUNTIFS(Tabla1[AÑO PARTO],$B$4,Tabla1[MES PARTO],M6,Tabla1[GESTANTES ACTUALES],"SALIO PROGRAMA")</f>
        <v>0</v>
      </c>
      <c r="N55" s="124">
        <f>SUM(B55:M55)</f>
        <v>0</v>
      </c>
    </row>
    <row r="56" spans="1:14" ht="43.5" customHeight="1" thickBot="1" x14ac:dyDescent="0.3">
      <c r="A56" s="78" t="s">
        <v>785</v>
      </c>
      <c r="B56" s="68">
        <f>COUNTIFS(Tabla1[AÑO PARTO],$B$4,Tabla1[MES PARTO],B6,Tabla1[GESTANTES ACTUALES],"SALIO PROGRAMA",Tabla1[Alarma de apoyo Tamizaje Sífilis],"COMPLETO")</f>
        <v>0</v>
      </c>
      <c r="C56" s="68">
        <f>COUNTIFS(Tabla1[AÑO PARTO],$B$4,Tabla1[MES PARTO],C6,Tabla1[GESTANTES ACTUALES],"SALIO PROGRAMA",Tabla1[Alarma de apoyo Tamizaje Sífilis],"COMPLETO")</f>
        <v>0</v>
      </c>
      <c r="D56" s="68">
        <f>COUNTIFS(Tabla1[AÑO PARTO],$B$4,Tabla1[MES PARTO],D6,Tabla1[GESTANTES ACTUALES],"SALIO PROGRAMA",Tabla1[Alarma de apoyo Tamizaje Sífilis],"COMPLETO")</f>
        <v>0</v>
      </c>
      <c r="E56" s="68">
        <f>COUNTIFS(Tabla1[AÑO PARTO],$B$4,Tabla1[MES PARTO],E6,Tabla1[GESTANTES ACTUALES],"SALIO PROGRAMA",Tabla1[Alarma de apoyo Tamizaje Sífilis],"COMPLETO")</f>
        <v>0</v>
      </c>
      <c r="F56" s="68">
        <f>COUNTIFS(Tabla1[AÑO PARTO],$B$4,Tabla1[MES PARTO],F6,Tabla1[GESTANTES ACTUALES],"SALIO PROGRAMA",Tabla1[Alarma de apoyo Tamizaje Sífilis],"COMPLETO")</f>
        <v>0</v>
      </c>
      <c r="G56" s="68">
        <f>COUNTIFS(Tabla1[AÑO PARTO],$B$4,Tabla1[MES PARTO],G6,Tabla1[GESTANTES ACTUALES],"SALIO PROGRAMA",Tabla1[Alarma de apoyo Tamizaje Sífilis],"COMPLETO")</f>
        <v>0</v>
      </c>
      <c r="H56" s="68">
        <f>COUNTIFS(Tabla1[AÑO PARTO],$B$4,Tabla1[MES PARTO],H6,Tabla1[GESTANTES ACTUALES],"SALIO PROGRAMA",Tabla1[Alarma de apoyo Tamizaje Sífilis],"COMPLETO")</f>
        <v>0</v>
      </c>
      <c r="I56" s="68">
        <f>COUNTIFS(Tabla1[AÑO PARTO],$B$4,Tabla1[MES PARTO],I6,Tabla1[GESTANTES ACTUALES],"SALIO PROGRAMA",Tabla1[Alarma de apoyo Tamizaje Sífilis],"COMPLETO")</f>
        <v>0</v>
      </c>
      <c r="J56" s="68">
        <f>COUNTIFS(Tabla1[AÑO PARTO],$B$4,Tabla1[MES PARTO],J6,Tabla1[GESTANTES ACTUALES],"SALIO PROGRAMA",Tabla1[Alarma de apoyo Tamizaje Sífilis],"COMPLETO")</f>
        <v>0</v>
      </c>
      <c r="K56" s="68">
        <f>COUNTIFS(Tabla1[AÑO PARTO],$B$4,Tabla1[MES PARTO],K6,Tabla1[GESTANTES ACTUALES],"SALIO PROGRAMA",Tabla1[Alarma de apoyo Tamizaje Sífilis],"COMPLETO")</f>
        <v>0</v>
      </c>
      <c r="L56" s="68">
        <f>COUNTIFS(Tabla1[AÑO PARTO],$B$4,Tabla1[MES PARTO],L6,Tabla1[GESTANTES ACTUALES],"SALIO PROGRAMA",Tabla1[Alarma de apoyo Tamizaje Sífilis],"COMPLETO")</f>
        <v>0</v>
      </c>
      <c r="M56" s="68">
        <f>COUNTIFS(Tabla1[AÑO PARTO],$B$4,Tabla1[MES PARTO],M6,Tabla1[GESTANTES ACTUALES],"SALIO PROGRAMA",Tabla1[Alarma de apoyo Tamizaje Sífilis],"COMPLETO")</f>
        <v>0</v>
      </c>
      <c r="N56" s="68">
        <f t="shared" ref="N56" si="10">SUM(B56:M56)</f>
        <v>0</v>
      </c>
    </row>
    <row r="57" spans="1:14" ht="37.5" customHeight="1" thickBot="1" x14ac:dyDescent="0.3">
      <c r="A57" s="207" t="s">
        <v>783</v>
      </c>
      <c r="B57" s="117" t="str">
        <f t="shared" ref="B57:N57" si="11">IF(B55=0,"",SUM(B56/B55))</f>
        <v/>
      </c>
      <c r="C57" s="118" t="str">
        <f t="shared" si="11"/>
        <v/>
      </c>
      <c r="D57" s="118" t="str">
        <f t="shared" si="11"/>
        <v/>
      </c>
      <c r="E57" s="118" t="str">
        <f t="shared" si="11"/>
        <v/>
      </c>
      <c r="F57" s="118" t="str">
        <f t="shared" si="11"/>
        <v/>
      </c>
      <c r="G57" s="118" t="str">
        <f t="shared" si="11"/>
        <v/>
      </c>
      <c r="H57" s="118" t="str">
        <f t="shared" si="11"/>
        <v/>
      </c>
      <c r="I57" s="118" t="str">
        <f t="shared" si="11"/>
        <v/>
      </c>
      <c r="J57" s="118" t="str">
        <f t="shared" si="11"/>
        <v/>
      </c>
      <c r="K57" s="118" t="str">
        <f t="shared" si="11"/>
        <v/>
      </c>
      <c r="L57" s="118" t="str">
        <f t="shared" si="11"/>
        <v/>
      </c>
      <c r="M57" s="118" t="str">
        <f t="shared" si="11"/>
        <v/>
      </c>
      <c r="N57" s="119" t="str">
        <f t="shared" si="11"/>
        <v/>
      </c>
    </row>
    <row r="58" spans="1:14" ht="53.25" customHeight="1" thickBot="1" x14ac:dyDescent="0.3">
      <c r="A58" s="78" t="s">
        <v>788</v>
      </c>
      <c r="B58" s="68">
        <f>COUNTIFS(Tabla1[AÑO PARTO],$B$4,Tabla1[MES PARTO],B6,Tabla1[GESTANTES ACTUALES],"SALIO PROGRAMA",Tabla1[Alarma de apoyo Tamizaje VIH],"COMPLETO")</f>
        <v>0</v>
      </c>
      <c r="C58" s="68">
        <f>COUNTIFS(Tabla1[AÑO PARTO],$B$4,Tabla1[MES PARTO],C6,Tabla1[GESTANTES ACTUALES],"SALIO PROGRAMA",Tabla1[Alarma de apoyo Tamizaje VIH],"COMPLETO")</f>
        <v>0</v>
      </c>
      <c r="D58" s="68">
        <f>COUNTIFS(Tabla1[AÑO PARTO],$B$4,Tabla1[MES PARTO],D6,Tabla1[GESTANTES ACTUALES],"SALIO PROGRAMA",Tabla1[Alarma de apoyo Tamizaje VIH],"COMPLETO")</f>
        <v>0</v>
      </c>
      <c r="E58" s="68">
        <f>COUNTIFS(Tabla1[AÑO PARTO],$B$4,Tabla1[MES PARTO],E6,Tabla1[GESTANTES ACTUALES],"SALIO PROGRAMA",Tabla1[Alarma de apoyo Tamizaje VIH],"COMPLETO")</f>
        <v>0</v>
      </c>
      <c r="F58" s="68">
        <f>COUNTIFS(Tabla1[AÑO PARTO],$B$4,Tabla1[MES PARTO],F6,Tabla1[GESTANTES ACTUALES],"SALIO PROGRAMA",Tabla1[Alarma de apoyo Tamizaje VIH],"COMPLETO")</f>
        <v>0</v>
      </c>
      <c r="G58" s="68">
        <f>COUNTIFS(Tabla1[AÑO PARTO],$B$4,Tabla1[MES PARTO],G6,Tabla1[GESTANTES ACTUALES],"SALIO PROGRAMA",Tabla1[Alarma de apoyo Tamizaje VIH],"COMPLETO")</f>
        <v>0</v>
      </c>
      <c r="H58" s="68">
        <f>COUNTIFS(Tabla1[AÑO PARTO],$B$4,Tabla1[MES PARTO],H6,Tabla1[GESTANTES ACTUALES],"SALIO PROGRAMA",Tabla1[Alarma de apoyo Tamizaje VIH],"COMPLETO")</f>
        <v>0</v>
      </c>
      <c r="I58" s="68">
        <f>COUNTIFS(Tabla1[AÑO PARTO],$B$4,Tabla1[MES PARTO],I6,Tabla1[GESTANTES ACTUALES],"SALIO PROGRAMA",Tabla1[Alarma de apoyo Tamizaje VIH],"COMPLETO")</f>
        <v>0</v>
      </c>
      <c r="J58" s="68">
        <f>COUNTIFS(Tabla1[AÑO PARTO],$B$4,Tabla1[MES PARTO],J6,Tabla1[GESTANTES ACTUALES],"SALIO PROGRAMA",Tabla1[Alarma de apoyo Tamizaje VIH],"COMPLETO")</f>
        <v>0</v>
      </c>
      <c r="K58" s="68">
        <f>COUNTIFS(Tabla1[AÑO PARTO],$B$4,Tabla1[MES PARTO],K6,Tabla1[GESTANTES ACTUALES],"SALIO PROGRAMA",Tabla1[Alarma de apoyo Tamizaje VIH],"COMPLETO")</f>
        <v>0</v>
      </c>
      <c r="L58" s="68">
        <f>COUNTIFS(Tabla1[AÑO PARTO],$B$4,Tabla1[MES PARTO],L6,Tabla1[GESTANTES ACTUALES],"SALIO PROGRAMA",Tabla1[Alarma de apoyo Tamizaje VIH],"COMPLETO")</f>
        <v>0</v>
      </c>
      <c r="M58" s="68">
        <f>COUNTIFS(Tabla1[AÑO PARTO],$B$4,Tabla1[MES PARTO],M6,Tabla1[GESTANTES ACTUALES],"SALIO PROGRAMA",Tabla1[Alarma de apoyo Tamizaje VIH],"COMPLETO")</f>
        <v>0</v>
      </c>
      <c r="N58" s="68">
        <f>SUM(B58:M58)</f>
        <v>0</v>
      </c>
    </row>
    <row r="59" spans="1:14" ht="37.5" customHeight="1" thickBot="1" x14ac:dyDescent="0.3">
      <c r="A59" s="207" t="s">
        <v>789</v>
      </c>
      <c r="B59" s="117" t="str">
        <f t="shared" ref="B59:N59" si="12">IF(B55=0,"",SUM(B58/B55))</f>
        <v/>
      </c>
      <c r="C59" s="118" t="str">
        <f t="shared" si="12"/>
        <v/>
      </c>
      <c r="D59" s="118" t="str">
        <f t="shared" si="12"/>
        <v/>
      </c>
      <c r="E59" s="118" t="str">
        <f t="shared" si="12"/>
        <v/>
      </c>
      <c r="F59" s="118" t="str">
        <f t="shared" si="12"/>
        <v/>
      </c>
      <c r="G59" s="118" t="str">
        <f t="shared" si="12"/>
        <v/>
      </c>
      <c r="H59" s="118" t="str">
        <f t="shared" si="12"/>
        <v/>
      </c>
      <c r="I59" s="118" t="str">
        <f t="shared" si="12"/>
        <v/>
      </c>
      <c r="J59" s="118" t="str">
        <f t="shared" si="12"/>
        <v/>
      </c>
      <c r="K59" s="118" t="str">
        <f t="shared" si="12"/>
        <v/>
      </c>
      <c r="L59" s="118" t="str">
        <f t="shared" si="12"/>
        <v/>
      </c>
      <c r="M59" s="118" t="str">
        <f t="shared" si="12"/>
        <v/>
      </c>
      <c r="N59" s="119" t="str">
        <f t="shared" si="12"/>
        <v/>
      </c>
    </row>
    <row r="60" spans="1:14" ht="31.5" customHeight="1" thickBot="1" x14ac:dyDescent="0.3">
      <c r="A60" s="231" t="s">
        <v>742</v>
      </c>
      <c r="B60" s="116">
        <f>SUM(COUNTIFS(Tabla1[AÑO PARTO],B4,Tabla1[MES PARTO],B6,Tabla1[SALE DEL PROGRAMA POR],"PARTO",Tabla1[EDAD GESTACIONAL SALIDA PROGRAMA],"&gt;36",Tabla1[EDAD GESTACIONAL SALIDA PROGRAMA],"&lt;44"),COUNTIFS(Tabla1[AÑO PARTO],B4,Tabla1[MES PARTO],B6,Tabla1[SALE DEL PROGRAMA POR],"CESAREA",Tabla1[EDAD GESTACIONAL SALIDA PROGRAMA],"&gt;36",Tabla1[EDAD GESTACIONAL SALIDA PROGRAMA],"&lt;44"))</f>
        <v>0</v>
      </c>
      <c r="C60" s="116">
        <f>SUM(COUNTIFS(Tabla1[AÑO PARTO],B4,Tabla1[MES PARTO],C6,Tabla1[SALE DEL PROGRAMA POR],"PARTO",Tabla1[EDAD GESTACIONAL SALIDA PROGRAMA],"&gt;36",Tabla1[EDAD GESTACIONAL SALIDA PROGRAMA],"&lt;44"),COUNTIFS(Tabla1[AÑO PARTO],B4,Tabla1[MES PARTO],C6,Tabla1[SALE DEL PROGRAMA POR],"CESAREA",Tabla1[EDAD GESTACIONAL SALIDA PROGRAMA],"&gt;36",Tabla1[EDAD GESTACIONAL SALIDA PROGRAMA],"&lt;44"))</f>
        <v>0</v>
      </c>
      <c r="D60" s="116">
        <f>SUM(COUNTIFS(Tabla1[AÑO PARTO],B4,Tabla1[MES PARTO],D6,Tabla1[SALE DEL PROGRAMA POR],"PARTO",Tabla1[EDAD GESTACIONAL SALIDA PROGRAMA],"&gt;36",Tabla1[EDAD GESTACIONAL SALIDA PROGRAMA],"&lt;44"),COUNTIFS(Tabla1[AÑO PARTO],B4,Tabla1[MES PARTO],D6,Tabla1[SALE DEL PROGRAMA POR],"CESAREA",Tabla1[EDAD GESTACIONAL SALIDA PROGRAMA],"&gt;36",Tabla1[EDAD GESTACIONAL SALIDA PROGRAMA],"&lt;44"))</f>
        <v>0</v>
      </c>
      <c r="E60" s="116">
        <f>SUM(COUNTIFS(Tabla1[AÑO PARTO],B4,Tabla1[MES PARTO],E6,Tabla1[SALE DEL PROGRAMA POR],"PARTO",Tabla1[EDAD GESTACIONAL SALIDA PROGRAMA],"&gt;36",Tabla1[EDAD GESTACIONAL SALIDA PROGRAMA],"&lt;44"),COUNTIFS(Tabla1[AÑO PARTO],B4,Tabla1[MES PARTO],E6,Tabla1[SALE DEL PROGRAMA POR],"CESAREA",Tabla1[EDAD GESTACIONAL SALIDA PROGRAMA],"&gt;36",Tabla1[EDAD GESTACIONAL SALIDA PROGRAMA],"&lt;44"))</f>
        <v>0</v>
      </c>
      <c r="F60" s="116">
        <f>SUM(COUNTIFS(Tabla1[AÑO PARTO],B4,Tabla1[MES PARTO],F6,Tabla1[SALE DEL PROGRAMA POR],"PARTO",Tabla1[EDAD GESTACIONAL SALIDA PROGRAMA],"&gt;36",Tabla1[EDAD GESTACIONAL SALIDA PROGRAMA],"&lt;44"),COUNTIFS(Tabla1[AÑO PARTO],B4,Tabla1[MES PARTO],F6,Tabla1[SALE DEL PROGRAMA POR],"CESAREA",Tabla1[EDAD GESTACIONAL SALIDA PROGRAMA],"&gt;36",Tabla1[EDAD GESTACIONAL SALIDA PROGRAMA],"&lt;44"))</f>
        <v>0</v>
      </c>
      <c r="G60" s="116">
        <f>SUM(COUNTIFS(Tabla1[AÑO PARTO],B4,Tabla1[MES PARTO],G6,Tabla1[SALE DEL PROGRAMA POR],"PARTO",Tabla1[EDAD GESTACIONAL SALIDA PROGRAMA],"&gt;36",Tabla1[EDAD GESTACIONAL SALIDA PROGRAMA],"&lt;44"),COUNTIFS(Tabla1[AÑO PARTO],B4,Tabla1[MES PARTO],G6,Tabla1[SALE DEL PROGRAMA POR],"CESAREA",Tabla1[EDAD GESTACIONAL SALIDA PROGRAMA],"&gt;36",Tabla1[EDAD GESTACIONAL SALIDA PROGRAMA],"&lt;44"))</f>
        <v>0</v>
      </c>
      <c r="H60" s="116">
        <f>SUM(COUNTIFS(Tabla1[AÑO PARTO],B4,Tabla1[MES PARTO],H6,Tabla1[SALE DEL PROGRAMA POR],"PARTO",Tabla1[EDAD GESTACIONAL SALIDA PROGRAMA],"&gt;36",Tabla1[EDAD GESTACIONAL SALIDA PROGRAMA],"&lt;44"),COUNTIFS(Tabla1[AÑO PARTO],B4,Tabla1[MES PARTO],H6,Tabla1[SALE DEL PROGRAMA POR],"CESAREA",Tabla1[EDAD GESTACIONAL SALIDA PROGRAMA],"&gt;36",Tabla1[EDAD GESTACIONAL SALIDA PROGRAMA],"&lt;44"))</f>
        <v>0</v>
      </c>
      <c r="I60" s="116">
        <f>SUM(COUNTIFS(Tabla1[AÑO PARTO],B4,Tabla1[MES PARTO],I6,Tabla1[SALE DEL PROGRAMA POR],"PARTO",Tabla1[EDAD GESTACIONAL SALIDA PROGRAMA],"&gt;36",Tabla1[EDAD GESTACIONAL SALIDA PROGRAMA],"&lt;44"),COUNTIFS(Tabla1[AÑO PARTO],B4,Tabla1[MES PARTO],I6,Tabla1[SALE DEL PROGRAMA POR],"CESAREA",Tabla1[EDAD GESTACIONAL SALIDA PROGRAMA],"&gt;36",Tabla1[EDAD GESTACIONAL SALIDA PROGRAMA],"&lt;44"))</f>
        <v>0</v>
      </c>
      <c r="J60" s="116">
        <f>SUM(COUNTIFS(Tabla1[AÑO PARTO],B4,Tabla1[MES PARTO],J6,Tabla1[SALE DEL PROGRAMA POR],"PARTO",Tabla1[EDAD GESTACIONAL SALIDA PROGRAMA],"&gt;36",Tabla1[EDAD GESTACIONAL SALIDA PROGRAMA],"&lt;44"),COUNTIFS(Tabla1[AÑO PARTO],B4,Tabla1[MES PARTO],J6,Tabla1[SALE DEL PROGRAMA POR],"CESAREA",Tabla1[EDAD GESTACIONAL SALIDA PROGRAMA],"&gt;36",Tabla1[EDAD GESTACIONAL SALIDA PROGRAMA],"&lt;44"))</f>
        <v>0</v>
      </c>
      <c r="K60" s="116">
        <f>SUM(COUNTIFS(Tabla1[AÑO PARTO],B4,Tabla1[MES PARTO],K6,Tabla1[SALE DEL PROGRAMA POR],"PARTO",Tabla1[EDAD GESTACIONAL SALIDA PROGRAMA],"&gt;36",Tabla1[EDAD GESTACIONAL SALIDA PROGRAMA],"&lt;44"),COUNTIFS(Tabla1[AÑO PARTO],B4,Tabla1[MES PARTO],K6,Tabla1[SALE DEL PROGRAMA POR],"CESAREA",Tabla1[EDAD GESTACIONAL SALIDA PROGRAMA],"&gt;36",Tabla1[EDAD GESTACIONAL SALIDA PROGRAMA],"&lt;44"))</f>
        <v>0</v>
      </c>
      <c r="L60" s="116">
        <f>SUM(COUNTIFS(Tabla1[AÑO PARTO],B4,Tabla1[MES PARTO],L6,Tabla1[SALE DEL PROGRAMA POR],"PARTO",Tabla1[EDAD GESTACIONAL SALIDA PROGRAMA],"&gt;36",Tabla1[EDAD GESTACIONAL SALIDA PROGRAMA],"&lt;44"),COUNTIFS(Tabla1[AÑO PARTO],B4,Tabla1[MES PARTO],L6,Tabla1[SALE DEL PROGRAMA POR],"CESAREA",Tabla1[EDAD GESTACIONAL SALIDA PROGRAMA],"&gt;36",Tabla1[EDAD GESTACIONAL SALIDA PROGRAMA],"&lt;44"))</f>
        <v>0</v>
      </c>
      <c r="M60" s="116">
        <f>SUM(COUNTIFS(Tabla1[AÑO PARTO],B4,Tabla1[MES PARTO],M6,Tabla1[SALE DEL PROGRAMA POR],"PARTO",Tabla1[EDAD GESTACIONAL SALIDA PROGRAMA],"&gt;36",Tabla1[EDAD GESTACIONAL SALIDA PROGRAMA],"&lt;44"),COUNTIFS(Tabla1[AÑO PARTO],B4,Tabla1[MES PARTO],M6,Tabla1[SALE DEL PROGRAMA POR],"CESAREA",Tabla1[EDAD GESTACIONAL SALIDA PROGRAMA],"&gt;36",Tabla1[EDAD GESTACIONAL SALIDA PROGRAMA],"&lt;44"))</f>
        <v>0</v>
      </c>
      <c r="N60" s="125">
        <f>SUM(B60:M60)</f>
        <v>0</v>
      </c>
    </row>
    <row r="61" spans="1:14" ht="39" customHeight="1" thickBot="1" x14ac:dyDescent="0.3">
      <c r="A61" s="215" t="s">
        <v>791</v>
      </c>
      <c r="B61" s="206">
        <f>SUM(COUNTIFS(Tabla1[AÑO PARTO],$B$4,Tabla1[MES PARTO],B6,Tabla1[SALE DEL PROGRAMA POR],"PARTO",Tabla1[EDAD GESTACIONAL SALIDA PROGRAMA],"&gt;36",Tabla1[EDAD GESTACIONAL SALIDA PROGRAMA],"&lt;44",Tabla1[FECHA CONSULTA DE 1RA VEZ POR ODONTOLOGIA],"&lt;&gt;"),COUNTIFS(Tabla1[AÑO PARTO],$B$4,Tabla1[MES PARTO],B6,Tabla1[SALE DEL PROGRAMA POR],"CESAREA",Tabla1[EDAD GESTACIONAL SALIDA PROGRAMA],"&gt;36",Tabla1[EDAD GESTACIONAL SALIDA PROGRAMA],"&lt;44",Tabla1[FECHA CONSULTA DE 1RA VEZ POR ODONTOLOGIA],"&lt;&gt;"))</f>
        <v>0</v>
      </c>
      <c r="C61" s="206">
        <f>SUM(COUNTIFS(Tabla1[AÑO PARTO],$B$4,Tabla1[MES PARTO],C6,Tabla1[SALE DEL PROGRAMA POR],"PARTO",Tabla1[EDAD GESTACIONAL SALIDA PROGRAMA],"&gt;36",Tabla1[EDAD GESTACIONAL SALIDA PROGRAMA],"&lt;44",Tabla1[FECHA CONSULTA DE 1RA VEZ POR ODONTOLOGIA],"&lt;&gt;"),COUNTIFS(Tabla1[AÑO PARTO],$B$4,Tabla1[MES PARTO],C6,Tabla1[SALE DEL PROGRAMA POR],"CESAREA",Tabla1[EDAD GESTACIONAL SALIDA PROGRAMA],"&gt;36",Tabla1[EDAD GESTACIONAL SALIDA PROGRAMA],"&lt;44",Tabla1[FECHA CONSULTA DE 1RA VEZ POR ODONTOLOGIA],"&lt;&gt;"))</f>
        <v>0</v>
      </c>
      <c r="D61" s="206">
        <f>SUM(COUNTIFS(Tabla1[AÑO PARTO],$B$4,Tabla1[MES PARTO],D6,Tabla1[SALE DEL PROGRAMA POR],"PARTO",Tabla1[EDAD GESTACIONAL SALIDA PROGRAMA],"&gt;36",Tabla1[EDAD GESTACIONAL SALIDA PROGRAMA],"&lt;44",Tabla1[FECHA CONSULTA DE 1RA VEZ POR ODONTOLOGIA],"&lt;&gt;"),COUNTIFS(Tabla1[AÑO PARTO],$B$4,Tabla1[MES PARTO],D6,Tabla1[SALE DEL PROGRAMA POR],"CESAREA",Tabla1[EDAD GESTACIONAL SALIDA PROGRAMA],"&gt;36",Tabla1[EDAD GESTACIONAL SALIDA PROGRAMA],"&lt;44",Tabla1[FECHA CONSULTA DE 1RA VEZ POR ODONTOLOGIA],"&lt;&gt;"))</f>
        <v>0</v>
      </c>
      <c r="E61" s="206">
        <f>SUM(COUNTIFS(Tabla1[AÑO PARTO],$B$4,Tabla1[MES PARTO],E6,Tabla1[SALE DEL PROGRAMA POR],"PARTO",Tabla1[EDAD GESTACIONAL SALIDA PROGRAMA],"&gt;36",Tabla1[EDAD GESTACIONAL SALIDA PROGRAMA],"&lt;44",Tabla1[FECHA CONSULTA DE 1RA VEZ POR ODONTOLOGIA],"&lt;&gt;"),COUNTIFS(Tabla1[AÑO PARTO],$B$4,Tabla1[MES PARTO],E6,Tabla1[SALE DEL PROGRAMA POR],"CESAREA",Tabla1[EDAD GESTACIONAL SALIDA PROGRAMA],"&gt;36",Tabla1[EDAD GESTACIONAL SALIDA PROGRAMA],"&lt;44",Tabla1[FECHA CONSULTA DE 1RA VEZ POR ODONTOLOGIA],"&lt;&gt;"))</f>
        <v>0</v>
      </c>
      <c r="F61" s="206">
        <f>SUM(COUNTIFS(Tabla1[AÑO PARTO],$B$4,Tabla1[MES PARTO],F6,Tabla1[SALE DEL PROGRAMA POR],"PARTO",Tabla1[EDAD GESTACIONAL SALIDA PROGRAMA],"&gt;36",Tabla1[EDAD GESTACIONAL SALIDA PROGRAMA],"&lt;44",Tabla1[FECHA CONSULTA DE 1RA VEZ POR ODONTOLOGIA],"&lt;&gt;"),COUNTIFS(Tabla1[AÑO PARTO],$B$4,Tabla1[MES PARTO],F6,Tabla1[SALE DEL PROGRAMA POR],"CESAREA",Tabla1[EDAD GESTACIONAL SALIDA PROGRAMA],"&gt;36",Tabla1[EDAD GESTACIONAL SALIDA PROGRAMA],"&lt;44",Tabla1[FECHA CONSULTA DE 1RA VEZ POR ODONTOLOGIA],"&lt;&gt;"))</f>
        <v>0</v>
      </c>
      <c r="G61" s="206">
        <f>SUM(COUNTIFS(Tabla1[AÑO PARTO],$B$4,Tabla1[MES PARTO],G6,Tabla1[SALE DEL PROGRAMA POR],"PARTO",Tabla1[EDAD GESTACIONAL SALIDA PROGRAMA],"&gt;36",Tabla1[EDAD GESTACIONAL SALIDA PROGRAMA],"&lt;44",Tabla1[FECHA CONSULTA DE 1RA VEZ POR ODONTOLOGIA],"&lt;&gt;"),COUNTIFS(Tabla1[AÑO PARTO],$B$4,Tabla1[MES PARTO],G6,Tabla1[SALE DEL PROGRAMA POR],"CESAREA",Tabla1[EDAD GESTACIONAL SALIDA PROGRAMA],"&gt;36",Tabla1[EDAD GESTACIONAL SALIDA PROGRAMA],"&lt;44",Tabla1[FECHA CONSULTA DE 1RA VEZ POR ODONTOLOGIA],"&lt;&gt;"))</f>
        <v>0</v>
      </c>
      <c r="H61" s="206">
        <f>SUM(COUNTIFS(Tabla1[AÑO PARTO],$B$4,Tabla1[MES PARTO],H6,Tabla1[SALE DEL PROGRAMA POR],"PARTO",Tabla1[EDAD GESTACIONAL SALIDA PROGRAMA],"&gt;36",Tabla1[EDAD GESTACIONAL SALIDA PROGRAMA],"&lt;44",Tabla1[FECHA CONSULTA DE 1RA VEZ POR ODONTOLOGIA],"&lt;&gt;"),COUNTIFS(Tabla1[AÑO PARTO],$B$4,Tabla1[MES PARTO],H6,Tabla1[SALE DEL PROGRAMA POR],"CESAREA",Tabla1[EDAD GESTACIONAL SALIDA PROGRAMA],"&gt;36",Tabla1[EDAD GESTACIONAL SALIDA PROGRAMA],"&lt;44",Tabla1[FECHA CONSULTA DE 1RA VEZ POR ODONTOLOGIA],"&lt;&gt;"))</f>
        <v>0</v>
      </c>
      <c r="I61" s="206">
        <f>SUM(COUNTIFS(Tabla1[AÑO PARTO],$B$4,Tabla1[MES PARTO],I6,Tabla1[SALE DEL PROGRAMA POR],"PARTO",Tabla1[EDAD GESTACIONAL SALIDA PROGRAMA],"&gt;36",Tabla1[EDAD GESTACIONAL SALIDA PROGRAMA],"&lt;44",Tabla1[FECHA CONSULTA DE 1RA VEZ POR ODONTOLOGIA],"&lt;&gt;"),COUNTIFS(Tabla1[AÑO PARTO],$B$4,Tabla1[MES PARTO],I6,Tabla1[SALE DEL PROGRAMA POR],"CESAREA",Tabla1[EDAD GESTACIONAL SALIDA PROGRAMA],"&gt;36",Tabla1[EDAD GESTACIONAL SALIDA PROGRAMA],"&lt;44",Tabla1[FECHA CONSULTA DE 1RA VEZ POR ODONTOLOGIA],"&lt;&gt;"))</f>
        <v>0</v>
      </c>
      <c r="J61" s="206">
        <f>SUM(COUNTIFS(Tabla1[AÑO PARTO],$B$4,Tabla1[MES PARTO],J6,Tabla1[SALE DEL PROGRAMA POR],"PARTO",Tabla1[EDAD GESTACIONAL SALIDA PROGRAMA],"&gt;36",Tabla1[EDAD GESTACIONAL SALIDA PROGRAMA],"&lt;44",Tabla1[FECHA CONSULTA DE 1RA VEZ POR ODONTOLOGIA],"&lt;&gt;"),COUNTIFS(Tabla1[AÑO PARTO],$B$4,Tabla1[MES PARTO],J6,Tabla1[SALE DEL PROGRAMA POR],"CESAREA",Tabla1[EDAD GESTACIONAL SALIDA PROGRAMA],"&gt;36",Tabla1[EDAD GESTACIONAL SALIDA PROGRAMA],"&lt;44",Tabla1[FECHA CONSULTA DE 1RA VEZ POR ODONTOLOGIA],"&lt;&gt;"))</f>
        <v>0</v>
      </c>
      <c r="K61" s="206">
        <f>SUM(COUNTIFS(Tabla1[AÑO PARTO],$B$4,Tabla1[MES PARTO],K6,Tabla1[SALE DEL PROGRAMA POR],"PARTO",Tabla1[EDAD GESTACIONAL SALIDA PROGRAMA],"&gt;36",Tabla1[EDAD GESTACIONAL SALIDA PROGRAMA],"&lt;44",Tabla1[FECHA CONSULTA DE 1RA VEZ POR ODONTOLOGIA],"&lt;&gt;"),COUNTIFS(Tabla1[AÑO PARTO],$B$4,Tabla1[MES PARTO],K6,Tabla1[SALE DEL PROGRAMA POR],"CESAREA",Tabla1[EDAD GESTACIONAL SALIDA PROGRAMA],"&gt;36",Tabla1[EDAD GESTACIONAL SALIDA PROGRAMA],"&lt;44",Tabla1[FECHA CONSULTA DE 1RA VEZ POR ODONTOLOGIA],"&lt;&gt;"))</f>
        <v>0</v>
      </c>
      <c r="L61" s="206">
        <f>SUM(COUNTIFS(Tabla1[AÑO PARTO],$B$4,Tabla1[MES PARTO],L6,Tabla1[SALE DEL PROGRAMA POR],"PARTO",Tabla1[EDAD GESTACIONAL SALIDA PROGRAMA],"&gt;36",Tabla1[EDAD GESTACIONAL SALIDA PROGRAMA],"&lt;44",Tabla1[FECHA CONSULTA DE 1RA VEZ POR ODONTOLOGIA],"&lt;&gt;"),COUNTIFS(Tabla1[AÑO PARTO],$B$4,Tabla1[MES PARTO],L6,Tabla1[SALE DEL PROGRAMA POR],"CESAREA",Tabla1[EDAD GESTACIONAL SALIDA PROGRAMA],"&gt;36",Tabla1[EDAD GESTACIONAL SALIDA PROGRAMA],"&lt;44",Tabla1[FECHA CONSULTA DE 1RA VEZ POR ODONTOLOGIA],"&lt;&gt;"))</f>
        <v>0</v>
      </c>
      <c r="M61" s="206">
        <f>SUM(COUNTIFS(Tabla1[AÑO PARTO],$B$4,Tabla1[MES PARTO],M6,Tabla1[SALE DEL PROGRAMA POR],"PARTO",Tabla1[EDAD GESTACIONAL SALIDA PROGRAMA],"&gt;36",Tabla1[EDAD GESTACIONAL SALIDA PROGRAMA],"&lt;44",Tabla1[FECHA CONSULTA DE 1RA VEZ POR ODONTOLOGIA],"&lt;&gt;"),COUNTIFS(Tabla1[AÑO PARTO],$B$4,Tabla1[MES PARTO],M6,Tabla1[SALE DEL PROGRAMA POR],"CESAREA",Tabla1[EDAD GESTACIONAL SALIDA PROGRAMA],"&gt;36",Tabla1[EDAD GESTACIONAL SALIDA PROGRAMA],"&lt;44",Tabla1[FECHA CONSULTA DE 1RA VEZ POR ODONTOLOGIA],"&lt;&gt;"))</f>
        <v>0</v>
      </c>
      <c r="N61" s="116">
        <f>SUM(B61:M61)</f>
        <v>0</v>
      </c>
    </row>
    <row r="62" spans="1:14" ht="33.75" customHeight="1" thickBot="1" x14ac:dyDescent="0.3">
      <c r="A62" s="207" t="s">
        <v>752</v>
      </c>
      <c r="B62" s="117" t="str">
        <f t="shared" ref="B62:N62" si="13">IF(B$60=0,"",SUM(B61/B$60))</f>
        <v/>
      </c>
      <c r="C62" s="118" t="str">
        <f t="shared" si="13"/>
        <v/>
      </c>
      <c r="D62" s="118" t="str">
        <f t="shared" si="13"/>
        <v/>
      </c>
      <c r="E62" s="118" t="str">
        <f t="shared" si="13"/>
        <v/>
      </c>
      <c r="F62" s="118" t="str">
        <f t="shared" si="13"/>
        <v/>
      </c>
      <c r="G62" s="118" t="str">
        <f t="shared" si="13"/>
        <v/>
      </c>
      <c r="H62" s="118" t="str">
        <f t="shared" si="13"/>
        <v/>
      </c>
      <c r="I62" s="118" t="str">
        <f t="shared" si="13"/>
        <v/>
      </c>
      <c r="J62" s="118" t="str">
        <f t="shared" si="13"/>
        <v/>
      </c>
      <c r="K62" s="118" t="str">
        <f t="shared" si="13"/>
        <v/>
      </c>
      <c r="L62" s="118" t="str">
        <f t="shared" si="13"/>
        <v/>
      </c>
      <c r="M62" s="118" t="str">
        <f t="shared" si="13"/>
        <v/>
      </c>
      <c r="N62" s="119" t="str">
        <f t="shared" si="13"/>
        <v/>
      </c>
    </row>
    <row r="63" spans="1:14" ht="37.5" customHeight="1" thickBot="1" x14ac:dyDescent="0.3">
      <c r="A63" s="122" t="s">
        <v>743</v>
      </c>
      <c r="B63" s="116">
        <f>SUM(COUNTIFS(Tabla1[AÑO PARTO],B4,Tabla1[MES PARTO],B6,Tabla1[SALE DEL PROGRAMA POR],"PARTO",Tabla1[EDAD GESTACIONAL SALIDA PROGRAMA],"&gt;36",Tabla1[EDAD GESTACIONAL SALIDA PROGRAMA],"&lt;44",Tabla1[CURSO DE MATERNIDAD Y PATERNIDAD],"7"),COUNTIFS(Tabla1[AÑO PARTO],B4,Tabla1[MES PARTO],B6,Tabla1[SALE DEL PROGRAMA POR],"CESAREA",Tabla1[EDAD GESTACIONAL SALIDA PROGRAMA],"&gt;36",Tabla1[EDAD GESTACIONAL SALIDA PROGRAMA],"&lt;44",Tabla1[CURSO DE MATERNIDAD Y PATERNIDAD],"7"))</f>
        <v>0</v>
      </c>
      <c r="C63" s="116">
        <f>SUM(COUNTIFS(Tabla1[AÑO PARTO],B4,Tabla1[MES PARTO],C6,Tabla1[SALE DEL PROGRAMA POR],"PARTO",Tabla1[EDAD GESTACIONAL SALIDA PROGRAMA],"&gt;36",Tabla1[EDAD GESTACIONAL SALIDA PROGRAMA],"&lt;44",Tabla1[CURSO DE MATERNIDAD Y PATERNIDAD],"7"),COUNTIFS(Tabla1[AÑO PARTO],B4,Tabla1[MES PARTO],C6,Tabla1[SALE DEL PROGRAMA POR],"CESAREA",Tabla1[EDAD GESTACIONAL SALIDA PROGRAMA],"&gt;36",Tabla1[EDAD GESTACIONAL SALIDA PROGRAMA],"&lt;44",Tabla1[CURSO DE MATERNIDAD Y PATERNIDAD],"7"))</f>
        <v>0</v>
      </c>
      <c r="D63" s="116">
        <f>SUM(COUNTIFS(Tabla1[AÑO PARTO],B4,Tabla1[MES PARTO],D6,Tabla1[SALE DEL PROGRAMA POR],"PARTO",Tabla1[EDAD GESTACIONAL SALIDA PROGRAMA],"&gt;36",Tabla1[EDAD GESTACIONAL SALIDA PROGRAMA],"&lt;44",Tabla1[CURSO DE MATERNIDAD Y PATERNIDAD],"7"),COUNTIFS(Tabla1[AÑO PARTO],B4,Tabla1[MES PARTO],D6,Tabla1[SALE DEL PROGRAMA POR],"CESAREA",Tabla1[EDAD GESTACIONAL SALIDA PROGRAMA],"&gt;36",Tabla1[EDAD GESTACIONAL SALIDA PROGRAMA],"&lt;44",Tabla1[CURSO DE MATERNIDAD Y PATERNIDAD],"7"))</f>
        <v>0</v>
      </c>
      <c r="E63" s="116">
        <f>SUM(COUNTIFS(Tabla1[AÑO PARTO],B4,Tabla1[MES PARTO],E6,Tabla1[SALE DEL PROGRAMA POR],"PARTO",Tabla1[EDAD GESTACIONAL SALIDA PROGRAMA],"&gt;36",Tabla1[EDAD GESTACIONAL SALIDA PROGRAMA],"&lt;44",Tabla1[CURSO DE MATERNIDAD Y PATERNIDAD],"7"),COUNTIFS(Tabla1[AÑO PARTO],B4,Tabla1[MES PARTO],E6,Tabla1[SALE DEL PROGRAMA POR],"CESAREA",Tabla1[EDAD GESTACIONAL SALIDA PROGRAMA],"&gt;36",Tabla1[EDAD GESTACIONAL SALIDA PROGRAMA],"&lt;44",Tabla1[CURSO DE MATERNIDAD Y PATERNIDAD],"7"))</f>
        <v>0</v>
      </c>
      <c r="F63" s="116">
        <f>SUM(COUNTIFS(Tabla1[AÑO PARTO],B4,Tabla1[MES PARTO],F6,Tabla1[SALE DEL PROGRAMA POR],"PARTO",Tabla1[EDAD GESTACIONAL SALIDA PROGRAMA],"&gt;36",Tabla1[EDAD GESTACIONAL SALIDA PROGRAMA],"&lt;44",Tabla1[CURSO DE MATERNIDAD Y PATERNIDAD],"7"),COUNTIFS(Tabla1[AÑO PARTO],B4,Tabla1[MES PARTO],F6,Tabla1[SALE DEL PROGRAMA POR],"CESAREA",Tabla1[EDAD GESTACIONAL SALIDA PROGRAMA],"&gt;36",Tabla1[EDAD GESTACIONAL SALIDA PROGRAMA],"&lt;44",Tabla1[CURSO DE MATERNIDAD Y PATERNIDAD],"7"))</f>
        <v>0</v>
      </c>
      <c r="G63" s="116">
        <f>SUM(COUNTIFS(Tabla1[AÑO PARTO],B4,Tabla1[MES PARTO],G6,Tabla1[SALE DEL PROGRAMA POR],"PARTO",Tabla1[EDAD GESTACIONAL SALIDA PROGRAMA],"&gt;36",Tabla1[EDAD GESTACIONAL SALIDA PROGRAMA],"&lt;44",Tabla1[CURSO DE MATERNIDAD Y PATERNIDAD],"7"),COUNTIFS(Tabla1[AÑO PARTO],B4,Tabla1[MES PARTO],G6,Tabla1[SALE DEL PROGRAMA POR],"CESAREA",Tabla1[EDAD GESTACIONAL SALIDA PROGRAMA],"&gt;36",Tabla1[EDAD GESTACIONAL SALIDA PROGRAMA],"&lt;44",Tabla1[CURSO DE MATERNIDAD Y PATERNIDAD],"7"))</f>
        <v>0</v>
      </c>
      <c r="H63" s="116">
        <f>SUM(COUNTIFS(Tabla1[AÑO PARTO],B4,Tabla1[MES PARTO],H6,Tabla1[SALE DEL PROGRAMA POR],"PARTO",Tabla1[EDAD GESTACIONAL SALIDA PROGRAMA],"&gt;36",Tabla1[EDAD GESTACIONAL SALIDA PROGRAMA],"&lt;44",Tabla1[CURSO DE MATERNIDAD Y PATERNIDAD],"7"),COUNTIFS(Tabla1[AÑO PARTO],B4,Tabla1[MES PARTO],H6,Tabla1[SALE DEL PROGRAMA POR],"CESAREA",Tabla1[EDAD GESTACIONAL SALIDA PROGRAMA],"&gt;36",Tabla1[EDAD GESTACIONAL SALIDA PROGRAMA],"&lt;44",Tabla1[CURSO DE MATERNIDAD Y PATERNIDAD],"7"))</f>
        <v>0</v>
      </c>
      <c r="I63" s="116">
        <f>SUM(COUNTIFS(Tabla1[AÑO PARTO],B4,Tabla1[MES PARTO],I6,Tabla1[SALE DEL PROGRAMA POR],"PARTO",Tabla1[EDAD GESTACIONAL SALIDA PROGRAMA],"&gt;36",Tabla1[EDAD GESTACIONAL SALIDA PROGRAMA],"&lt;44",Tabla1[CURSO DE MATERNIDAD Y PATERNIDAD],"7"),COUNTIFS(Tabla1[AÑO PARTO],B4,Tabla1[MES PARTO],I6,Tabla1[SALE DEL PROGRAMA POR],"CESAREA",Tabla1[EDAD GESTACIONAL SALIDA PROGRAMA],"&gt;36",Tabla1[EDAD GESTACIONAL SALIDA PROGRAMA],"&lt;44",Tabla1[CURSO DE MATERNIDAD Y PATERNIDAD],"7"))</f>
        <v>0</v>
      </c>
      <c r="J63" s="116">
        <f>SUM(COUNTIFS(Tabla1[AÑO PARTO],B4,Tabla1[MES PARTO],J6,Tabla1[SALE DEL PROGRAMA POR],"PARTO",Tabla1[EDAD GESTACIONAL SALIDA PROGRAMA],"&gt;36",Tabla1[EDAD GESTACIONAL SALIDA PROGRAMA],"&lt;44",Tabla1[CURSO DE MATERNIDAD Y PATERNIDAD],"7"),COUNTIFS(Tabla1[AÑO PARTO],B4,Tabla1[MES PARTO],J6,Tabla1[SALE DEL PROGRAMA POR],"CESAREA",Tabla1[EDAD GESTACIONAL SALIDA PROGRAMA],"&gt;36",Tabla1[EDAD GESTACIONAL SALIDA PROGRAMA],"&lt;44",Tabla1[CURSO DE MATERNIDAD Y PATERNIDAD],"7"))</f>
        <v>0</v>
      </c>
      <c r="K63" s="116">
        <f>SUM(COUNTIFS(Tabla1[AÑO PARTO],B4,Tabla1[MES PARTO],K6,Tabla1[SALE DEL PROGRAMA POR],"PARTO",Tabla1[EDAD GESTACIONAL SALIDA PROGRAMA],"&gt;36",Tabla1[EDAD GESTACIONAL SALIDA PROGRAMA],"&lt;44",Tabla1[CURSO DE MATERNIDAD Y PATERNIDAD],"7"),COUNTIFS(Tabla1[AÑO PARTO],B4,Tabla1[MES PARTO],K6,Tabla1[SALE DEL PROGRAMA POR],"CESAREA",Tabla1[EDAD GESTACIONAL SALIDA PROGRAMA],"&gt;36",Tabla1[EDAD GESTACIONAL SALIDA PROGRAMA],"&lt;44",Tabla1[CURSO DE MATERNIDAD Y PATERNIDAD],"7"))</f>
        <v>0</v>
      </c>
      <c r="L63" s="116">
        <f>SUM(COUNTIFS(Tabla1[AÑO PARTO],B4,Tabla1[MES PARTO],L6,Tabla1[SALE DEL PROGRAMA POR],"PARTO",Tabla1[EDAD GESTACIONAL SALIDA PROGRAMA],"&gt;36",Tabla1[EDAD GESTACIONAL SALIDA PROGRAMA],"&lt;44",Tabla1[CURSO DE MATERNIDAD Y PATERNIDAD],"7"),COUNTIFS(Tabla1[AÑO PARTO],B4,Tabla1[MES PARTO],L6,Tabla1[SALE DEL PROGRAMA POR],"CESAREA",Tabla1[EDAD GESTACIONAL SALIDA PROGRAMA],"&gt;36",Tabla1[EDAD GESTACIONAL SALIDA PROGRAMA],"&lt;44",Tabla1[CURSO DE MATERNIDAD Y PATERNIDAD],"7"))</f>
        <v>0</v>
      </c>
      <c r="M63" s="116">
        <f>SUM(COUNTIFS(Tabla1[AÑO PARTO],B4,Tabla1[MES PARTO],M6,Tabla1[SALE DEL PROGRAMA POR],"PARTO",Tabla1[EDAD GESTACIONAL SALIDA PROGRAMA],"&gt;36",Tabla1[EDAD GESTACIONAL SALIDA PROGRAMA],"&lt;44",Tabla1[CURSO DE MATERNIDAD Y PATERNIDAD],"7"),COUNTIFS(Tabla1[AÑO PARTO],B4,Tabla1[MES PARTO],M6,Tabla1[SALE DEL PROGRAMA POR],"CESAREA",Tabla1[EDAD GESTACIONAL SALIDA PROGRAMA],"&gt;36",Tabla1[EDAD GESTACIONAL SALIDA PROGRAMA],"&lt;44",Tabla1[CURSO DE MATERNIDAD Y PATERNIDAD],"7"))</f>
        <v>0</v>
      </c>
      <c r="N63" s="125">
        <f>SUM(B63:M63)</f>
        <v>0</v>
      </c>
    </row>
    <row r="64" spans="1:14" ht="50.25" customHeight="1" thickBot="1" x14ac:dyDescent="0.3">
      <c r="A64" s="199" t="s">
        <v>839</v>
      </c>
      <c r="B64" s="117" t="str">
        <f>IF($B$60=0,"",SUM(B63/$B$60))</f>
        <v/>
      </c>
      <c r="C64" s="118" t="str">
        <f t="shared" ref="C64:N64" si="14">IF(C$60=0,"",SUM(C63/C$60))</f>
        <v/>
      </c>
      <c r="D64" s="118" t="str">
        <f t="shared" si="14"/>
        <v/>
      </c>
      <c r="E64" s="118" t="str">
        <f t="shared" si="14"/>
        <v/>
      </c>
      <c r="F64" s="118" t="str">
        <f t="shared" si="14"/>
        <v/>
      </c>
      <c r="G64" s="118" t="str">
        <f t="shared" si="14"/>
        <v/>
      </c>
      <c r="H64" s="118" t="str">
        <f t="shared" si="14"/>
        <v/>
      </c>
      <c r="I64" s="118" t="str">
        <f t="shared" si="14"/>
        <v/>
      </c>
      <c r="J64" s="118" t="str">
        <f t="shared" si="14"/>
        <v/>
      </c>
      <c r="K64" s="118" t="str">
        <f t="shared" si="14"/>
        <v/>
      </c>
      <c r="L64" s="118" t="str">
        <f t="shared" si="14"/>
        <v/>
      </c>
      <c r="M64" s="118" t="str">
        <f t="shared" si="14"/>
        <v/>
      </c>
      <c r="N64" s="119" t="str">
        <f t="shared" si="14"/>
        <v/>
      </c>
    </row>
    <row r="65" spans="1:16" ht="37.5" customHeight="1" thickBot="1" x14ac:dyDescent="0.3">
      <c r="A65" s="122" t="s">
        <v>744</v>
      </c>
      <c r="B65" s="116">
        <f>SUM(COUNTIFS(Tabla1[AÑO PARTO],B4,Tabla1[MES PARTO],B6,Tabla1[SALE DEL PROGRAMA POR],"PARTO",Tabla1[ALERTA DE PLAN DE PARTO],"&gt;36",Tabla1[ALERTA DE PLAN DE PARTO],"&lt;44"),COUNTIFS(Tabla1[AÑO PARTO],B4,Tabla1[MES PARTO],B6,Tabla1[SALE DEL PROGRAMA POR],"CESAREA",Tabla1[ALERTA DE PLAN DE PARTO],"&gt;36",Tabla1[ALERTA DE PLAN DE PARTO],"&lt;44"))</f>
        <v>0</v>
      </c>
      <c r="C65" s="116">
        <f>SUM(COUNTIFS(Tabla1[AÑO PARTO],B4,Tabla1[MES PARTO],C6,Tabla1[SALE DEL PROGRAMA POR],"PARTO",Tabla1[ALERTA DE PLAN DE PARTO],"&gt;36",Tabla1[ALERTA DE PLAN DE PARTO],"&lt;44"),COUNTIFS(Tabla1[AÑO PARTO],B4,Tabla1[MES PARTO],C6,Tabla1[SALE DEL PROGRAMA POR],"CESAREA",Tabla1[ALERTA DE PLAN DE PARTO],"&gt;36",Tabla1[ALERTA DE PLAN DE PARTO],"&lt;44"))</f>
        <v>0</v>
      </c>
      <c r="D65" s="116">
        <f>SUM(COUNTIFS(Tabla1[AÑO PARTO],B4,Tabla1[MES PARTO],D6,Tabla1[SALE DEL PROGRAMA POR],"PARTO",Tabla1[ALERTA DE PLAN DE PARTO],"&gt;36",Tabla1[ALERTA DE PLAN DE PARTO],"&lt;44"),COUNTIFS(Tabla1[AÑO PARTO],B4,Tabla1[MES PARTO],D6,Tabla1[SALE DEL PROGRAMA POR],"CESAREA",Tabla1[ALERTA DE PLAN DE PARTO],"&gt;36",Tabla1[ALERTA DE PLAN DE PARTO],"&lt;44"))</f>
        <v>0</v>
      </c>
      <c r="E65" s="116">
        <f>SUM(COUNTIFS(Tabla1[AÑO PARTO],B4,Tabla1[MES PARTO],E6,Tabla1[SALE DEL PROGRAMA POR],"PARTO",Tabla1[ALERTA DE PLAN DE PARTO],"&gt;36",Tabla1[ALERTA DE PLAN DE PARTO],"&lt;44"),COUNTIFS(Tabla1[AÑO PARTO],B4,Tabla1[MES PARTO],E6,Tabla1[SALE DEL PROGRAMA POR],"CESAREA",Tabla1[ALERTA DE PLAN DE PARTO],"&gt;36",Tabla1[ALERTA DE PLAN DE PARTO],"&lt;44"))</f>
        <v>0</v>
      </c>
      <c r="F65" s="116">
        <f>SUM(COUNTIFS(Tabla1[AÑO PARTO],B4,Tabla1[MES PARTO],F6,Tabla1[SALE DEL PROGRAMA POR],"PARTO",Tabla1[ALERTA DE PLAN DE PARTO],"&gt;36",Tabla1[ALERTA DE PLAN DE PARTO],"&lt;44"),COUNTIFS(Tabla1[AÑO PARTO],B4,Tabla1[MES PARTO],F6,Tabla1[SALE DEL PROGRAMA POR],"CESAREA",Tabla1[ALERTA DE PLAN DE PARTO],"&gt;36",Tabla1[ALERTA DE PLAN DE PARTO],"&lt;44"))</f>
        <v>0</v>
      </c>
      <c r="G65" s="116">
        <f>SUM(COUNTIFS(Tabla1[AÑO PARTO],B4,Tabla1[MES PARTO],G6,Tabla1[SALE DEL PROGRAMA POR],"PARTO",Tabla1[ALERTA DE PLAN DE PARTO],"&gt;36",Tabla1[ALERTA DE PLAN DE PARTO],"&lt;44"),COUNTIFS(Tabla1[AÑO PARTO],B4,Tabla1[MES PARTO],G6,Tabla1[SALE DEL PROGRAMA POR],"CESAREA",Tabla1[ALERTA DE PLAN DE PARTO],"&gt;36",Tabla1[ALERTA DE PLAN DE PARTO],"&lt;44"))</f>
        <v>0</v>
      </c>
      <c r="H65" s="116">
        <f>SUM(COUNTIFS(Tabla1[AÑO PARTO],B4,Tabla1[MES PARTO],H6,Tabla1[SALE DEL PROGRAMA POR],"PARTO",Tabla1[ALERTA DE PLAN DE PARTO],"&gt;36",Tabla1[ALERTA DE PLAN DE PARTO],"&lt;44"),COUNTIFS(Tabla1[AÑO PARTO],B4,Tabla1[MES PARTO],H6,Tabla1[SALE DEL PROGRAMA POR],"CESAREA",Tabla1[ALERTA DE PLAN DE PARTO],"&gt;36",Tabla1[ALERTA DE PLAN DE PARTO],"&lt;44"))</f>
        <v>0</v>
      </c>
      <c r="I65" s="116">
        <f>SUM(COUNTIFS(Tabla1[AÑO PARTO],B4,Tabla1[MES PARTO],I6,Tabla1[SALE DEL PROGRAMA POR],"PARTO",Tabla1[ALERTA DE PLAN DE PARTO],"&gt;36",Tabla1[ALERTA DE PLAN DE PARTO],"&lt;44"),COUNTIFS(Tabla1[AÑO PARTO],B4,Tabla1[MES PARTO],I6,Tabla1[SALE DEL PROGRAMA POR],"CESAREA",Tabla1[ALERTA DE PLAN DE PARTO],"&gt;36",Tabla1[ALERTA DE PLAN DE PARTO],"&lt;44"))</f>
        <v>0</v>
      </c>
      <c r="J65" s="116">
        <f>SUM(COUNTIFS(Tabla1[AÑO PARTO],B4,Tabla1[MES PARTO],J6,Tabla1[SALE DEL PROGRAMA POR],"PARTO",Tabla1[ALERTA DE PLAN DE PARTO],"&gt;36",Tabla1[ALERTA DE PLAN DE PARTO],"&lt;44"),COUNTIFS(Tabla1[AÑO PARTO],B4,Tabla1[MES PARTO],J6,Tabla1[SALE DEL PROGRAMA POR],"CESAREA",Tabla1[ALERTA DE PLAN DE PARTO],"&gt;36",Tabla1[ALERTA DE PLAN DE PARTO],"&lt;44"))</f>
        <v>0</v>
      </c>
      <c r="K65" s="116">
        <f>SUM(COUNTIFS(Tabla1[AÑO PARTO],B4,Tabla1[MES PARTO],K6,Tabla1[SALE DEL PROGRAMA POR],"PARTO",Tabla1[ALERTA DE PLAN DE PARTO],"&gt;36",Tabla1[ALERTA DE PLAN DE PARTO],"&lt;44"),COUNTIFS(Tabla1[AÑO PARTO],B4,Tabla1[MES PARTO],K6,Tabla1[SALE DEL PROGRAMA POR],"CESAREA",Tabla1[ALERTA DE PLAN DE PARTO],"&gt;36",Tabla1[ALERTA DE PLAN DE PARTO],"&lt;44"))</f>
        <v>0</v>
      </c>
      <c r="L65" s="116">
        <f>SUM(COUNTIFS(Tabla1[AÑO PARTO],B4,Tabla1[MES PARTO],L6,Tabla1[SALE DEL PROGRAMA POR],"PARTO",Tabla1[ALERTA DE PLAN DE PARTO],"&gt;36",Tabla1[ALERTA DE PLAN DE PARTO],"&lt;44"),COUNTIFS(Tabla1[AÑO PARTO],B4,Tabla1[MES PARTO],L6,Tabla1[SALE DEL PROGRAMA POR],"CESAREA",Tabla1[ALERTA DE PLAN DE PARTO],"&gt;36",Tabla1[ALERTA DE PLAN DE PARTO],"&lt;44"))</f>
        <v>0</v>
      </c>
      <c r="M65" s="116">
        <f>SUM(COUNTIFS(Tabla1[AÑO PARTO],B4,Tabla1[MES PARTO],M6,Tabla1[SALE DEL PROGRAMA POR],"PARTO",Tabla1[ALERTA DE PLAN DE PARTO],"&gt;36",Tabla1[ALERTA DE PLAN DE PARTO],"&lt;44"),COUNTIFS(Tabla1[AÑO PARTO],B4,Tabla1[MES PARTO],M6,Tabla1[SALE DEL PROGRAMA POR],"CESAREA",Tabla1[ALERTA DE PLAN DE PARTO],"&gt;36",Tabla1[ALERTA DE PLAN DE PARTO],"&lt;44"))</f>
        <v>0</v>
      </c>
      <c r="N65" s="125">
        <f>SUM(B65:M65)</f>
        <v>0</v>
      </c>
    </row>
    <row r="66" spans="1:16" ht="37.5" customHeight="1" thickBot="1" x14ac:dyDescent="0.3">
      <c r="A66" s="199" t="s">
        <v>838</v>
      </c>
      <c r="B66" s="117" t="str">
        <f t="shared" ref="B66:N66" si="15">IF(B$60=0,"",SUM(B65/B$60))</f>
        <v/>
      </c>
      <c r="C66" s="118" t="str">
        <f t="shared" si="15"/>
        <v/>
      </c>
      <c r="D66" s="118" t="str">
        <f t="shared" si="15"/>
        <v/>
      </c>
      <c r="E66" s="118" t="str">
        <f t="shared" si="15"/>
        <v/>
      </c>
      <c r="F66" s="118" t="str">
        <f t="shared" si="15"/>
        <v/>
      </c>
      <c r="G66" s="118" t="str">
        <f t="shared" si="15"/>
        <v/>
      </c>
      <c r="H66" s="118" t="str">
        <f t="shared" si="15"/>
        <v/>
      </c>
      <c r="I66" s="118" t="str">
        <f t="shared" si="15"/>
        <v/>
      </c>
      <c r="J66" s="118" t="str">
        <f t="shared" si="15"/>
        <v/>
      </c>
      <c r="K66" s="118" t="str">
        <f t="shared" si="15"/>
        <v/>
      </c>
      <c r="L66" s="118" t="str">
        <f t="shared" si="15"/>
        <v/>
      </c>
      <c r="M66" s="118" t="str">
        <f t="shared" si="15"/>
        <v/>
      </c>
      <c r="N66" s="119" t="str">
        <f t="shared" si="15"/>
        <v/>
      </c>
    </row>
    <row r="67" spans="1:16" ht="51" customHeight="1" thickBot="1" x14ac:dyDescent="0.3">
      <c r="A67" s="122" t="s">
        <v>843</v>
      </c>
      <c r="B67" s="116">
        <f>SUM(COUNTIFS(Tabla1[AÑO PARTO],$B$4,Tabla1[MES PARTO],B6,Tabla1[SALE DEL PROGRAMA POR],"PARTO",Tabla1[FECHA ASESORIA EN LACTANCIA MATERNA DURANTE CPN],"&lt;&gt;"),COUNTIFS(Tabla1[AÑO PARTO],$B$4,Tabla1[MES PARTO],B6,Tabla1[SALE DEL PROGRAMA POR],"CESAREA",Tabla1[FECHA ASESORIA EN LACTANCIA MATERNA DURANTE CPN],"&lt;&gt;"))</f>
        <v>0</v>
      </c>
      <c r="C67" s="116">
        <f>SUM(COUNTIFS(Tabla1[AÑO PARTO],$B$4,Tabla1[MES PARTO],C6,Tabla1[SALE DEL PROGRAMA POR],"PARTO",Tabla1[FECHA ASESORIA EN LACTANCIA MATERNA DURANTE CPN],"&lt;&gt;"),COUNTIFS(Tabla1[AÑO PARTO],$B$4,Tabla1[MES PARTO],C6,Tabla1[SALE DEL PROGRAMA POR],"CESAREA",Tabla1[FECHA ASESORIA EN LACTANCIA MATERNA DURANTE CPN],"&lt;&gt;"))</f>
        <v>0</v>
      </c>
      <c r="D67" s="116">
        <f>SUM(COUNTIFS(Tabla1[AÑO PARTO],$B$4,Tabla1[MES PARTO],D6,Tabla1[SALE DEL PROGRAMA POR],"PARTO",Tabla1[FECHA ASESORIA EN LACTANCIA MATERNA DURANTE CPN],"&lt;&gt;"),COUNTIFS(Tabla1[AÑO PARTO],$B$4,Tabla1[MES PARTO],D6,Tabla1[SALE DEL PROGRAMA POR],"CESAREA",Tabla1[FECHA ASESORIA EN LACTANCIA MATERNA DURANTE CPN],"&lt;&gt;"))</f>
        <v>0</v>
      </c>
      <c r="E67" s="116">
        <f>SUM(COUNTIFS(Tabla1[AÑO PARTO],$B$4,Tabla1[MES PARTO],E6,Tabla1[SALE DEL PROGRAMA POR],"PARTO",Tabla1[FECHA ASESORIA EN LACTANCIA MATERNA DURANTE CPN],"&lt;&gt;"),COUNTIFS(Tabla1[AÑO PARTO],$B$4,Tabla1[MES PARTO],E6,Tabla1[SALE DEL PROGRAMA POR],"CESAREA",Tabla1[FECHA ASESORIA EN LACTANCIA MATERNA DURANTE CPN],"&lt;&gt;"))</f>
        <v>0</v>
      </c>
      <c r="F67" s="116">
        <f>SUM(COUNTIFS(Tabla1[AÑO PARTO],$B$4,Tabla1[MES PARTO],F6,Tabla1[SALE DEL PROGRAMA POR],"PARTO",Tabla1[FECHA ASESORIA EN LACTANCIA MATERNA DURANTE CPN],"&lt;&gt;"),COUNTIFS(Tabla1[AÑO PARTO],$B$4,Tabla1[MES PARTO],F6,Tabla1[SALE DEL PROGRAMA POR],"CESAREA",Tabla1[FECHA ASESORIA EN LACTANCIA MATERNA DURANTE CPN],"&lt;&gt;"))</f>
        <v>0</v>
      </c>
      <c r="G67" s="116">
        <f>SUM(COUNTIFS(Tabla1[AÑO PARTO],$B$4,Tabla1[MES PARTO],G6,Tabla1[SALE DEL PROGRAMA POR],"PARTO",Tabla1[FECHA ASESORIA EN LACTANCIA MATERNA DURANTE CPN],"&lt;&gt;"),COUNTIFS(Tabla1[AÑO PARTO],$B$4,Tabla1[MES PARTO],G6,Tabla1[SALE DEL PROGRAMA POR],"CESAREA",Tabla1[FECHA ASESORIA EN LACTANCIA MATERNA DURANTE CPN],"&lt;&gt;"))</f>
        <v>0</v>
      </c>
      <c r="H67" s="116">
        <f>SUM(COUNTIFS(Tabla1[AÑO PARTO],$B$4,Tabla1[MES PARTO],H6,Tabla1[SALE DEL PROGRAMA POR],"PARTO",Tabla1[FECHA ASESORIA EN LACTANCIA MATERNA DURANTE CPN],"&lt;&gt;"),COUNTIFS(Tabla1[AÑO PARTO],$B$4,Tabla1[MES PARTO],H6,Tabla1[SALE DEL PROGRAMA POR],"CESAREA",Tabla1[FECHA ASESORIA EN LACTANCIA MATERNA DURANTE CPN],"&lt;&gt;"))</f>
        <v>0</v>
      </c>
      <c r="I67" s="116">
        <f>SUM(COUNTIFS(Tabla1[AÑO PARTO],$B$4,Tabla1[MES PARTO],I6,Tabla1[SALE DEL PROGRAMA POR],"PARTO",Tabla1[FECHA ASESORIA EN LACTANCIA MATERNA DURANTE CPN],"&lt;&gt;"),COUNTIFS(Tabla1[AÑO PARTO],$B$4,Tabla1[MES PARTO],I6,Tabla1[SALE DEL PROGRAMA POR],"CESAREA",Tabla1[FECHA ASESORIA EN LACTANCIA MATERNA DURANTE CPN],"&lt;&gt;"))</f>
        <v>0</v>
      </c>
      <c r="J67" s="116">
        <f>SUM(COUNTIFS(Tabla1[AÑO PARTO],$B$4,Tabla1[MES PARTO],J6,Tabla1[SALE DEL PROGRAMA POR],"PARTO",Tabla1[FECHA ASESORIA EN LACTANCIA MATERNA DURANTE CPN],"&lt;&gt;"),COUNTIFS(Tabla1[AÑO PARTO],$B$4,Tabla1[MES PARTO],J6,Tabla1[SALE DEL PROGRAMA POR],"CESAREA",Tabla1[FECHA ASESORIA EN LACTANCIA MATERNA DURANTE CPN],"&lt;&gt;"))</f>
        <v>0</v>
      </c>
      <c r="K67" s="116">
        <f>SUM(COUNTIFS(Tabla1[AÑO PARTO],$B$4,Tabla1[MES PARTO],K6,Tabla1[SALE DEL PROGRAMA POR],"PARTO",Tabla1[FECHA ASESORIA EN LACTANCIA MATERNA DURANTE CPN],"&lt;&gt;"),COUNTIFS(Tabla1[AÑO PARTO],$B$4,Tabla1[MES PARTO],K6,Tabla1[SALE DEL PROGRAMA POR],"CESAREA",Tabla1[FECHA ASESORIA EN LACTANCIA MATERNA DURANTE CPN],"&lt;&gt;"))</f>
        <v>0</v>
      </c>
      <c r="L67" s="116">
        <f>SUM(COUNTIFS(Tabla1[AÑO PARTO],$B$4,Tabla1[MES PARTO],L6,Tabla1[SALE DEL PROGRAMA POR],"PARTO",Tabla1[FECHA ASESORIA EN LACTANCIA MATERNA DURANTE CPN],"&lt;&gt;"),COUNTIFS(Tabla1[AÑO PARTO],$B$4,Tabla1[MES PARTO],L6,Tabla1[SALE DEL PROGRAMA POR],"CESAREA",Tabla1[FECHA ASESORIA EN LACTANCIA MATERNA DURANTE CPN],"&lt;&gt;"))</f>
        <v>0</v>
      </c>
      <c r="M67" s="116">
        <f>SUM(COUNTIFS(Tabla1[AÑO PARTO],$B$4,Tabla1[MES PARTO],M6,Tabla1[SALE DEL PROGRAMA POR],"PARTO",Tabla1[FECHA ASESORIA EN LACTANCIA MATERNA DURANTE CPN],"&lt;&gt;"),COUNTIFS(Tabla1[AÑO PARTO],$B$4,Tabla1[MES PARTO],M6,Tabla1[SALE DEL PROGRAMA POR],"CESAREA",Tabla1[FECHA ASESORIA EN LACTANCIA MATERNA DURANTE CPN],"&lt;&gt;"))</f>
        <v>0</v>
      </c>
      <c r="N67" s="125">
        <f>SUM(B67:M67)</f>
        <v>0</v>
      </c>
    </row>
    <row r="68" spans="1:16" ht="37.5" customHeight="1" thickBot="1" x14ac:dyDescent="0.3">
      <c r="A68" s="199" t="s">
        <v>844</v>
      </c>
      <c r="B68" s="117" t="str">
        <f t="shared" ref="B68:N68" si="16">IF(B$91=0,"",SUM(B67/B$91))</f>
        <v/>
      </c>
      <c r="C68" s="118" t="str">
        <f t="shared" si="16"/>
        <v/>
      </c>
      <c r="D68" s="118" t="str">
        <f t="shared" si="16"/>
        <v/>
      </c>
      <c r="E68" s="118" t="str">
        <f t="shared" si="16"/>
        <v/>
      </c>
      <c r="F68" s="118" t="str">
        <f t="shared" si="16"/>
        <v/>
      </c>
      <c r="G68" s="118" t="str">
        <f t="shared" si="16"/>
        <v/>
      </c>
      <c r="H68" s="118" t="str">
        <f t="shared" si="16"/>
        <v/>
      </c>
      <c r="I68" s="118" t="str">
        <f t="shared" si="16"/>
        <v/>
      </c>
      <c r="J68" s="118" t="str">
        <f t="shared" si="16"/>
        <v/>
      </c>
      <c r="K68" s="118" t="str">
        <f t="shared" si="16"/>
        <v/>
      </c>
      <c r="L68" s="118" t="str">
        <f t="shared" si="16"/>
        <v/>
      </c>
      <c r="M68" s="118" t="str">
        <f t="shared" si="16"/>
        <v/>
      </c>
      <c r="N68" s="118" t="str">
        <f t="shared" si="16"/>
        <v/>
      </c>
    </row>
    <row r="69" spans="1:16" ht="37.5" customHeight="1" thickBot="1" x14ac:dyDescent="0.3">
      <c r="A69" s="122" t="s">
        <v>842</v>
      </c>
      <c r="B69" s="116">
        <f>SUM(COUNTIFS(Tabla1[AÑO PARTO],$B$4,Tabla1[MES PARTO],B6,Tabla1[SALE DEL PROGRAMA POR],"PARTO",Tabla1[FECHA ASESORIA EN ANTICONCEPCION DURANTE CPN],"&lt;&gt;"),COUNTIFS(Tabla1[AÑO PARTO],$B$4,Tabla1[MES PARTO],B6,Tabla1[SALE DEL PROGRAMA POR],"CESAREA",Tabla1[FECHA ASESORIA EN ANTICONCEPCION DURANTE CPN],"&lt;&gt;"))</f>
        <v>0</v>
      </c>
      <c r="C69" s="116">
        <f>SUM(COUNTIFS(Tabla1[AÑO PARTO],$B$4,Tabla1[MES PARTO],C6,Tabla1[SALE DEL PROGRAMA POR],"PARTO",Tabla1[FECHA ASESORIA EN ANTICONCEPCION DURANTE CPN],"&lt;&gt;"),COUNTIFS(Tabla1[AÑO PARTO],$B$4,Tabla1[MES PARTO],C6,Tabla1[SALE DEL PROGRAMA POR],"CESAREA",Tabla1[FECHA ASESORIA EN ANTICONCEPCION DURANTE CPN],"&lt;&gt;"))</f>
        <v>0</v>
      </c>
      <c r="D69" s="116">
        <f>SUM(COUNTIFS(Tabla1[AÑO PARTO],$B$4,Tabla1[MES PARTO],D6,Tabla1[SALE DEL PROGRAMA POR],"PARTO",Tabla1[FECHA ASESORIA EN ANTICONCEPCION DURANTE CPN],"&lt;&gt;"),COUNTIFS(Tabla1[AÑO PARTO],$B$4,Tabla1[MES PARTO],D6,Tabla1[SALE DEL PROGRAMA POR],"CESAREA",Tabla1[FECHA ASESORIA EN ANTICONCEPCION DURANTE CPN],"&lt;&gt;"))</f>
        <v>0</v>
      </c>
      <c r="E69" s="116">
        <f>SUM(COUNTIFS(Tabla1[AÑO PARTO],$B$4,Tabla1[MES PARTO],E6,Tabla1[SALE DEL PROGRAMA POR],"PARTO",Tabla1[FECHA ASESORIA EN ANTICONCEPCION DURANTE CPN],"&lt;&gt;"),COUNTIFS(Tabla1[AÑO PARTO],$B$4,Tabla1[MES PARTO],E6,Tabla1[SALE DEL PROGRAMA POR],"CESAREA",Tabla1[FECHA ASESORIA EN ANTICONCEPCION DURANTE CPN],"&lt;&gt;"))</f>
        <v>0</v>
      </c>
      <c r="F69" s="116">
        <f>SUM(COUNTIFS(Tabla1[AÑO PARTO],$B$4,Tabla1[MES PARTO],F6,Tabla1[SALE DEL PROGRAMA POR],"PARTO",Tabla1[FECHA ASESORIA EN ANTICONCEPCION DURANTE CPN],"&lt;&gt;"),COUNTIFS(Tabla1[AÑO PARTO],$B$4,Tabla1[MES PARTO],F6,Tabla1[SALE DEL PROGRAMA POR],"CESAREA",Tabla1[FECHA ASESORIA EN ANTICONCEPCION DURANTE CPN],"&lt;&gt;"))</f>
        <v>0</v>
      </c>
      <c r="G69" s="116">
        <f>SUM(COUNTIFS(Tabla1[AÑO PARTO],$B$4,Tabla1[MES PARTO],G6,Tabla1[SALE DEL PROGRAMA POR],"PARTO",Tabla1[FECHA ASESORIA EN ANTICONCEPCION DURANTE CPN],"&lt;&gt;"),COUNTIFS(Tabla1[AÑO PARTO],$B$4,Tabla1[MES PARTO],G6,Tabla1[SALE DEL PROGRAMA POR],"CESAREA",Tabla1[FECHA ASESORIA EN ANTICONCEPCION DURANTE CPN],"&lt;&gt;"))</f>
        <v>0</v>
      </c>
      <c r="H69" s="116">
        <f>SUM(COUNTIFS(Tabla1[AÑO PARTO],$B$4,Tabla1[MES PARTO],H6,Tabla1[SALE DEL PROGRAMA POR],"PARTO",Tabla1[FECHA ASESORIA EN ANTICONCEPCION DURANTE CPN],"&lt;&gt;"),COUNTIFS(Tabla1[AÑO PARTO],$B$4,Tabla1[MES PARTO],H6,Tabla1[SALE DEL PROGRAMA POR],"CESAREA",Tabla1[FECHA ASESORIA EN ANTICONCEPCION DURANTE CPN],"&lt;&gt;"))</f>
        <v>0</v>
      </c>
      <c r="I69" s="116">
        <f>SUM(COUNTIFS(Tabla1[AÑO PARTO],$B$4,Tabla1[MES PARTO],I6,Tabla1[SALE DEL PROGRAMA POR],"PARTO",Tabla1[FECHA ASESORIA EN ANTICONCEPCION DURANTE CPN],"&lt;&gt;"),COUNTIFS(Tabla1[AÑO PARTO],$B$4,Tabla1[MES PARTO],I6,Tabla1[SALE DEL PROGRAMA POR],"CESAREA",Tabla1[FECHA ASESORIA EN ANTICONCEPCION DURANTE CPN],"&lt;&gt;"))</f>
        <v>0</v>
      </c>
      <c r="J69" s="116">
        <f>SUM(COUNTIFS(Tabla1[AÑO PARTO],$B$4,Tabla1[MES PARTO],J6,Tabla1[SALE DEL PROGRAMA POR],"PARTO",Tabla1[FECHA ASESORIA EN ANTICONCEPCION DURANTE CPN],"&lt;&gt;"),COUNTIFS(Tabla1[AÑO PARTO],$B$4,Tabla1[MES PARTO],J6,Tabla1[SALE DEL PROGRAMA POR],"CESAREA",Tabla1[FECHA ASESORIA EN ANTICONCEPCION DURANTE CPN],"&lt;&gt;"))</f>
        <v>0</v>
      </c>
      <c r="K69" s="116">
        <f>SUM(COUNTIFS(Tabla1[AÑO PARTO],$B$4,Tabla1[MES PARTO],K6,Tabla1[SALE DEL PROGRAMA POR],"PARTO",Tabla1[FECHA ASESORIA EN ANTICONCEPCION DURANTE CPN],"&lt;&gt;"),COUNTIFS(Tabla1[AÑO PARTO],$B$4,Tabla1[MES PARTO],K6,Tabla1[SALE DEL PROGRAMA POR],"CESAREA",Tabla1[FECHA ASESORIA EN ANTICONCEPCION DURANTE CPN],"&lt;&gt;"))</f>
        <v>0</v>
      </c>
      <c r="L69" s="116">
        <f>SUM(COUNTIFS(Tabla1[AÑO PARTO],$B$4,Tabla1[MES PARTO],L6,Tabla1[SALE DEL PROGRAMA POR],"PARTO",Tabla1[FECHA ASESORIA EN ANTICONCEPCION DURANTE CPN],"&lt;&gt;"),COUNTIFS(Tabla1[AÑO PARTO],$B$4,Tabla1[MES PARTO],L6,Tabla1[SALE DEL PROGRAMA POR],"CESAREA",Tabla1[FECHA ASESORIA EN ANTICONCEPCION DURANTE CPN],"&lt;&gt;"))</f>
        <v>0</v>
      </c>
      <c r="M69" s="116">
        <f>SUM(COUNTIFS(Tabla1[AÑO PARTO],$B$4,Tabla1[MES PARTO],M6,Tabla1[SALE DEL PROGRAMA POR],"PARTO",Tabla1[FECHA ASESORIA EN ANTICONCEPCION DURANTE CPN],"&lt;&gt;"),COUNTIFS(Tabla1[AÑO PARTO],$B$4,Tabla1[MES PARTO],M6,Tabla1[SALE DEL PROGRAMA POR],"CESAREA",Tabla1[FECHA ASESORIA EN ANTICONCEPCION DURANTE CPN],"&lt;&gt;"))</f>
        <v>0</v>
      </c>
      <c r="N69" s="116">
        <f>SUM(B69:M69)</f>
        <v>0</v>
      </c>
    </row>
    <row r="70" spans="1:16" ht="37.5" customHeight="1" thickBot="1" x14ac:dyDescent="0.3">
      <c r="A70" s="199" t="s">
        <v>806</v>
      </c>
      <c r="B70" s="117" t="str">
        <f t="shared" ref="B70:N70" si="17">IF(B$91=0,"",SUM(B69/B$91))</f>
        <v/>
      </c>
      <c r="C70" s="118" t="str">
        <f t="shared" si="17"/>
        <v/>
      </c>
      <c r="D70" s="118" t="str">
        <f t="shared" si="17"/>
        <v/>
      </c>
      <c r="E70" s="118" t="str">
        <f t="shared" si="17"/>
        <v/>
      </c>
      <c r="F70" s="118" t="str">
        <f t="shared" si="17"/>
        <v/>
      </c>
      <c r="G70" s="118" t="str">
        <f t="shared" si="17"/>
        <v/>
      </c>
      <c r="H70" s="118" t="str">
        <f t="shared" si="17"/>
        <v/>
      </c>
      <c r="I70" s="118" t="str">
        <f t="shared" si="17"/>
        <v/>
      </c>
      <c r="J70" s="118" t="str">
        <f t="shared" si="17"/>
        <v/>
      </c>
      <c r="K70" s="118" t="str">
        <f t="shared" si="17"/>
        <v/>
      </c>
      <c r="L70" s="118" t="str">
        <f t="shared" si="17"/>
        <v/>
      </c>
      <c r="M70" s="118" t="str">
        <f t="shared" si="17"/>
        <v/>
      </c>
      <c r="N70" s="118" t="str">
        <f t="shared" si="17"/>
        <v/>
      </c>
    </row>
    <row r="71" spans="1:16" ht="40.5" customHeight="1" thickBot="1" x14ac:dyDescent="0.3">
      <c r="A71" s="215" t="s">
        <v>810</v>
      </c>
      <c r="B71" s="206">
        <f>SUM(COUNTIFS(Tabla1[AÑO PARTO],$B$4,Tabla1[MES PARTO],B6,Tabla1[SALE DEL PROGRAMA POR],"PARTO",Tabla1['# DE MUJERES CON SUMINISTRO ADECUADO DE MICRONUTRIENTES],"COMPLETO"),COUNTIFS(Tabla1[AÑO PARTO],$B$4,Tabla1[MES PARTO],B6,Tabla1[SALE DEL PROGRAMA POR],"CESAREA",Tabla1['# DE MUJERES CON SUMINISTRO ADECUADO DE MICRONUTRIENTES],"COMPLETO"))</f>
        <v>0</v>
      </c>
      <c r="C71" s="206">
        <f>SUM(COUNTIFS(Tabla1[AÑO PARTO],$B$4,Tabla1[MES PARTO],C6,Tabla1[SALE DEL PROGRAMA POR],"PARTO",Tabla1['# DE MUJERES CON SUMINISTRO ADECUADO DE MICRONUTRIENTES],"COMPLETO"),COUNTIFS(Tabla1[AÑO PARTO],$B$4,Tabla1[MES PARTO],C6,Tabla1[SALE DEL PROGRAMA POR],"CESAREA",Tabla1['# DE MUJERES CON SUMINISTRO ADECUADO DE MICRONUTRIENTES],"COMPLETO"))</f>
        <v>0</v>
      </c>
      <c r="D71" s="206">
        <f>SUM(COUNTIFS(Tabla1[AÑO PARTO],$B$4,Tabla1[MES PARTO],D6,Tabla1[SALE DEL PROGRAMA POR],"PARTO",Tabla1['# DE MUJERES CON SUMINISTRO ADECUADO DE MICRONUTRIENTES],"COMPLETO"),COUNTIFS(Tabla1[AÑO PARTO],$B$4,Tabla1[MES PARTO],D6,Tabla1[SALE DEL PROGRAMA POR],"CESAREA",Tabla1['# DE MUJERES CON SUMINISTRO ADECUADO DE MICRONUTRIENTES],"COMPLETO"))</f>
        <v>0</v>
      </c>
      <c r="E71" s="206">
        <f>SUM(COUNTIFS(Tabla1[AÑO PARTO],$B$4,Tabla1[MES PARTO],E6,Tabla1[SALE DEL PROGRAMA POR],"PARTO",Tabla1['# DE MUJERES CON SUMINISTRO ADECUADO DE MICRONUTRIENTES],"COMPLETO"),COUNTIFS(Tabla1[AÑO PARTO],$B$4,Tabla1[MES PARTO],E6,Tabla1[SALE DEL PROGRAMA POR],"CESAREA",Tabla1['# DE MUJERES CON SUMINISTRO ADECUADO DE MICRONUTRIENTES],"COMPLETO"))</f>
        <v>0</v>
      </c>
      <c r="F71" s="206">
        <f>SUM(COUNTIFS(Tabla1[AÑO PARTO],$B$4,Tabla1[MES PARTO],F6,Tabla1[SALE DEL PROGRAMA POR],"PARTO",Tabla1['# DE MUJERES CON SUMINISTRO ADECUADO DE MICRONUTRIENTES],"COMPLETO"),COUNTIFS(Tabla1[AÑO PARTO],$B$4,Tabla1[MES PARTO],F6,Tabla1[SALE DEL PROGRAMA POR],"CESAREA",Tabla1['# DE MUJERES CON SUMINISTRO ADECUADO DE MICRONUTRIENTES],"COMPLETO"))</f>
        <v>0</v>
      </c>
      <c r="G71" s="206">
        <f>SUM(COUNTIFS(Tabla1[AÑO PARTO],$B$4,Tabla1[MES PARTO],G6,Tabla1[SALE DEL PROGRAMA POR],"PARTO",Tabla1['# DE MUJERES CON SUMINISTRO ADECUADO DE MICRONUTRIENTES],"COMPLETO"),COUNTIFS(Tabla1[AÑO PARTO],$B$4,Tabla1[MES PARTO],G6,Tabla1[SALE DEL PROGRAMA POR],"CESAREA",Tabla1['# DE MUJERES CON SUMINISTRO ADECUADO DE MICRONUTRIENTES],"COMPLETO"))</f>
        <v>0</v>
      </c>
      <c r="H71" s="206">
        <f>SUM(COUNTIFS(Tabla1[AÑO PARTO],$B$4,Tabla1[MES PARTO],H6,Tabla1[SALE DEL PROGRAMA POR],"PARTO",Tabla1['# DE MUJERES CON SUMINISTRO ADECUADO DE MICRONUTRIENTES],"COMPLETO"),COUNTIFS(Tabla1[AÑO PARTO],$B$4,Tabla1[MES PARTO],H6,Tabla1[SALE DEL PROGRAMA POR],"CESAREA",Tabla1['# DE MUJERES CON SUMINISTRO ADECUADO DE MICRONUTRIENTES],"COMPLETO"))</f>
        <v>0</v>
      </c>
      <c r="I71" s="206">
        <f>SUM(COUNTIFS(Tabla1[AÑO PARTO],$B$4,Tabla1[MES PARTO],I6,Tabla1[SALE DEL PROGRAMA POR],"PARTO",Tabla1['# DE MUJERES CON SUMINISTRO ADECUADO DE MICRONUTRIENTES],"COMPLETO"),COUNTIFS(Tabla1[AÑO PARTO],$B$4,Tabla1[MES PARTO],I6,Tabla1[SALE DEL PROGRAMA POR],"CESAREA",Tabla1['# DE MUJERES CON SUMINISTRO ADECUADO DE MICRONUTRIENTES],"COMPLETO"))</f>
        <v>0</v>
      </c>
      <c r="J71" s="206">
        <f>SUM(COUNTIFS(Tabla1[AÑO PARTO],$B$4,Tabla1[MES PARTO],J6,Tabla1[SALE DEL PROGRAMA POR],"PARTO",Tabla1['# DE MUJERES CON SUMINISTRO ADECUADO DE MICRONUTRIENTES],"COMPLETO"),COUNTIFS(Tabla1[AÑO PARTO],$B$4,Tabla1[MES PARTO],J6,Tabla1[SALE DEL PROGRAMA POR],"CESAREA",Tabla1['# DE MUJERES CON SUMINISTRO ADECUADO DE MICRONUTRIENTES],"COMPLETO"))</f>
        <v>0</v>
      </c>
      <c r="K71" s="206">
        <f>SUM(COUNTIFS(Tabla1[AÑO PARTO],$B$4,Tabla1[MES PARTO],K6,Tabla1[SALE DEL PROGRAMA POR],"PARTO",Tabla1['# DE MUJERES CON SUMINISTRO ADECUADO DE MICRONUTRIENTES],"COMPLETO"),COUNTIFS(Tabla1[AÑO PARTO],$B$4,Tabla1[MES PARTO],K6,Tabla1[SALE DEL PROGRAMA POR],"CESAREA",Tabla1['# DE MUJERES CON SUMINISTRO ADECUADO DE MICRONUTRIENTES],"COMPLETO"))</f>
        <v>0</v>
      </c>
      <c r="L71" s="206">
        <f>SUM(COUNTIFS(Tabla1[AÑO PARTO],$B$4,Tabla1[MES PARTO],L6,Tabla1[SALE DEL PROGRAMA POR],"PARTO",Tabla1['# DE MUJERES CON SUMINISTRO ADECUADO DE MICRONUTRIENTES],"COMPLETO"),COUNTIFS(Tabla1[AÑO PARTO],$B$4,Tabla1[MES PARTO],L6,Tabla1[SALE DEL PROGRAMA POR],"CESAREA",Tabla1['# DE MUJERES CON SUMINISTRO ADECUADO DE MICRONUTRIENTES],"COMPLETO"))</f>
        <v>0</v>
      </c>
      <c r="M71" s="206">
        <f>SUM(COUNTIFS(Tabla1[AÑO PARTO],$B$4,Tabla1[MES PARTO],M6,Tabla1[SALE DEL PROGRAMA POR],"PARTO",Tabla1['# DE MUJERES CON SUMINISTRO ADECUADO DE MICRONUTRIENTES],"COMPLETO"),COUNTIFS(Tabla1[AÑO PARTO],$B$4,Tabla1[MES PARTO],M6,Tabla1[SALE DEL PROGRAMA POR],"CESAREA",Tabla1['# DE MUJERES CON SUMINISTRO ADECUADO DE MICRONUTRIENTES],"COMPLETO"))</f>
        <v>0</v>
      </c>
      <c r="N71" s="116">
        <f>SUM(B71:M71)</f>
        <v>0</v>
      </c>
    </row>
    <row r="72" spans="1:16" ht="39.75" customHeight="1" thickBot="1" x14ac:dyDescent="0.3">
      <c r="A72" s="207" t="s">
        <v>809</v>
      </c>
      <c r="B72" s="117" t="str">
        <f t="shared" ref="B72:N72" si="18">IF(B$91=0,"",SUM(B71/B$91))</f>
        <v/>
      </c>
      <c r="C72" s="118" t="str">
        <f t="shared" si="18"/>
        <v/>
      </c>
      <c r="D72" s="118" t="str">
        <f t="shared" si="18"/>
        <v/>
      </c>
      <c r="E72" s="118" t="str">
        <f t="shared" si="18"/>
        <v/>
      </c>
      <c r="F72" s="118" t="str">
        <f t="shared" si="18"/>
        <v/>
      </c>
      <c r="G72" s="118" t="str">
        <f t="shared" si="18"/>
        <v/>
      </c>
      <c r="H72" s="118" t="str">
        <f t="shared" si="18"/>
        <v/>
      </c>
      <c r="I72" s="118" t="str">
        <f t="shared" si="18"/>
        <v/>
      </c>
      <c r="J72" s="118" t="str">
        <f t="shared" si="18"/>
        <v/>
      </c>
      <c r="K72" s="118" t="str">
        <f t="shared" si="18"/>
        <v/>
      </c>
      <c r="L72" s="118" t="str">
        <f t="shared" si="18"/>
        <v/>
      </c>
      <c r="M72" s="118" t="str">
        <f t="shared" si="18"/>
        <v/>
      </c>
      <c r="N72" s="119" t="str">
        <f t="shared" si="18"/>
        <v/>
      </c>
    </row>
    <row r="73" spans="1:16" ht="39" customHeight="1" thickBot="1" x14ac:dyDescent="0.3">
      <c r="A73" s="78" t="s">
        <v>814</v>
      </c>
      <c r="B73" s="206">
        <f>SUM(COUNTIFS(Tabla1[AÑO PARTO],$B$4,Tabla1[MES PARTO],B6,Tabla1[SALE DEL PROGRAMA POR],"PARTO",Tabla1[ALARMA CONTROL PUERPERIO],"&gt;2",Tabla1[ALARMA CONTROL PUERPERIO],"&lt;6"),COUNTIFS(Tabla1[AÑO PARTO],$B$4,Tabla1[MES PARTO],B6,Tabla1[SALE DEL PROGRAMA POR],"CESAREA",Tabla1[ALARMA CONTROL PUERPERIO],"&gt;2",Tabla1[ALARMA CONTROL PUERPERIO],"&lt;6"))</f>
        <v>0</v>
      </c>
      <c r="C73" s="206">
        <f>SUM(COUNTIFS(Tabla1[AÑO PARTO],$B$4,Tabla1[MES PARTO],C6,Tabla1[SALE DEL PROGRAMA POR],"PARTO",Tabla1[ALARMA CONTROL PUERPERIO],"&gt;2",Tabla1[ALARMA CONTROL PUERPERIO],"&lt;6"),COUNTIFS(Tabla1[AÑO PARTO],$B$4,Tabla1[MES PARTO],C6,Tabla1[SALE DEL PROGRAMA POR],"CESAREA",Tabla1[ALARMA CONTROL PUERPERIO],"&gt;2",Tabla1[ALARMA CONTROL PUERPERIO],"&lt;6"))</f>
        <v>0</v>
      </c>
      <c r="D73" s="206">
        <f>SUM(COUNTIFS(Tabla1[AÑO PARTO],$B$4,Tabla1[MES PARTO],D6,Tabla1[SALE DEL PROGRAMA POR],"PARTO",Tabla1[ALARMA CONTROL PUERPERIO],"&gt;2",Tabla1[ALARMA CONTROL PUERPERIO],"&lt;6"),COUNTIFS(Tabla1[AÑO PARTO],$B$4,Tabla1[MES PARTO],D6,Tabla1[SALE DEL PROGRAMA POR],"CESAREA",Tabla1[ALARMA CONTROL PUERPERIO],"&gt;2",Tabla1[ALARMA CONTROL PUERPERIO],"&lt;6"))</f>
        <v>0</v>
      </c>
      <c r="E73" s="206">
        <f>SUM(COUNTIFS(Tabla1[AÑO PARTO],$B$4,Tabla1[MES PARTO],E6,Tabla1[SALE DEL PROGRAMA POR],"PARTO",Tabla1[ALARMA CONTROL PUERPERIO],"&gt;2",Tabla1[ALARMA CONTROL PUERPERIO],"&lt;6"),COUNTIFS(Tabla1[AÑO PARTO],$B$4,Tabla1[MES PARTO],E6,Tabla1[SALE DEL PROGRAMA POR],"CESAREA",Tabla1[ALARMA CONTROL PUERPERIO],"&gt;2",Tabla1[ALARMA CONTROL PUERPERIO],"&lt;6"))</f>
        <v>0</v>
      </c>
      <c r="F73" s="206">
        <f>SUM(COUNTIFS(Tabla1[AÑO PARTO],$B$4,Tabla1[MES PARTO],F6,Tabla1[SALE DEL PROGRAMA POR],"PARTO",Tabla1[ALARMA CONTROL PUERPERIO],"&gt;2",Tabla1[ALARMA CONTROL PUERPERIO],"&lt;6"),COUNTIFS(Tabla1[AÑO PARTO],$B$4,Tabla1[MES PARTO],F6,Tabla1[SALE DEL PROGRAMA POR],"CESAREA",Tabla1[ALARMA CONTROL PUERPERIO],"&gt;2",Tabla1[ALARMA CONTROL PUERPERIO],"&lt;6"))</f>
        <v>0</v>
      </c>
      <c r="G73" s="206">
        <f>SUM(COUNTIFS(Tabla1[AÑO PARTO],$B$4,Tabla1[MES PARTO],G6,Tabla1[SALE DEL PROGRAMA POR],"PARTO",Tabla1[ALARMA CONTROL PUERPERIO],"&gt;2",Tabla1[ALARMA CONTROL PUERPERIO],"&lt;6"),COUNTIFS(Tabla1[AÑO PARTO],$B$4,Tabla1[MES PARTO],G6,Tabla1[SALE DEL PROGRAMA POR],"CESAREA",Tabla1[ALARMA CONTROL PUERPERIO],"&gt;2",Tabla1[ALARMA CONTROL PUERPERIO],"&lt;6"))</f>
        <v>0</v>
      </c>
      <c r="H73" s="206">
        <f>SUM(COUNTIFS(Tabla1[AÑO PARTO],$B$4,Tabla1[MES PARTO],H6,Tabla1[SALE DEL PROGRAMA POR],"PARTO",Tabla1[ALARMA CONTROL PUERPERIO],"&gt;2",Tabla1[ALARMA CONTROL PUERPERIO],"&lt;6"),COUNTIFS(Tabla1[AÑO PARTO],$B$4,Tabla1[MES PARTO],H6,Tabla1[SALE DEL PROGRAMA POR],"CESAREA",Tabla1[ALARMA CONTROL PUERPERIO],"&gt;2",Tabla1[ALARMA CONTROL PUERPERIO],"&lt;6"))</f>
        <v>0</v>
      </c>
      <c r="I73" s="206">
        <f>SUM(COUNTIFS(Tabla1[AÑO PARTO],$B$4,Tabla1[MES PARTO],I6,Tabla1[SALE DEL PROGRAMA POR],"PARTO",Tabla1[ALARMA CONTROL PUERPERIO],"&gt;2",Tabla1[ALARMA CONTROL PUERPERIO],"&lt;6"),COUNTIFS(Tabla1[AÑO PARTO],$B$4,Tabla1[MES PARTO],I6,Tabla1[SALE DEL PROGRAMA POR],"CESAREA",Tabla1[ALARMA CONTROL PUERPERIO],"&gt;2",Tabla1[ALARMA CONTROL PUERPERIO],"&lt;6"))</f>
        <v>0</v>
      </c>
      <c r="J73" s="206">
        <f>SUM(COUNTIFS(Tabla1[AÑO PARTO],$B$4,Tabla1[MES PARTO],J6,Tabla1[SALE DEL PROGRAMA POR],"PARTO",Tabla1[ALARMA CONTROL PUERPERIO],"&gt;2",Tabla1[ALARMA CONTROL PUERPERIO],"&lt;6"),COUNTIFS(Tabla1[AÑO PARTO],$B$4,Tabla1[MES PARTO],J6,Tabla1[SALE DEL PROGRAMA POR],"CESAREA",Tabla1[ALARMA CONTROL PUERPERIO],"&gt;2",Tabla1[ALARMA CONTROL PUERPERIO],"&lt;6"))</f>
        <v>0</v>
      </c>
      <c r="K73" s="206">
        <f>SUM(COUNTIFS(Tabla1[AÑO PARTO],$B$4,Tabla1[MES PARTO],K6,Tabla1[SALE DEL PROGRAMA POR],"PARTO",Tabla1[ALARMA CONTROL PUERPERIO],"&gt;2",Tabla1[ALARMA CONTROL PUERPERIO],"&lt;6"),COUNTIFS(Tabla1[AÑO PARTO],$B$4,Tabla1[MES PARTO],K6,Tabla1[SALE DEL PROGRAMA POR],"CESAREA",Tabla1[ALARMA CONTROL PUERPERIO],"&gt;2",Tabla1[ALARMA CONTROL PUERPERIO],"&lt;6"))</f>
        <v>0</v>
      </c>
      <c r="L73" s="206">
        <f>SUM(COUNTIFS(Tabla1[AÑO PARTO],$B$4,Tabla1[MES PARTO],L6,Tabla1[SALE DEL PROGRAMA POR],"PARTO",Tabla1[ALARMA CONTROL PUERPERIO],"&gt;2",Tabla1[ALARMA CONTROL PUERPERIO],"&lt;6"),COUNTIFS(Tabla1[AÑO PARTO],$B$4,Tabla1[MES PARTO],L6,Tabla1[SALE DEL PROGRAMA POR],"CESAREA",Tabla1[ALARMA CONTROL PUERPERIO],"&gt;2",Tabla1[ALARMA CONTROL PUERPERIO],"&lt;6"))</f>
        <v>0</v>
      </c>
      <c r="M73" s="206">
        <f>SUM(COUNTIFS(Tabla1[AÑO PARTO],$B$4,Tabla1[MES PARTO],M6,Tabla1[SALE DEL PROGRAMA POR],"PARTO",Tabla1[ALARMA CONTROL PUERPERIO],"&gt;2",Tabla1[ALARMA CONTROL PUERPERIO],"&lt;6"),COUNTIFS(Tabla1[AÑO PARTO],$B$4,Tabla1[MES PARTO],M6,Tabla1[SALE DEL PROGRAMA POR],"CESAREA",Tabla1[ALARMA CONTROL PUERPERIO],"&gt;2",Tabla1[ALARMA CONTROL PUERPERIO],"&lt;6"))</f>
        <v>0</v>
      </c>
      <c r="N73" s="116">
        <f>SUM(B73:M73)</f>
        <v>0</v>
      </c>
    </row>
    <row r="74" spans="1:16" ht="39" customHeight="1" thickBot="1" x14ac:dyDescent="0.3">
      <c r="A74" s="210" t="s">
        <v>813</v>
      </c>
      <c r="B74" s="117" t="str">
        <f t="shared" ref="B74:N74" si="19">IF(B$91=0,"",SUM(B73/B$91))</f>
        <v/>
      </c>
      <c r="C74" s="118" t="str">
        <f t="shared" si="19"/>
        <v/>
      </c>
      <c r="D74" s="118" t="str">
        <f t="shared" si="19"/>
        <v/>
      </c>
      <c r="E74" s="118" t="str">
        <f t="shared" si="19"/>
        <v/>
      </c>
      <c r="F74" s="118" t="str">
        <f t="shared" si="19"/>
        <v/>
      </c>
      <c r="G74" s="118" t="str">
        <f t="shared" si="19"/>
        <v/>
      </c>
      <c r="H74" s="118" t="str">
        <f t="shared" si="19"/>
        <v/>
      </c>
      <c r="I74" s="118" t="str">
        <f t="shared" si="19"/>
        <v/>
      </c>
      <c r="J74" s="118" t="str">
        <f t="shared" si="19"/>
        <v/>
      </c>
      <c r="K74" s="118" t="str">
        <f t="shared" si="19"/>
        <v/>
      </c>
      <c r="L74" s="118" t="str">
        <f t="shared" si="19"/>
        <v/>
      </c>
      <c r="M74" s="118" t="str">
        <f t="shared" si="19"/>
        <v/>
      </c>
      <c r="N74" s="211" t="str">
        <f t="shared" si="19"/>
        <v/>
      </c>
    </row>
    <row r="75" spans="1:16" ht="39" customHeight="1" thickBot="1" x14ac:dyDescent="0.3">
      <c r="A75" s="78" t="s">
        <v>816</v>
      </c>
      <c r="B75" s="206">
        <f>SUM(COUNTIFS(Tabla1[AÑO PARTO],$B$4,Tabla1[MES PARTO],B6,Tabla1[SALE DEL PROGRAMA POR],"PARTO",Tabla1[ALARMA 1 CONTROL RN],"&gt;2",Tabla1[ALARMA 1 CONTROL RN],"&lt;6"),COUNTIFS(Tabla1[AÑO PARTO],$B$4,Tabla1[MES PARTO],B6,Tabla1[SALE DEL PROGRAMA POR],"CESAREA",Tabla1[ALARMA 1 CONTROL RN],"&gt;2",Tabla1[ALARMA 1 CONTROL RN],"&lt;6"))</f>
        <v>0</v>
      </c>
      <c r="C75" s="206">
        <f>SUM(COUNTIFS(Tabla1[AÑO PARTO],$B$4,Tabla1[MES PARTO],C6,Tabla1[SALE DEL PROGRAMA POR],"PARTO",Tabla1[ALARMA 1 CONTROL RN],"&gt;2",Tabla1[ALARMA 1 CONTROL RN],"&lt;6"),COUNTIFS(Tabla1[AÑO PARTO],$B$4,Tabla1[MES PARTO],C6,Tabla1[SALE DEL PROGRAMA POR],"CESAREA",Tabla1[ALARMA 1 CONTROL RN],"&gt;2",Tabla1[ALARMA 1 CONTROL RN],"&lt;6"))</f>
        <v>0</v>
      </c>
      <c r="D75" s="206">
        <f>SUM(COUNTIFS(Tabla1[AÑO PARTO],$B$4,Tabla1[MES PARTO],D6,Tabla1[SALE DEL PROGRAMA POR],"PARTO",Tabla1[ALARMA 1 CONTROL RN],"&gt;2",Tabla1[ALARMA 1 CONTROL RN],"&lt;6"),COUNTIFS(Tabla1[AÑO PARTO],$B$4,Tabla1[MES PARTO],D6,Tabla1[SALE DEL PROGRAMA POR],"CESAREA",Tabla1[ALARMA 1 CONTROL RN],"&gt;2",Tabla1[ALARMA 1 CONTROL RN],"&lt;6"))</f>
        <v>0</v>
      </c>
      <c r="E75" s="206">
        <f>SUM(COUNTIFS(Tabla1[AÑO PARTO],$B$4,Tabla1[MES PARTO],E6,Tabla1[SALE DEL PROGRAMA POR],"PARTO",Tabla1[ALARMA 1 CONTROL RN],"&gt;2",Tabla1[ALARMA 1 CONTROL RN],"&lt;6"),COUNTIFS(Tabla1[AÑO PARTO],$B$4,Tabla1[MES PARTO],E6,Tabla1[SALE DEL PROGRAMA POR],"CESAREA",Tabla1[ALARMA 1 CONTROL RN],"&gt;2",Tabla1[ALARMA 1 CONTROL RN],"&lt;6"))</f>
        <v>0</v>
      </c>
      <c r="F75" s="206">
        <f>SUM(COUNTIFS(Tabla1[AÑO PARTO],$B$4,Tabla1[MES PARTO],F6,Tabla1[SALE DEL PROGRAMA POR],"PARTO",Tabla1[ALARMA 1 CONTROL RN],"&gt;2",Tabla1[ALARMA 1 CONTROL RN],"&lt;6"),COUNTIFS(Tabla1[AÑO PARTO],$B$4,Tabla1[MES PARTO],F6,Tabla1[SALE DEL PROGRAMA POR],"CESAREA",Tabla1[ALARMA 1 CONTROL RN],"&gt;2",Tabla1[ALARMA 1 CONTROL RN],"&lt;6"))</f>
        <v>0</v>
      </c>
      <c r="G75" s="206">
        <f>SUM(COUNTIFS(Tabla1[AÑO PARTO],$B$4,Tabla1[MES PARTO],G6,Tabla1[SALE DEL PROGRAMA POR],"PARTO",Tabla1[ALARMA 1 CONTROL RN],"&gt;2",Tabla1[ALARMA 1 CONTROL RN],"&lt;6"),COUNTIFS(Tabla1[AÑO PARTO],$B$4,Tabla1[MES PARTO],G6,Tabla1[SALE DEL PROGRAMA POR],"CESAREA",Tabla1[ALARMA 1 CONTROL RN],"&gt;2",Tabla1[ALARMA 1 CONTROL RN],"&lt;6"))</f>
        <v>0</v>
      </c>
      <c r="H75" s="206">
        <f>SUM(COUNTIFS(Tabla1[AÑO PARTO],$B$4,Tabla1[MES PARTO],H6,Tabla1[SALE DEL PROGRAMA POR],"PARTO",Tabla1[ALARMA 1 CONTROL RN],"&gt;2",Tabla1[ALARMA 1 CONTROL RN],"&lt;6"),COUNTIFS(Tabla1[AÑO PARTO],$B$4,Tabla1[MES PARTO],H6,Tabla1[SALE DEL PROGRAMA POR],"CESAREA",Tabla1[ALARMA 1 CONTROL RN],"&gt;2",Tabla1[ALARMA 1 CONTROL RN],"&lt;6"))</f>
        <v>0</v>
      </c>
      <c r="I75" s="206">
        <f>SUM(COUNTIFS(Tabla1[AÑO PARTO],$B$4,Tabla1[MES PARTO],I6,Tabla1[SALE DEL PROGRAMA POR],"PARTO",Tabla1[ALARMA 1 CONTROL RN],"&gt;2",Tabla1[ALARMA 1 CONTROL RN],"&lt;6"),COUNTIFS(Tabla1[AÑO PARTO],$B$4,Tabla1[MES PARTO],I6,Tabla1[SALE DEL PROGRAMA POR],"CESAREA",Tabla1[ALARMA 1 CONTROL RN],"&gt;2",Tabla1[ALARMA 1 CONTROL RN],"&lt;6"))</f>
        <v>0</v>
      </c>
      <c r="J75" s="206">
        <f>SUM(COUNTIFS(Tabla1[AÑO PARTO],$B$4,Tabla1[MES PARTO],J6,Tabla1[SALE DEL PROGRAMA POR],"PARTO",Tabla1[ALARMA 1 CONTROL RN],"&gt;2",Tabla1[ALARMA 1 CONTROL RN],"&lt;6"),COUNTIFS(Tabla1[AÑO PARTO],$B$4,Tabla1[MES PARTO],J6,Tabla1[SALE DEL PROGRAMA POR],"CESAREA",Tabla1[ALARMA 1 CONTROL RN],"&gt;2",Tabla1[ALARMA 1 CONTROL RN],"&lt;6"))</f>
        <v>0</v>
      </c>
      <c r="K75" s="206">
        <f>SUM(COUNTIFS(Tabla1[AÑO PARTO],$B$4,Tabla1[MES PARTO],K6,Tabla1[SALE DEL PROGRAMA POR],"PARTO",Tabla1[ALARMA 1 CONTROL RN],"&gt;2",Tabla1[ALARMA 1 CONTROL RN],"&lt;6"),COUNTIFS(Tabla1[AÑO PARTO],$B$4,Tabla1[MES PARTO],K6,Tabla1[SALE DEL PROGRAMA POR],"CESAREA",Tabla1[ALARMA 1 CONTROL RN],"&gt;2",Tabla1[ALARMA 1 CONTROL RN],"&lt;6"))</f>
        <v>0</v>
      </c>
      <c r="L75" s="206">
        <f>SUM(COUNTIFS(Tabla1[AÑO PARTO],$B$4,Tabla1[MES PARTO],L6,Tabla1[SALE DEL PROGRAMA POR],"PARTO",Tabla1[ALARMA 1 CONTROL RN],"&gt;2",Tabla1[ALARMA 1 CONTROL RN],"&lt;6"),COUNTIFS(Tabla1[AÑO PARTO],$B$4,Tabla1[MES PARTO],L6,Tabla1[SALE DEL PROGRAMA POR],"CESAREA",Tabla1[ALARMA 1 CONTROL RN],"&gt;2",Tabla1[ALARMA 1 CONTROL RN],"&lt;6"))</f>
        <v>0</v>
      </c>
      <c r="M75" s="206">
        <f>SUM(COUNTIFS(Tabla1[AÑO PARTO],$B$4,Tabla1[MES PARTO],M6,Tabla1[SALE DEL PROGRAMA POR],"PARTO",Tabla1[ALARMA 1 CONTROL RN],"&gt;2",Tabla1[ALARMA 1 CONTROL RN],"&lt;6"),COUNTIFS(Tabla1[AÑO PARTO],$B$4,Tabla1[MES PARTO],M6,Tabla1[SALE DEL PROGRAMA POR],"CESAREA",Tabla1[ALARMA 1 CONTROL RN],"&gt;2",Tabla1[ALARMA 1 CONTROL RN],"&lt;6"))</f>
        <v>0</v>
      </c>
      <c r="N75" s="116">
        <f>SUM(B75:M75)</f>
        <v>0</v>
      </c>
    </row>
    <row r="76" spans="1:16" ht="39" customHeight="1" thickBot="1" x14ac:dyDescent="0.3">
      <c r="A76" s="210" t="s">
        <v>815</v>
      </c>
      <c r="B76" s="117" t="str">
        <f t="shared" ref="B76:N76" si="20">IF(B$91=0,"",SUM(B75/B$91))</f>
        <v/>
      </c>
      <c r="C76" s="118" t="str">
        <f t="shared" si="20"/>
        <v/>
      </c>
      <c r="D76" s="118" t="str">
        <f t="shared" si="20"/>
        <v/>
      </c>
      <c r="E76" s="118" t="str">
        <f t="shared" si="20"/>
        <v/>
      </c>
      <c r="F76" s="118" t="str">
        <f t="shared" si="20"/>
        <v/>
      </c>
      <c r="G76" s="118" t="str">
        <f t="shared" si="20"/>
        <v/>
      </c>
      <c r="H76" s="118" t="str">
        <f t="shared" si="20"/>
        <v/>
      </c>
      <c r="I76" s="118" t="str">
        <f t="shared" si="20"/>
        <v/>
      </c>
      <c r="J76" s="118" t="str">
        <f t="shared" si="20"/>
        <v/>
      </c>
      <c r="K76" s="118" t="str">
        <f t="shared" si="20"/>
        <v/>
      </c>
      <c r="L76" s="118" t="str">
        <f t="shared" si="20"/>
        <v/>
      </c>
      <c r="M76" s="118" t="str">
        <f t="shared" si="20"/>
        <v/>
      </c>
      <c r="N76" s="211" t="str">
        <f t="shared" si="20"/>
        <v/>
      </c>
    </row>
    <row r="77" spans="1:16" ht="39" customHeight="1" thickBot="1" x14ac:dyDescent="0.3">
      <c r="A77" s="78" t="s">
        <v>818</v>
      </c>
      <c r="B77" s="206">
        <f>SUM(COUNTIFS(Tabla1[AÑO PARTO],$B$4,Tabla1[MES PARTO],B6,Tabla1[SALE DEL PROGRAMA POR],"PARTO",Tabla1[Alarma apoyo DPT Acelular vacunadas],"VACUNADA"),COUNTIFS(Tabla1[AÑO PARTO],$B$4,Tabla1[MES PARTO],B6,Tabla1[SALE DEL PROGRAMA POR],"CESAREA",Tabla1[Alarma apoyo DPT Acelular vacunadas],"VACUNADA"))</f>
        <v>0</v>
      </c>
      <c r="C77" s="206">
        <f>SUM(COUNTIFS(Tabla1[AÑO PARTO],$B$4,Tabla1[MES PARTO],C6,Tabla1[SALE DEL PROGRAMA POR],"PARTO",Tabla1[Alarma apoyo DPT Acelular vacunadas],"VACUNADA"),COUNTIFS(Tabla1[AÑO PARTO],$B$4,Tabla1[MES PARTO],C6,Tabla1[SALE DEL PROGRAMA POR],"CESAREA",Tabla1[Alarma apoyo DPT Acelular vacunadas],"VACUNADA"))</f>
        <v>0</v>
      </c>
      <c r="D77" s="206">
        <f>SUM(COUNTIFS(Tabla1[AÑO PARTO],$B$4,Tabla1[MES PARTO],D6,Tabla1[SALE DEL PROGRAMA POR],"PARTO",Tabla1[Alarma apoyo DPT Acelular vacunadas],"VACUNADA"),COUNTIFS(Tabla1[AÑO PARTO],$B$4,Tabla1[MES PARTO],D6,Tabla1[SALE DEL PROGRAMA POR],"CESAREA",Tabla1[Alarma apoyo DPT Acelular vacunadas],"VACUNADA"))</f>
        <v>0</v>
      </c>
      <c r="E77" s="206">
        <f>SUM(COUNTIFS(Tabla1[AÑO PARTO],$B$4,Tabla1[MES PARTO],E6,Tabla1[SALE DEL PROGRAMA POR],"PARTO",Tabla1[Alarma apoyo DPT Acelular vacunadas],"VACUNADA"),COUNTIFS(Tabla1[AÑO PARTO],$B$4,Tabla1[MES PARTO],E6,Tabla1[SALE DEL PROGRAMA POR],"CESAREA",Tabla1[Alarma apoyo DPT Acelular vacunadas],"VACUNADA"))</f>
        <v>0</v>
      </c>
      <c r="F77" s="206">
        <f>SUM(COUNTIFS(Tabla1[AÑO PARTO],$B$4,Tabla1[MES PARTO],F6,Tabla1[SALE DEL PROGRAMA POR],"PARTO",Tabla1[Alarma apoyo DPT Acelular vacunadas],"VACUNADA"),COUNTIFS(Tabla1[AÑO PARTO],$B$4,Tabla1[MES PARTO],F6,Tabla1[SALE DEL PROGRAMA POR],"CESAREA",Tabla1[Alarma apoyo DPT Acelular vacunadas],"VACUNADA"))</f>
        <v>0</v>
      </c>
      <c r="G77" s="206">
        <f>SUM(COUNTIFS(Tabla1[AÑO PARTO],$B$4,Tabla1[MES PARTO],G6,Tabla1[SALE DEL PROGRAMA POR],"PARTO",Tabla1[Alarma apoyo DPT Acelular vacunadas],"VACUNADA"),COUNTIFS(Tabla1[AÑO PARTO],$B$4,Tabla1[MES PARTO],G6,Tabla1[SALE DEL PROGRAMA POR],"CESAREA",Tabla1[Alarma apoyo DPT Acelular vacunadas],"VACUNADA"))</f>
        <v>0</v>
      </c>
      <c r="H77" s="206">
        <f>SUM(COUNTIFS(Tabla1[AÑO PARTO],$B$4,Tabla1[MES PARTO],H6,Tabla1[SALE DEL PROGRAMA POR],"PARTO",Tabla1[Alarma apoyo DPT Acelular vacunadas],"VACUNADA"),COUNTIFS(Tabla1[AÑO PARTO],$B$4,Tabla1[MES PARTO],H6,Tabla1[SALE DEL PROGRAMA POR],"CESAREA",Tabla1[Alarma apoyo DPT Acelular vacunadas],"VACUNADA"))</f>
        <v>0</v>
      </c>
      <c r="I77" s="206">
        <f>SUM(COUNTIFS(Tabla1[AÑO PARTO],$B$4,Tabla1[MES PARTO],I6,Tabla1[SALE DEL PROGRAMA POR],"PARTO",Tabla1[Alarma apoyo DPT Acelular vacunadas],"VACUNADA"),COUNTIFS(Tabla1[AÑO PARTO],$B$4,Tabla1[MES PARTO],I6,Tabla1[SALE DEL PROGRAMA POR],"CESAREA",Tabla1[Alarma apoyo DPT Acelular vacunadas],"VACUNADA"))</f>
        <v>0</v>
      </c>
      <c r="J77" s="206">
        <f>SUM(COUNTIFS(Tabla1[AÑO PARTO],$B$4,Tabla1[MES PARTO],J6,Tabla1[SALE DEL PROGRAMA POR],"PARTO",Tabla1[Alarma apoyo DPT Acelular vacunadas],"VACUNADA"),COUNTIFS(Tabla1[AÑO PARTO],$B$4,Tabla1[MES PARTO],J6,Tabla1[SALE DEL PROGRAMA POR],"CESAREA",Tabla1[Alarma apoyo DPT Acelular vacunadas],"VACUNADA"))</f>
        <v>0</v>
      </c>
      <c r="K77" s="206">
        <f>SUM(COUNTIFS(Tabla1[AÑO PARTO],$B$4,Tabla1[MES PARTO],K6,Tabla1[SALE DEL PROGRAMA POR],"PARTO",Tabla1[Alarma apoyo DPT Acelular vacunadas],"VACUNADA"),COUNTIFS(Tabla1[AÑO PARTO],$B$4,Tabla1[MES PARTO],K6,Tabla1[SALE DEL PROGRAMA POR],"CESAREA",Tabla1[Alarma apoyo DPT Acelular vacunadas],"VACUNADA"))</f>
        <v>0</v>
      </c>
      <c r="L77" s="206">
        <f>SUM(COUNTIFS(Tabla1[AÑO PARTO],$B$4,Tabla1[MES PARTO],L6,Tabla1[SALE DEL PROGRAMA POR],"PARTO",Tabla1[Alarma apoyo DPT Acelular vacunadas],"VACUNADA"),COUNTIFS(Tabla1[AÑO PARTO],$B$4,Tabla1[MES PARTO],L6,Tabla1[SALE DEL PROGRAMA POR],"CESAREA",Tabla1[Alarma apoyo DPT Acelular vacunadas],"VACUNADA"))</f>
        <v>0</v>
      </c>
      <c r="M77" s="206">
        <f>SUM(COUNTIFS(Tabla1[AÑO PARTO],$B$4,Tabla1[MES PARTO],M6,Tabla1[SALE DEL PROGRAMA POR],"PARTO",Tabla1[Alarma apoyo DPT Acelular vacunadas],"VACUNADA"),COUNTIFS(Tabla1[AÑO PARTO],$B$4,Tabla1[MES PARTO],M6,Tabla1[SALE DEL PROGRAMA POR],"CESAREA",Tabla1[Alarma apoyo DPT Acelular vacunadas],"VACUNADA"))</f>
        <v>0</v>
      </c>
      <c r="N77" s="116">
        <f>SUM(B77:M77)</f>
        <v>0</v>
      </c>
      <c r="P77" t="s">
        <v>819</v>
      </c>
    </row>
    <row r="78" spans="1:16" ht="39" customHeight="1" thickBot="1" x14ac:dyDescent="0.3">
      <c r="A78" s="210" t="s">
        <v>817</v>
      </c>
      <c r="B78" s="117" t="str">
        <f t="shared" ref="B78:N78" si="21">IF(B$91=0,"",SUM(B77/B$91))</f>
        <v/>
      </c>
      <c r="C78" s="118" t="str">
        <f t="shared" si="21"/>
        <v/>
      </c>
      <c r="D78" s="118" t="str">
        <f t="shared" si="21"/>
        <v/>
      </c>
      <c r="E78" s="118" t="str">
        <f t="shared" si="21"/>
        <v/>
      </c>
      <c r="F78" s="118" t="str">
        <f t="shared" si="21"/>
        <v/>
      </c>
      <c r="G78" s="118" t="str">
        <f t="shared" si="21"/>
        <v/>
      </c>
      <c r="H78" s="118" t="str">
        <f t="shared" si="21"/>
        <v/>
      </c>
      <c r="I78" s="118" t="str">
        <f t="shared" si="21"/>
        <v/>
      </c>
      <c r="J78" s="118" t="str">
        <f t="shared" si="21"/>
        <v/>
      </c>
      <c r="K78" s="118" t="str">
        <f t="shared" si="21"/>
        <v/>
      </c>
      <c r="L78" s="118" t="str">
        <f t="shared" si="21"/>
        <v/>
      </c>
      <c r="M78" s="118" t="str">
        <f t="shared" si="21"/>
        <v/>
      </c>
      <c r="N78" s="211" t="str">
        <f t="shared" si="21"/>
        <v/>
      </c>
      <c r="P78" t="s">
        <v>820</v>
      </c>
    </row>
    <row r="79" spans="1:16" ht="39" customHeight="1" thickBot="1" x14ac:dyDescent="0.3">
      <c r="A79" s="78" t="s">
        <v>822</v>
      </c>
      <c r="B79" s="206">
        <f>SUM(COUNTIFS(Tabla1[AÑO PARTO],$B$4,Tabla1[MES PARTO],B6,Tabla1[SALE DEL PROGRAMA POR],"PARTO",Tabla1[FECHA VACUNA ANTI INFLUENZA],"&lt;&gt;"),COUNTIFS(Tabla1[AÑO PARTO],$B$4,Tabla1[MES PARTO],B6,Tabla1[SALE DEL PROGRAMA POR],"CESAREA",Tabla1[FECHA VACUNA ANTI INFLUENZA],"&lt;&gt;"))</f>
        <v>0</v>
      </c>
      <c r="C79" s="206">
        <f>SUM(COUNTIFS(Tabla1[AÑO PARTO],$B$4,Tabla1[MES PARTO],C6,Tabla1[SALE DEL PROGRAMA POR],"PARTO",Tabla1[FECHA VACUNA ANTI INFLUENZA],"&lt;&gt;"),COUNTIFS(Tabla1[AÑO PARTO],$B$4,Tabla1[MES PARTO],C6,Tabla1[SALE DEL PROGRAMA POR],"CESAREA",Tabla1[FECHA VACUNA ANTI INFLUENZA],"&lt;&gt;"))</f>
        <v>0</v>
      </c>
      <c r="D79" s="206">
        <f>SUM(COUNTIFS(Tabla1[AÑO PARTO],$B$4,Tabla1[MES PARTO],D6,Tabla1[SALE DEL PROGRAMA POR],"PARTO",Tabla1[FECHA VACUNA ANTI INFLUENZA],"&lt;&gt;"),COUNTIFS(Tabla1[AÑO PARTO],$B$4,Tabla1[MES PARTO],D6,Tabla1[SALE DEL PROGRAMA POR],"CESAREA",Tabla1[FECHA VACUNA ANTI INFLUENZA],"&lt;&gt;"))</f>
        <v>0</v>
      </c>
      <c r="E79" s="206">
        <f>SUM(COUNTIFS(Tabla1[AÑO PARTO],$B$4,Tabla1[MES PARTO],E6,Tabla1[SALE DEL PROGRAMA POR],"PARTO",Tabla1[FECHA VACUNA ANTI INFLUENZA],"&lt;&gt;"),COUNTIFS(Tabla1[AÑO PARTO],$B$4,Tabla1[MES PARTO],E6,Tabla1[SALE DEL PROGRAMA POR],"CESAREA",Tabla1[FECHA VACUNA ANTI INFLUENZA],"&lt;&gt;"))</f>
        <v>0</v>
      </c>
      <c r="F79" s="206">
        <f>SUM(COUNTIFS(Tabla1[AÑO PARTO],$B$4,Tabla1[MES PARTO],F6,Tabla1[SALE DEL PROGRAMA POR],"PARTO",Tabla1[FECHA VACUNA ANTI INFLUENZA],"&lt;&gt;"),COUNTIFS(Tabla1[AÑO PARTO],$B$4,Tabla1[MES PARTO],F6,Tabla1[SALE DEL PROGRAMA POR],"CESAREA",Tabla1[FECHA VACUNA ANTI INFLUENZA],"&lt;&gt;"))</f>
        <v>0</v>
      </c>
      <c r="G79" s="206">
        <f>SUM(COUNTIFS(Tabla1[AÑO PARTO],$B$4,Tabla1[MES PARTO],G6,Tabla1[SALE DEL PROGRAMA POR],"PARTO",Tabla1[FECHA VACUNA ANTI INFLUENZA],"&lt;&gt;"),COUNTIFS(Tabla1[AÑO PARTO],$B$4,Tabla1[MES PARTO],G6,Tabla1[SALE DEL PROGRAMA POR],"CESAREA",Tabla1[FECHA VACUNA ANTI INFLUENZA],"&lt;&gt;"))</f>
        <v>0</v>
      </c>
      <c r="H79" s="206">
        <f>SUM(COUNTIFS(Tabla1[AÑO PARTO],$B$4,Tabla1[MES PARTO],H6,Tabla1[SALE DEL PROGRAMA POR],"PARTO",Tabla1[FECHA VACUNA ANTI INFLUENZA],"&lt;&gt;"),COUNTIFS(Tabla1[AÑO PARTO],$B$4,Tabla1[MES PARTO],H6,Tabla1[SALE DEL PROGRAMA POR],"CESAREA",Tabla1[FECHA VACUNA ANTI INFLUENZA],"&lt;&gt;"))</f>
        <v>0</v>
      </c>
      <c r="I79" s="206">
        <f>SUM(COUNTIFS(Tabla1[AÑO PARTO],$B$4,Tabla1[MES PARTO],I6,Tabla1[SALE DEL PROGRAMA POR],"PARTO",Tabla1[FECHA VACUNA ANTI INFLUENZA],"&lt;&gt;"),COUNTIFS(Tabla1[AÑO PARTO],$B$4,Tabla1[MES PARTO],I6,Tabla1[SALE DEL PROGRAMA POR],"CESAREA",Tabla1[FECHA VACUNA ANTI INFLUENZA],"&lt;&gt;"))</f>
        <v>0</v>
      </c>
      <c r="J79" s="206">
        <f>SUM(COUNTIFS(Tabla1[AÑO PARTO],$B$4,Tabla1[MES PARTO],J6,Tabla1[SALE DEL PROGRAMA POR],"PARTO",Tabla1[FECHA VACUNA ANTI INFLUENZA],"&lt;&gt;"),COUNTIFS(Tabla1[AÑO PARTO],$B$4,Tabla1[MES PARTO],J6,Tabla1[SALE DEL PROGRAMA POR],"CESAREA",Tabla1[FECHA VACUNA ANTI INFLUENZA],"&lt;&gt;"))</f>
        <v>0</v>
      </c>
      <c r="K79" s="206">
        <f>SUM(COUNTIFS(Tabla1[AÑO PARTO],$B$4,Tabla1[MES PARTO],K6,Tabla1[SALE DEL PROGRAMA POR],"PARTO",Tabla1[FECHA VACUNA ANTI INFLUENZA],"&lt;&gt;"),COUNTIFS(Tabla1[AÑO PARTO],$B$4,Tabla1[MES PARTO],K6,Tabla1[SALE DEL PROGRAMA POR],"CESAREA",Tabla1[FECHA VACUNA ANTI INFLUENZA],"&lt;&gt;"))</f>
        <v>0</v>
      </c>
      <c r="L79" s="206">
        <f>SUM(COUNTIFS(Tabla1[AÑO PARTO],$B$4,Tabla1[MES PARTO],L6,Tabla1[SALE DEL PROGRAMA POR],"PARTO",Tabla1[FECHA VACUNA ANTI INFLUENZA],"&lt;&gt;"),COUNTIFS(Tabla1[AÑO PARTO],$B$4,Tabla1[MES PARTO],L6,Tabla1[SALE DEL PROGRAMA POR],"CESAREA",Tabla1[FECHA VACUNA ANTI INFLUENZA],"&lt;&gt;"))</f>
        <v>0</v>
      </c>
      <c r="M79" s="206">
        <f>SUM(COUNTIFS(Tabla1[AÑO PARTO],$B$4,Tabla1[MES PARTO],M6,Tabla1[SALE DEL PROGRAMA POR],"PARTO",Tabla1[FECHA VACUNA ANTI INFLUENZA],"&lt;&gt;"),COUNTIFS(Tabla1[AÑO PARTO],$B$4,Tabla1[MES PARTO],M6,Tabla1[SALE DEL PROGRAMA POR],"CESAREA",Tabla1[FECHA VACUNA ANTI INFLUENZA],"&lt;&gt;"))</f>
        <v>0</v>
      </c>
      <c r="N79" s="116">
        <f>SUM(B79:M79)</f>
        <v>0</v>
      </c>
    </row>
    <row r="80" spans="1:16" ht="39" customHeight="1" thickBot="1" x14ac:dyDescent="0.3">
      <c r="A80" s="210" t="s">
        <v>823</v>
      </c>
      <c r="B80" s="117" t="str">
        <f t="shared" ref="B80:N80" si="22">IF(B$91=0,"",SUM(B79/B$91))</f>
        <v/>
      </c>
      <c r="C80" s="118" t="str">
        <f t="shared" si="22"/>
        <v/>
      </c>
      <c r="D80" s="118" t="str">
        <f t="shared" si="22"/>
        <v/>
      </c>
      <c r="E80" s="118" t="str">
        <f t="shared" si="22"/>
        <v/>
      </c>
      <c r="F80" s="118" t="str">
        <f t="shared" si="22"/>
        <v/>
      </c>
      <c r="G80" s="118" t="str">
        <f t="shared" si="22"/>
        <v/>
      </c>
      <c r="H80" s="118" t="str">
        <f t="shared" si="22"/>
        <v/>
      </c>
      <c r="I80" s="118" t="str">
        <f t="shared" si="22"/>
        <v/>
      </c>
      <c r="J80" s="118" t="str">
        <f t="shared" si="22"/>
        <v/>
      </c>
      <c r="K80" s="118" t="str">
        <f t="shared" si="22"/>
        <v/>
      </c>
      <c r="L80" s="118" t="str">
        <f t="shared" si="22"/>
        <v/>
      </c>
      <c r="M80" s="118" t="str">
        <f t="shared" si="22"/>
        <v/>
      </c>
      <c r="N80" s="211" t="str">
        <f t="shared" si="22"/>
        <v/>
      </c>
    </row>
    <row r="81" spans="1:14" ht="39" customHeight="1" thickBot="1" x14ac:dyDescent="0.3">
      <c r="A81" s="78" t="s">
        <v>824</v>
      </c>
      <c r="B81" s="206">
        <f>SUM(COUNTIFS(Tabla1[AÑO PARTO],$B$4,Tabla1[MES PARTO],B6,Tabla1[SALE DEL PROGRAMA POR],"PARTO",Tabla1[Alarma Vacunación Anti COVID-19],"PENDIENTE REFUERZO"),COUNTIFS(Tabla1[AÑO PARTO],$B$4,Tabla1[MES PARTO],B6,Tabla1[SALE DEL PROGRAMA POR],"CESAREA",Tabla1[Alarma Vacunación Anti COVID-19],"PENDIENTE REFUERZO"))</f>
        <v>0</v>
      </c>
      <c r="C81" s="206">
        <f>SUM(COUNTIFS(Tabla1[AÑO PARTO],$B$4,Tabla1[MES PARTO],C6,Tabla1[SALE DEL PROGRAMA POR],"PARTO",Tabla1[Alarma Vacunación Anti COVID-19],"PENDIENTE REFUERZO"),COUNTIFS(Tabla1[AÑO PARTO],$B$4,Tabla1[MES PARTO],C6,Tabla1[SALE DEL PROGRAMA POR],"CESAREA",Tabla1[Alarma Vacunación Anti COVID-19],"PENDIENTE REFUERZO"))</f>
        <v>0</v>
      </c>
      <c r="D81" s="206">
        <f>SUM(COUNTIFS(Tabla1[AÑO PARTO],$B$4,Tabla1[MES PARTO],D6,Tabla1[SALE DEL PROGRAMA POR],"PARTO",Tabla1[Alarma Vacunación Anti COVID-19],"PENDIENTE REFUERZO"),COUNTIFS(Tabla1[AÑO PARTO],$B$4,Tabla1[MES PARTO],D6,Tabla1[SALE DEL PROGRAMA POR],"CESAREA",Tabla1[Alarma Vacunación Anti COVID-19],"PENDIENTE REFUERZO"))</f>
        <v>0</v>
      </c>
      <c r="E81" s="206">
        <f>SUM(COUNTIFS(Tabla1[AÑO PARTO],$B$4,Tabla1[MES PARTO],E6,Tabla1[SALE DEL PROGRAMA POR],"PARTO",Tabla1[Alarma Vacunación Anti COVID-19],"PENDIENTE REFUERZO"),COUNTIFS(Tabla1[AÑO PARTO],$B$4,Tabla1[MES PARTO],E6,Tabla1[SALE DEL PROGRAMA POR],"CESAREA",Tabla1[Alarma Vacunación Anti COVID-19],"PENDIENTE REFUERZO"))</f>
        <v>0</v>
      </c>
      <c r="F81" s="206">
        <f>SUM(COUNTIFS(Tabla1[AÑO PARTO],$B$4,Tabla1[MES PARTO],F6,Tabla1[SALE DEL PROGRAMA POR],"PARTO",Tabla1[Alarma Vacunación Anti COVID-19],"PENDIENTE REFUERZO"),COUNTIFS(Tabla1[AÑO PARTO],$B$4,Tabla1[MES PARTO],F6,Tabla1[SALE DEL PROGRAMA POR],"CESAREA",Tabla1[Alarma Vacunación Anti COVID-19],"PENDIENTE REFUERZO"))</f>
        <v>0</v>
      </c>
      <c r="G81" s="206">
        <f>SUM(COUNTIFS(Tabla1[AÑO PARTO],$B$4,Tabla1[MES PARTO],G6,Tabla1[SALE DEL PROGRAMA POR],"PARTO",Tabla1[Alarma Vacunación Anti COVID-19],"PENDIENTE REFUERZO"),COUNTIFS(Tabla1[AÑO PARTO],$B$4,Tabla1[MES PARTO],G6,Tabla1[SALE DEL PROGRAMA POR],"CESAREA",Tabla1[Alarma Vacunación Anti COVID-19],"PENDIENTE REFUERZO"))</f>
        <v>0</v>
      </c>
      <c r="H81" s="206">
        <f>SUM(COUNTIFS(Tabla1[AÑO PARTO],$B$4,Tabla1[MES PARTO],H6,Tabla1[SALE DEL PROGRAMA POR],"PARTO",Tabla1[Alarma Vacunación Anti COVID-19],"PENDIENTE REFUERZO"),COUNTIFS(Tabla1[AÑO PARTO],$B$4,Tabla1[MES PARTO],H6,Tabla1[SALE DEL PROGRAMA POR],"CESAREA",Tabla1[Alarma Vacunación Anti COVID-19],"PENDIENTE REFUERZO"))</f>
        <v>0</v>
      </c>
      <c r="I81" s="206">
        <f>SUM(COUNTIFS(Tabla1[AÑO PARTO],$B$4,Tabla1[MES PARTO],I6,Tabla1[SALE DEL PROGRAMA POR],"PARTO",Tabla1[Alarma Vacunación Anti COVID-19],"PENDIENTE REFUERZO"),COUNTIFS(Tabla1[AÑO PARTO],$B$4,Tabla1[MES PARTO],I6,Tabla1[SALE DEL PROGRAMA POR],"CESAREA",Tabla1[Alarma Vacunación Anti COVID-19],"PENDIENTE REFUERZO"))</f>
        <v>0</v>
      </c>
      <c r="J81" s="206">
        <f>SUM(COUNTIFS(Tabla1[AÑO PARTO],$B$4,Tabla1[MES PARTO],J6,Tabla1[SALE DEL PROGRAMA POR],"PARTO",Tabla1[Alarma Vacunación Anti COVID-19],"PENDIENTE REFUERZO"),COUNTIFS(Tabla1[AÑO PARTO],$B$4,Tabla1[MES PARTO],J6,Tabla1[SALE DEL PROGRAMA POR],"CESAREA",Tabla1[Alarma Vacunación Anti COVID-19],"PENDIENTE REFUERZO"))</f>
        <v>0</v>
      </c>
      <c r="K81" s="206">
        <f>SUM(COUNTIFS(Tabla1[AÑO PARTO],$B$4,Tabla1[MES PARTO],K6,Tabla1[SALE DEL PROGRAMA POR],"PARTO",Tabla1[Alarma Vacunación Anti COVID-19],"PENDIENTE REFUERZO"),COUNTIFS(Tabla1[AÑO PARTO],$B$4,Tabla1[MES PARTO],K6,Tabla1[SALE DEL PROGRAMA POR],"CESAREA",Tabla1[Alarma Vacunación Anti COVID-19],"PENDIENTE REFUERZO"))</f>
        <v>0</v>
      </c>
      <c r="L81" s="206">
        <f>SUM(COUNTIFS(Tabla1[AÑO PARTO],$B$4,Tabla1[MES PARTO],L6,Tabla1[SALE DEL PROGRAMA POR],"PARTO",Tabla1[Alarma Vacunación Anti COVID-19],"PENDIENTE REFUERZO"),COUNTIFS(Tabla1[AÑO PARTO],$B$4,Tabla1[MES PARTO],L6,Tabla1[SALE DEL PROGRAMA POR],"CESAREA",Tabla1[Alarma Vacunación Anti COVID-19],"PENDIENTE REFUERZO"))</f>
        <v>0</v>
      </c>
      <c r="M81" s="206">
        <f>SUM(COUNTIFS(Tabla1[AÑO PARTO],$B$4,Tabla1[MES PARTO],M6,Tabla1[SALE DEL PROGRAMA POR],"PARTO",Tabla1[Alarma Vacunación Anti COVID-19],"PENDIENTE REFUERZO"),COUNTIFS(Tabla1[AÑO PARTO],$B$4,Tabla1[MES PARTO],M6,Tabla1[SALE DEL PROGRAMA POR],"CESAREA",Tabla1[Alarma Vacunación Anti COVID-19],"PENDIENTE REFUERZO"))</f>
        <v>0</v>
      </c>
      <c r="N81" s="116">
        <f>SUM(B81:M81)</f>
        <v>0</v>
      </c>
    </row>
    <row r="82" spans="1:14" ht="39" customHeight="1" thickBot="1" x14ac:dyDescent="0.3">
      <c r="A82" s="210" t="s">
        <v>825</v>
      </c>
      <c r="B82" s="117" t="str">
        <f t="shared" ref="B82:N82" si="23">IF(B$91=0,"",SUM(B81/B$91))</f>
        <v/>
      </c>
      <c r="C82" s="118" t="str">
        <f t="shared" si="23"/>
        <v/>
      </c>
      <c r="D82" s="118" t="str">
        <f t="shared" si="23"/>
        <v/>
      </c>
      <c r="E82" s="118" t="str">
        <f t="shared" si="23"/>
        <v/>
      </c>
      <c r="F82" s="118" t="str">
        <f t="shared" si="23"/>
        <v/>
      </c>
      <c r="G82" s="118" t="str">
        <f t="shared" si="23"/>
        <v/>
      </c>
      <c r="H82" s="118" t="str">
        <f t="shared" si="23"/>
        <v/>
      </c>
      <c r="I82" s="118" t="str">
        <f t="shared" si="23"/>
        <v/>
      </c>
      <c r="J82" s="118" t="str">
        <f t="shared" si="23"/>
        <v/>
      </c>
      <c r="K82" s="118" t="str">
        <f t="shared" si="23"/>
        <v/>
      </c>
      <c r="L82" s="118" t="str">
        <f t="shared" si="23"/>
        <v/>
      </c>
      <c r="M82" s="118" t="str">
        <f t="shared" si="23"/>
        <v/>
      </c>
      <c r="N82" s="211" t="str">
        <f t="shared" si="23"/>
        <v/>
      </c>
    </row>
    <row r="83" spans="1:14" ht="39" customHeight="1" thickBot="1" x14ac:dyDescent="0.3">
      <c r="A83" s="78" t="s">
        <v>826</v>
      </c>
      <c r="B83" s="206">
        <f>SUM(COUNTIFS(Tabla1[AÑO PARTO],$B$4,Tabla1[MES PARTO],B6,Tabla1[SALE DEL PROGRAMA POR],"PARTO",Tabla1[FECHA VACUNA TD],"&lt;&gt;"),COUNTIFS(Tabla1[AÑO PARTO],$B$4,Tabla1[MES PARTO],B6,Tabla1[SALE DEL PROGRAMA POR],"CESAREA",Tabla1[FECHA VACUNA TD],"&lt;&gt;"))</f>
        <v>0</v>
      </c>
      <c r="C83" s="206">
        <f>SUM(COUNTIFS(Tabla1[AÑO PARTO],$B$4,Tabla1[MES PARTO],C6,Tabla1[SALE DEL PROGRAMA POR],"PARTO",Tabla1[FECHA VACUNA TD],"&lt;&gt;"),COUNTIFS(Tabla1[AÑO PARTO],$B$4,Tabla1[MES PARTO],C6,Tabla1[SALE DEL PROGRAMA POR],"CESAREA",Tabla1[FECHA VACUNA TD],"&lt;&gt;"))</f>
        <v>0</v>
      </c>
      <c r="D83" s="206">
        <f>SUM(COUNTIFS(Tabla1[AÑO PARTO],$B$4,Tabla1[MES PARTO],D6,Tabla1[SALE DEL PROGRAMA POR],"PARTO",Tabla1[FECHA VACUNA TD],"&lt;&gt;"),COUNTIFS(Tabla1[AÑO PARTO],$B$4,Tabla1[MES PARTO],D6,Tabla1[SALE DEL PROGRAMA POR],"CESAREA",Tabla1[FECHA VACUNA TD],"&lt;&gt;"))</f>
        <v>0</v>
      </c>
      <c r="E83" s="206">
        <f>SUM(COUNTIFS(Tabla1[AÑO PARTO],$B$4,Tabla1[MES PARTO],E6,Tabla1[SALE DEL PROGRAMA POR],"PARTO",Tabla1[FECHA VACUNA TD],"&lt;&gt;"),COUNTIFS(Tabla1[AÑO PARTO],$B$4,Tabla1[MES PARTO],E6,Tabla1[SALE DEL PROGRAMA POR],"CESAREA",Tabla1[FECHA VACUNA TD],"&lt;&gt;"))</f>
        <v>0</v>
      </c>
      <c r="F83" s="206">
        <f>SUM(COUNTIFS(Tabla1[AÑO PARTO],$B$4,Tabla1[MES PARTO],F6,Tabla1[SALE DEL PROGRAMA POR],"PARTO",Tabla1[FECHA VACUNA TD],"&lt;&gt;"),COUNTIFS(Tabla1[AÑO PARTO],$B$4,Tabla1[MES PARTO],F6,Tabla1[SALE DEL PROGRAMA POR],"CESAREA",Tabla1[FECHA VACUNA TD],"&lt;&gt;"))</f>
        <v>0</v>
      </c>
      <c r="G83" s="206">
        <f>SUM(COUNTIFS(Tabla1[AÑO PARTO],$B$4,Tabla1[MES PARTO],G6,Tabla1[SALE DEL PROGRAMA POR],"PARTO",Tabla1[FECHA VACUNA TD],"&lt;&gt;"),COUNTIFS(Tabla1[AÑO PARTO],$B$4,Tabla1[MES PARTO],G6,Tabla1[SALE DEL PROGRAMA POR],"CESAREA",Tabla1[FECHA VACUNA TD],"&lt;&gt;"))</f>
        <v>0</v>
      </c>
      <c r="H83" s="206">
        <f>SUM(COUNTIFS(Tabla1[AÑO PARTO],$B$4,Tabla1[MES PARTO],H6,Tabla1[SALE DEL PROGRAMA POR],"PARTO",Tabla1[FECHA VACUNA TD],"&lt;&gt;"),COUNTIFS(Tabla1[AÑO PARTO],$B$4,Tabla1[MES PARTO],H6,Tabla1[SALE DEL PROGRAMA POR],"CESAREA",Tabla1[FECHA VACUNA TD],"&lt;&gt;"))</f>
        <v>0</v>
      </c>
      <c r="I83" s="206">
        <f>SUM(COUNTIFS(Tabla1[AÑO PARTO],$B$4,Tabla1[MES PARTO],I6,Tabla1[SALE DEL PROGRAMA POR],"PARTO",Tabla1[FECHA VACUNA TD],"&lt;&gt;"),COUNTIFS(Tabla1[AÑO PARTO],$B$4,Tabla1[MES PARTO],I6,Tabla1[SALE DEL PROGRAMA POR],"CESAREA",Tabla1[FECHA VACUNA TD],"&lt;&gt;"))</f>
        <v>0</v>
      </c>
      <c r="J83" s="206">
        <f>SUM(COUNTIFS(Tabla1[AÑO PARTO],$B$4,Tabla1[MES PARTO],J6,Tabla1[SALE DEL PROGRAMA POR],"PARTO",Tabla1[FECHA VACUNA TD],"&lt;&gt;"),COUNTIFS(Tabla1[AÑO PARTO],$B$4,Tabla1[MES PARTO],J6,Tabla1[SALE DEL PROGRAMA POR],"CESAREA",Tabla1[FECHA VACUNA TD],"&lt;&gt;"))</f>
        <v>0</v>
      </c>
      <c r="K83" s="206">
        <f>SUM(COUNTIFS(Tabla1[AÑO PARTO],$B$4,Tabla1[MES PARTO],K6,Tabla1[SALE DEL PROGRAMA POR],"PARTO",Tabla1[FECHA VACUNA TD],"&lt;&gt;"),COUNTIFS(Tabla1[AÑO PARTO],$B$4,Tabla1[MES PARTO],K6,Tabla1[SALE DEL PROGRAMA POR],"CESAREA",Tabla1[FECHA VACUNA TD],"&lt;&gt;"))</f>
        <v>0</v>
      </c>
      <c r="L83" s="206">
        <f>SUM(COUNTIFS(Tabla1[AÑO PARTO],$B$4,Tabla1[MES PARTO],L6,Tabla1[SALE DEL PROGRAMA POR],"PARTO",Tabla1[FECHA VACUNA TD],"&lt;&gt;"),COUNTIFS(Tabla1[AÑO PARTO],$B$4,Tabla1[MES PARTO],L6,Tabla1[SALE DEL PROGRAMA POR],"CESAREA",Tabla1[FECHA VACUNA TD],"&lt;&gt;"))</f>
        <v>0</v>
      </c>
      <c r="M83" s="206">
        <f>SUM(COUNTIFS(Tabla1[AÑO PARTO],$B$4,Tabla1[MES PARTO],M6,Tabla1[SALE DEL PROGRAMA POR],"PARTO",Tabla1[FECHA VACUNA TD],"&lt;&gt;"),COUNTIFS(Tabla1[AÑO PARTO],$B$4,Tabla1[MES PARTO],M6,Tabla1[SALE DEL PROGRAMA POR],"CESAREA",Tabla1[FECHA VACUNA TD],"&lt;&gt;"))</f>
        <v>0</v>
      </c>
      <c r="N83" s="116">
        <f>SUM(B83:M83)</f>
        <v>0</v>
      </c>
    </row>
    <row r="84" spans="1:14" ht="39" customHeight="1" thickBot="1" x14ac:dyDescent="0.3">
      <c r="A84" s="210" t="s">
        <v>827</v>
      </c>
      <c r="B84" s="117" t="str">
        <f t="shared" ref="B84:N84" si="24">IF(B$91=0,"",SUM(B83/B$91))</f>
        <v/>
      </c>
      <c r="C84" s="118" t="str">
        <f t="shared" si="24"/>
        <v/>
      </c>
      <c r="D84" s="118" t="str">
        <f t="shared" si="24"/>
        <v/>
      </c>
      <c r="E84" s="118" t="str">
        <f t="shared" si="24"/>
        <v/>
      </c>
      <c r="F84" s="118" t="str">
        <f t="shared" si="24"/>
        <v/>
      </c>
      <c r="G84" s="118" t="str">
        <f t="shared" si="24"/>
        <v/>
      </c>
      <c r="H84" s="118" t="str">
        <f t="shared" si="24"/>
        <v/>
      </c>
      <c r="I84" s="118" t="str">
        <f t="shared" si="24"/>
        <v/>
      </c>
      <c r="J84" s="118" t="str">
        <f t="shared" si="24"/>
        <v/>
      </c>
      <c r="K84" s="118" t="str">
        <f t="shared" si="24"/>
        <v/>
      </c>
      <c r="L84" s="118" t="str">
        <f t="shared" si="24"/>
        <v/>
      </c>
      <c r="M84" s="118" t="str">
        <f t="shared" si="24"/>
        <v/>
      </c>
      <c r="N84" s="211" t="str">
        <f t="shared" si="24"/>
        <v/>
      </c>
    </row>
    <row r="85" spans="1:14" ht="31.5" customHeight="1" thickBot="1" x14ac:dyDescent="0.3">
      <c r="A85" s="67" t="s">
        <v>412</v>
      </c>
      <c r="B85" s="102">
        <f>COUNTIFS(Tabla1[AÑO3 INGRESO CPN],B4,Tabla1[MES2 INGRESO CPN],B6,Tabla1[AÑOS AL INICIO5 CPN],"&gt;0",Tabla1[AÑOS AL INICIO5 CPN],"&lt;19")</f>
        <v>0</v>
      </c>
      <c r="C85" s="102">
        <f>COUNTIFS(Tabla1[AÑO3 INGRESO CPN],B4,Tabla1[MES2 INGRESO CPN],C6,Tabla1[AÑOS AL INICIO5 CPN],"&gt;0",Tabla1[AÑOS AL INICIO5 CPN],"&lt;19")</f>
        <v>0</v>
      </c>
      <c r="D85" s="102">
        <f>COUNTIFS(Tabla1[AÑO3 INGRESO CPN],B4,Tabla1[MES2 INGRESO CPN],D6,Tabla1[AÑOS AL INICIO5 CPN],"&gt;0",Tabla1[AÑOS AL INICIO5 CPN],"&lt;19")</f>
        <v>0</v>
      </c>
      <c r="E85" s="102">
        <f>COUNTIFS(Tabla1[AÑO3 INGRESO CPN],B4,Tabla1[MES2 INGRESO CPN],E6,Tabla1[AÑOS AL INICIO5 CPN],"&gt;0",Tabla1[AÑOS AL INICIO5 CPN],"&lt;19")</f>
        <v>0</v>
      </c>
      <c r="F85" s="102">
        <f>COUNTIFS(Tabla1[AÑO3 INGRESO CPN],B4,Tabla1[MES2 INGRESO CPN],F6,Tabla1[AÑOS AL INICIO5 CPN],"&gt;0",Tabla1[AÑOS AL INICIO5 CPN],"&lt;19")</f>
        <v>0</v>
      </c>
      <c r="G85" s="102">
        <f>COUNTIFS(Tabla1[AÑO3 INGRESO CPN],B4,Tabla1[MES2 INGRESO CPN],G6,Tabla1[AÑOS AL INICIO5 CPN],"&gt;0",Tabla1[AÑOS AL INICIO5 CPN],"&lt;19")</f>
        <v>2</v>
      </c>
      <c r="H85" s="102">
        <f>COUNTIFS(Tabla1[AÑO3 INGRESO CPN],B4,Tabla1[MES2 INGRESO CPN],H6,Tabla1[AÑOS AL INICIO5 CPN],"&gt;0",Tabla1[AÑOS AL INICIO5 CPN],"&lt;19")</f>
        <v>0</v>
      </c>
      <c r="I85" s="102">
        <f>COUNTIFS(Tabla1[AÑO3 INGRESO CPN],B4,Tabla1[MES2 INGRESO CPN],I6,Tabla1[AÑOS AL INICIO5 CPN],"&gt;0",Tabla1[AÑOS AL INICIO5 CPN],"&lt;19")</f>
        <v>0</v>
      </c>
      <c r="J85" s="102">
        <f>COUNTIFS(Tabla1[AÑO3 INGRESO CPN],B4,Tabla1[MES2 INGRESO CPN],J6,Tabla1[AÑOS AL INICIO5 CPN],"&gt;0",Tabla1[AÑOS AL INICIO5 CPN],"&lt;19")</f>
        <v>0</v>
      </c>
      <c r="K85" s="102">
        <f>COUNTIFS(Tabla1[AÑO3 INGRESO CPN],B4,Tabla1[MES2 INGRESO CPN],K6,Tabla1[AÑOS AL INICIO5 CPN],"&gt;0",Tabla1[AÑOS AL INICIO5 CPN],"&lt;19")</f>
        <v>0</v>
      </c>
      <c r="L85" s="102">
        <f>COUNTIFS(Tabla1[AÑO3 INGRESO CPN],B4,Tabla1[MES2 INGRESO CPN],L6,Tabla1[AÑOS AL INICIO5 CPN],"&gt;0",Tabla1[AÑOS AL INICIO5 CPN],"&lt;19")</f>
        <v>0</v>
      </c>
      <c r="M85" s="102">
        <f>COUNTIFS(Tabla1[AÑO3 INGRESO CPN],B4,Tabla1[MES2 INGRESO CPN],M6,Tabla1[AÑOS AL INICIO5 CPN],"&gt;0",Tabla1[AÑOS AL INICIO5 CPN],"&lt;19")</f>
        <v>0</v>
      </c>
      <c r="N85" s="126">
        <f>SUM(B85:M85)</f>
        <v>2</v>
      </c>
    </row>
    <row r="86" spans="1:14" ht="31.5" customHeight="1" thickBot="1" x14ac:dyDescent="0.3">
      <c r="A86" s="66" t="s">
        <v>413</v>
      </c>
      <c r="B86" s="117" t="str">
        <f>IF($B$40=0,"",SUM(B85/$B$40))</f>
        <v/>
      </c>
      <c r="C86" s="118" t="str">
        <f t="shared" ref="C86:N86" si="25">IF(C40=0,"",SUM(C85/C40))</f>
        <v/>
      </c>
      <c r="D86" s="118" t="str">
        <f t="shared" si="25"/>
        <v/>
      </c>
      <c r="E86" s="118">
        <f t="shared" si="25"/>
        <v>0</v>
      </c>
      <c r="F86" s="118" t="str">
        <f t="shared" si="25"/>
        <v/>
      </c>
      <c r="G86" s="118">
        <f t="shared" si="25"/>
        <v>1</v>
      </c>
      <c r="H86" s="118" t="str">
        <f t="shared" si="25"/>
        <v/>
      </c>
      <c r="I86" s="118" t="str">
        <f t="shared" si="25"/>
        <v/>
      </c>
      <c r="J86" s="118" t="str">
        <f t="shared" si="25"/>
        <v/>
      </c>
      <c r="K86" s="118" t="str">
        <f t="shared" si="25"/>
        <v/>
      </c>
      <c r="L86" s="118" t="str">
        <f t="shared" si="25"/>
        <v/>
      </c>
      <c r="M86" s="118" t="str">
        <f t="shared" si="25"/>
        <v/>
      </c>
      <c r="N86" s="119">
        <f t="shared" si="25"/>
        <v>0.66666666666666663</v>
      </c>
    </row>
    <row r="87" spans="1:14" ht="31.5" customHeight="1" thickBot="1" x14ac:dyDescent="0.3">
      <c r="A87" s="67" t="s">
        <v>414</v>
      </c>
      <c r="B87" s="102">
        <f>COUNTIFS(Tabla1[AÑO3 INGRESO CPN],B4,Tabla1[MES2 INGRESO CPN],B6,Tabla1[AÑOS AL INICIO5 CPN],"&gt;0",Tabla1[AÑOS AL INICIO5 CPN],"&lt;14")</f>
        <v>0</v>
      </c>
      <c r="C87" s="102">
        <f>COUNTIFS(Tabla1[AÑO3 INGRESO CPN],B4,Tabla1[MES2 INGRESO CPN],C6,Tabla1[AÑOS AL INICIO5 CPN],"&gt;0",Tabla1[AÑOS AL INICIO5 CPN],"&lt;14")</f>
        <v>0</v>
      </c>
      <c r="D87" s="102">
        <f>COUNTIFS(Tabla1[AÑO3 INGRESO CPN],B4,Tabla1[MES2 INGRESO CPN],D6,Tabla1[AÑOS AL INICIO5 CPN],"&gt;0",Tabla1[AÑOS AL INICIO5 CPN],"&lt;14")</f>
        <v>0</v>
      </c>
      <c r="E87" s="102">
        <f>COUNTIFS(Tabla1[AÑO3 INGRESO CPN],B4,Tabla1[MES2 INGRESO CPN],E6,Tabla1[AÑOS AL INICIO5 CPN],"&gt;0",Tabla1[AÑOS AL INICIO5 CPN],"&lt;14")</f>
        <v>0</v>
      </c>
      <c r="F87" s="102">
        <f>COUNTIFS(Tabla1[AÑO3 INGRESO CPN],B4,Tabla1[MES2 INGRESO CPN],F6,Tabla1[AÑOS AL INICIO5 CPN],"&gt;0",Tabla1[AÑOS AL INICIO5 CPN],"&lt;14")</f>
        <v>0</v>
      </c>
      <c r="G87" s="102">
        <f>COUNTIFS(Tabla1[AÑO3 INGRESO CPN],B4,Tabla1[MES2 INGRESO CPN],G6,Tabla1[AÑOS AL INICIO5 CPN],"&gt;0",Tabla1[AÑOS AL INICIO5 CPN],"&lt;14")</f>
        <v>0</v>
      </c>
      <c r="H87" s="102">
        <f>COUNTIFS(Tabla1[AÑO3 INGRESO CPN],B4,Tabla1[MES2 INGRESO CPN],H6,Tabla1[AÑOS AL INICIO5 CPN],"&gt;0",Tabla1[AÑOS AL INICIO5 CPN],"&lt;14")</f>
        <v>0</v>
      </c>
      <c r="I87" s="102">
        <f>COUNTIFS(Tabla1[AÑO3 INGRESO CPN],B4,Tabla1[MES2 INGRESO CPN],I6,Tabla1[AÑOS AL INICIO5 CPN],"&gt;0",Tabla1[AÑOS AL INICIO5 CPN],"&lt;14")</f>
        <v>0</v>
      </c>
      <c r="J87" s="102">
        <f>COUNTIFS(Tabla1[AÑO3 INGRESO CPN],B4,Tabla1[MES2 INGRESO CPN],J6,Tabla1[AÑOS AL INICIO5 CPN],"&gt;0",Tabla1[AÑOS AL INICIO5 CPN],"&lt;14")</f>
        <v>0</v>
      </c>
      <c r="K87" s="102">
        <f>COUNTIFS(Tabla1[AÑO3 INGRESO CPN],B4,Tabla1[MES2 INGRESO CPN],K6,Tabla1[AÑOS AL INICIO5 CPN],"&gt;0",Tabla1[AÑOS AL INICIO5 CPN],"&lt;14")</f>
        <v>0</v>
      </c>
      <c r="L87" s="102">
        <f>COUNTIFS(Tabla1[AÑO3 INGRESO CPN],B4,Tabla1[MES2 INGRESO CPN],L6,Tabla1[AÑOS AL INICIO5 CPN],"&gt;0",Tabla1[AÑOS AL INICIO5 CPN],"&lt;14")</f>
        <v>0</v>
      </c>
      <c r="M87" s="102">
        <f>COUNTIFS(Tabla1[AÑO3 INGRESO CPN],B4,Tabla1[MES2 INGRESO CPN],M6,Tabla1[AÑOS AL INICIO5 CPN],"&gt;0",Tabla1[AÑOS AL INICIO5 CPN],"&lt;14")</f>
        <v>0</v>
      </c>
      <c r="N87" s="126">
        <f>SUM(B87:M87)</f>
        <v>0</v>
      </c>
    </row>
    <row r="88" spans="1:14" ht="31.5" customHeight="1" thickBot="1" x14ac:dyDescent="0.3">
      <c r="A88" s="66" t="s">
        <v>415</v>
      </c>
      <c r="B88" s="117" t="str">
        <f>IF(B$40=0,"",SUM(B87/B$40))</f>
        <v/>
      </c>
      <c r="C88" s="118" t="str">
        <f>IF(C$40=0,"",SUM(C87/C$40))</f>
        <v/>
      </c>
      <c r="D88" s="118" t="str">
        <f t="shared" ref="D88:N88" si="26">IF(D$40=0,"",SUM(D87/D$40))</f>
        <v/>
      </c>
      <c r="E88" s="118">
        <f t="shared" si="26"/>
        <v>0</v>
      </c>
      <c r="F88" s="118" t="str">
        <f t="shared" si="26"/>
        <v/>
      </c>
      <c r="G88" s="118">
        <f t="shared" si="26"/>
        <v>0</v>
      </c>
      <c r="H88" s="118" t="str">
        <f t="shared" si="26"/>
        <v/>
      </c>
      <c r="I88" s="118" t="str">
        <f t="shared" si="26"/>
        <v/>
      </c>
      <c r="J88" s="118" t="str">
        <f>IF(J$40=0,"",SUM(J87/J$40))</f>
        <v/>
      </c>
      <c r="K88" s="118" t="str">
        <f t="shared" si="26"/>
        <v/>
      </c>
      <c r="L88" s="118" t="str">
        <f t="shared" si="26"/>
        <v/>
      </c>
      <c r="M88" s="118" t="str">
        <f t="shared" si="26"/>
        <v/>
      </c>
      <c r="N88" s="119">
        <f t="shared" si="26"/>
        <v>0</v>
      </c>
    </row>
    <row r="89" spans="1:14" ht="31.5" customHeight="1" x14ac:dyDescent="0.25">
      <c r="A89" s="127" t="s">
        <v>840</v>
      </c>
      <c r="B89" s="115">
        <f>COUNTIFS(Tabla1[AÑO PARTO],B4,Tabla1[MES PARTO],B6,Tabla1[SALE DEL PROGRAMA POR],"PARTO")</f>
        <v>0</v>
      </c>
      <c r="C89" s="115">
        <f>COUNTIFS(Tabla1[AÑO PARTO],B4,Tabla1[MES PARTO],C6,Tabla1[SALE DEL PROGRAMA POR],"PARTO")</f>
        <v>0</v>
      </c>
      <c r="D89" s="115">
        <f>COUNTIFS(Tabla1[AÑO PARTO],B4,Tabla1[MES PARTO],D6,Tabla1[SALE DEL PROGRAMA POR],"PARTO")</f>
        <v>0</v>
      </c>
      <c r="E89" s="115">
        <f>COUNTIFS(Tabla1[AÑO PARTO],B4,Tabla1[MES PARTO],E6,Tabla1[SALE DEL PROGRAMA POR],"PARTO")</f>
        <v>0</v>
      </c>
      <c r="F89" s="115">
        <f>COUNTIFS(Tabla1[AÑO PARTO],B4,Tabla1[MES PARTO],F6,Tabla1[SALE DEL PROGRAMA POR],"PARTO")</f>
        <v>0</v>
      </c>
      <c r="G89" s="115">
        <f>COUNTIFS(Tabla1[AÑO PARTO],B4,Tabla1[MES PARTO],G6,Tabla1[SALE DEL PROGRAMA POR],"PARTO")</f>
        <v>0</v>
      </c>
      <c r="H89" s="115">
        <f>COUNTIFS(Tabla1[AÑO PARTO],B4,Tabla1[MES PARTO],H6,Tabla1[SALE DEL PROGRAMA POR],"PARTO")</f>
        <v>0</v>
      </c>
      <c r="I89" s="115">
        <f>COUNTIFS(Tabla1[AÑO PARTO],B4,Tabla1[MES PARTO],I6,Tabla1[SALE DEL PROGRAMA POR],"PARTO")</f>
        <v>0</v>
      </c>
      <c r="J89" s="115">
        <f>COUNTIFS(Tabla1[AÑO PARTO],B4,Tabla1[MES PARTO],J6,Tabla1[SALE DEL PROGRAMA POR],"PARTO")</f>
        <v>0</v>
      </c>
      <c r="K89" s="115">
        <f>COUNTIFS(Tabla1[AÑO PARTO],B4,Tabla1[MES PARTO],K6,Tabla1[SALE DEL PROGRAMA POR],"PARTO")</f>
        <v>0</v>
      </c>
      <c r="L89" s="115">
        <f>COUNTIFS(Tabla1[AÑO PARTO],B4,Tabla1[MES PARTO],L6,Tabla1[SALE DEL PROGRAMA POR],"PARTO")</f>
        <v>0</v>
      </c>
      <c r="M89" s="115">
        <f>COUNTIFS(Tabla1[AÑO PARTO],B4,Tabla1[MES PARTO],M6,Tabla1[SALE DEL PROGRAMA POR],"PARTO")</f>
        <v>0</v>
      </c>
      <c r="N89" s="124">
        <f>SUM(B89:M89)</f>
        <v>0</v>
      </c>
    </row>
    <row r="90" spans="1:14" ht="31.5" customHeight="1" x14ac:dyDescent="0.25">
      <c r="A90" s="127" t="s">
        <v>841</v>
      </c>
      <c r="B90" s="68">
        <f>COUNTIFS(Tabla1[AÑO PARTO],B4,Tabla1[MES PARTO],B6,Tabla1[SALE DEL PROGRAMA POR],"CESAREA")</f>
        <v>0</v>
      </c>
      <c r="C90" s="68">
        <f>COUNTIFS(Tabla1[AÑO PARTO],B4,Tabla1[MES PARTO],C6,Tabla1[SALE DEL PROGRAMA POR],"CESAREA")</f>
        <v>0</v>
      </c>
      <c r="D90" s="68">
        <f>COUNTIFS(Tabla1[AÑO PARTO],B4,Tabla1[MES PARTO],D6,Tabla1[SALE DEL PROGRAMA POR],"CESAREA")</f>
        <v>0</v>
      </c>
      <c r="E90" s="68">
        <f>COUNTIFS(Tabla1[AÑO PARTO],B4,Tabla1[MES PARTO],E6,Tabla1[SALE DEL PROGRAMA POR],"CESAREA")</f>
        <v>0</v>
      </c>
      <c r="F90" s="68">
        <f>COUNTIFS(Tabla1[AÑO PARTO],B4,Tabla1[MES PARTO],F6,Tabla1[SALE DEL PROGRAMA POR],"CESAREA")</f>
        <v>0</v>
      </c>
      <c r="G90" s="68">
        <f>COUNTIFS(Tabla1[AÑO PARTO],B4,Tabla1[MES PARTO],G6,Tabla1[SALE DEL PROGRAMA POR],"CESAREA")</f>
        <v>0</v>
      </c>
      <c r="H90" s="68">
        <f>COUNTIFS(Tabla1[AÑO PARTO],B4,Tabla1[MES PARTO],H6,Tabla1[SALE DEL PROGRAMA POR],"CESAREA")</f>
        <v>0</v>
      </c>
      <c r="I90" s="68">
        <f>COUNTIFS(Tabla1[AÑO PARTO],B4,Tabla1[MES PARTO],I6,Tabla1[SALE DEL PROGRAMA POR],"CESAREA")</f>
        <v>0</v>
      </c>
      <c r="J90" s="68">
        <f>COUNTIFS(Tabla1[AÑO PARTO],B4,Tabla1[MES PARTO],J6,Tabla1[SALE DEL PROGRAMA POR],"CESAREA")</f>
        <v>0</v>
      </c>
      <c r="K90" s="68">
        <f>COUNTIFS(Tabla1[AÑO PARTO],B4,Tabla1[MES PARTO],K6,Tabla1[SALE DEL PROGRAMA POR],"CESAREA")</f>
        <v>0</v>
      </c>
      <c r="L90" s="68">
        <f>COUNTIFS(Tabla1[AÑO PARTO],B4,Tabla1[MES PARTO],L6,Tabla1[SALE DEL PROGRAMA POR],"CESAREA")</f>
        <v>0</v>
      </c>
      <c r="M90" s="68">
        <f>COUNTIFS(Tabla1[AÑO PARTO],B4,Tabla1[MES PARTO],M6,Tabla1[SALE DEL PROGRAMA POR],"CESAREA")</f>
        <v>0</v>
      </c>
      <c r="N90" s="128">
        <f>SUM(B90:M90)</f>
        <v>0</v>
      </c>
    </row>
    <row r="91" spans="1:14" ht="31.5" customHeight="1" thickBot="1" x14ac:dyDescent="0.3">
      <c r="A91" s="129" t="s">
        <v>416</v>
      </c>
      <c r="B91" s="68">
        <f>SUM(B89:B90)</f>
        <v>0</v>
      </c>
      <c r="C91" s="68">
        <f t="shared" ref="C91:M91" si="27">SUM(C89:C90)</f>
        <v>0</v>
      </c>
      <c r="D91" s="68">
        <f t="shared" si="27"/>
        <v>0</v>
      </c>
      <c r="E91" s="68">
        <f t="shared" si="27"/>
        <v>0</v>
      </c>
      <c r="F91" s="68">
        <f t="shared" si="27"/>
        <v>0</v>
      </c>
      <c r="G91" s="68">
        <f t="shared" si="27"/>
        <v>0</v>
      </c>
      <c r="H91" s="68">
        <f t="shared" si="27"/>
        <v>0</v>
      </c>
      <c r="I91" s="68">
        <f t="shared" si="27"/>
        <v>0</v>
      </c>
      <c r="J91" s="68">
        <f t="shared" si="27"/>
        <v>0</v>
      </c>
      <c r="K91" s="68">
        <f t="shared" si="27"/>
        <v>0</v>
      </c>
      <c r="L91" s="68">
        <f t="shared" si="27"/>
        <v>0</v>
      </c>
      <c r="M91" s="68">
        <f t="shared" si="27"/>
        <v>0</v>
      </c>
      <c r="N91" s="128">
        <f>SUM(B91:M91)</f>
        <v>0</v>
      </c>
    </row>
    <row r="92" spans="1:14" ht="31.5" customHeight="1" thickBot="1" x14ac:dyDescent="0.3">
      <c r="A92" s="66" t="s">
        <v>417</v>
      </c>
      <c r="B92" s="71" t="str">
        <f>IF(B91=0,"",SUM(B89/B91))</f>
        <v/>
      </c>
      <c r="C92" s="71" t="str">
        <f t="shared" ref="C92:N92" si="28">IF(C91=0,"",SUM(C89/C91))</f>
        <v/>
      </c>
      <c r="D92" s="71" t="str">
        <f t="shared" si="28"/>
        <v/>
      </c>
      <c r="E92" s="71" t="str">
        <f t="shared" si="28"/>
        <v/>
      </c>
      <c r="F92" s="71" t="str">
        <f t="shared" si="28"/>
        <v/>
      </c>
      <c r="G92" s="71" t="str">
        <f t="shared" si="28"/>
        <v/>
      </c>
      <c r="H92" s="71" t="str">
        <f t="shared" si="28"/>
        <v/>
      </c>
      <c r="I92" s="71" t="str">
        <f t="shared" si="28"/>
        <v/>
      </c>
      <c r="J92" s="71" t="str">
        <f t="shared" si="28"/>
        <v/>
      </c>
      <c r="K92" s="71" t="str">
        <f t="shared" si="28"/>
        <v/>
      </c>
      <c r="L92" s="71" t="str">
        <f t="shared" si="28"/>
        <v/>
      </c>
      <c r="M92" s="71" t="str">
        <f t="shared" si="28"/>
        <v/>
      </c>
      <c r="N92" s="130" t="str">
        <f t="shared" si="28"/>
        <v/>
      </c>
    </row>
    <row r="93" spans="1:14" ht="31.5" customHeight="1" x14ac:dyDescent="0.25">
      <c r="A93" s="66" t="s">
        <v>418</v>
      </c>
      <c r="B93" s="71" t="str">
        <f>IF(B91=0,"",SUM(B90/B91))</f>
        <v/>
      </c>
      <c r="C93" s="71" t="str">
        <f t="shared" ref="C93:N93" si="29">IF(C91=0,"",SUM(C90/C91))</f>
        <v/>
      </c>
      <c r="D93" s="71" t="str">
        <f t="shared" si="29"/>
        <v/>
      </c>
      <c r="E93" s="71" t="str">
        <f t="shared" si="29"/>
        <v/>
      </c>
      <c r="F93" s="71" t="str">
        <f t="shared" si="29"/>
        <v/>
      </c>
      <c r="G93" s="71" t="str">
        <f t="shared" si="29"/>
        <v/>
      </c>
      <c r="H93" s="71" t="str">
        <f t="shared" si="29"/>
        <v/>
      </c>
      <c r="I93" s="71" t="str">
        <f t="shared" si="29"/>
        <v/>
      </c>
      <c r="J93" s="71" t="str">
        <f t="shared" si="29"/>
        <v/>
      </c>
      <c r="K93" s="71" t="str">
        <f t="shared" si="29"/>
        <v/>
      </c>
      <c r="L93" s="71" t="str">
        <f t="shared" si="29"/>
        <v/>
      </c>
      <c r="M93" s="71" t="str">
        <f t="shared" si="29"/>
        <v/>
      </c>
      <c r="N93" s="130" t="str">
        <f t="shared" si="29"/>
        <v/>
      </c>
    </row>
    <row r="94" spans="1:14" ht="31.5" customHeight="1" thickBot="1" x14ac:dyDescent="0.3">
      <c r="A94" s="127" t="s">
        <v>419</v>
      </c>
      <c r="B94" s="116">
        <f>COUNTIFS(Tabla1[AÑO PARTO],B4,Tabla1[MES PARTO],B6,Tabla1[SALE DEL PROGRAMA POR],"IVE")</f>
        <v>0</v>
      </c>
      <c r="C94" s="116">
        <f>COUNTIFS(Tabla1[AÑO PARTO],B4,Tabla1[MES PARTO],C6,Tabla1[SALE DEL PROGRAMA POR],"IVE")</f>
        <v>0</v>
      </c>
      <c r="D94" s="116">
        <f>COUNTIFS(Tabla1[AÑO PARTO],B4,Tabla1[MES PARTO],D6,Tabla1[SALE DEL PROGRAMA POR],"IVE")</f>
        <v>0</v>
      </c>
      <c r="E94" s="116">
        <f>COUNTIFS(Tabla1[AÑO PARTO],B4,Tabla1[MES PARTO],E6,Tabla1[SALE DEL PROGRAMA POR],"IVE")</f>
        <v>0</v>
      </c>
      <c r="F94" s="116">
        <f>COUNTIFS(Tabla1[AÑO PARTO],B4,Tabla1[MES PARTO],F6,Tabla1[SALE DEL PROGRAMA POR],"IVE")</f>
        <v>0</v>
      </c>
      <c r="G94" s="116">
        <f>COUNTIFS(Tabla1[AÑO PARTO],B4,Tabla1[MES PARTO],G6,Tabla1[SALE DEL PROGRAMA POR],"IVE")</f>
        <v>0</v>
      </c>
      <c r="H94" s="116">
        <f>COUNTIFS(Tabla1[AÑO PARTO],B4,Tabla1[MES PARTO],H6,Tabla1[SALE DEL PROGRAMA POR],"IVE")</f>
        <v>0</v>
      </c>
      <c r="I94" s="116">
        <f>COUNTIFS(Tabla1[AÑO PARTO],B4,Tabla1[MES PARTO],I6,Tabla1[SALE DEL PROGRAMA POR],"IVE")</f>
        <v>0</v>
      </c>
      <c r="J94" s="116">
        <f>COUNTIFS(Tabla1[AÑO PARTO],B4,Tabla1[MES PARTO],J6,Tabla1[SALE DEL PROGRAMA POR],"IVE")</f>
        <v>0</v>
      </c>
      <c r="K94" s="116">
        <f>COUNTIFS(Tabla1[AÑO PARTO],B4,Tabla1[MES PARTO],K6,Tabla1[SALE DEL PROGRAMA POR],"IVE")</f>
        <v>0</v>
      </c>
      <c r="L94" s="116">
        <f>COUNTIFS(Tabla1[AÑO PARTO],B4,Tabla1[MES PARTO],L6,Tabla1[SALE DEL PROGRAMA POR],"IVE")</f>
        <v>0</v>
      </c>
      <c r="M94" s="116">
        <f>COUNTIFS(Tabla1[AÑO PARTO],B4,Tabla1[MES PARTO],M6,Tabla1[SALE DEL PROGRAMA POR],"IVE")</f>
        <v>0</v>
      </c>
      <c r="N94" s="125">
        <f t="shared" ref="N94:N136" si="30">SUM(B94:M94)</f>
        <v>0</v>
      </c>
    </row>
    <row r="95" spans="1:14" ht="31.5" customHeight="1" thickBot="1" x14ac:dyDescent="0.3">
      <c r="A95" s="66" t="s">
        <v>420</v>
      </c>
      <c r="B95" s="117" t="str">
        <f>IF(SUM(B91,B94)=0,"",SUM(B94/SUM(B94,B91)))</f>
        <v/>
      </c>
      <c r="C95" s="118" t="str">
        <f t="shared" ref="C95:N95" si="31">IF(SUM(C91,C94)=0,"",SUM(C94/SUM(C94,C91)))</f>
        <v/>
      </c>
      <c r="D95" s="118" t="str">
        <f t="shared" si="31"/>
        <v/>
      </c>
      <c r="E95" s="118" t="str">
        <f t="shared" si="31"/>
        <v/>
      </c>
      <c r="F95" s="118" t="str">
        <f t="shared" si="31"/>
        <v/>
      </c>
      <c r="G95" s="118" t="str">
        <f t="shared" si="31"/>
        <v/>
      </c>
      <c r="H95" s="118" t="str">
        <f t="shared" si="31"/>
        <v/>
      </c>
      <c r="I95" s="118" t="str">
        <f t="shared" si="31"/>
        <v/>
      </c>
      <c r="J95" s="118" t="str">
        <f t="shared" si="31"/>
        <v/>
      </c>
      <c r="K95" s="118" t="str">
        <f t="shared" si="31"/>
        <v/>
      </c>
      <c r="L95" s="118" t="str">
        <f t="shared" si="31"/>
        <v/>
      </c>
      <c r="M95" s="118" t="str">
        <f t="shared" si="31"/>
        <v/>
      </c>
      <c r="N95" s="119" t="str">
        <f t="shared" si="31"/>
        <v/>
      </c>
    </row>
    <row r="96" spans="1:14" ht="31.5" customHeight="1" thickBot="1" x14ac:dyDescent="0.3">
      <c r="A96" s="127" t="s">
        <v>421</v>
      </c>
      <c r="B96" s="102">
        <f>SUM(COUNTIFS(Tabla1[AÑO PARTO],B4,Tabla1[MES PARTO],B6,Tabla1[SALE DEL PROGRAMA POR],"PARTO",Tabla1[LUGAR DE ATENCION DEL PARTO],"INSTITUCIONAL"),COUNTIFS(Tabla1[AÑO PARTO],B4,Tabla1[MES PARTO],B6,Tabla1[SALE DEL PROGRAMA POR],"CESAREA",Tabla1[LUGAR DE ATENCION DEL PARTO],"INSTITUCIONAL"))</f>
        <v>0</v>
      </c>
      <c r="C96" s="102">
        <f>SUM(COUNTIFS(Tabla1[AÑO PARTO],B4,Tabla1[MES PARTO],C6,Tabla1[SALE DEL PROGRAMA POR],"PARTO",Tabla1[LUGAR DE ATENCION DEL PARTO],"INSTITUCIONAL"),COUNTIFS(Tabla1[AÑO PARTO],B4,Tabla1[MES PARTO],C6,Tabla1[SALE DEL PROGRAMA POR],"CESAREA",Tabla1[LUGAR DE ATENCION DEL PARTO],"INSTITUCIONAL"))</f>
        <v>0</v>
      </c>
      <c r="D96" s="102">
        <f>SUM(COUNTIFS(Tabla1[AÑO PARTO],B4,Tabla1[MES PARTO],D6,Tabla1[SALE DEL PROGRAMA POR],"PARTO",Tabla1[LUGAR DE ATENCION DEL PARTO],"INSTITUCIONAL"),COUNTIFS(Tabla1[AÑO PARTO],B4,Tabla1[MES PARTO],D6,Tabla1[SALE DEL PROGRAMA POR],"CESAREA",Tabla1[LUGAR DE ATENCION DEL PARTO],"INSTITUCIONAL"))</f>
        <v>0</v>
      </c>
      <c r="E96" s="102">
        <f>SUM(COUNTIFS(Tabla1[AÑO PARTO],B4,Tabla1[MES PARTO],E6,Tabla1[SALE DEL PROGRAMA POR],"PARTO",Tabla1[LUGAR DE ATENCION DEL PARTO],"INSTITUCIONAL"),COUNTIFS(Tabla1[AÑO PARTO],B4,Tabla1[MES PARTO],E6,Tabla1[SALE DEL PROGRAMA POR],"CESAREA",Tabla1[LUGAR DE ATENCION DEL PARTO],"INSTITUCIONAL"))</f>
        <v>0</v>
      </c>
      <c r="F96" s="102">
        <f>SUM(COUNTIFS(Tabla1[AÑO PARTO],B4,Tabla1[MES PARTO],F6,Tabla1[SALE DEL PROGRAMA POR],"PARTO",Tabla1[LUGAR DE ATENCION DEL PARTO],"INSTITUCIONAL"),COUNTIFS(Tabla1[AÑO PARTO],B4,Tabla1[MES PARTO],F6,Tabla1[SALE DEL PROGRAMA POR],"CESAREA",Tabla1[LUGAR DE ATENCION DEL PARTO],"INSTITUCIONAL"))</f>
        <v>0</v>
      </c>
      <c r="G96" s="102">
        <f>SUM(COUNTIFS(Tabla1[AÑO PARTO],B4,Tabla1[MES PARTO],G6,Tabla1[SALE DEL PROGRAMA POR],"PARTO",Tabla1[LUGAR DE ATENCION DEL PARTO],"INSTITUCIONAL"),COUNTIFS(Tabla1[AÑO PARTO],B4,Tabla1[MES PARTO],G6,Tabla1[SALE DEL PROGRAMA POR],"CESAREA",Tabla1[LUGAR DE ATENCION DEL PARTO],"INSTITUCIONAL"))</f>
        <v>0</v>
      </c>
      <c r="H96" s="102">
        <f>SUM(COUNTIFS(Tabla1[AÑO PARTO],B4,Tabla1[MES PARTO],H6,Tabla1[SALE DEL PROGRAMA POR],"PARTO",Tabla1[LUGAR DE ATENCION DEL PARTO],"INSTITUCIONAL"),COUNTIFS(Tabla1[AÑO PARTO],B4,Tabla1[MES PARTO],H6,Tabla1[SALE DEL PROGRAMA POR],"CESAREA",Tabla1[LUGAR DE ATENCION DEL PARTO],"INSTITUCIONAL"))</f>
        <v>0</v>
      </c>
      <c r="I96" s="102">
        <f>SUM(COUNTIFS(Tabla1[AÑO PARTO],B4,Tabla1[MES PARTO],I6,Tabla1[SALE DEL PROGRAMA POR],"PARTO",Tabla1[LUGAR DE ATENCION DEL PARTO],"INSTITUCIONAL"),COUNTIFS(Tabla1[AÑO PARTO],B4,Tabla1[MES PARTO],I6,Tabla1[SALE DEL PROGRAMA POR],"CESAREA",Tabla1[LUGAR DE ATENCION DEL PARTO],"INSTITUCIONAL"))</f>
        <v>0</v>
      </c>
      <c r="J96" s="102">
        <f>SUM(COUNTIFS(Tabla1[AÑO PARTO],B4,Tabla1[MES PARTO],J6,Tabla1[SALE DEL PROGRAMA POR],"PARTO",Tabla1[LUGAR DE ATENCION DEL PARTO],"INSTITUCIONAL"),COUNTIFS(Tabla1[AÑO PARTO],B4,Tabla1[MES PARTO],J6,Tabla1[SALE DEL PROGRAMA POR],"CESAREA",Tabla1[LUGAR DE ATENCION DEL PARTO],"INSTITUCIONAL"))</f>
        <v>0</v>
      </c>
      <c r="K96" s="102">
        <f>SUM(COUNTIFS(Tabla1[AÑO PARTO],B4,Tabla1[MES PARTO],K6,Tabla1[SALE DEL PROGRAMA POR],"PARTO",Tabla1[LUGAR DE ATENCION DEL PARTO],"INSTITUCIONAL"),COUNTIFS(Tabla1[AÑO PARTO],B4,Tabla1[MES PARTO],K6,Tabla1[SALE DEL PROGRAMA POR],"CESAREA",Tabla1[LUGAR DE ATENCION DEL PARTO],"INSTITUCIONAL"))</f>
        <v>0</v>
      </c>
      <c r="L96" s="102">
        <f>SUM(COUNTIFS(Tabla1[AÑO PARTO],B4,Tabla1[MES PARTO],L6,Tabla1[SALE DEL PROGRAMA POR],"PARTO",Tabla1[LUGAR DE ATENCION DEL PARTO],"INSTITUCIONAL"),COUNTIFS(Tabla1[AÑO PARTO],B4,Tabla1[MES PARTO],L6,Tabla1[SALE DEL PROGRAMA POR],"CESAREA",Tabla1[LUGAR DE ATENCION DEL PARTO],"INSTITUCIONAL"))</f>
        <v>0</v>
      </c>
      <c r="M96" s="102">
        <f>SUM(COUNTIFS(Tabla1[AÑO PARTO],B4,Tabla1[MES PARTO],M6,Tabla1[SALE DEL PROGRAMA POR],"PARTO",Tabla1[LUGAR DE ATENCION DEL PARTO],"INSTITUCIONAL"),COUNTIFS(Tabla1[AÑO PARTO],B4,Tabla1[MES PARTO],M6,Tabla1[SALE DEL PROGRAMA POR],"CESAREA",Tabla1[LUGAR DE ATENCION DEL PARTO],"INSTITUCIONAL"))</f>
        <v>0</v>
      </c>
      <c r="N96" s="126">
        <f t="shared" si="30"/>
        <v>0</v>
      </c>
    </row>
    <row r="97" spans="1:14 16384:16384" ht="31.5" customHeight="1" thickBot="1" x14ac:dyDescent="0.3">
      <c r="A97" s="66" t="s">
        <v>422</v>
      </c>
      <c r="B97" s="117" t="str">
        <f>IF(B91=0,"",SUM(B96/B91))</f>
        <v/>
      </c>
      <c r="C97" s="118" t="str">
        <f t="shared" ref="C97:N97" si="32">IF(C91=0,"",SUM(C96/C91))</f>
        <v/>
      </c>
      <c r="D97" s="118" t="str">
        <f t="shared" si="32"/>
        <v/>
      </c>
      <c r="E97" s="118" t="str">
        <f t="shared" si="32"/>
        <v/>
      </c>
      <c r="F97" s="118" t="str">
        <f t="shared" si="32"/>
        <v/>
      </c>
      <c r="G97" s="118" t="str">
        <f t="shared" si="32"/>
        <v/>
      </c>
      <c r="H97" s="118" t="str">
        <f t="shared" si="32"/>
        <v/>
      </c>
      <c r="I97" s="118" t="str">
        <f t="shared" si="32"/>
        <v/>
      </c>
      <c r="J97" s="118" t="str">
        <f t="shared" si="32"/>
        <v/>
      </c>
      <c r="K97" s="118" t="str">
        <f t="shared" si="32"/>
        <v/>
      </c>
      <c r="L97" s="118" t="str">
        <f t="shared" si="32"/>
        <v/>
      </c>
      <c r="M97" s="118" t="str">
        <f t="shared" si="32"/>
        <v/>
      </c>
      <c r="N97" s="119" t="str">
        <f t="shared" si="32"/>
        <v/>
      </c>
    </row>
    <row r="98" spans="1:14 16384:16384" ht="31.5" customHeight="1" thickBot="1" x14ac:dyDescent="0.3">
      <c r="A98" s="127" t="s">
        <v>423</v>
      </c>
      <c r="B98" s="102">
        <f>COUNTIFS(Tabla1[AÑO PARTO],B4,Tabla1[MES PARTO],B6,Tabla1[SALE DEL PROGRAMA POR],"PARTO",Tabla1[LUGAR DE ATENCION DEL PARTO],"DOMICILIO")</f>
        <v>0</v>
      </c>
      <c r="C98" s="102">
        <f>COUNTIFS(Tabla1[AÑO PARTO],B4,Tabla1[MES PARTO],C6,Tabla1[SALE DEL PROGRAMA POR],"PARTO",Tabla1[LUGAR DE ATENCION DEL PARTO],"DOMICILIO")</f>
        <v>0</v>
      </c>
      <c r="D98" s="102">
        <f>COUNTIFS(Tabla1[AÑO PARTO],B4,Tabla1[MES PARTO],D6,Tabla1[SALE DEL PROGRAMA POR],"PARTO",Tabla1[LUGAR DE ATENCION DEL PARTO],"DOMICILIO")</f>
        <v>0</v>
      </c>
      <c r="E98" s="102">
        <f>COUNTIFS(Tabla1[AÑO PARTO],B4,Tabla1[MES PARTO],E6,Tabla1[SALE DEL PROGRAMA POR],"PARTO",Tabla1[LUGAR DE ATENCION DEL PARTO],"DOMICILIO")</f>
        <v>0</v>
      </c>
      <c r="F98" s="102">
        <f>COUNTIFS(Tabla1[AÑO PARTO],B4,Tabla1[MES PARTO],F6,Tabla1[SALE DEL PROGRAMA POR],"PARTO",Tabla1[LUGAR DE ATENCION DEL PARTO],"DOMICILIO")</f>
        <v>0</v>
      </c>
      <c r="G98" s="102">
        <f>COUNTIFS(Tabla1[AÑO PARTO],B4,Tabla1[MES PARTO],G6,Tabla1[SALE DEL PROGRAMA POR],"PARTO",Tabla1[LUGAR DE ATENCION DEL PARTO],"DOMICILIO")</f>
        <v>0</v>
      </c>
      <c r="H98" s="102">
        <f>COUNTIFS(Tabla1[AÑO PARTO],B4,Tabla1[MES PARTO],H6,Tabla1[SALE DEL PROGRAMA POR],"PARTO",Tabla1[LUGAR DE ATENCION DEL PARTO],"DOMICILIO")</f>
        <v>0</v>
      </c>
      <c r="I98" s="102">
        <f>COUNTIFS(Tabla1[AÑO PARTO],B4,Tabla1[MES PARTO],I6,Tabla1[SALE DEL PROGRAMA POR],"PARTO",Tabla1[LUGAR DE ATENCION DEL PARTO],"DOMICILIO")</f>
        <v>0</v>
      </c>
      <c r="J98" s="102">
        <f>COUNTIFS(Tabla1[AÑO PARTO],B4,Tabla1[MES PARTO],J6,Tabla1[SALE DEL PROGRAMA POR],"PARTO",Tabla1[LUGAR DE ATENCION DEL PARTO],"DOMICILIO")</f>
        <v>0</v>
      </c>
      <c r="K98" s="102">
        <f>COUNTIFS(Tabla1[AÑO PARTO],B4,Tabla1[MES PARTO],K6,Tabla1[SALE DEL PROGRAMA POR],"PARTO",Tabla1[LUGAR DE ATENCION DEL PARTO],"DOMICILIO")</f>
        <v>0</v>
      </c>
      <c r="L98" s="102">
        <f>COUNTIFS(Tabla1[AÑO PARTO],B4,Tabla1[MES PARTO],L6,Tabla1[SALE DEL PROGRAMA POR],"PARTO",Tabla1[LUGAR DE ATENCION DEL PARTO],"DOMICILIO")</f>
        <v>0</v>
      </c>
      <c r="M98" s="102">
        <f>COUNTIFS(Tabla1[AÑO PARTO],B4,Tabla1[MES PARTO],M6,Tabla1[SALE DEL PROGRAMA POR],"PARTO",Tabla1[LUGAR DE ATENCION DEL PARTO],"DOMICILIO")</f>
        <v>0</v>
      </c>
      <c r="N98" s="126">
        <f t="shared" si="30"/>
        <v>0</v>
      </c>
    </row>
    <row r="99" spans="1:14 16384:16384" ht="31.5" customHeight="1" thickBot="1" x14ac:dyDescent="0.3">
      <c r="A99" s="105" t="s">
        <v>424</v>
      </c>
      <c r="B99" s="117" t="str">
        <f>IF(B$91=0,"",SUM(B98/B$91))</f>
        <v/>
      </c>
      <c r="C99" s="118" t="str">
        <f t="shared" ref="C99:N99" si="33">IF(C91=0,"",SUM(C98/C91))</f>
        <v/>
      </c>
      <c r="D99" s="118" t="str">
        <f t="shared" si="33"/>
        <v/>
      </c>
      <c r="E99" s="118" t="str">
        <f t="shared" si="33"/>
        <v/>
      </c>
      <c r="F99" s="118" t="str">
        <f t="shared" si="33"/>
        <v/>
      </c>
      <c r="G99" s="118" t="str">
        <f t="shared" si="33"/>
        <v/>
      </c>
      <c r="H99" s="118" t="str">
        <f t="shared" si="33"/>
        <v/>
      </c>
      <c r="I99" s="118" t="str">
        <f t="shared" si="33"/>
        <v/>
      </c>
      <c r="J99" s="118" t="str">
        <f t="shared" si="33"/>
        <v/>
      </c>
      <c r="K99" s="118" t="str">
        <f t="shared" si="33"/>
        <v/>
      </c>
      <c r="L99" s="118" t="str">
        <f t="shared" si="33"/>
        <v/>
      </c>
      <c r="M99" s="118" t="str">
        <f t="shared" si="33"/>
        <v/>
      </c>
      <c r="N99" s="119" t="str">
        <f t="shared" si="33"/>
        <v/>
      </c>
    </row>
    <row r="100" spans="1:14 16384:16384" ht="39.75" customHeight="1" thickBot="1" x14ac:dyDescent="0.3">
      <c r="A100" s="127" t="s">
        <v>425</v>
      </c>
      <c r="B100" s="102">
        <f>SUM(COUNTIFS(Tabla1[AÑO PARTO],B4,Tabla1[MES PARTO],B6,Tabla1[SALE DEL PROGRAMA POR],"PARTO",Tabla1[ADHERENCIA AL CPN],"SI"),COUNTIFS(Tabla1[AÑO PARTO],B4,Tabla1[MES PARTO],B6,Tabla1[SALE DEL PROGRAMA POR],"CESAREA",Tabla1[ADHERENCIA AL CPN],"SI"))</f>
        <v>0</v>
      </c>
      <c r="C100" s="102">
        <f>SUM(COUNTIFS(Tabla1[AÑO PARTO],B4,Tabla1[MES PARTO],C6,Tabla1[SALE DEL PROGRAMA POR],"PARTO",Tabla1[ADHERENCIA AL CPN],"SI"),COUNTIFS(Tabla1[AÑO PARTO],B4,Tabla1[MES PARTO],C6,Tabla1[SALE DEL PROGRAMA POR],"CESAREA",Tabla1[ADHERENCIA AL CPN],"SI"))</f>
        <v>0</v>
      </c>
      <c r="D100" s="102">
        <f>SUM(COUNTIFS(Tabla1[AÑO PARTO],B4,Tabla1[MES PARTO],D6,Tabla1[SALE DEL PROGRAMA POR],"PARTO",Tabla1[ADHERENCIA AL CPN],"SI"),COUNTIFS(Tabla1[AÑO PARTO],B4,Tabla1[MES PARTO],D6,Tabla1[SALE DEL PROGRAMA POR],"CESAREA",Tabla1[ADHERENCIA AL CPN],"SI"))</f>
        <v>0</v>
      </c>
      <c r="E100" s="102">
        <f>SUM(COUNTIFS(Tabla1[AÑO PARTO],B4,Tabla1[MES PARTO],E6,Tabla1[SALE DEL PROGRAMA POR],"PARTO",Tabla1[ADHERENCIA AL CPN],"SI"),COUNTIFS(Tabla1[AÑO PARTO],B4,Tabla1[MES PARTO],E6,Tabla1[SALE DEL PROGRAMA POR],"CESAREA",Tabla1[ADHERENCIA AL CPN],"SI"))</f>
        <v>0</v>
      </c>
      <c r="F100" s="102">
        <f>SUM(COUNTIFS(Tabla1[AÑO PARTO],B4,Tabla1[MES PARTO],F6,Tabla1[SALE DEL PROGRAMA POR],"PARTO",Tabla1[ADHERENCIA AL CPN],"SI"),COUNTIFS(Tabla1[AÑO PARTO],B4,Tabla1[MES PARTO],F6,Tabla1[SALE DEL PROGRAMA POR],"CESAREA",Tabla1[ADHERENCIA AL CPN],"SI"))</f>
        <v>0</v>
      </c>
      <c r="G100" s="102">
        <f>SUM(COUNTIFS(Tabla1[AÑO PARTO],B4,Tabla1[MES PARTO],G6,Tabla1[SALE DEL PROGRAMA POR],"PARTO",Tabla1[ADHERENCIA AL CPN],"SI"),COUNTIFS(Tabla1[AÑO PARTO],B4,Tabla1[MES PARTO],G6,Tabla1[SALE DEL PROGRAMA POR],"CESAREA",Tabla1[ADHERENCIA AL CPN],"SI"))</f>
        <v>0</v>
      </c>
      <c r="H100" s="102">
        <f>SUM(COUNTIFS(Tabla1[AÑO PARTO],B4,Tabla1[MES PARTO],H6,Tabla1[SALE DEL PROGRAMA POR],"PARTO",Tabla1[ADHERENCIA AL CPN],"SI"),COUNTIFS(Tabla1[AÑO PARTO],B4,Tabla1[MES PARTO],H6,Tabla1[SALE DEL PROGRAMA POR],"CESAREA",Tabla1[ADHERENCIA AL CPN],"SI"))</f>
        <v>0</v>
      </c>
      <c r="I100" s="102">
        <f>SUM(COUNTIFS(Tabla1[AÑO PARTO],B4,Tabla1[MES PARTO],I6,Tabla1[SALE DEL PROGRAMA POR],"PARTO",Tabla1[ADHERENCIA AL CPN],"SI"),COUNTIFS(Tabla1[AÑO PARTO],B4,Tabla1[MES PARTO],I6,Tabla1[SALE DEL PROGRAMA POR],"CESAREA",Tabla1[ADHERENCIA AL CPN],"SI"))</f>
        <v>0</v>
      </c>
      <c r="J100" s="102">
        <f>SUM(COUNTIFS(Tabla1[AÑO PARTO],B4,Tabla1[MES PARTO],J6,Tabla1[SALE DEL PROGRAMA POR],"PARTO",Tabla1[ADHERENCIA AL CPN],"SI"),COUNTIFS(Tabla1[AÑO PARTO],B4,Tabla1[MES PARTO],J6,Tabla1[SALE DEL PROGRAMA POR],"CESAREA",Tabla1[ADHERENCIA AL CPN],"SI"))</f>
        <v>0</v>
      </c>
      <c r="K100" s="102">
        <f>SUM(COUNTIFS(Tabla1[AÑO PARTO],B4,Tabla1[MES PARTO],K6,Tabla1[SALE DEL PROGRAMA POR],"PARTO",Tabla1[ADHERENCIA AL CPN],"SI"),COUNTIFS(Tabla1[AÑO PARTO],B4,Tabla1[MES PARTO],K6,Tabla1[SALE DEL PROGRAMA POR],"CESAREA",Tabla1[ADHERENCIA AL CPN],"SI"))</f>
        <v>0</v>
      </c>
      <c r="L100" s="102">
        <f>SUM(COUNTIFS(Tabla1[AÑO PARTO],B4,Tabla1[MES PARTO],L6,Tabla1[SALE DEL PROGRAMA POR],"PARTO",Tabla1[ADHERENCIA AL CPN],"SI"),COUNTIFS(Tabla1[AÑO PARTO],B4,Tabla1[MES PARTO],L6,Tabla1[SALE DEL PROGRAMA POR],"CESAREA",Tabla1[ADHERENCIA AL CPN],"SI"))</f>
        <v>0</v>
      </c>
      <c r="M100" s="102">
        <f>SUM(COUNTIFS(Tabla1[AÑO PARTO],B4,Tabla1[MES PARTO],M6,Tabla1[SALE DEL PROGRAMA POR],"PARTO",Tabla1[ADHERENCIA AL CPN],"SI"),COUNTIFS(Tabla1[AÑO PARTO],B4,Tabla1[MES PARTO],M6,Tabla1[SALE DEL PROGRAMA POR],"CESAREA",Tabla1[ADHERENCIA AL CPN],"SI"))</f>
        <v>0</v>
      </c>
      <c r="N100" s="126">
        <f t="shared" si="30"/>
        <v>0</v>
      </c>
    </row>
    <row r="101" spans="1:14 16384:16384" ht="31.5" customHeight="1" thickBot="1" x14ac:dyDescent="0.3">
      <c r="A101" s="66" t="s">
        <v>426</v>
      </c>
      <c r="B101" s="117" t="str">
        <f>IF(B$91=0,"",SUM(B100/B$91))</f>
        <v/>
      </c>
      <c r="C101" s="118" t="str">
        <f t="shared" ref="C101:N101" si="34">IF(C$91=0,"",SUM(C100/C$91))</f>
        <v/>
      </c>
      <c r="D101" s="118" t="str">
        <f t="shared" si="34"/>
        <v/>
      </c>
      <c r="E101" s="118" t="str">
        <f t="shared" si="34"/>
        <v/>
      </c>
      <c r="F101" s="118" t="str">
        <f t="shared" si="34"/>
        <v/>
      </c>
      <c r="G101" s="118" t="str">
        <f t="shared" si="34"/>
        <v/>
      </c>
      <c r="H101" s="118" t="str">
        <f t="shared" si="34"/>
        <v/>
      </c>
      <c r="I101" s="118" t="str">
        <f t="shared" si="34"/>
        <v/>
      </c>
      <c r="J101" s="118" t="str">
        <f t="shared" si="34"/>
        <v/>
      </c>
      <c r="K101" s="118" t="str">
        <f t="shared" si="34"/>
        <v/>
      </c>
      <c r="L101" s="118" t="str">
        <f t="shared" si="34"/>
        <v/>
      </c>
      <c r="M101" s="118" t="str">
        <f t="shared" si="34"/>
        <v/>
      </c>
      <c r="N101" s="119" t="str">
        <f t="shared" si="34"/>
        <v/>
      </c>
    </row>
    <row r="102" spans="1:14 16384:16384" ht="31.5" customHeight="1" thickBot="1" x14ac:dyDescent="0.3">
      <c r="A102" s="127" t="s">
        <v>772</v>
      </c>
      <c r="B102" s="102">
        <f>COUNTIFS(Tabla1[AÑO PARTO],B4,Tabla1[MES PARTO],B6,Tabla1[SALE DEL PROGRAMA POR],"PARTO",Tabla1[NIVEL DE COMPLEJIDAD DE LA ATENCION DE LA INSTITUCION DONDE SE ATENDIO EL PARTO],"BAJA")</f>
        <v>0</v>
      </c>
      <c r="C102" s="102">
        <f>COUNTIFS(Tabla1[AÑO PARTO],B4,Tabla1[MES PARTO],C6,Tabla1[SALE DEL PROGRAMA POR],"PARTO",Tabla1[NIVEL DE COMPLEJIDAD DE LA ATENCION DE LA INSTITUCION DONDE SE ATENDIO EL PARTO],"BAJA")</f>
        <v>0</v>
      </c>
      <c r="D102" s="102">
        <f>COUNTIFS(Tabla1[AÑO PARTO],B4,Tabla1[MES PARTO],D6,Tabla1[SALE DEL PROGRAMA POR],"PARTO",Tabla1[NIVEL DE COMPLEJIDAD DE LA ATENCION DE LA INSTITUCION DONDE SE ATENDIO EL PARTO],"BAJA")</f>
        <v>0</v>
      </c>
      <c r="E102" s="102">
        <f>COUNTIFS(Tabla1[AÑO PARTO],B4,Tabla1[MES PARTO],E6,Tabla1[SALE DEL PROGRAMA POR],"PARTO",Tabla1[NIVEL DE COMPLEJIDAD DE LA ATENCION DE LA INSTITUCION DONDE SE ATENDIO EL PARTO],"BAJA")</f>
        <v>0</v>
      </c>
      <c r="F102" s="102">
        <f>COUNTIFS(Tabla1[AÑO PARTO],B4,Tabla1[MES PARTO],F6,Tabla1[SALE DEL PROGRAMA POR],"PARTO",Tabla1[NIVEL DE COMPLEJIDAD DE LA ATENCION DE LA INSTITUCION DONDE SE ATENDIO EL PARTO],"BAJA")</f>
        <v>0</v>
      </c>
      <c r="G102" s="102">
        <f>COUNTIFS(Tabla1[AÑO PARTO],B4,Tabla1[MES PARTO],G6,Tabla1[SALE DEL PROGRAMA POR],"PARTO",Tabla1[NIVEL DE COMPLEJIDAD DE LA ATENCION DE LA INSTITUCION DONDE SE ATENDIO EL PARTO],"BAJA")</f>
        <v>0</v>
      </c>
      <c r="H102" s="102">
        <f>COUNTIFS(Tabla1[AÑO PARTO],B4,Tabla1[MES PARTO],H6,Tabla1[SALE DEL PROGRAMA POR],"PARTO",Tabla1[NIVEL DE COMPLEJIDAD DE LA ATENCION DE LA INSTITUCION DONDE SE ATENDIO EL PARTO],"BAJA")</f>
        <v>0</v>
      </c>
      <c r="I102" s="102">
        <f>COUNTIFS(Tabla1[AÑO PARTO],B4,Tabla1[MES PARTO],I6,Tabla1[SALE DEL PROGRAMA POR],"PARTO",Tabla1[NIVEL DE COMPLEJIDAD DE LA ATENCION DE LA INSTITUCION DONDE SE ATENDIO EL PARTO],"BAJA")</f>
        <v>0</v>
      </c>
      <c r="J102" s="102">
        <f>COUNTIFS(Tabla1[AÑO PARTO],B4,Tabla1[MES PARTO],J6,Tabla1[SALE DEL PROGRAMA POR],"PARTO",Tabla1[NIVEL DE COMPLEJIDAD DE LA ATENCION DE LA INSTITUCION DONDE SE ATENDIO EL PARTO],"BAJA")</f>
        <v>0</v>
      </c>
      <c r="K102" s="102">
        <f>COUNTIFS(Tabla1[AÑO PARTO],B4,Tabla1[MES PARTO],K6,Tabla1[SALE DEL PROGRAMA POR],"PARTO",Tabla1[NIVEL DE COMPLEJIDAD DE LA ATENCION DE LA INSTITUCION DONDE SE ATENDIO EL PARTO],"BAJA")</f>
        <v>0</v>
      </c>
      <c r="L102" s="102">
        <f>COUNTIFS(Tabla1[AÑO PARTO],B4,Tabla1[MES PARTO],L6,Tabla1[SALE DEL PROGRAMA POR],"PARTO",Tabla1[NIVEL DE COMPLEJIDAD DE LA ATENCION DE LA INSTITUCION DONDE SE ATENDIO EL PARTO],"BAJA")</f>
        <v>0</v>
      </c>
      <c r="M102" s="102">
        <f>COUNTIFS(Tabla1[AÑO PARTO],B4,Tabla1[MES PARTO],M6,Tabla1[SALE DEL PROGRAMA POR],"PARTO",Tabla1[NIVEL DE COMPLEJIDAD DE LA ATENCION DE LA INSTITUCION DONDE SE ATENDIO EL PARTO],"BAJA")</f>
        <v>0</v>
      </c>
      <c r="N102" s="126">
        <f t="shared" si="30"/>
        <v>0</v>
      </c>
    </row>
    <row r="103" spans="1:14 16384:16384" ht="42.75" customHeight="1" x14ac:dyDescent="0.25">
      <c r="A103" s="216" t="s">
        <v>773</v>
      </c>
      <c r="B103" s="191" t="str">
        <f>IF(B$91=0,"",SUM(B102/B$91))</f>
        <v/>
      </c>
      <c r="C103" s="192" t="str">
        <f t="shared" ref="C103:N103" si="35">IF(C$91=0,"",SUM(C102/C$91))</f>
        <v/>
      </c>
      <c r="D103" s="192" t="str">
        <f t="shared" si="35"/>
        <v/>
      </c>
      <c r="E103" s="192" t="str">
        <f t="shared" si="35"/>
        <v/>
      </c>
      <c r="F103" s="192" t="str">
        <f t="shared" si="35"/>
        <v/>
      </c>
      <c r="G103" s="192" t="str">
        <f t="shared" si="35"/>
        <v/>
      </c>
      <c r="H103" s="192" t="str">
        <f t="shared" si="35"/>
        <v/>
      </c>
      <c r="I103" s="192" t="str">
        <f t="shared" si="35"/>
        <v/>
      </c>
      <c r="J103" s="192" t="str">
        <f t="shared" si="35"/>
        <v/>
      </c>
      <c r="K103" s="192" t="str">
        <f t="shared" si="35"/>
        <v/>
      </c>
      <c r="L103" s="192" t="str">
        <f t="shared" si="35"/>
        <v/>
      </c>
      <c r="M103" s="192" t="str">
        <f t="shared" si="35"/>
        <v/>
      </c>
      <c r="N103" s="193" t="str">
        <f t="shared" si="35"/>
        <v/>
      </c>
    </row>
    <row r="104" spans="1:14 16384:16384" ht="44.25" customHeight="1" thickBot="1" x14ac:dyDescent="0.3">
      <c r="A104" s="122" t="s">
        <v>845</v>
      </c>
      <c r="B104" s="206">
        <f>COUNTIFS(Tabla1[AÑO PARTO],$B$4,Tabla1[MES PARTO],B6,Tabla1[SALE DEL PROGRAMA POR],"PARTO",Tabla1[INICIO DE LACTANCIA MATERNA DURANTE EL CONTACTO PIEL A PIEL O EN LA PRIMERA HORA DE VIDA],"SI",Tabla1[NIVEL DE COMPLEJIDAD DE LA ATENCION DE LA INSTITUCION DONDE SE ATENDIO EL PARTO],"BAJA")</f>
        <v>0</v>
      </c>
      <c r="C104" s="206">
        <f>COUNTIFS(Tabla1[AÑO PARTO],$B$4,Tabla1[MES PARTO],C6,Tabla1[SALE DEL PROGRAMA POR],"PARTO",Tabla1[INICIO DE LACTANCIA MATERNA DURANTE EL CONTACTO PIEL A PIEL O EN LA PRIMERA HORA DE VIDA],"SI",Tabla1[NIVEL DE COMPLEJIDAD DE LA ATENCION DE LA INSTITUCION DONDE SE ATENDIO EL PARTO],"BAJA")</f>
        <v>0</v>
      </c>
      <c r="D104" s="206">
        <f>COUNTIFS(Tabla1[AÑO PARTO],$B$4,Tabla1[MES PARTO],D6,Tabla1[SALE DEL PROGRAMA POR],"PARTO",Tabla1[INICIO DE LACTANCIA MATERNA DURANTE EL CONTACTO PIEL A PIEL O EN LA PRIMERA HORA DE VIDA],"SI",Tabla1[NIVEL DE COMPLEJIDAD DE LA ATENCION DE LA INSTITUCION DONDE SE ATENDIO EL PARTO],"BAJA")</f>
        <v>0</v>
      </c>
      <c r="E104" s="206">
        <f>COUNTIFS(Tabla1[AÑO PARTO],$B$4,Tabla1[MES PARTO],E6,Tabla1[SALE DEL PROGRAMA POR],"PARTO",Tabla1[INICIO DE LACTANCIA MATERNA DURANTE EL CONTACTO PIEL A PIEL O EN LA PRIMERA HORA DE VIDA],"SI",Tabla1[NIVEL DE COMPLEJIDAD DE LA ATENCION DE LA INSTITUCION DONDE SE ATENDIO EL PARTO],"BAJA")</f>
        <v>0</v>
      </c>
      <c r="F104" s="206">
        <f>COUNTIFS(Tabla1[AÑO PARTO],$B$4,Tabla1[MES PARTO],F6,Tabla1[SALE DEL PROGRAMA POR],"PARTO",Tabla1[INICIO DE LACTANCIA MATERNA DURANTE EL CONTACTO PIEL A PIEL O EN LA PRIMERA HORA DE VIDA],"SI",Tabla1[NIVEL DE COMPLEJIDAD DE LA ATENCION DE LA INSTITUCION DONDE SE ATENDIO EL PARTO],"BAJA")</f>
        <v>0</v>
      </c>
      <c r="G104" s="206">
        <f>COUNTIFS(Tabla1[AÑO PARTO],$B$4,Tabla1[MES PARTO],G6,Tabla1[SALE DEL PROGRAMA POR],"PARTO",Tabla1[INICIO DE LACTANCIA MATERNA DURANTE EL CONTACTO PIEL A PIEL O EN LA PRIMERA HORA DE VIDA],"SI",Tabla1[NIVEL DE COMPLEJIDAD DE LA ATENCION DE LA INSTITUCION DONDE SE ATENDIO EL PARTO],"BAJA")</f>
        <v>0</v>
      </c>
      <c r="H104" s="206">
        <f>COUNTIFS(Tabla1[AÑO PARTO],$B$4,Tabla1[MES PARTO],H6,Tabla1[SALE DEL PROGRAMA POR],"PARTO",Tabla1[INICIO DE LACTANCIA MATERNA DURANTE EL CONTACTO PIEL A PIEL O EN LA PRIMERA HORA DE VIDA],"SI",Tabla1[NIVEL DE COMPLEJIDAD DE LA ATENCION DE LA INSTITUCION DONDE SE ATENDIO EL PARTO],"BAJA")</f>
        <v>0</v>
      </c>
      <c r="I104" s="206">
        <f>COUNTIFS(Tabla1[AÑO PARTO],$B$4,Tabla1[MES PARTO],I6,Tabla1[SALE DEL PROGRAMA POR],"PARTO",Tabla1[INICIO DE LACTANCIA MATERNA DURANTE EL CONTACTO PIEL A PIEL O EN LA PRIMERA HORA DE VIDA],"SI",Tabla1[NIVEL DE COMPLEJIDAD DE LA ATENCION DE LA INSTITUCION DONDE SE ATENDIO EL PARTO],"BAJA")</f>
        <v>0</v>
      </c>
      <c r="J104" s="206">
        <f>COUNTIFS(Tabla1[AÑO PARTO],$B$4,Tabla1[MES PARTO],J6,Tabla1[SALE DEL PROGRAMA POR],"PARTO",Tabla1[INICIO DE LACTANCIA MATERNA DURANTE EL CONTACTO PIEL A PIEL O EN LA PRIMERA HORA DE VIDA],"SI",Tabla1[NIVEL DE COMPLEJIDAD DE LA ATENCION DE LA INSTITUCION DONDE SE ATENDIO EL PARTO],"BAJA")</f>
        <v>0</v>
      </c>
      <c r="K104" s="206">
        <f>COUNTIFS(Tabla1[AÑO PARTO],$B$4,Tabla1[MES PARTO],K6,Tabla1[SALE DEL PROGRAMA POR],"PARTO",Tabla1[INICIO DE LACTANCIA MATERNA DURANTE EL CONTACTO PIEL A PIEL O EN LA PRIMERA HORA DE VIDA],"SI",Tabla1[NIVEL DE COMPLEJIDAD DE LA ATENCION DE LA INSTITUCION DONDE SE ATENDIO EL PARTO],"BAJA")</f>
        <v>0</v>
      </c>
      <c r="L104" s="206">
        <f>COUNTIFS(Tabla1[AÑO PARTO],$B$4,Tabla1[MES PARTO],L6,Tabla1[SALE DEL PROGRAMA POR],"PARTO",Tabla1[INICIO DE LACTANCIA MATERNA DURANTE EL CONTACTO PIEL A PIEL O EN LA PRIMERA HORA DE VIDA],"SI",Tabla1[NIVEL DE COMPLEJIDAD DE LA ATENCION DE LA INSTITUCION DONDE SE ATENDIO EL PARTO],"BAJA")</f>
        <v>0</v>
      </c>
      <c r="M104" s="206">
        <f>COUNTIFS(Tabla1[AÑO PARTO],$B$4,Tabla1[MES PARTO],M6,Tabla1[SALE DEL PROGRAMA POR],"PARTO",Tabla1[INICIO DE LACTANCIA MATERNA DURANTE EL CONTACTO PIEL A PIEL O EN LA PRIMERA HORA DE VIDA],"SI",Tabla1[NIVEL DE COMPLEJIDAD DE LA ATENCION DE LA INSTITUCION DONDE SE ATENDIO EL PARTO],"BAJA")</f>
        <v>0</v>
      </c>
      <c r="N104" s="116">
        <f>SUM(B104:M104)</f>
        <v>0</v>
      </c>
    </row>
    <row r="105" spans="1:14 16384:16384" ht="48.75" customHeight="1" thickBot="1" x14ac:dyDescent="0.3">
      <c r="A105" s="199" t="s">
        <v>848</v>
      </c>
      <c r="B105" s="117" t="str">
        <f>IF(B$102=0,"",SUM(B104/B$102))</f>
        <v/>
      </c>
      <c r="C105" s="118" t="str">
        <f>IF(C$102=0,"",SUM(C104/C$102))</f>
        <v/>
      </c>
      <c r="D105" s="118" t="str">
        <f>IF(D$102=0,"",SUM(D104/D$102))</f>
        <v/>
      </c>
      <c r="E105" s="118" t="str">
        <f>IF(E$102=0,"",SUM(E104/E$102))</f>
        <v/>
      </c>
      <c r="F105" s="118" t="str">
        <f>IF(F$102=0,"",SUM(F104/F$102))</f>
        <v/>
      </c>
      <c r="G105" s="118" t="str">
        <f>IF(G$102=0,"",SUM(G104/G$102))</f>
        <v/>
      </c>
      <c r="H105" s="118" t="str">
        <f>IF(H$102=0,"",SUM(H104/H$102))</f>
        <v/>
      </c>
      <c r="I105" s="118" t="str">
        <f>IF(I$102=0,"",SUM(I104/I$102))</f>
        <v/>
      </c>
      <c r="J105" s="118" t="str">
        <f>IF(J$102=0,"",SUM(J104/J$102))</f>
        <v/>
      </c>
      <c r="K105" s="118" t="str">
        <f>IF(K$102=0,"",SUM(K104/K$102))</f>
        <v/>
      </c>
      <c r="L105" s="118" t="str">
        <f>IF(L$102=0,"",SUM(L104/L$102))</f>
        <v/>
      </c>
      <c r="M105" s="118" t="str">
        <f>IF(M$102=0,"",SUM(M104/M$102))</f>
        <v/>
      </c>
      <c r="N105" s="119" t="str">
        <f>IF(N$102=0,"",SUM(N104/N$102))</f>
        <v/>
      </c>
      <c r="XFD105" s="117" t="str">
        <f>IF(XFD$102=0,"",SUM(XFD104/XFD$102))</f>
        <v/>
      </c>
    </row>
    <row r="106" spans="1:14 16384:16384" ht="42.75" customHeight="1" x14ac:dyDescent="0.25">
      <c r="A106" s="78" t="s">
        <v>846</v>
      </c>
      <c r="B106" s="206">
        <f>SUM(COUNTIFS(Tabla1[AÑO PARTO],$B$4,Tabla1[MES PARTO],B6,Tabla1[NIVEL DE COMPLEJIDAD DE LA ATENCION DE LA INSTITUCION DONDE SE ATENDIO EL PARTO],"MEDIANA",Tabla1[SALE DEL PROGRAMA POR],"PARTO",Tabla1[INICIO DE LACTANCIA MATERNA DURANTE EL CONTACTO PIEL A PIEL O EN LA PRIMERA HORA DE VIDA],"SI"),COUNTIFS(Tabla1[AÑO PARTO],$B$4,Tabla1[MES PARTO],B6,Tabla1[NIVEL DE COMPLEJIDAD DE LA ATENCION DE LA INSTITUCION DONDE SE ATENDIO EL PARTO],"MEDIANA",Tabla1[SALE DEL PROGRAMA POR],"CESAREA",Tabla1[INICIO DE LACTANCIA MATERNA DURANTE EL CONTACTO PIEL A PIEL O EN LA PRIMERA HORA DE VIDA],"SI"),COUNTIFS(Tabla1[AÑO PARTO],$B$4,Tabla1[MES PARTO],B6,Tabla1[NIVEL DE COMPLEJIDAD DE LA ATENCION DE LA INSTITUCION DONDE SE ATENDIO EL PARTO],"ALTA",Tabla1[SALE DEL PROGRAMA POR],"PARTO",Tabla1[INICIO DE LACTANCIA MATERNA DURANTE EL CONTACTO PIEL A PIEL O EN LA PRIMERA HORA DE VIDA],"SI"),COUNTIFS(Tabla1[AÑO PARTO],$B$4,Tabla1[MES PARTO],B6,Tabla1[NIVEL DE COMPLEJIDAD DE LA ATENCION DE LA INSTITUCION DONDE SE ATENDIO EL PARTO],"ALTA",Tabla1[SALE DEL PROGRAMA POR],"CESAREA",Tabla1[INICIO DE LACTANCIA MATERNA DURANTE EL CONTACTO PIEL A PIEL O EN LA PRIMERA HORA DE VIDA],"SI"))</f>
        <v>0</v>
      </c>
      <c r="C106" s="206">
        <f>SUM(COUNTIFS(Tabla1[AÑO PARTO],$B$4,Tabla1[MES PARTO],C6,Tabla1[NIVEL DE COMPLEJIDAD DE LA ATENCION DE LA INSTITUCION DONDE SE ATENDIO EL PARTO],"MEDIANA",Tabla1[SALE DEL PROGRAMA POR],"PARTO",Tabla1[INICIO DE LACTANCIA MATERNA DURANTE EL CONTACTO PIEL A PIEL O EN LA PRIMERA HORA DE VIDA],"SI"),COUNTIFS(Tabla1[AÑO PARTO],$B$4,Tabla1[MES PARTO],C6,Tabla1[NIVEL DE COMPLEJIDAD DE LA ATENCION DE LA INSTITUCION DONDE SE ATENDIO EL PARTO],"MEDIANA",Tabla1[SALE DEL PROGRAMA POR],"CESAREA",Tabla1[INICIO DE LACTANCIA MATERNA DURANTE EL CONTACTO PIEL A PIEL O EN LA PRIMERA HORA DE VIDA],"SI"),COUNTIFS(Tabla1[AÑO PARTO],$B$4,Tabla1[MES PARTO],C6,Tabla1[NIVEL DE COMPLEJIDAD DE LA ATENCION DE LA INSTITUCION DONDE SE ATENDIO EL PARTO],"ALTA",Tabla1[SALE DEL PROGRAMA POR],"PARTO",Tabla1[INICIO DE LACTANCIA MATERNA DURANTE EL CONTACTO PIEL A PIEL O EN LA PRIMERA HORA DE VIDA],"SI"),COUNTIFS(Tabla1[AÑO PARTO],$B$4,Tabla1[MES PARTO],C6,Tabla1[NIVEL DE COMPLEJIDAD DE LA ATENCION DE LA INSTITUCION DONDE SE ATENDIO EL PARTO],"ALTA",Tabla1[SALE DEL PROGRAMA POR],"CESAREA",Tabla1[INICIO DE LACTANCIA MATERNA DURANTE EL CONTACTO PIEL A PIEL O EN LA PRIMERA HORA DE VIDA],"SI"))</f>
        <v>0</v>
      </c>
      <c r="D106" s="206">
        <f>SUM(COUNTIFS(Tabla1[AÑO PARTO],$B$4,Tabla1[MES PARTO],D6,Tabla1[NIVEL DE COMPLEJIDAD DE LA ATENCION DE LA INSTITUCION DONDE SE ATENDIO EL PARTO],"MEDIANA",Tabla1[SALE DEL PROGRAMA POR],"PARTO",Tabla1[INICIO DE LACTANCIA MATERNA DURANTE EL CONTACTO PIEL A PIEL O EN LA PRIMERA HORA DE VIDA],"SI"),COUNTIFS(Tabla1[AÑO PARTO],$B$4,Tabla1[MES PARTO],D6,Tabla1[NIVEL DE COMPLEJIDAD DE LA ATENCION DE LA INSTITUCION DONDE SE ATENDIO EL PARTO],"MEDIANA",Tabla1[SALE DEL PROGRAMA POR],"CESAREA",Tabla1[INICIO DE LACTANCIA MATERNA DURANTE EL CONTACTO PIEL A PIEL O EN LA PRIMERA HORA DE VIDA],"SI"),COUNTIFS(Tabla1[AÑO PARTO],$B$4,Tabla1[MES PARTO],D6,Tabla1[NIVEL DE COMPLEJIDAD DE LA ATENCION DE LA INSTITUCION DONDE SE ATENDIO EL PARTO],"ALTA",Tabla1[SALE DEL PROGRAMA POR],"PARTO",Tabla1[INICIO DE LACTANCIA MATERNA DURANTE EL CONTACTO PIEL A PIEL O EN LA PRIMERA HORA DE VIDA],"SI"),COUNTIFS(Tabla1[AÑO PARTO],$B$4,Tabla1[MES PARTO],D6,Tabla1[NIVEL DE COMPLEJIDAD DE LA ATENCION DE LA INSTITUCION DONDE SE ATENDIO EL PARTO],"ALTA",Tabla1[SALE DEL PROGRAMA POR],"CESAREA",Tabla1[INICIO DE LACTANCIA MATERNA DURANTE EL CONTACTO PIEL A PIEL O EN LA PRIMERA HORA DE VIDA],"SI"))</f>
        <v>0</v>
      </c>
      <c r="E106" s="206">
        <f>SUM(COUNTIFS(Tabla1[AÑO PARTO],$B$4,Tabla1[MES PARTO],E6,Tabla1[NIVEL DE COMPLEJIDAD DE LA ATENCION DE LA INSTITUCION DONDE SE ATENDIO EL PARTO],"MEDIANA",Tabla1[SALE DEL PROGRAMA POR],"PARTO",Tabla1[INICIO DE LACTANCIA MATERNA DURANTE EL CONTACTO PIEL A PIEL O EN LA PRIMERA HORA DE VIDA],"SI"),COUNTIFS(Tabla1[AÑO PARTO],$B$4,Tabla1[MES PARTO],E6,Tabla1[NIVEL DE COMPLEJIDAD DE LA ATENCION DE LA INSTITUCION DONDE SE ATENDIO EL PARTO],"MEDIANA",Tabla1[SALE DEL PROGRAMA POR],"CESAREA",Tabla1[INICIO DE LACTANCIA MATERNA DURANTE EL CONTACTO PIEL A PIEL O EN LA PRIMERA HORA DE VIDA],"SI"),COUNTIFS(Tabla1[AÑO PARTO],$B$4,Tabla1[MES PARTO],E6,Tabla1[NIVEL DE COMPLEJIDAD DE LA ATENCION DE LA INSTITUCION DONDE SE ATENDIO EL PARTO],"ALTA",Tabla1[SALE DEL PROGRAMA POR],"PARTO",Tabla1[INICIO DE LACTANCIA MATERNA DURANTE EL CONTACTO PIEL A PIEL O EN LA PRIMERA HORA DE VIDA],"SI"),COUNTIFS(Tabla1[AÑO PARTO],$B$4,Tabla1[MES PARTO],E6,Tabla1[NIVEL DE COMPLEJIDAD DE LA ATENCION DE LA INSTITUCION DONDE SE ATENDIO EL PARTO],"ALTA",Tabla1[SALE DEL PROGRAMA POR],"CESAREA",Tabla1[INICIO DE LACTANCIA MATERNA DURANTE EL CONTACTO PIEL A PIEL O EN LA PRIMERA HORA DE VIDA],"SI"))</f>
        <v>0</v>
      </c>
      <c r="F106" s="206">
        <f>SUM(COUNTIFS(Tabla1[AÑO PARTO],$B$4,Tabla1[MES PARTO],F6,Tabla1[NIVEL DE COMPLEJIDAD DE LA ATENCION DE LA INSTITUCION DONDE SE ATENDIO EL PARTO],"MEDIANA",Tabla1[SALE DEL PROGRAMA POR],"PARTO",Tabla1[INICIO DE LACTANCIA MATERNA DURANTE EL CONTACTO PIEL A PIEL O EN LA PRIMERA HORA DE VIDA],"SI"),COUNTIFS(Tabla1[AÑO PARTO],$B$4,Tabla1[MES PARTO],F6,Tabla1[NIVEL DE COMPLEJIDAD DE LA ATENCION DE LA INSTITUCION DONDE SE ATENDIO EL PARTO],"MEDIANA",Tabla1[SALE DEL PROGRAMA POR],"CESAREA",Tabla1[INICIO DE LACTANCIA MATERNA DURANTE EL CONTACTO PIEL A PIEL O EN LA PRIMERA HORA DE VIDA],"SI"),COUNTIFS(Tabla1[AÑO PARTO],$B$4,Tabla1[MES PARTO],F6,Tabla1[NIVEL DE COMPLEJIDAD DE LA ATENCION DE LA INSTITUCION DONDE SE ATENDIO EL PARTO],"ALTA",Tabla1[SALE DEL PROGRAMA POR],"PARTO",Tabla1[INICIO DE LACTANCIA MATERNA DURANTE EL CONTACTO PIEL A PIEL O EN LA PRIMERA HORA DE VIDA],"SI"),COUNTIFS(Tabla1[AÑO PARTO],$B$4,Tabla1[MES PARTO],F6,Tabla1[NIVEL DE COMPLEJIDAD DE LA ATENCION DE LA INSTITUCION DONDE SE ATENDIO EL PARTO],"ALTA",Tabla1[SALE DEL PROGRAMA POR],"CESAREA",Tabla1[INICIO DE LACTANCIA MATERNA DURANTE EL CONTACTO PIEL A PIEL O EN LA PRIMERA HORA DE VIDA],"SI"))</f>
        <v>0</v>
      </c>
      <c r="G106" s="206">
        <f>SUM(COUNTIFS(Tabla1[AÑO PARTO],$B$4,Tabla1[MES PARTO],G6,Tabla1[NIVEL DE COMPLEJIDAD DE LA ATENCION DE LA INSTITUCION DONDE SE ATENDIO EL PARTO],"MEDIANA",Tabla1[SALE DEL PROGRAMA POR],"PARTO",Tabla1[INICIO DE LACTANCIA MATERNA DURANTE EL CONTACTO PIEL A PIEL O EN LA PRIMERA HORA DE VIDA],"SI"),COUNTIFS(Tabla1[AÑO PARTO],$B$4,Tabla1[MES PARTO],G6,Tabla1[NIVEL DE COMPLEJIDAD DE LA ATENCION DE LA INSTITUCION DONDE SE ATENDIO EL PARTO],"MEDIANA",Tabla1[SALE DEL PROGRAMA POR],"CESAREA",Tabla1[INICIO DE LACTANCIA MATERNA DURANTE EL CONTACTO PIEL A PIEL O EN LA PRIMERA HORA DE VIDA],"SI"),COUNTIFS(Tabla1[AÑO PARTO],$B$4,Tabla1[MES PARTO],G6,Tabla1[NIVEL DE COMPLEJIDAD DE LA ATENCION DE LA INSTITUCION DONDE SE ATENDIO EL PARTO],"ALTA",Tabla1[SALE DEL PROGRAMA POR],"PARTO",Tabla1[INICIO DE LACTANCIA MATERNA DURANTE EL CONTACTO PIEL A PIEL O EN LA PRIMERA HORA DE VIDA],"SI"),COUNTIFS(Tabla1[AÑO PARTO],$B$4,Tabla1[MES PARTO],G6,Tabla1[NIVEL DE COMPLEJIDAD DE LA ATENCION DE LA INSTITUCION DONDE SE ATENDIO EL PARTO],"ALTA",Tabla1[SALE DEL PROGRAMA POR],"CESAREA",Tabla1[INICIO DE LACTANCIA MATERNA DURANTE EL CONTACTO PIEL A PIEL O EN LA PRIMERA HORA DE VIDA],"SI"))</f>
        <v>0</v>
      </c>
      <c r="H106" s="206">
        <f>SUM(COUNTIFS(Tabla1[AÑO PARTO],$B$4,Tabla1[MES PARTO],H6,Tabla1[NIVEL DE COMPLEJIDAD DE LA ATENCION DE LA INSTITUCION DONDE SE ATENDIO EL PARTO],"MEDIANA",Tabla1[SALE DEL PROGRAMA POR],"PARTO",Tabla1[INICIO DE LACTANCIA MATERNA DURANTE EL CONTACTO PIEL A PIEL O EN LA PRIMERA HORA DE VIDA],"SI"),COUNTIFS(Tabla1[AÑO PARTO],$B$4,Tabla1[MES PARTO],H6,Tabla1[NIVEL DE COMPLEJIDAD DE LA ATENCION DE LA INSTITUCION DONDE SE ATENDIO EL PARTO],"MEDIANA",Tabla1[SALE DEL PROGRAMA POR],"CESAREA",Tabla1[INICIO DE LACTANCIA MATERNA DURANTE EL CONTACTO PIEL A PIEL O EN LA PRIMERA HORA DE VIDA],"SI"),COUNTIFS(Tabla1[AÑO PARTO],$B$4,Tabla1[MES PARTO],H6,Tabla1[NIVEL DE COMPLEJIDAD DE LA ATENCION DE LA INSTITUCION DONDE SE ATENDIO EL PARTO],"ALTA",Tabla1[SALE DEL PROGRAMA POR],"PARTO",Tabla1[INICIO DE LACTANCIA MATERNA DURANTE EL CONTACTO PIEL A PIEL O EN LA PRIMERA HORA DE VIDA],"SI"),COUNTIFS(Tabla1[AÑO PARTO],$B$4,Tabla1[MES PARTO],H6,Tabla1[NIVEL DE COMPLEJIDAD DE LA ATENCION DE LA INSTITUCION DONDE SE ATENDIO EL PARTO],"ALTA",Tabla1[SALE DEL PROGRAMA POR],"CESAREA",Tabla1[INICIO DE LACTANCIA MATERNA DURANTE EL CONTACTO PIEL A PIEL O EN LA PRIMERA HORA DE VIDA],"SI"))</f>
        <v>0</v>
      </c>
      <c r="I106" s="206">
        <f>SUM(COUNTIFS(Tabla1[AÑO PARTO],$B$4,Tabla1[MES PARTO],I6,Tabla1[NIVEL DE COMPLEJIDAD DE LA ATENCION DE LA INSTITUCION DONDE SE ATENDIO EL PARTO],"MEDIANA",Tabla1[SALE DEL PROGRAMA POR],"PARTO",Tabla1[INICIO DE LACTANCIA MATERNA DURANTE EL CONTACTO PIEL A PIEL O EN LA PRIMERA HORA DE VIDA],"SI"),COUNTIFS(Tabla1[AÑO PARTO],$B$4,Tabla1[MES PARTO],I6,Tabla1[NIVEL DE COMPLEJIDAD DE LA ATENCION DE LA INSTITUCION DONDE SE ATENDIO EL PARTO],"MEDIANA",Tabla1[SALE DEL PROGRAMA POR],"CESAREA",Tabla1[INICIO DE LACTANCIA MATERNA DURANTE EL CONTACTO PIEL A PIEL O EN LA PRIMERA HORA DE VIDA],"SI"),COUNTIFS(Tabla1[AÑO PARTO],$B$4,Tabla1[MES PARTO],I6,Tabla1[NIVEL DE COMPLEJIDAD DE LA ATENCION DE LA INSTITUCION DONDE SE ATENDIO EL PARTO],"ALTA",Tabla1[SALE DEL PROGRAMA POR],"PARTO",Tabla1[INICIO DE LACTANCIA MATERNA DURANTE EL CONTACTO PIEL A PIEL O EN LA PRIMERA HORA DE VIDA],"SI"),COUNTIFS(Tabla1[AÑO PARTO],$B$4,Tabla1[MES PARTO],I6,Tabla1[NIVEL DE COMPLEJIDAD DE LA ATENCION DE LA INSTITUCION DONDE SE ATENDIO EL PARTO],"ALTA",Tabla1[SALE DEL PROGRAMA POR],"CESAREA",Tabla1[INICIO DE LACTANCIA MATERNA DURANTE EL CONTACTO PIEL A PIEL O EN LA PRIMERA HORA DE VIDA],"SI"))</f>
        <v>0</v>
      </c>
      <c r="J106" s="206">
        <f>SUM(COUNTIFS(Tabla1[AÑO PARTO],$B$4,Tabla1[MES PARTO],J6,Tabla1[NIVEL DE COMPLEJIDAD DE LA ATENCION DE LA INSTITUCION DONDE SE ATENDIO EL PARTO],"MEDIANA",Tabla1[SALE DEL PROGRAMA POR],"PARTO",Tabla1[INICIO DE LACTANCIA MATERNA DURANTE EL CONTACTO PIEL A PIEL O EN LA PRIMERA HORA DE VIDA],"SI"),COUNTIFS(Tabla1[AÑO PARTO],$B$4,Tabla1[MES PARTO],J6,Tabla1[NIVEL DE COMPLEJIDAD DE LA ATENCION DE LA INSTITUCION DONDE SE ATENDIO EL PARTO],"MEDIANA",Tabla1[SALE DEL PROGRAMA POR],"CESAREA",Tabla1[INICIO DE LACTANCIA MATERNA DURANTE EL CONTACTO PIEL A PIEL O EN LA PRIMERA HORA DE VIDA],"SI"),COUNTIFS(Tabla1[AÑO PARTO],$B$4,Tabla1[MES PARTO],J6,Tabla1[NIVEL DE COMPLEJIDAD DE LA ATENCION DE LA INSTITUCION DONDE SE ATENDIO EL PARTO],"ALTA",Tabla1[SALE DEL PROGRAMA POR],"PARTO",Tabla1[INICIO DE LACTANCIA MATERNA DURANTE EL CONTACTO PIEL A PIEL O EN LA PRIMERA HORA DE VIDA],"SI"),COUNTIFS(Tabla1[AÑO PARTO],$B$4,Tabla1[MES PARTO],J6,Tabla1[NIVEL DE COMPLEJIDAD DE LA ATENCION DE LA INSTITUCION DONDE SE ATENDIO EL PARTO],"ALTA",Tabla1[SALE DEL PROGRAMA POR],"CESAREA",Tabla1[INICIO DE LACTANCIA MATERNA DURANTE EL CONTACTO PIEL A PIEL O EN LA PRIMERA HORA DE VIDA],"SI"))</f>
        <v>0</v>
      </c>
      <c r="K106" s="206">
        <f>SUM(COUNTIFS(Tabla1[AÑO PARTO],$B$4,Tabla1[MES PARTO],K6,Tabla1[NIVEL DE COMPLEJIDAD DE LA ATENCION DE LA INSTITUCION DONDE SE ATENDIO EL PARTO],"MEDIANA",Tabla1[SALE DEL PROGRAMA POR],"PARTO",Tabla1[INICIO DE LACTANCIA MATERNA DURANTE EL CONTACTO PIEL A PIEL O EN LA PRIMERA HORA DE VIDA],"SI"),COUNTIFS(Tabla1[AÑO PARTO],$B$4,Tabla1[MES PARTO],K6,Tabla1[NIVEL DE COMPLEJIDAD DE LA ATENCION DE LA INSTITUCION DONDE SE ATENDIO EL PARTO],"MEDIANA",Tabla1[SALE DEL PROGRAMA POR],"CESAREA",Tabla1[INICIO DE LACTANCIA MATERNA DURANTE EL CONTACTO PIEL A PIEL O EN LA PRIMERA HORA DE VIDA],"SI"),COUNTIFS(Tabla1[AÑO PARTO],$B$4,Tabla1[MES PARTO],K6,Tabla1[NIVEL DE COMPLEJIDAD DE LA ATENCION DE LA INSTITUCION DONDE SE ATENDIO EL PARTO],"ALTA",Tabla1[SALE DEL PROGRAMA POR],"PARTO",Tabla1[INICIO DE LACTANCIA MATERNA DURANTE EL CONTACTO PIEL A PIEL O EN LA PRIMERA HORA DE VIDA],"SI"),COUNTIFS(Tabla1[AÑO PARTO],$B$4,Tabla1[MES PARTO],K6,Tabla1[NIVEL DE COMPLEJIDAD DE LA ATENCION DE LA INSTITUCION DONDE SE ATENDIO EL PARTO],"ALTA",Tabla1[SALE DEL PROGRAMA POR],"CESAREA",Tabla1[INICIO DE LACTANCIA MATERNA DURANTE EL CONTACTO PIEL A PIEL O EN LA PRIMERA HORA DE VIDA],"SI"))</f>
        <v>0</v>
      </c>
      <c r="L106" s="206">
        <f>SUM(COUNTIFS(Tabla1[AÑO PARTO],$B$4,Tabla1[MES PARTO],L6,Tabla1[NIVEL DE COMPLEJIDAD DE LA ATENCION DE LA INSTITUCION DONDE SE ATENDIO EL PARTO],"MEDIANA",Tabla1[SALE DEL PROGRAMA POR],"PARTO",Tabla1[INICIO DE LACTANCIA MATERNA DURANTE EL CONTACTO PIEL A PIEL O EN LA PRIMERA HORA DE VIDA],"SI"),COUNTIFS(Tabla1[AÑO PARTO],$B$4,Tabla1[MES PARTO],L6,Tabla1[NIVEL DE COMPLEJIDAD DE LA ATENCION DE LA INSTITUCION DONDE SE ATENDIO EL PARTO],"MEDIANA",Tabla1[SALE DEL PROGRAMA POR],"CESAREA",Tabla1[INICIO DE LACTANCIA MATERNA DURANTE EL CONTACTO PIEL A PIEL O EN LA PRIMERA HORA DE VIDA],"SI"),COUNTIFS(Tabla1[AÑO PARTO],$B$4,Tabla1[MES PARTO],L6,Tabla1[NIVEL DE COMPLEJIDAD DE LA ATENCION DE LA INSTITUCION DONDE SE ATENDIO EL PARTO],"ALTA",Tabla1[SALE DEL PROGRAMA POR],"PARTO",Tabla1[INICIO DE LACTANCIA MATERNA DURANTE EL CONTACTO PIEL A PIEL O EN LA PRIMERA HORA DE VIDA],"SI"),COUNTIFS(Tabla1[AÑO PARTO],$B$4,Tabla1[MES PARTO],L6,Tabla1[NIVEL DE COMPLEJIDAD DE LA ATENCION DE LA INSTITUCION DONDE SE ATENDIO EL PARTO],"ALTA",Tabla1[SALE DEL PROGRAMA POR],"CESAREA",Tabla1[INICIO DE LACTANCIA MATERNA DURANTE EL CONTACTO PIEL A PIEL O EN LA PRIMERA HORA DE VIDA],"SI"))</f>
        <v>0</v>
      </c>
      <c r="M106" s="206">
        <f>SUM(COUNTIFS(Tabla1[AÑO PARTO],$B$4,Tabla1[MES PARTO],M6,Tabla1[NIVEL DE COMPLEJIDAD DE LA ATENCION DE LA INSTITUCION DONDE SE ATENDIO EL PARTO],"MEDIANA",Tabla1[SALE DEL PROGRAMA POR],"PARTO",Tabla1[INICIO DE LACTANCIA MATERNA DURANTE EL CONTACTO PIEL A PIEL O EN LA PRIMERA HORA DE VIDA],"SI"),COUNTIFS(Tabla1[AÑO PARTO],$B$4,Tabla1[MES PARTO],M6,Tabla1[NIVEL DE COMPLEJIDAD DE LA ATENCION DE LA INSTITUCION DONDE SE ATENDIO EL PARTO],"MEDIANA",Tabla1[SALE DEL PROGRAMA POR],"CESAREA",Tabla1[INICIO DE LACTANCIA MATERNA DURANTE EL CONTACTO PIEL A PIEL O EN LA PRIMERA HORA DE VIDA],"SI"),COUNTIFS(Tabla1[AÑO PARTO],$B$4,Tabla1[MES PARTO],M6,Tabla1[NIVEL DE COMPLEJIDAD DE LA ATENCION DE LA INSTITUCION DONDE SE ATENDIO EL PARTO],"ALTA",Tabla1[SALE DEL PROGRAMA POR],"PARTO",Tabla1[INICIO DE LACTANCIA MATERNA DURANTE EL CONTACTO PIEL A PIEL O EN LA PRIMERA HORA DE VIDA],"SI"),COUNTIFS(Tabla1[AÑO PARTO],$B$4,Tabla1[MES PARTO],M6,Tabla1[NIVEL DE COMPLEJIDAD DE LA ATENCION DE LA INSTITUCION DONDE SE ATENDIO EL PARTO],"ALTA",Tabla1[SALE DEL PROGRAMA POR],"CESAREA",Tabla1[INICIO DE LACTANCIA MATERNA DURANTE EL CONTACTO PIEL A PIEL O EN LA PRIMERA HORA DE VIDA],"SI"))</f>
        <v>0</v>
      </c>
      <c r="N106" s="116">
        <f t="shared" ref="N106:N110" si="36">SUM(B106:M106)</f>
        <v>0</v>
      </c>
    </row>
    <row r="107" spans="1:14 16384:16384" ht="42.75" customHeight="1" thickBot="1" x14ac:dyDescent="0.3">
      <c r="A107" s="232" t="s">
        <v>805</v>
      </c>
      <c r="B107" s="206">
        <f>SUM(COUNTIFS(Tabla1[AÑO PARTO],$B$4,Tabla1[MES PARTO],B6,Tabla1[NIVEL DE COMPLEJIDAD DE LA ATENCION DE LA INSTITUCION DONDE SE ATENDIO EL PARTO],"MEDIANA",Tabla1[SALE DEL PROGRAMA POR],"PARTO"),COUNTIFS(Tabla1[AÑO PARTO],$B$4,Tabla1[MES PARTO],B6,Tabla1[NIVEL DE COMPLEJIDAD DE LA ATENCION DE LA INSTITUCION DONDE SE ATENDIO EL PARTO],"MEDIANA",Tabla1[SALE DEL PROGRAMA POR],"CESAREA"),COUNTIFS(Tabla1[AÑO PARTO],$B$4,Tabla1[MES PARTO],B6,Tabla1[NIVEL DE COMPLEJIDAD DE LA ATENCION DE LA INSTITUCION DONDE SE ATENDIO EL PARTO],"ALTA",Tabla1[SALE DEL PROGRAMA POR],"PARTO"),COUNTIFS(Tabla1[AÑO PARTO],$B$4,Tabla1[MES PARTO],B6,Tabla1[NIVEL DE COMPLEJIDAD DE LA ATENCION DE LA INSTITUCION DONDE SE ATENDIO EL PARTO],"ALTA",Tabla1[SALE DEL PROGRAMA POR],"CESAREA"))</f>
        <v>0</v>
      </c>
      <c r="C107" s="206">
        <f>SUM(COUNTIFS(Tabla1[AÑO PARTO],$B$4,Tabla1[MES PARTO],C6,Tabla1[NIVEL DE COMPLEJIDAD DE LA ATENCION DE LA INSTITUCION DONDE SE ATENDIO EL PARTO],"MEDIANA",Tabla1[SALE DEL PROGRAMA POR],"PARTO"),COUNTIFS(Tabla1[AÑO PARTO],$B$4,Tabla1[MES PARTO],C6,Tabla1[NIVEL DE COMPLEJIDAD DE LA ATENCION DE LA INSTITUCION DONDE SE ATENDIO EL PARTO],"MEDIANA",Tabla1[SALE DEL PROGRAMA POR],"CESAREA"),COUNTIFS(Tabla1[AÑO PARTO],$B$4,Tabla1[MES PARTO],C6,Tabla1[NIVEL DE COMPLEJIDAD DE LA ATENCION DE LA INSTITUCION DONDE SE ATENDIO EL PARTO],"ALTA",Tabla1[SALE DEL PROGRAMA POR],"PARTO"),COUNTIFS(Tabla1[AÑO PARTO],$B$4,Tabla1[MES PARTO],C6,Tabla1[NIVEL DE COMPLEJIDAD DE LA ATENCION DE LA INSTITUCION DONDE SE ATENDIO EL PARTO],"ALTA",Tabla1[SALE DEL PROGRAMA POR],"CESAREA"))</f>
        <v>0</v>
      </c>
      <c r="D107" s="206">
        <f>SUM(COUNTIFS(Tabla1[AÑO PARTO],$B$4,Tabla1[MES PARTO],D6,Tabla1[NIVEL DE COMPLEJIDAD DE LA ATENCION DE LA INSTITUCION DONDE SE ATENDIO EL PARTO],"MEDIANA",Tabla1[SALE DEL PROGRAMA POR],"PARTO"),COUNTIFS(Tabla1[AÑO PARTO],$B$4,Tabla1[MES PARTO],D6,Tabla1[NIVEL DE COMPLEJIDAD DE LA ATENCION DE LA INSTITUCION DONDE SE ATENDIO EL PARTO],"MEDIANA",Tabla1[SALE DEL PROGRAMA POR],"CESAREA"),COUNTIFS(Tabla1[AÑO PARTO],$B$4,Tabla1[MES PARTO],D6,Tabla1[NIVEL DE COMPLEJIDAD DE LA ATENCION DE LA INSTITUCION DONDE SE ATENDIO EL PARTO],"ALTA",Tabla1[SALE DEL PROGRAMA POR],"PARTO"),COUNTIFS(Tabla1[AÑO PARTO],$B$4,Tabla1[MES PARTO],D6,Tabla1[NIVEL DE COMPLEJIDAD DE LA ATENCION DE LA INSTITUCION DONDE SE ATENDIO EL PARTO],"ALTA",Tabla1[SALE DEL PROGRAMA POR],"CESAREA"))</f>
        <v>0</v>
      </c>
      <c r="E107" s="206">
        <f>SUM(COUNTIFS(Tabla1[AÑO PARTO],$B$4,Tabla1[MES PARTO],E6,Tabla1[NIVEL DE COMPLEJIDAD DE LA ATENCION DE LA INSTITUCION DONDE SE ATENDIO EL PARTO],"MEDIANA",Tabla1[SALE DEL PROGRAMA POR],"PARTO"),COUNTIFS(Tabla1[AÑO PARTO],$B$4,Tabla1[MES PARTO],E6,Tabla1[NIVEL DE COMPLEJIDAD DE LA ATENCION DE LA INSTITUCION DONDE SE ATENDIO EL PARTO],"MEDIANA",Tabla1[SALE DEL PROGRAMA POR],"CESAREA"),COUNTIFS(Tabla1[AÑO PARTO],$B$4,Tabla1[MES PARTO],E6,Tabla1[NIVEL DE COMPLEJIDAD DE LA ATENCION DE LA INSTITUCION DONDE SE ATENDIO EL PARTO],"ALTA",Tabla1[SALE DEL PROGRAMA POR],"PARTO"),COUNTIFS(Tabla1[AÑO PARTO],$B$4,Tabla1[MES PARTO],E6,Tabla1[NIVEL DE COMPLEJIDAD DE LA ATENCION DE LA INSTITUCION DONDE SE ATENDIO EL PARTO],"ALTA",Tabla1[SALE DEL PROGRAMA POR],"CESAREA"))</f>
        <v>0</v>
      </c>
      <c r="F107" s="206">
        <f>SUM(COUNTIFS(Tabla1[AÑO PARTO],$B$4,Tabla1[MES PARTO],F6,Tabla1[NIVEL DE COMPLEJIDAD DE LA ATENCION DE LA INSTITUCION DONDE SE ATENDIO EL PARTO],"MEDIANA",Tabla1[SALE DEL PROGRAMA POR],"PARTO"),COUNTIFS(Tabla1[AÑO PARTO],$B$4,Tabla1[MES PARTO],F6,Tabla1[NIVEL DE COMPLEJIDAD DE LA ATENCION DE LA INSTITUCION DONDE SE ATENDIO EL PARTO],"MEDIANA",Tabla1[SALE DEL PROGRAMA POR],"CESAREA"),COUNTIFS(Tabla1[AÑO PARTO],$B$4,Tabla1[MES PARTO],F6,Tabla1[NIVEL DE COMPLEJIDAD DE LA ATENCION DE LA INSTITUCION DONDE SE ATENDIO EL PARTO],"ALTA",Tabla1[SALE DEL PROGRAMA POR],"PARTO"),COUNTIFS(Tabla1[AÑO PARTO],$B$4,Tabla1[MES PARTO],F6,Tabla1[NIVEL DE COMPLEJIDAD DE LA ATENCION DE LA INSTITUCION DONDE SE ATENDIO EL PARTO],"ALTA",Tabla1[SALE DEL PROGRAMA POR],"CESAREA"))</f>
        <v>0</v>
      </c>
      <c r="G107" s="206">
        <f>SUM(COUNTIFS(Tabla1[AÑO PARTO],$B$4,Tabla1[MES PARTO],G6,Tabla1[NIVEL DE COMPLEJIDAD DE LA ATENCION DE LA INSTITUCION DONDE SE ATENDIO EL PARTO],"MEDIANA",Tabla1[SALE DEL PROGRAMA POR],"PARTO"),COUNTIFS(Tabla1[AÑO PARTO],$B$4,Tabla1[MES PARTO],G6,Tabla1[NIVEL DE COMPLEJIDAD DE LA ATENCION DE LA INSTITUCION DONDE SE ATENDIO EL PARTO],"MEDIANA",Tabla1[SALE DEL PROGRAMA POR],"CESAREA"),COUNTIFS(Tabla1[AÑO PARTO],$B$4,Tabla1[MES PARTO],G6,Tabla1[NIVEL DE COMPLEJIDAD DE LA ATENCION DE LA INSTITUCION DONDE SE ATENDIO EL PARTO],"ALTA",Tabla1[SALE DEL PROGRAMA POR],"PARTO"),COUNTIFS(Tabla1[AÑO PARTO],$B$4,Tabla1[MES PARTO],G6,Tabla1[NIVEL DE COMPLEJIDAD DE LA ATENCION DE LA INSTITUCION DONDE SE ATENDIO EL PARTO],"ALTA",Tabla1[SALE DEL PROGRAMA POR],"CESAREA"))</f>
        <v>0</v>
      </c>
      <c r="H107" s="206">
        <f>SUM(COUNTIFS(Tabla1[AÑO PARTO],$B$4,Tabla1[MES PARTO],H6,Tabla1[NIVEL DE COMPLEJIDAD DE LA ATENCION DE LA INSTITUCION DONDE SE ATENDIO EL PARTO],"MEDIANA",Tabla1[SALE DEL PROGRAMA POR],"PARTO"),COUNTIFS(Tabla1[AÑO PARTO],$B$4,Tabla1[MES PARTO],H6,Tabla1[NIVEL DE COMPLEJIDAD DE LA ATENCION DE LA INSTITUCION DONDE SE ATENDIO EL PARTO],"MEDIANA",Tabla1[SALE DEL PROGRAMA POR],"CESAREA"),COUNTIFS(Tabla1[AÑO PARTO],$B$4,Tabla1[MES PARTO],H6,Tabla1[NIVEL DE COMPLEJIDAD DE LA ATENCION DE LA INSTITUCION DONDE SE ATENDIO EL PARTO],"ALTA",Tabla1[SALE DEL PROGRAMA POR],"PARTO"),COUNTIFS(Tabla1[AÑO PARTO],$B$4,Tabla1[MES PARTO],H6,Tabla1[NIVEL DE COMPLEJIDAD DE LA ATENCION DE LA INSTITUCION DONDE SE ATENDIO EL PARTO],"ALTA",Tabla1[SALE DEL PROGRAMA POR],"CESAREA"))</f>
        <v>0</v>
      </c>
      <c r="I107" s="206">
        <f>SUM(COUNTIFS(Tabla1[AÑO PARTO],$B$4,Tabla1[MES PARTO],I6,Tabla1[NIVEL DE COMPLEJIDAD DE LA ATENCION DE LA INSTITUCION DONDE SE ATENDIO EL PARTO],"MEDIANA",Tabla1[SALE DEL PROGRAMA POR],"PARTO"),COUNTIFS(Tabla1[AÑO PARTO],$B$4,Tabla1[MES PARTO],I6,Tabla1[NIVEL DE COMPLEJIDAD DE LA ATENCION DE LA INSTITUCION DONDE SE ATENDIO EL PARTO],"MEDIANA",Tabla1[SALE DEL PROGRAMA POR],"CESAREA"),COUNTIFS(Tabla1[AÑO PARTO],$B$4,Tabla1[MES PARTO],I6,Tabla1[NIVEL DE COMPLEJIDAD DE LA ATENCION DE LA INSTITUCION DONDE SE ATENDIO EL PARTO],"ALTA",Tabla1[SALE DEL PROGRAMA POR],"PARTO"),COUNTIFS(Tabla1[AÑO PARTO],$B$4,Tabla1[MES PARTO],I6,Tabla1[NIVEL DE COMPLEJIDAD DE LA ATENCION DE LA INSTITUCION DONDE SE ATENDIO EL PARTO],"ALTA",Tabla1[SALE DEL PROGRAMA POR],"CESAREA"))</f>
        <v>0</v>
      </c>
      <c r="J107" s="206">
        <f>SUM(COUNTIFS(Tabla1[AÑO PARTO],$B$4,Tabla1[MES PARTO],J6,Tabla1[NIVEL DE COMPLEJIDAD DE LA ATENCION DE LA INSTITUCION DONDE SE ATENDIO EL PARTO],"MEDIANA",Tabla1[SALE DEL PROGRAMA POR],"PARTO"),COUNTIFS(Tabla1[AÑO PARTO],$B$4,Tabla1[MES PARTO],J6,Tabla1[NIVEL DE COMPLEJIDAD DE LA ATENCION DE LA INSTITUCION DONDE SE ATENDIO EL PARTO],"MEDIANA",Tabla1[SALE DEL PROGRAMA POR],"CESAREA"),COUNTIFS(Tabla1[AÑO PARTO],$B$4,Tabla1[MES PARTO],J6,Tabla1[NIVEL DE COMPLEJIDAD DE LA ATENCION DE LA INSTITUCION DONDE SE ATENDIO EL PARTO],"ALTA",Tabla1[SALE DEL PROGRAMA POR],"PARTO"),COUNTIFS(Tabla1[AÑO PARTO],$B$4,Tabla1[MES PARTO],J6,Tabla1[NIVEL DE COMPLEJIDAD DE LA ATENCION DE LA INSTITUCION DONDE SE ATENDIO EL PARTO],"ALTA",Tabla1[SALE DEL PROGRAMA POR],"CESAREA"))</f>
        <v>0</v>
      </c>
      <c r="K107" s="206">
        <f>SUM(COUNTIFS(Tabla1[AÑO PARTO],$B$4,Tabla1[MES PARTO],K6,Tabla1[NIVEL DE COMPLEJIDAD DE LA ATENCION DE LA INSTITUCION DONDE SE ATENDIO EL PARTO],"MEDIANA",Tabla1[SALE DEL PROGRAMA POR],"PARTO"),COUNTIFS(Tabla1[AÑO PARTO],$B$4,Tabla1[MES PARTO],K6,Tabla1[NIVEL DE COMPLEJIDAD DE LA ATENCION DE LA INSTITUCION DONDE SE ATENDIO EL PARTO],"MEDIANA",Tabla1[SALE DEL PROGRAMA POR],"CESAREA"),COUNTIFS(Tabla1[AÑO PARTO],$B$4,Tabla1[MES PARTO],K6,Tabla1[NIVEL DE COMPLEJIDAD DE LA ATENCION DE LA INSTITUCION DONDE SE ATENDIO EL PARTO],"ALTA",Tabla1[SALE DEL PROGRAMA POR],"PARTO"),COUNTIFS(Tabla1[AÑO PARTO],$B$4,Tabla1[MES PARTO],K6,Tabla1[NIVEL DE COMPLEJIDAD DE LA ATENCION DE LA INSTITUCION DONDE SE ATENDIO EL PARTO],"ALTA",Tabla1[SALE DEL PROGRAMA POR],"CESAREA"))</f>
        <v>0</v>
      </c>
      <c r="L107" s="206">
        <f>SUM(COUNTIFS(Tabla1[AÑO PARTO],$B$4,Tabla1[MES PARTO],L6,Tabla1[NIVEL DE COMPLEJIDAD DE LA ATENCION DE LA INSTITUCION DONDE SE ATENDIO EL PARTO],"MEDIANA",Tabla1[SALE DEL PROGRAMA POR],"PARTO"),COUNTIFS(Tabla1[AÑO PARTO],$B$4,Tabla1[MES PARTO],L6,Tabla1[NIVEL DE COMPLEJIDAD DE LA ATENCION DE LA INSTITUCION DONDE SE ATENDIO EL PARTO],"MEDIANA",Tabla1[SALE DEL PROGRAMA POR],"CESAREA"),COUNTIFS(Tabla1[AÑO PARTO],$B$4,Tabla1[MES PARTO],L6,Tabla1[NIVEL DE COMPLEJIDAD DE LA ATENCION DE LA INSTITUCION DONDE SE ATENDIO EL PARTO],"ALTA",Tabla1[SALE DEL PROGRAMA POR],"PARTO"),COUNTIFS(Tabla1[AÑO PARTO],$B$4,Tabla1[MES PARTO],L6,Tabla1[NIVEL DE COMPLEJIDAD DE LA ATENCION DE LA INSTITUCION DONDE SE ATENDIO EL PARTO],"ALTA",Tabla1[SALE DEL PROGRAMA POR],"CESAREA"))</f>
        <v>0</v>
      </c>
      <c r="M107" s="206">
        <f>SUM(COUNTIFS(Tabla1[AÑO PARTO],$B$4,Tabla1[MES PARTO],M6,Tabla1[NIVEL DE COMPLEJIDAD DE LA ATENCION DE LA INSTITUCION DONDE SE ATENDIO EL PARTO],"MEDIANA",Tabla1[SALE DEL PROGRAMA POR],"PARTO"),COUNTIFS(Tabla1[AÑO PARTO],$B$4,Tabla1[MES PARTO],M6,Tabla1[NIVEL DE COMPLEJIDAD DE LA ATENCION DE LA INSTITUCION DONDE SE ATENDIO EL PARTO],"MEDIANA",Tabla1[SALE DEL PROGRAMA POR],"CESAREA"),COUNTIFS(Tabla1[AÑO PARTO],$B$4,Tabla1[MES PARTO],M6,Tabla1[NIVEL DE COMPLEJIDAD DE LA ATENCION DE LA INSTITUCION DONDE SE ATENDIO EL PARTO],"ALTA",Tabla1[SALE DEL PROGRAMA POR],"PARTO"),COUNTIFS(Tabla1[AÑO PARTO],$B$4,Tabla1[MES PARTO],M6,Tabla1[NIVEL DE COMPLEJIDAD DE LA ATENCION DE LA INSTITUCION DONDE SE ATENDIO EL PARTO],"ALTA",Tabla1[SALE DEL PROGRAMA POR],"CESAREA"))</f>
        <v>0</v>
      </c>
      <c r="N107" s="116">
        <f t="shared" si="36"/>
        <v>0</v>
      </c>
    </row>
    <row r="108" spans="1:14 16384:16384" ht="54" customHeight="1" thickBot="1" x14ac:dyDescent="0.3">
      <c r="A108" s="222" t="s">
        <v>847</v>
      </c>
      <c r="B108" s="117" t="str">
        <f>IF(B107=0,"",SUM(B106/B107))</f>
        <v/>
      </c>
      <c r="C108" s="118" t="str">
        <f>IF(C$107=0,"",SUM(C106/C$107))</f>
        <v/>
      </c>
      <c r="D108" s="118" t="str">
        <f>IF(D$107=0,"",SUM(D106/D$107))</f>
        <v/>
      </c>
      <c r="E108" s="118" t="str">
        <f>IF(E$107=0,"",SUM(E106/E$107))</f>
        <v/>
      </c>
      <c r="F108" s="118" t="str">
        <f>IF(F$107=0,"",SUM(F106/F$107))</f>
        <v/>
      </c>
      <c r="G108" s="118" t="str">
        <f>IF(G$107=0,"",SUM(G106/G$107))</f>
        <v/>
      </c>
      <c r="H108" s="118" t="str">
        <f>IF(H$107=0,"",SUM(H106/H$107))</f>
        <v/>
      </c>
      <c r="I108" s="118" t="str">
        <f>IF(I$107=0,"",SUM(I106/I$107))</f>
        <v/>
      </c>
      <c r="J108" s="118" t="str">
        <f>IF(J$107=0,"",SUM(J106/J$107))</f>
        <v/>
      </c>
      <c r="K108" s="118" t="str">
        <f>IF(K$107=0,"",SUM(K106/K$107))</f>
        <v/>
      </c>
      <c r="L108" s="118" t="str">
        <f>IF(L$107=0,"",SUM(L106/L$107))</f>
        <v/>
      </c>
      <c r="M108" s="118" t="str">
        <f>IF(M$107=0,"",SUM(M106/M$107))</f>
        <v/>
      </c>
      <c r="N108" s="119" t="str">
        <f>IF(N$107=0,"",SUM(N106/N$107))</f>
        <v/>
      </c>
      <c r="XFD108" s="117"/>
    </row>
    <row r="109" spans="1:14 16384:16384" ht="30" customHeight="1" x14ac:dyDescent="0.25">
      <c r="A109" s="78" t="s">
        <v>793</v>
      </c>
      <c r="B109" s="206">
        <f>COUNTIFS(Tabla1[AÑO PARTO],$B$4,Tabla1[MES PARTO],B6,Tabla1[SALE DEL PROGRAMA POR],"PARTO",Tabla1[DILIGENCIAMIENTO DE PARTOGRAMA (NO APLICA EN EXPULSIVO)],"SI",Tabla1[NIVEL DE COMPLEJIDAD DE LA ATENCION DE LA INSTITUCION DONDE SE ATENDIO EL PARTO],"BAJA")</f>
        <v>0</v>
      </c>
      <c r="C109" s="206">
        <f>COUNTIFS(Tabla1[AÑO PARTO],$B$4,Tabla1[MES PARTO],C6,Tabla1[SALE DEL PROGRAMA POR],"PARTO",Tabla1[DILIGENCIAMIENTO DE PARTOGRAMA (NO APLICA EN EXPULSIVO)],"SI",Tabla1[NIVEL DE COMPLEJIDAD DE LA ATENCION DE LA INSTITUCION DONDE SE ATENDIO EL PARTO],"BAJA")</f>
        <v>0</v>
      </c>
      <c r="D109" s="206">
        <f>COUNTIFS(Tabla1[AÑO PARTO],$B$4,Tabla1[MES PARTO],D6,Tabla1[SALE DEL PROGRAMA POR],"PARTO",Tabla1[DILIGENCIAMIENTO DE PARTOGRAMA (NO APLICA EN EXPULSIVO)],"SI",Tabla1[NIVEL DE COMPLEJIDAD DE LA ATENCION DE LA INSTITUCION DONDE SE ATENDIO EL PARTO],"BAJA")</f>
        <v>0</v>
      </c>
      <c r="E109" s="206">
        <f>COUNTIFS(Tabla1[AÑO PARTO],$B$4,Tabla1[MES PARTO],E6,Tabla1[SALE DEL PROGRAMA POR],"PARTO",Tabla1[DILIGENCIAMIENTO DE PARTOGRAMA (NO APLICA EN EXPULSIVO)],"SI",Tabla1[NIVEL DE COMPLEJIDAD DE LA ATENCION DE LA INSTITUCION DONDE SE ATENDIO EL PARTO],"BAJA")</f>
        <v>0</v>
      </c>
      <c r="F109" s="206">
        <f>COUNTIFS(Tabla1[AÑO PARTO],$B$4,Tabla1[MES PARTO],F6,Tabla1[SALE DEL PROGRAMA POR],"PARTO",Tabla1[DILIGENCIAMIENTO DE PARTOGRAMA (NO APLICA EN EXPULSIVO)],"SI",Tabla1[NIVEL DE COMPLEJIDAD DE LA ATENCION DE LA INSTITUCION DONDE SE ATENDIO EL PARTO],"BAJA")</f>
        <v>0</v>
      </c>
      <c r="G109" s="206">
        <f>COUNTIFS(Tabla1[AÑO PARTO],$B$4,Tabla1[MES PARTO],G6,Tabla1[SALE DEL PROGRAMA POR],"PARTO",Tabla1[DILIGENCIAMIENTO DE PARTOGRAMA (NO APLICA EN EXPULSIVO)],"SI",Tabla1[NIVEL DE COMPLEJIDAD DE LA ATENCION DE LA INSTITUCION DONDE SE ATENDIO EL PARTO],"BAJA")</f>
        <v>0</v>
      </c>
      <c r="H109" s="206">
        <f>COUNTIFS(Tabla1[AÑO PARTO],$B$4,Tabla1[MES PARTO],H6,Tabla1[SALE DEL PROGRAMA POR],"PARTO",Tabla1[DILIGENCIAMIENTO DE PARTOGRAMA (NO APLICA EN EXPULSIVO)],"SI",Tabla1[NIVEL DE COMPLEJIDAD DE LA ATENCION DE LA INSTITUCION DONDE SE ATENDIO EL PARTO],"BAJA")</f>
        <v>0</v>
      </c>
      <c r="I109" s="206">
        <f>COUNTIFS(Tabla1[AÑO PARTO],$B$4,Tabla1[MES PARTO],I6,Tabla1[SALE DEL PROGRAMA POR],"PARTO",Tabla1[DILIGENCIAMIENTO DE PARTOGRAMA (NO APLICA EN EXPULSIVO)],"SI",Tabla1[NIVEL DE COMPLEJIDAD DE LA ATENCION DE LA INSTITUCION DONDE SE ATENDIO EL PARTO],"BAJA")</f>
        <v>0</v>
      </c>
      <c r="J109" s="206">
        <f>COUNTIFS(Tabla1[AÑO PARTO],$B$4,Tabla1[MES PARTO],J6,Tabla1[SALE DEL PROGRAMA POR],"PARTO",Tabla1[DILIGENCIAMIENTO DE PARTOGRAMA (NO APLICA EN EXPULSIVO)],"SI",Tabla1[NIVEL DE COMPLEJIDAD DE LA ATENCION DE LA INSTITUCION DONDE SE ATENDIO EL PARTO],"BAJA")</f>
        <v>0</v>
      </c>
      <c r="K109" s="206">
        <f>COUNTIFS(Tabla1[AÑO PARTO],$B$4,Tabla1[MES PARTO],K6,Tabla1[SALE DEL PROGRAMA POR],"PARTO",Tabla1[DILIGENCIAMIENTO DE PARTOGRAMA (NO APLICA EN EXPULSIVO)],"SI",Tabla1[NIVEL DE COMPLEJIDAD DE LA ATENCION DE LA INSTITUCION DONDE SE ATENDIO EL PARTO],"BAJA")</f>
        <v>0</v>
      </c>
      <c r="L109" s="206">
        <f>COUNTIFS(Tabla1[AÑO PARTO],$B$4,Tabla1[MES PARTO],L6,Tabla1[SALE DEL PROGRAMA POR],"PARTO",Tabla1[DILIGENCIAMIENTO DE PARTOGRAMA (NO APLICA EN EXPULSIVO)],"SI",Tabla1[NIVEL DE COMPLEJIDAD DE LA ATENCION DE LA INSTITUCION DONDE SE ATENDIO EL PARTO],"BAJA")</f>
        <v>0</v>
      </c>
      <c r="M109" s="206">
        <f>COUNTIFS(Tabla1[AÑO PARTO],$B$4,Tabla1[MES PARTO],M6,Tabla1[SALE DEL PROGRAMA POR],"PARTO",Tabla1[DILIGENCIAMIENTO DE PARTOGRAMA (NO APLICA EN EXPULSIVO)],"SI",Tabla1[NIVEL DE COMPLEJIDAD DE LA ATENCION DE LA INSTITUCION DONDE SE ATENDIO EL PARTO],"BAJA")</f>
        <v>0</v>
      </c>
      <c r="N109" s="116">
        <f t="shared" si="36"/>
        <v>0</v>
      </c>
    </row>
    <row r="110" spans="1:14 16384:16384" ht="48" customHeight="1" thickBot="1" x14ac:dyDescent="0.3">
      <c r="A110" s="232" t="s">
        <v>794</v>
      </c>
      <c r="B110" s="206">
        <f>SUM(COUNTIFS(Tabla1[AÑO PARTO],$B$4,Tabla1[MES PARTO],B6,Tabla1[SALE DEL PROGRAMA POR],"PARTO",Tabla1[NIVEL DE COMPLEJIDAD DE LA ATENCION DE LA INSTITUCION DONDE SE ATENDIO EL PARTO],"BAJA")-COUNTIFS(Tabla1[AÑO PARTO],$B$4,Tabla1[MES PARTO],B6,Tabla1[SALE DEL PROGRAMA POR],"PARTO",Tabla1[DILIGENCIAMIENTO DE PARTOGRAMA (NO APLICA EN EXPULSIVO)],"NO APLICA",Tabla1[NIVEL DE COMPLEJIDAD DE LA ATENCION DE LA INSTITUCION DONDE SE ATENDIO EL PARTO],"BAJA"))</f>
        <v>0</v>
      </c>
      <c r="C110" s="206">
        <f>SUM(COUNTIFS(Tabla1[AÑO PARTO],$B$4,Tabla1[MES PARTO],C6,Tabla1[SALE DEL PROGRAMA POR],"PARTO",Tabla1[NIVEL DE COMPLEJIDAD DE LA ATENCION DE LA INSTITUCION DONDE SE ATENDIO EL PARTO],"BAJA")-COUNTIFS(Tabla1[AÑO PARTO],$B$4,Tabla1[MES PARTO],C6,Tabla1[SALE DEL PROGRAMA POR],"PARTO",Tabla1[DILIGENCIAMIENTO DE PARTOGRAMA (NO APLICA EN EXPULSIVO)],"NO APLICA",Tabla1[NIVEL DE COMPLEJIDAD DE LA ATENCION DE LA INSTITUCION DONDE SE ATENDIO EL PARTO],"BAJA"))</f>
        <v>0</v>
      </c>
      <c r="D110" s="206">
        <f>SUM(COUNTIFS(Tabla1[AÑO PARTO],$B$4,Tabla1[MES PARTO],D6,Tabla1[SALE DEL PROGRAMA POR],"PARTO",Tabla1[NIVEL DE COMPLEJIDAD DE LA ATENCION DE LA INSTITUCION DONDE SE ATENDIO EL PARTO],"BAJA")-COUNTIFS(Tabla1[AÑO PARTO],$B$4,Tabla1[MES PARTO],D6,Tabla1[SALE DEL PROGRAMA POR],"PARTO",Tabla1[DILIGENCIAMIENTO DE PARTOGRAMA (NO APLICA EN EXPULSIVO)],"NO APLICA",Tabla1[NIVEL DE COMPLEJIDAD DE LA ATENCION DE LA INSTITUCION DONDE SE ATENDIO EL PARTO],"BAJA"))</f>
        <v>0</v>
      </c>
      <c r="E110" s="206">
        <f>SUM(COUNTIFS(Tabla1[AÑO PARTO],$B$4,Tabla1[MES PARTO],E6,Tabla1[SALE DEL PROGRAMA POR],"PARTO",Tabla1[NIVEL DE COMPLEJIDAD DE LA ATENCION DE LA INSTITUCION DONDE SE ATENDIO EL PARTO],"BAJA")-COUNTIFS(Tabla1[AÑO PARTO],$B$4,Tabla1[MES PARTO],E6,Tabla1[SALE DEL PROGRAMA POR],"PARTO",Tabla1[DILIGENCIAMIENTO DE PARTOGRAMA (NO APLICA EN EXPULSIVO)],"NO APLICA",Tabla1[NIVEL DE COMPLEJIDAD DE LA ATENCION DE LA INSTITUCION DONDE SE ATENDIO EL PARTO],"BAJA"))</f>
        <v>0</v>
      </c>
      <c r="F110" s="206">
        <f>SUM(COUNTIFS(Tabla1[AÑO PARTO],$B$4,Tabla1[MES PARTO],F6,Tabla1[SALE DEL PROGRAMA POR],"PARTO",Tabla1[NIVEL DE COMPLEJIDAD DE LA ATENCION DE LA INSTITUCION DONDE SE ATENDIO EL PARTO],"BAJA")-COUNTIFS(Tabla1[AÑO PARTO],$B$4,Tabla1[MES PARTO],F6,Tabla1[SALE DEL PROGRAMA POR],"PARTO",Tabla1[DILIGENCIAMIENTO DE PARTOGRAMA (NO APLICA EN EXPULSIVO)],"NO APLICA",Tabla1[NIVEL DE COMPLEJIDAD DE LA ATENCION DE LA INSTITUCION DONDE SE ATENDIO EL PARTO],"BAJA"))</f>
        <v>0</v>
      </c>
      <c r="G110" s="206">
        <f>SUM(COUNTIFS(Tabla1[AÑO PARTO],$B$4,Tabla1[MES PARTO],G6,Tabla1[SALE DEL PROGRAMA POR],"PARTO",Tabla1[NIVEL DE COMPLEJIDAD DE LA ATENCION DE LA INSTITUCION DONDE SE ATENDIO EL PARTO],"BAJA")-COUNTIFS(Tabla1[AÑO PARTO],$B$4,Tabla1[MES PARTO],G6,Tabla1[SALE DEL PROGRAMA POR],"PARTO",Tabla1[DILIGENCIAMIENTO DE PARTOGRAMA (NO APLICA EN EXPULSIVO)],"NO APLICA",Tabla1[NIVEL DE COMPLEJIDAD DE LA ATENCION DE LA INSTITUCION DONDE SE ATENDIO EL PARTO],"BAJA"))</f>
        <v>0</v>
      </c>
      <c r="H110" s="206">
        <f>SUM(COUNTIFS(Tabla1[AÑO PARTO],$B$4,Tabla1[MES PARTO],H6,Tabla1[SALE DEL PROGRAMA POR],"PARTO",Tabla1[NIVEL DE COMPLEJIDAD DE LA ATENCION DE LA INSTITUCION DONDE SE ATENDIO EL PARTO],"BAJA")-COUNTIFS(Tabla1[AÑO PARTO],$B$4,Tabla1[MES PARTO],H6,Tabla1[SALE DEL PROGRAMA POR],"PARTO",Tabla1[DILIGENCIAMIENTO DE PARTOGRAMA (NO APLICA EN EXPULSIVO)],"NO APLICA",Tabla1[NIVEL DE COMPLEJIDAD DE LA ATENCION DE LA INSTITUCION DONDE SE ATENDIO EL PARTO],"BAJA"))</f>
        <v>0</v>
      </c>
      <c r="I110" s="206">
        <f>SUM(COUNTIFS(Tabla1[AÑO PARTO],$B$4,Tabla1[MES PARTO],I6,Tabla1[SALE DEL PROGRAMA POR],"PARTO",Tabla1[NIVEL DE COMPLEJIDAD DE LA ATENCION DE LA INSTITUCION DONDE SE ATENDIO EL PARTO],"BAJA")-COUNTIFS(Tabla1[AÑO PARTO],$B$4,Tabla1[MES PARTO],I6,Tabla1[SALE DEL PROGRAMA POR],"PARTO",Tabla1[DILIGENCIAMIENTO DE PARTOGRAMA (NO APLICA EN EXPULSIVO)],"NO APLICA",Tabla1[NIVEL DE COMPLEJIDAD DE LA ATENCION DE LA INSTITUCION DONDE SE ATENDIO EL PARTO],"BAJA"))</f>
        <v>0</v>
      </c>
      <c r="J110" s="206">
        <f>SUM(COUNTIFS(Tabla1[AÑO PARTO],$B$4,Tabla1[MES PARTO],J6,Tabla1[SALE DEL PROGRAMA POR],"PARTO",Tabla1[NIVEL DE COMPLEJIDAD DE LA ATENCION DE LA INSTITUCION DONDE SE ATENDIO EL PARTO],"BAJA")-COUNTIFS(Tabla1[AÑO PARTO],$B$4,Tabla1[MES PARTO],J6,Tabla1[SALE DEL PROGRAMA POR],"PARTO",Tabla1[DILIGENCIAMIENTO DE PARTOGRAMA (NO APLICA EN EXPULSIVO)],"NO APLICA",Tabla1[NIVEL DE COMPLEJIDAD DE LA ATENCION DE LA INSTITUCION DONDE SE ATENDIO EL PARTO],"BAJA"))</f>
        <v>0</v>
      </c>
      <c r="K110" s="206">
        <f>SUM(COUNTIFS(Tabla1[AÑO PARTO],$B$4,Tabla1[MES PARTO],K6,Tabla1[SALE DEL PROGRAMA POR],"PARTO",Tabla1[NIVEL DE COMPLEJIDAD DE LA ATENCION DE LA INSTITUCION DONDE SE ATENDIO EL PARTO],"BAJA")-COUNTIFS(Tabla1[AÑO PARTO],$B$4,Tabla1[MES PARTO],K6,Tabla1[SALE DEL PROGRAMA POR],"PARTO",Tabla1[DILIGENCIAMIENTO DE PARTOGRAMA (NO APLICA EN EXPULSIVO)],"NO APLICA",Tabla1[NIVEL DE COMPLEJIDAD DE LA ATENCION DE LA INSTITUCION DONDE SE ATENDIO EL PARTO],"BAJA"))</f>
        <v>0</v>
      </c>
      <c r="L110" s="206">
        <f>SUM(COUNTIFS(Tabla1[AÑO PARTO],$B$4,Tabla1[MES PARTO],L6,Tabla1[SALE DEL PROGRAMA POR],"PARTO",Tabla1[NIVEL DE COMPLEJIDAD DE LA ATENCION DE LA INSTITUCION DONDE SE ATENDIO EL PARTO],"BAJA")-COUNTIFS(Tabla1[AÑO PARTO],$B$4,Tabla1[MES PARTO],L6,Tabla1[SALE DEL PROGRAMA POR],"PARTO",Tabla1[DILIGENCIAMIENTO DE PARTOGRAMA (NO APLICA EN EXPULSIVO)],"NO APLICA",Tabla1[NIVEL DE COMPLEJIDAD DE LA ATENCION DE LA INSTITUCION DONDE SE ATENDIO EL PARTO],"BAJA"))</f>
        <v>0</v>
      </c>
      <c r="M110" s="206">
        <f>SUM(COUNTIFS(Tabla1[AÑO PARTO],$B$4,Tabla1[MES PARTO],M6,Tabla1[SALE DEL PROGRAMA POR],"PARTO",Tabla1[NIVEL DE COMPLEJIDAD DE LA ATENCION DE LA INSTITUCION DONDE SE ATENDIO EL PARTO],"BAJA")-COUNTIFS(Tabla1[AÑO PARTO],$B$4,Tabla1[MES PARTO],M6,Tabla1[SALE DEL PROGRAMA POR],"PARTO",Tabla1[DILIGENCIAMIENTO DE PARTOGRAMA (NO APLICA EN EXPULSIVO)],"NO APLICA",Tabla1[NIVEL DE COMPLEJIDAD DE LA ATENCION DE LA INSTITUCION DONDE SE ATENDIO EL PARTO],"BAJA"))</f>
        <v>0</v>
      </c>
      <c r="N110" s="116">
        <f t="shared" si="36"/>
        <v>0</v>
      </c>
    </row>
    <row r="111" spans="1:14 16384:16384" ht="42.75" customHeight="1" thickBot="1" x14ac:dyDescent="0.3">
      <c r="A111" s="223" t="s">
        <v>795</v>
      </c>
      <c r="B111" s="117" t="str">
        <f>IF(B$110=0,"",SUM(B109/B$110))</f>
        <v/>
      </c>
      <c r="C111" s="118" t="str">
        <f>IF(C$110=0,"",SUM(C109/C$110))</f>
        <v/>
      </c>
      <c r="D111" s="118" t="str">
        <f>IF(D$110=0,"",SUM(D109/D$110))</f>
        <v/>
      </c>
      <c r="E111" s="118" t="str">
        <f>IF(E$110=0,"",SUM(E109/E$110))</f>
        <v/>
      </c>
      <c r="F111" s="118" t="str">
        <f>IF(F$110=0,"",SUM(F109/F$110))</f>
        <v/>
      </c>
      <c r="G111" s="118" t="str">
        <f>IF(G$110=0,"",SUM(G109/G$110))</f>
        <v/>
      </c>
      <c r="H111" s="118" t="str">
        <f>IF(H$110=0,"",SUM(H109/H$110))</f>
        <v/>
      </c>
      <c r="I111" s="118" t="str">
        <f>IF(I$110=0,"",SUM(I109/I$110))</f>
        <v/>
      </c>
      <c r="J111" s="118" t="str">
        <f>IF(J$110=0,"",SUM(J109/J$110))</f>
        <v/>
      </c>
      <c r="K111" s="118" t="str">
        <f>IF(K$110=0,"",SUM(K109/K$110))</f>
        <v/>
      </c>
      <c r="L111" s="118" t="str">
        <f>IF(L$110=0,"",SUM(L109/L$110))</f>
        <v/>
      </c>
      <c r="M111" s="118" t="str">
        <f>IF(M$110=0,"",SUM(M109/M$110))</f>
        <v/>
      </c>
      <c r="N111" s="119" t="str">
        <f>IF(N$110=0,"",SUM(N109/N$110))</f>
        <v/>
      </c>
    </row>
    <row r="112" spans="1:14 16384:16384" ht="33.75" customHeight="1" x14ac:dyDescent="0.25">
      <c r="A112" s="78" t="s">
        <v>796</v>
      </c>
      <c r="B112" s="206">
        <f>SUM(COUNTIFS(Tabla1[AÑO PARTO],$B$4,Tabla1[MES PARTO],B6,Tabla1[SALE DEL PROGRAMA POR],"PARTO",Tabla1[DILIGENCIAMIENTO DE PARTOGRAMA (NO APLICA EN EXPULSIVO)],"SI",Tabla1[NIVEL DE COMPLEJIDAD DE LA ATENCION DE LA INSTITUCION DONDE SE ATENDIO EL PARTO],"MEDIANA"),COUNTIFS(Tabla1[AÑO PARTO],$B$4,Tabla1[MES PARTO],B6,Tabla1[SALE DEL PROGRAMA POR],"PARTO",Tabla1[DILIGENCIAMIENTO DE PARTOGRAMA (NO APLICA EN EXPULSIVO)],"SI",Tabla1[NIVEL DE COMPLEJIDAD DE LA ATENCION DE LA INSTITUCION DONDE SE ATENDIO EL PARTO],"ALTA"),COUNTIFS(Tabla1[AÑO PARTO],$B$4,Tabla1[MES PARTO],B6,Tabla1[SALE DEL PROGRAMA POR],"CESAREA",Tabla1[DILIGENCIAMIENTO DE PARTOGRAMA (NO APLICA EN EXPULSIVO)],"SI",Tabla1[NIVEL DE COMPLEJIDAD DE LA ATENCION DE LA INSTITUCION DONDE SE ATENDIO EL PARTO],"MEDIANA"),COUNTIFS(Tabla1[AÑO PARTO],$B$4,Tabla1[MES PARTO],B6,Tabla1[SALE DEL PROGRAMA POR],"CESAREA",Tabla1[DILIGENCIAMIENTO DE PARTOGRAMA (NO APLICA EN EXPULSIVO)],"SI",Tabla1[NIVEL DE COMPLEJIDAD DE LA ATENCION DE LA INSTITUCION DONDE SE ATENDIO EL PARTO],"ALTA"))</f>
        <v>0</v>
      </c>
      <c r="C112" s="206">
        <f>SUM(COUNTIFS(Tabla1[AÑO PARTO],$B$4,Tabla1[MES PARTO],C6,Tabla1[SALE DEL PROGRAMA POR],"PARTO",Tabla1[DILIGENCIAMIENTO DE PARTOGRAMA (NO APLICA EN EXPULSIVO)],"SI",Tabla1[NIVEL DE COMPLEJIDAD DE LA ATENCION DE LA INSTITUCION DONDE SE ATENDIO EL PARTO],"MEDIANA"),COUNTIFS(Tabla1[AÑO PARTO],$B$4,Tabla1[MES PARTO],C6,Tabla1[SALE DEL PROGRAMA POR],"PARTO",Tabla1[DILIGENCIAMIENTO DE PARTOGRAMA (NO APLICA EN EXPULSIVO)],"SI",Tabla1[NIVEL DE COMPLEJIDAD DE LA ATENCION DE LA INSTITUCION DONDE SE ATENDIO EL PARTO],"ALTA"),COUNTIFS(Tabla1[AÑO PARTO],$B$4,Tabla1[MES PARTO],C6,Tabla1[SALE DEL PROGRAMA POR],"CESAREA",Tabla1[DILIGENCIAMIENTO DE PARTOGRAMA (NO APLICA EN EXPULSIVO)],"SI",Tabla1[NIVEL DE COMPLEJIDAD DE LA ATENCION DE LA INSTITUCION DONDE SE ATENDIO EL PARTO],"MEDIANA"),COUNTIFS(Tabla1[AÑO PARTO],$B$4,Tabla1[MES PARTO],C6,Tabla1[SALE DEL PROGRAMA POR],"CESAREA",Tabla1[DILIGENCIAMIENTO DE PARTOGRAMA (NO APLICA EN EXPULSIVO)],"SI",Tabla1[NIVEL DE COMPLEJIDAD DE LA ATENCION DE LA INSTITUCION DONDE SE ATENDIO EL PARTO],"ALTA"))</f>
        <v>0</v>
      </c>
      <c r="D112" s="206">
        <f>SUM(COUNTIFS(Tabla1[AÑO PARTO],$B$4,Tabla1[MES PARTO],D6,Tabla1[SALE DEL PROGRAMA POR],"PARTO",Tabla1[DILIGENCIAMIENTO DE PARTOGRAMA (NO APLICA EN EXPULSIVO)],"SI",Tabla1[NIVEL DE COMPLEJIDAD DE LA ATENCION DE LA INSTITUCION DONDE SE ATENDIO EL PARTO],"MEDIANA"),COUNTIFS(Tabla1[AÑO PARTO],$B$4,Tabla1[MES PARTO],D6,Tabla1[SALE DEL PROGRAMA POR],"PARTO",Tabla1[DILIGENCIAMIENTO DE PARTOGRAMA (NO APLICA EN EXPULSIVO)],"SI",Tabla1[NIVEL DE COMPLEJIDAD DE LA ATENCION DE LA INSTITUCION DONDE SE ATENDIO EL PARTO],"ALTA"),COUNTIFS(Tabla1[AÑO PARTO],$B$4,Tabla1[MES PARTO],D6,Tabla1[SALE DEL PROGRAMA POR],"CESAREA",Tabla1[DILIGENCIAMIENTO DE PARTOGRAMA (NO APLICA EN EXPULSIVO)],"SI",Tabla1[NIVEL DE COMPLEJIDAD DE LA ATENCION DE LA INSTITUCION DONDE SE ATENDIO EL PARTO],"MEDIANA"),COUNTIFS(Tabla1[AÑO PARTO],$B$4,Tabla1[MES PARTO],D6,Tabla1[SALE DEL PROGRAMA POR],"CESAREA",Tabla1[DILIGENCIAMIENTO DE PARTOGRAMA (NO APLICA EN EXPULSIVO)],"SI",Tabla1[NIVEL DE COMPLEJIDAD DE LA ATENCION DE LA INSTITUCION DONDE SE ATENDIO EL PARTO],"ALTA"))</f>
        <v>0</v>
      </c>
      <c r="E112" s="206">
        <f>SUM(COUNTIFS(Tabla1[AÑO PARTO],$B$4,Tabla1[MES PARTO],E6,Tabla1[SALE DEL PROGRAMA POR],"PARTO",Tabla1[DILIGENCIAMIENTO DE PARTOGRAMA (NO APLICA EN EXPULSIVO)],"SI",Tabla1[NIVEL DE COMPLEJIDAD DE LA ATENCION DE LA INSTITUCION DONDE SE ATENDIO EL PARTO],"MEDIANA"),COUNTIFS(Tabla1[AÑO PARTO],$B$4,Tabla1[MES PARTO],E6,Tabla1[SALE DEL PROGRAMA POR],"PARTO",Tabla1[DILIGENCIAMIENTO DE PARTOGRAMA (NO APLICA EN EXPULSIVO)],"SI",Tabla1[NIVEL DE COMPLEJIDAD DE LA ATENCION DE LA INSTITUCION DONDE SE ATENDIO EL PARTO],"ALTA"),COUNTIFS(Tabla1[AÑO PARTO],$B$4,Tabla1[MES PARTO],E6,Tabla1[SALE DEL PROGRAMA POR],"CESAREA",Tabla1[DILIGENCIAMIENTO DE PARTOGRAMA (NO APLICA EN EXPULSIVO)],"SI",Tabla1[NIVEL DE COMPLEJIDAD DE LA ATENCION DE LA INSTITUCION DONDE SE ATENDIO EL PARTO],"MEDIANA"),COUNTIFS(Tabla1[AÑO PARTO],$B$4,Tabla1[MES PARTO],E6,Tabla1[SALE DEL PROGRAMA POR],"CESAREA",Tabla1[DILIGENCIAMIENTO DE PARTOGRAMA (NO APLICA EN EXPULSIVO)],"SI",Tabla1[NIVEL DE COMPLEJIDAD DE LA ATENCION DE LA INSTITUCION DONDE SE ATENDIO EL PARTO],"ALTA"))</f>
        <v>0</v>
      </c>
      <c r="F112" s="206">
        <f>SUM(COUNTIFS(Tabla1[AÑO PARTO],$B$4,Tabla1[MES PARTO],F6,Tabla1[SALE DEL PROGRAMA POR],"PARTO",Tabla1[DILIGENCIAMIENTO DE PARTOGRAMA (NO APLICA EN EXPULSIVO)],"SI",Tabla1[NIVEL DE COMPLEJIDAD DE LA ATENCION DE LA INSTITUCION DONDE SE ATENDIO EL PARTO],"MEDIANA"),COUNTIFS(Tabla1[AÑO PARTO],$B$4,Tabla1[MES PARTO],F6,Tabla1[SALE DEL PROGRAMA POR],"PARTO",Tabla1[DILIGENCIAMIENTO DE PARTOGRAMA (NO APLICA EN EXPULSIVO)],"SI",Tabla1[NIVEL DE COMPLEJIDAD DE LA ATENCION DE LA INSTITUCION DONDE SE ATENDIO EL PARTO],"ALTA"),COUNTIFS(Tabla1[AÑO PARTO],$B$4,Tabla1[MES PARTO],F6,Tabla1[SALE DEL PROGRAMA POR],"CESAREA",Tabla1[DILIGENCIAMIENTO DE PARTOGRAMA (NO APLICA EN EXPULSIVO)],"SI",Tabla1[NIVEL DE COMPLEJIDAD DE LA ATENCION DE LA INSTITUCION DONDE SE ATENDIO EL PARTO],"MEDIANA"),COUNTIFS(Tabla1[AÑO PARTO],$B$4,Tabla1[MES PARTO],F6,Tabla1[SALE DEL PROGRAMA POR],"CESAREA",Tabla1[DILIGENCIAMIENTO DE PARTOGRAMA (NO APLICA EN EXPULSIVO)],"SI",Tabla1[NIVEL DE COMPLEJIDAD DE LA ATENCION DE LA INSTITUCION DONDE SE ATENDIO EL PARTO],"ALTA"))</f>
        <v>0</v>
      </c>
      <c r="G112" s="206">
        <f>SUM(COUNTIFS(Tabla1[AÑO PARTO],$B$4,Tabla1[MES PARTO],G6,Tabla1[SALE DEL PROGRAMA POR],"PARTO",Tabla1[DILIGENCIAMIENTO DE PARTOGRAMA (NO APLICA EN EXPULSIVO)],"SI",Tabla1[NIVEL DE COMPLEJIDAD DE LA ATENCION DE LA INSTITUCION DONDE SE ATENDIO EL PARTO],"MEDIANA"),COUNTIFS(Tabla1[AÑO PARTO],$B$4,Tabla1[MES PARTO],G6,Tabla1[SALE DEL PROGRAMA POR],"PARTO",Tabla1[DILIGENCIAMIENTO DE PARTOGRAMA (NO APLICA EN EXPULSIVO)],"SI",Tabla1[NIVEL DE COMPLEJIDAD DE LA ATENCION DE LA INSTITUCION DONDE SE ATENDIO EL PARTO],"ALTA"),COUNTIFS(Tabla1[AÑO PARTO],$B$4,Tabla1[MES PARTO],G6,Tabla1[SALE DEL PROGRAMA POR],"CESAREA",Tabla1[DILIGENCIAMIENTO DE PARTOGRAMA (NO APLICA EN EXPULSIVO)],"SI",Tabla1[NIVEL DE COMPLEJIDAD DE LA ATENCION DE LA INSTITUCION DONDE SE ATENDIO EL PARTO],"MEDIANA"),COUNTIFS(Tabla1[AÑO PARTO],$B$4,Tabla1[MES PARTO],G6,Tabla1[SALE DEL PROGRAMA POR],"CESAREA",Tabla1[DILIGENCIAMIENTO DE PARTOGRAMA (NO APLICA EN EXPULSIVO)],"SI",Tabla1[NIVEL DE COMPLEJIDAD DE LA ATENCION DE LA INSTITUCION DONDE SE ATENDIO EL PARTO],"ALTA"))</f>
        <v>0</v>
      </c>
      <c r="H112" s="206">
        <f>SUM(COUNTIFS(Tabla1[AÑO PARTO],$B$4,Tabla1[MES PARTO],H6,Tabla1[SALE DEL PROGRAMA POR],"PARTO",Tabla1[DILIGENCIAMIENTO DE PARTOGRAMA (NO APLICA EN EXPULSIVO)],"SI",Tabla1[NIVEL DE COMPLEJIDAD DE LA ATENCION DE LA INSTITUCION DONDE SE ATENDIO EL PARTO],"MEDIANA"),COUNTIFS(Tabla1[AÑO PARTO],$B$4,Tabla1[MES PARTO],H6,Tabla1[SALE DEL PROGRAMA POR],"PARTO",Tabla1[DILIGENCIAMIENTO DE PARTOGRAMA (NO APLICA EN EXPULSIVO)],"SI",Tabla1[NIVEL DE COMPLEJIDAD DE LA ATENCION DE LA INSTITUCION DONDE SE ATENDIO EL PARTO],"ALTA"),COUNTIFS(Tabla1[AÑO PARTO],$B$4,Tabla1[MES PARTO],H6,Tabla1[SALE DEL PROGRAMA POR],"CESAREA",Tabla1[DILIGENCIAMIENTO DE PARTOGRAMA (NO APLICA EN EXPULSIVO)],"SI",Tabla1[NIVEL DE COMPLEJIDAD DE LA ATENCION DE LA INSTITUCION DONDE SE ATENDIO EL PARTO],"MEDIANA"),COUNTIFS(Tabla1[AÑO PARTO],$B$4,Tabla1[MES PARTO],H6,Tabla1[SALE DEL PROGRAMA POR],"CESAREA",Tabla1[DILIGENCIAMIENTO DE PARTOGRAMA (NO APLICA EN EXPULSIVO)],"SI",Tabla1[NIVEL DE COMPLEJIDAD DE LA ATENCION DE LA INSTITUCION DONDE SE ATENDIO EL PARTO],"ALTA"))</f>
        <v>0</v>
      </c>
      <c r="I112" s="206">
        <f>SUM(COUNTIFS(Tabla1[AÑO PARTO],$B$4,Tabla1[MES PARTO],I6,Tabla1[SALE DEL PROGRAMA POR],"PARTO",Tabla1[DILIGENCIAMIENTO DE PARTOGRAMA (NO APLICA EN EXPULSIVO)],"SI",Tabla1[NIVEL DE COMPLEJIDAD DE LA ATENCION DE LA INSTITUCION DONDE SE ATENDIO EL PARTO],"MEDIANA"),COUNTIFS(Tabla1[AÑO PARTO],$B$4,Tabla1[MES PARTO],I6,Tabla1[SALE DEL PROGRAMA POR],"PARTO",Tabla1[DILIGENCIAMIENTO DE PARTOGRAMA (NO APLICA EN EXPULSIVO)],"SI",Tabla1[NIVEL DE COMPLEJIDAD DE LA ATENCION DE LA INSTITUCION DONDE SE ATENDIO EL PARTO],"ALTA"),COUNTIFS(Tabla1[AÑO PARTO],$B$4,Tabla1[MES PARTO],I6,Tabla1[SALE DEL PROGRAMA POR],"CESAREA",Tabla1[DILIGENCIAMIENTO DE PARTOGRAMA (NO APLICA EN EXPULSIVO)],"SI",Tabla1[NIVEL DE COMPLEJIDAD DE LA ATENCION DE LA INSTITUCION DONDE SE ATENDIO EL PARTO],"MEDIANA"),COUNTIFS(Tabla1[AÑO PARTO],$B$4,Tabla1[MES PARTO],I6,Tabla1[SALE DEL PROGRAMA POR],"CESAREA",Tabla1[DILIGENCIAMIENTO DE PARTOGRAMA (NO APLICA EN EXPULSIVO)],"SI",Tabla1[NIVEL DE COMPLEJIDAD DE LA ATENCION DE LA INSTITUCION DONDE SE ATENDIO EL PARTO],"ALTA"))</f>
        <v>0</v>
      </c>
      <c r="J112" s="206">
        <f>SUM(COUNTIFS(Tabla1[AÑO PARTO],$B$4,Tabla1[MES PARTO],J6,Tabla1[SALE DEL PROGRAMA POR],"PARTO",Tabla1[DILIGENCIAMIENTO DE PARTOGRAMA (NO APLICA EN EXPULSIVO)],"SI",Tabla1[NIVEL DE COMPLEJIDAD DE LA ATENCION DE LA INSTITUCION DONDE SE ATENDIO EL PARTO],"MEDIANA"),COUNTIFS(Tabla1[AÑO PARTO],$B$4,Tabla1[MES PARTO],J6,Tabla1[SALE DEL PROGRAMA POR],"PARTO",Tabla1[DILIGENCIAMIENTO DE PARTOGRAMA (NO APLICA EN EXPULSIVO)],"SI",Tabla1[NIVEL DE COMPLEJIDAD DE LA ATENCION DE LA INSTITUCION DONDE SE ATENDIO EL PARTO],"ALTA"),COUNTIFS(Tabla1[AÑO PARTO],$B$4,Tabla1[MES PARTO],J6,Tabla1[SALE DEL PROGRAMA POR],"CESAREA",Tabla1[DILIGENCIAMIENTO DE PARTOGRAMA (NO APLICA EN EXPULSIVO)],"SI",Tabla1[NIVEL DE COMPLEJIDAD DE LA ATENCION DE LA INSTITUCION DONDE SE ATENDIO EL PARTO],"MEDIANA"),COUNTIFS(Tabla1[AÑO PARTO],$B$4,Tabla1[MES PARTO],J6,Tabla1[SALE DEL PROGRAMA POR],"CESAREA",Tabla1[DILIGENCIAMIENTO DE PARTOGRAMA (NO APLICA EN EXPULSIVO)],"SI",Tabla1[NIVEL DE COMPLEJIDAD DE LA ATENCION DE LA INSTITUCION DONDE SE ATENDIO EL PARTO],"ALTA"))</f>
        <v>0</v>
      </c>
      <c r="K112" s="206">
        <f>SUM(COUNTIFS(Tabla1[AÑO PARTO],$B$4,Tabla1[MES PARTO],K6,Tabla1[SALE DEL PROGRAMA POR],"PARTO",Tabla1[DILIGENCIAMIENTO DE PARTOGRAMA (NO APLICA EN EXPULSIVO)],"SI",Tabla1[NIVEL DE COMPLEJIDAD DE LA ATENCION DE LA INSTITUCION DONDE SE ATENDIO EL PARTO],"MEDIANA"),COUNTIFS(Tabla1[AÑO PARTO],$B$4,Tabla1[MES PARTO],K6,Tabla1[SALE DEL PROGRAMA POR],"PARTO",Tabla1[DILIGENCIAMIENTO DE PARTOGRAMA (NO APLICA EN EXPULSIVO)],"SI",Tabla1[NIVEL DE COMPLEJIDAD DE LA ATENCION DE LA INSTITUCION DONDE SE ATENDIO EL PARTO],"ALTA"),COUNTIFS(Tabla1[AÑO PARTO],$B$4,Tabla1[MES PARTO],K6,Tabla1[SALE DEL PROGRAMA POR],"CESAREA",Tabla1[DILIGENCIAMIENTO DE PARTOGRAMA (NO APLICA EN EXPULSIVO)],"SI",Tabla1[NIVEL DE COMPLEJIDAD DE LA ATENCION DE LA INSTITUCION DONDE SE ATENDIO EL PARTO],"MEDIANA"),COUNTIFS(Tabla1[AÑO PARTO],$B$4,Tabla1[MES PARTO],K6,Tabla1[SALE DEL PROGRAMA POR],"CESAREA",Tabla1[DILIGENCIAMIENTO DE PARTOGRAMA (NO APLICA EN EXPULSIVO)],"SI",Tabla1[NIVEL DE COMPLEJIDAD DE LA ATENCION DE LA INSTITUCION DONDE SE ATENDIO EL PARTO],"ALTA"))</f>
        <v>0</v>
      </c>
      <c r="L112" s="206">
        <f>SUM(COUNTIFS(Tabla1[AÑO PARTO],$B$4,Tabla1[MES PARTO],L6,Tabla1[SALE DEL PROGRAMA POR],"PARTO",Tabla1[DILIGENCIAMIENTO DE PARTOGRAMA (NO APLICA EN EXPULSIVO)],"SI",Tabla1[NIVEL DE COMPLEJIDAD DE LA ATENCION DE LA INSTITUCION DONDE SE ATENDIO EL PARTO],"MEDIANA"),COUNTIFS(Tabla1[AÑO PARTO],$B$4,Tabla1[MES PARTO],L6,Tabla1[SALE DEL PROGRAMA POR],"PARTO",Tabla1[DILIGENCIAMIENTO DE PARTOGRAMA (NO APLICA EN EXPULSIVO)],"SI",Tabla1[NIVEL DE COMPLEJIDAD DE LA ATENCION DE LA INSTITUCION DONDE SE ATENDIO EL PARTO],"ALTA"),COUNTIFS(Tabla1[AÑO PARTO],$B$4,Tabla1[MES PARTO],L6,Tabla1[SALE DEL PROGRAMA POR],"CESAREA",Tabla1[DILIGENCIAMIENTO DE PARTOGRAMA (NO APLICA EN EXPULSIVO)],"SI",Tabla1[NIVEL DE COMPLEJIDAD DE LA ATENCION DE LA INSTITUCION DONDE SE ATENDIO EL PARTO],"MEDIANA"),COUNTIFS(Tabla1[AÑO PARTO],$B$4,Tabla1[MES PARTO],L6,Tabla1[SALE DEL PROGRAMA POR],"CESAREA",Tabla1[DILIGENCIAMIENTO DE PARTOGRAMA (NO APLICA EN EXPULSIVO)],"SI",Tabla1[NIVEL DE COMPLEJIDAD DE LA ATENCION DE LA INSTITUCION DONDE SE ATENDIO EL PARTO],"ALTA"))</f>
        <v>0</v>
      </c>
      <c r="M112" s="206">
        <f>SUM(COUNTIFS(Tabla1[AÑO PARTO],$B$4,Tabla1[MES PARTO],M6,Tabla1[SALE DEL PROGRAMA POR],"PARTO",Tabla1[DILIGENCIAMIENTO DE PARTOGRAMA (NO APLICA EN EXPULSIVO)],"SI",Tabla1[NIVEL DE COMPLEJIDAD DE LA ATENCION DE LA INSTITUCION DONDE SE ATENDIO EL PARTO],"MEDIANA"),COUNTIFS(Tabla1[AÑO PARTO],$B$4,Tabla1[MES PARTO],M6,Tabla1[SALE DEL PROGRAMA POR],"PARTO",Tabla1[DILIGENCIAMIENTO DE PARTOGRAMA (NO APLICA EN EXPULSIVO)],"SI",Tabla1[NIVEL DE COMPLEJIDAD DE LA ATENCION DE LA INSTITUCION DONDE SE ATENDIO EL PARTO],"ALTA"),COUNTIFS(Tabla1[AÑO PARTO],$B$4,Tabla1[MES PARTO],M6,Tabla1[SALE DEL PROGRAMA POR],"CESAREA",Tabla1[DILIGENCIAMIENTO DE PARTOGRAMA (NO APLICA EN EXPULSIVO)],"SI",Tabla1[NIVEL DE COMPLEJIDAD DE LA ATENCION DE LA INSTITUCION DONDE SE ATENDIO EL PARTO],"MEDIANA"),COUNTIFS(Tabla1[AÑO PARTO],$B$4,Tabla1[MES PARTO],M6,Tabla1[SALE DEL PROGRAMA POR],"CESAREA",Tabla1[DILIGENCIAMIENTO DE PARTOGRAMA (NO APLICA EN EXPULSIVO)],"SI",Tabla1[NIVEL DE COMPLEJIDAD DE LA ATENCION DE LA INSTITUCION DONDE SE ATENDIO EL PARTO],"ALTA"))</f>
        <v>0</v>
      </c>
      <c r="N112" s="116">
        <f>SUM(B112:M112)</f>
        <v>0</v>
      </c>
    </row>
    <row r="113" spans="1:14" ht="40.5" customHeight="1" thickBot="1" x14ac:dyDescent="0.3">
      <c r="A113" s="232" t="s">
        <v>797</v>
      </c>
      <c r="B113" s="206">
        <f>SUM(SUM(COUNTIFS(Tabla1[AÑO PARTO],$B$4,Tabla1[MES PARTO],B6,Tabla1[SALE DEL PROGRAMA POR],"PARTO",Tabla1[NIVEL DE COMPLEJIDAD DE LA ATENCION DE LA INSTITUCION DONDE SE ATENDIO EL PARTO],"MEDIANA"),COUNTIFS(Tabla1[AÑO PARTO],$B$4,Tabla1[MES PARTO],B6,Tabla1[SALE DEL PROGRAMA POR],"PARTO",Tabla1[NIVEL DE COMPLEJIDAD DE LA ATENCION DE LA INSTITUCION DONDE SE ATENDIO EL PARTO],"ALTA"),COUNTIFS(Tabla1[AÑO PARTO],$B$4,Tabla1[MES PARTO],B6,Tabla1[SALE DEL PROGRAMA POR],"CESAREA",Tabla1[NIVEL DE COMPLEJIDAD DE LA ATENCION DE LA INSTITUCION DONDE SE ATENDIO EL PARTO],"MEDIANA"),COUNTIFS(Tabla1[AÑO PARTO],$B$4,Tabla1[MES PARTO],B6,Tabla1[SALE DEL PROGRAMA POR],"CESAREA",Tabla1[NIVEL DE COMPLEJIDAD DE LA ATENCION DE LA INSTITUCION DONDE SE ATENDIO EL PARTO],"ALTA"))-SUM(COUNTIFS(Tabla1[AÑO PARTO],$B$4,Tabla1[MES PARTO],B6,Tabla1[SALE DEL PROGRAMA POR],"PARTO",Tabla1[DILIGENCIAMIENTO DE PARTOGRAMA (NO APLICA EN EXPULSIVO)],"NO APLICA",Tabla1[NIVEL DE COMPLEJIDAD DE LA ATENCION DE LA INSTITUCION DONDE SE ATENDIO EL PARTO],"MEDIANA"),COUNTIFS(Tabla1[AÑO PARTO],$B$4,Tabla1[MES PARTO],B6,Tabla1[SALE DEL PROGRAMA POR],"PARTO",Tabla1[DILIGENCIAMIENTO DE PARTOGRAMA (NO APLICA EN EXPULSIVO)],"NO APLICA",Tabla1[NIVEL DE COMPLEJIDAD DE LA ATENCION DE LA INSTITUCION DONDE SE ATENDIO EL PARTO],"ALTA"),COUNTIFS(Tabla1[AÑO PARTO],$B$4,Tabla1[MES PARTO],B6,Tabla1[SALE DEL PROGRAMA POR],"CESAREA",Tabla1[DILIGENCIAMIENTO DE PARTOGRAMA (NO APLICA EN EXPULSIVO)],"NO APLICA",Tabla1[NIVEL DE COMPLEJIDAD DE LA ATENCION DE LA INSTITUCION DONDE SE ATENDIO EL PARTO],"MEDIANA"),COUNTIFS(Tabla1[AÑO PARTO],$B$4,Tabla1[MES PARTO],B6,Tabla1[SALE DEL PROGRAMA POR],"CESAREA",Tabla1[DILIGENCIAMIENTO DE PARTOGRAMA (NO APLICA EN EXPULSIVO)],"NO APLICA",Tabla1[NIVEL DE COMPLEJIDAD DE LA ATENCION DE LA INSTITUCION DONDE SE ATENDIO EL PARTO],"ALTA")))</f>
        <v>0</v>
      </c>
      <c r="C113" s="206">
        <f>SUM(SUM(COUNTIFS(Tabla1[AÑO PARTO],$B$4,Tabla1[MES PARTO],C6,Tabla1[SALE DEL PROGRAMA POR],"PARTO",Tabla1[NIVEL DE COMPLEJIDAD DE LA ATENCION DE LA INSTITUCION DONDE SE ATENDIO EL PARTO],"MEDIANA"),COUNTIFS(Tabla1[AÑO PARTO],$B$4,Tabla1[MES PARTO],C6,Tabla1[SALE DEL PROGRAMA POR],"PARTO",Tabla1[NIVEL DE COMPLEJIDAD DE LA ATENCION DE LA INSTITUCION DONDE SE ATENDIO EL PARTO],"ALTA"),COUNTIFS(Tabla1[AÑO PARTO],$B$4,Tabla1[MES PARTO],C6,Tabla1[SALE DEL PROGRAMA POR],"CESAREA",Tabla1[NIVEL DE COMPLEJIDAD DE LA ATENCION DE LA INSTITUCION DONDE SE ATENDIO EL PARTO],"MEDIANA"),COUNTIFS(Tabla1[AÑO PARTO],$B$4,Tabla1[MES PARTO],C6,Tabla1[SALE DEL PROGRAMA POR],"CESAREA",Tabla1[NIVEL DE COMPLEJIDAD DE LA ATENCION DE LA INSTITUCION DONDE SE ATENDIO EL PARTO],"ALTA"))-SUM(COUNTIFS(Tabla1[AÑO PARTO],$B$4,Tabla1[MES PARTO],C6,Tabla1[SALE DEL PROGRAMA POR],"PARTO",Tabla1[DILIGENCIAMIENTO DE PARTOGRAMA (NO APLICA EN EXPULSIVO)],"NO APLICA",Tabla1[NIVEL DE COMPLEJIDAD DE LA ATENCION DE LA INSTITUCION DONDE SE ATENDIO EL PARTO],"MEDIANA"),COUNTIFS(Tabla1[AÑO PARTO],$B$4,Tabla1[MES PARTO],C6,Tabla1[SALE DEL PROGRAMA POR],"PARTO",Tabla1[DILIGENCIAMIENTO DE PARTOGRAMA (NO APLICA EN EXPULSIVO)],"NO APLICA",Tabla1[NIVEL DE COMPLEJIDAD DE LA ATENCION DE LA INSTITUCION DONDE SE ATENDIO EL PARTO],"ALTA"),COUNTIFS(Tabla1[AÑO PARTO],$B$4,Tabla1[MES PARTO],C6,Tabla1[SALE DEL PROGRAMA POR],"CESAREA",Tabla1[DILIGENCIAMIENTO DE PARTOGRAMA (NO APLICA EN EXPULSIVO)],"NO APLICA",Tabla1[NIVEL DE COMPLEJIDAD DE LA ATENCION DE LA INSTITUCION DONDE SE ATENDIO EL PARTO],"MEDIANA"),COUNTIFS(Tabla1[AÑO PARTO],$B$4,Tabla1[MES PARTO],C6,Tabla1[SALE DEL PROGRAMA POR],"CESAREA",Tabla1[DILIGENCIAMIENTO DE PARTOGRAMA (NO APLICA EN EXPULSIVO)],"NO APLICA",Tabla1[NIVEL DE COMPLEJIDAD DE LA ATENCION DE LA INSTITUCION DONDE SE ATENDIO EL PARTO],"ALTA")))</f>
        <v>0</v>
      </c>
      <c r="D113" s="206">
        <f>SUM(SUM(COUNTIFS(Tabla1[AÑO PARTO],$B$4,Tabla1[MES PARTO],D6,Tabla1[SALE DEL PROGRAMA POR],"PARTO",Tabla1[NIVEL DE COMPLEJIDAD DE LA ATENCION DE LA INSTITUCION DONDE SE ATENDIO EL PARTO],"MEDIANA"),COUNTIFS(Tabla1[AÑO PARTO],$B$4,Tabla1[MES PARTO],D6,Tabla1[SALE DEL PROGRAMA POR],"PARTO",Tabla1[NIVEL DE COMPLEJIDAD DE LA ATENCION DE LA INSTITUCION DONDE SE ATENDIO EL PARTO],"ALTA"),COUNTIFS(Tabla1[AÑO PARTO],$B$4,Tabla1[MES PARTO],D6,Tabla1[SALE DEL PROGRAMA POR],"CESAREA",Tabla1[NIVEL DE COMPLEJIDAD DE LA ATENCION DE LA INSTITUCION DONDE SE ATENDIO EL PARTO],"MEDIANA"),COUNTIFS(Tabla1[AÑO PARTO],$B$4,Tabla1[MES PARTO],D6,Tabla1[SALE DEL PROGRAMA POR],"CESAREA",Tabla1[NIVEL DE COMPLEJIDAD DE LA ATENCION DE LA INSTITUCION DONDE SE ATENDIO EL PARTO],"ALTA"))-SUM(COUNTIFS(Tabla1[AÑO PARTO],$B$4,Tabla1[MES PARTO],D6,Tabla1[SALE DEL PROGRAMA POR],"PARTO",Tabla1[DILIGENCIAMIENTO DE PARTOGRAMA (NO APLICA EN EXPULSIVO)],"NO APLICA",Tabla1[NIVEL DE COMPLEJIDAD DE LA ATENCION DE LA INSTITUCION DONDE SE ATENDIO EL PARTO],"MEDIANA"),COUNTIFS(Tabla1[AÑO PARTO],$B$4,Tabla1[MES PARTO],D6,Tabla1[SALE DEL PROGRAMA POR],"PARTO",Tabla1[DILIGENCIAMIENTO DE PARTOGRAMA (NO APLICA EN EXPULSIVO)],"NO APLICA",Tabla1[NIVEL DE COMPLEJIDAD DE LA ATENCION DE LA INSTITUCION DONDE SE ATENDIO EL PARTO],"ALTA"),COUNTIFS(Tabla1[AÑO PARTO],$B$4,Tabla1[MES PARTO],D6,Tabla1[SALE DEL PROGRAMA POR],"CESAREA",Tabla1[DILIGENCIAMIENTO DE PARTOGRAMA (NO APLICA EN EXPULSIVO)],"NO APLICA",Tabla1[NIVEL DE COMPLEJIDAD DE LA ATENCION DE LA INSTITUCION DONDE SE ATENDIO EL PARTO],"MEDIANA"),COUNTIFS(Tabla1[AÑO PARTO],$B$4,Tabla1[MES PARTO],D6,Tabla1[SALE DEL PROGRAMA POR],"CESAREA",Tabla1[DILIGENCIAMIENTO DE PARTOGRAMA (NO APLICA EN EXPULSIVO)],"NO APLICA",Tabla1[NIVEL DE COMPLEJIDAD DE LA ATENCION DE LA INSTITUCION DONDE SE ATENDIO EL PARTO],"ALTA")))</f>
        <v>0</v>
      </c>
      <c r="E113" s="206">
        <f>SUM(SUM(COUNTIFS(Tabla1[AÑO PARTO],$B$4,Tabla1[MES PARTO],E6,Tabla1[SALE DEL PROGRAMA POR],"PARTO",Tabla1[NIVEL DE COMPLEJIDAD DE LA ATENCION DE LA INSTITUCION DONDE SE ATENDIO EL PARTO],"MEDIANA"),COUNTIFS(Tabla1[AÑO PARTO],$B$4,Tabla1[MES PARTO],E6,Tabla1[SALE DEL PROGRAMA POR],"PARTO",Tabla1[NIVEL DE COMPLEJIDAD DE LA ATENCION DE LA INSTITUCION DONDE SE ATENDIO EL PARTO],"ALTA"),COUNTIFS(Tabla1[AÑO PARTO],$B$4,Tabla1[MES PARTO],E6,Tabla1[SALE DEL PROGRAMA POR],"CESAREA",Tabla1[NIVEL DE COMPLEJIDAD DE LA ATENCION DE LA INSTITUCION DONDE SE ATENDIO EL PARTO],"MEDIANA"),COUNTIFS(Tabla1[AÑO PARTO],$B$4,Tabla1[MES PARTO],E6,Tabla1[SALE DEL PROGRAMA POR],"CESAREA",Tabla1[NIVEL DE COMPLEJIDAD DE LA ATENCION DE LA INSTITUCION DONDE SE ATENDIO EL PARTO],"ALTA"))-SUM(COUNTIFS(Tabla1[AÑO PARTO],$B$4,Tabla1[MES PARTO],E6,Tabla1[SALE DEL PROGRAMA POR],"PARTO",Tabla1[DILIGENCIAMIENTO DE PARTOGRAMA (NO APLICA EN EXPULSIVO)],"NO APLICA",Tabla1[NIVEL DE COMPLEJIDAD DE LA ATENCION DE LA INSTITUCION DONDE SE ATENDIO EL PARTO],"MEDIANA"),COUNTIFS(Tabla1[AÑO PARTO],$B$4,Tabla1[MES PARTO],E6,Tabla1[SALE DEL PROGRAMA POR],"PARTO",Tabla1[DILIGENCIAMIENTO DE PARTOGRAMA (NO APLICA EN EXPULSIVO)],"NO APLICA",Tabla1[NIVEL DE COMPLEJIDAD DE LA ATENCION DE LA INSTITUCION DONDE SE ATENDIO EL PARTO],"ALTA"),COUNTIFS(Tabla1[AÑO PARTO],$B$4,Tabla1[MES PARTO],E6,Tabla1[SALE DEL PROGRAMA POR],"CESAREA",Tabla1[DILIGENCIAMIENTO DE PARTOGRAMA (NO APLICA EN EXPULSIVO)],"NO APLICA",Tabla1[NIVEL DE COMPLEJIDAD DE LA ATENCION DE LA INSTITUCION DONDE SE ATENDIO EL PARTO],"MEDIANA"),COUNTIFS(Tabla1[AÑO PARTO],$B$4,Tabla1[MES PARTO],E6,Tabla1[SALE DEL PROGRAMA POR],"CESAREA",Tabla1[DILIGENCIAMIENTO DE PARTOGRAMA (NO APLICA EN EXPULSIVO)],"NO APLICA",Tabla1[NIVEL DE COMPLEJIDAD DE LA ATENCION DE LA INSTITUCION DONDE SE ATENDIO EL PARTO],"ALTA")))</f>
        <v>0</v>
      </c>
      <c r="F113" s="206">
        <f>SUM(SUM(COUNTIFS(Tabla1[AÑO PARTO],$B$4,Tabla1[MES PARTO],F6,Tabla1[SALE DEL PROGRAMA POR],"PARTO",Tabla1[NIVEL DE COMPLEJIDAD DE LA ATENCION DE LA INSTITUCION DONDE SE ATENDIO EL PARTO],"MEDIANA"),COUNTIFS(Tabla1[AÑO PARTO],$B$4,Tabla1[MES PARTO],F6,Tabla1[SALE DEL PROGRAMA POR],"PARTO",Tabla1[NIVEL DE COMPLEJIDAD DE LA ATENCION DE LA INSTITUCION DONDE SE ATENDIO EL PARTO],"ALTA"),COUNTIFS(Tabla1[AÑO PARTO],$B$4,Tabla1[MES PARTO],F6,Tabla1[SALE DEL PROGRAMA POR],"CESAREA",Tabla1[NIVEL DE COMPLEJIDAD DE LA ATENCION DE LA INSTITUCION DONDE SE ATENDIO EL PARTO],"MEDIANA"),COUNTIFS(Tabla1[AÑO PARTO],$B$4,Tabla1[MES PARTO],F6,Tabla1[SALE DEL PROGRAMA POR],"CESAREA",Tabla1[NIVEL DE COMPLEJIDAD DE LA ATENCION DE LA INSTITUCION DONDE SE ATENDIO EL PARTO],"ALTA"))-SUM(COUNTIFS(Tabla1[AÑO PARTO],$B$4,Tabla1[MES PARTO],F6,Tabla1[SALE DEL PROGRAMA POR],"PARTO",Tabla1[DILIGENCIAMIENTO DE PARTOGRAMA (NO APLICA EN EXPULSIVO)],"NO APLICA",Tabla1[NIVEL DE COMPLEJIDAD DE LA ATENCION DE LA INSTITUCION DONDE SE ATENDIO EL PARTO],"MEDIANA"),COUNTIFS(Tabla1[AÑO PARTO],$B$4,Tabla1[MES PARTO],F6,Tabla1[SALE DEL PROGRAMA POR],"PARTO",Tabla1[DILIGENCIAMIENTO DE PARTOGRAMA (NO APLICA EN EXPULSIVO)],"NO APLICA",Tabla1[NIVEL DE COMPLEJIDAD DE LA ATENCION DE LA INSTITUCION DONDE SE ATENDIO EL PARTO],"ALTA"),COUNTIFS(Tabla1[AÑO PARTO],$B$4,Tabla1[MES PARTO],F6,Tabla1[SALE DEL PROGRAMA POR],"CESAREA",Tabla1[DILIGENCIAMIENTO DE PARTOGRAMA (NO APLICA EN EXPULSIVO)],"NO APLICA",Tabla1[NIVEL DE COMPLEJIDAD DE LA ATENCION DE LA INSTITUCION DONDE SE ATENDIO EL PARTO],"MEDIANA"),COUNTIFS(Tabla1[AÑO PARTO],$B$4,Tabla1[MES PARTO],F6,Tabla1[SALE DEL PROGRAMA POR],"CESAREA",Tabla1[DILIGENCIAMIENTO DE PARTOGRAMA (NO APLICA EN EXPULSIVO)],"NO APLICA",Tabla1[NIVEL DE COMPLEJIDAD DE LA ATENCION DE LA INSTITUCION DONDE SE ATENDIO EL PARTO],"ALTA")))</f>
        <v>0</v>
      </c>
      <c r="G113" s="206">
        <f>SUM(SUM(COUNTIFS(Tabla1[AÑO PARTO],$B$4,Tabla1[MES PARTO],G6,Tabla1[SALE DEL PROGRAMA POR],"PARTO",Tabla1[NIVEL DE COMPLEJIDAD DE LA ATENCION DE LA INSTITUCION DONDE SE ATENDIO EL PARTO],"MEDIANA"),COUNTIFS(Tabla1[AÑO PARTO],$B$4,Tabla1[MES PARTO],G6,Tabla1[SALE DEL PROGRAMA POR],"PARTO",Tabla1[NIVEL DE COMPLEJIDAD DE LA ATENCION DE LA INSTITUCION DONDE SE ATENDIO EL PARTO],"ALTA"),COUNTIFS(Tabla1[AÑO PARTO],$B$4,Tabla1[MES PARTO],G6,Tabla1[SALE DEL PROGRAMA POR],"CESAREA",Tabla1[NIVEL DE COMPLEJIDAD DE LA ATENCION DE LA INSTITUCION DONDE SE ATENDIO EL PARTO],"MEDIANA"),COUNTIFS(Tabla1[AÑO PARTO],$B$4,Tabla1[MES PARTO],G6,Tabla1[SALE DEL PROGRAMA POR],"CESAREA",Tabla1[NIVEL DE COMPLEJIDAD DE LA ATENCION DE LA INSTITUCION DONDE SE ATENDIO EL PARTO],"ALTA"))-SUM(COUNTIFS(Tabla1[AÑO PARTO],$B$4,Tabla1[MES PARTO],G6,Tabla1[SALE DEL PROGRAMA POR],"PARTO",Tabla1[DILIGENCIAMIENTO DE PARTOGRAMA (NO APLICA EN EXPULSIVO)],"NO APLICA",Tabla1[NIVEL DE COMPLEJIDAD DE LA ATENCION DE LA INSTITUCION DONDE SE ATENDIO EL PARTO],"MEDIANA"),COUNTIFS(Tabla1[AÑO PARTO],$B$4,Tabla1[MES PARTO],G6,Tabla1[SALE DEL PROGRAMA POR],"PARTO",Tabla1[DILIGENCIAMIENTO DE PARTOGRAMA (NO APLICA EN EXPULSIVO)],"NO APLICA",Tabla1[NIVEL DE COMPLEJIDAD DE LA ATENCION DE LA INSTITUCION DONDE SE ATENDIO EL PARTO],"ALTA"),COUNTIFS(Tabla1[AÑO PARTO],$B$4,Tabla1[MES PARTO],G6,Tabla1[SALE DEL PROGRAMA POR],"CESAREA",Tabla1[DILIGENCIAMIENTO DE PARTOGRAMA (NO APLICA EN EXPULSIVO)],"NO APLICA",Tabla1[NIVEL DE COMPLEJIDAD DE LA ATENCION DE LA INSTITUCION DONDE SE ATENDIO EL PARTO],"MEDIANA"),COUNTIFS(Tabla1[AÑO PARTO],$B$4,Tabla1[MES PARTO],G6,Tabla1[SALE DEL PROGRAMA POR],"CESAREA",Tabla1[DILIGENCIAMIENTO DE PARTOGRAMA (NO APLICA EN EXPULSIVO)],"NO APLICA",Tabla1[NIVEL DE COMPLEJIDAD DE LA ATENCION DE LA INSTITUCION DONDE SE ATENDIO EL PARTO],"ALTA")))</f>
        <v>0</v>
      </c>
      <c r="H113" s="206">
        <f>SUM(SUM(COUNTIFS(Tabla1[AÑO PARTO],$B$4,Tabla1[MES PARTO],H6,Tabla1[SALE DEL PROGRAMA POR],"PARTO",Tabla1[NIVEL DE COMPLEJIDAD DE LA ATENCION DE LA INSTITUCION DONDE SE ATENDIO EL PARTO],"MEDIANA"),COUNTIFS(Tabla1[AÑO PARTO],$B$4,Tabla1[MES PARTO],H6,Tabla1[SALE DEL PROGRAMA POR],"PARTO",Tabla1[NIVEL DE COMPLEJIDAD DE LA ATENCION DE LA INSTITUCION DONDE SE ATENDIO EL PARTO],"ALTA"),COUNTIFS(Tabla1[AÑO PARTO],$B$4,Tabla1[MES PARTO],H6,Tabla1[SALE DEL PROGRAMA POR],"CESAREA",Tabla1[NIVEL DE COMPLEJIDAD DE LA ATENCION DE LA INSTITUCION DONDE SE ATENDIO EL PARTO],"MEDIANA"),COUNTIFS(Tabla1[AÑO PARTO],$B$4,Tabla1[MES PARTO],H6,Tabla1[SALE DEL PROGRAMA POR],"CESAREA",Tabla1[NIVEL DE COMPLEJIDAD DE LA ATENCION DE LA INSTITUCION DONDE SE ATENDIO EL PARTO],"ALTA"))-SUM(COUNTIFS(Tabla1[AÑO PARTO],$B$4,Tabla1[MES PARTO],H6,Tabla1[SALE DEL PROGRAMA POR],"PARTO",Tabla1[DILIGENCIAMIENTO DE PARTOGRAMA (NO APLICA EN EXPULSIVO)],"NO APLICA",Tabla1[NIVEL DE COMPLEJIDAD DE LA ATENCION DE LA INSTITUCION DONDE SE ATENDIO EL PARTO],"MEDIANA"),COUNTIFS(Tabla1[AÑO PARTO],$B$4,Tabla1[MES PARTO],H6,Tabla1[SALE DEL PROGRAMA POR],"PARTO",Tabla1[DILIGENCIAMIENTO DE PARTOGRAMA (NO APLICA EN EXPULSIVO)],"NO APLICA",Tabla1[NIVEL DE COMPLEJIDAD DE LA ATENCION DE LA INSTITUCION DONDE SE ATENDIO EL PARTO],"ALTA"),COUNTIFS(Tabla1[AÑO PARTO],$B$4,Tabla1[MES PARTO],H6,Tabla1[SALE DEL PROGRAMA POR],"CESAREA",Tabla1[DILIGENCIAMIENTO DE PARTOGRAMA (NO APLICA EN EXPULSIVO)],"NO APLICA",Tabla1[NIVEL DE COMPLEJIDAD DE LA ATENCION DE LA INSTITUCION DONDE SE ATENDIO EL PARTO],"MEDIANA"),COUNTIFS(Tabla1[AÑO PARTO],$B$4,Tabla1[MES PARTO],H6,Tabla1[SALE DEL PROGRAMA POR],"CESAREA",Tabla1[DILIGENCIAMIENTO DE PARTOGRAMA (NO APLICA EN EXPULSIVO)],"NO APLICA",Tabla1[NIVEL DE COMPLEJIDAD DE LA ATENCION DE LA INSTITUCION DONDE SE ATENDIO EL PARTO],"ALTA")))</f>
        <v>0</v>
      </c>
      <c r="I113" s="206">
        <f>SUM(SUM(COUNTIFS(Tabla1[AÑO PARTO],$B$4,Tabla1[MES PARTO],I6,Tabla1[SALE DEL PROGRAMA POR],"PARTO",Tabla1[NIVEL DE COMPLEJIDAD DE LA ATENCION DE LA INSTITUCION DONDE SE ATENDIO EL PARTO],"MEDIANA"),COUNTIFS(Tabla1[AÑO PARTO],$B$4,Tabla1[MES PARTO],I6,Tabla1[SALE DEL PROGRAMA POR],"PARTO",Tabla1[NIVEL DE COMPLEJIDAD DE LA ATENCION DE LA INSTITUCION DONDE SE ATENDIO EL PARTO],"ALTA"),COUNTIFS(Tabla1[AÑO PARTO],$B$4,Tabla1[MES PARTO],I6,Tabla1[SALE DEL PROGRAMA POR],"CESAREA",Tabla1[NIVEL DE COMPLEJIDAD DE LA ATENCION DE LA INSTITUCION DONDE SE ATENDIO EL PARTO],"MEDIANA"),COUNTIFS(Tabla1[AÑO PARTO],$B$4,Tabla1[MES PARTO],I6,Tabla1[SALE DEL PROGRAMA POR],"CESAREA",Tabla1[NIVEL DE COMPLEJIDAD DE LA ATENCION DE LA INSTITUCION DONDE SE ATENDIO EL PARTO],"ALTA"))-SUM(COUNTIFS(Tabla1[AÑO PARTO],$B$4,Tabla1[MES PARTO],I6,Tabla1[SALE DEL PROGRAMA POR],"PARTO",Tabla1[DILIGENCIAMIENTO DE PARTOGRAMA (NO APLICA EN EXPULSIVO)],"NO APLICA",Tabla1[NIVEL DE COMPLEJIDAD DE LA ATENCION DE LA INSTITUCION DONDE SE ATENDIO EL PARTO],"MEDIANA"),COUNTIFS(Tabla1[AÑO PARTO],$B$4,Tabla1[MES PARTO],I6,Tabla1[SALE DEL PROGRAMA POR],"PARTO",Tabla1[DILIGENCIAMIENTO DE PARTOGRAMA (NO APLICA EN EXPULSIVO)],"NO APLICA",Tabla1[NIVEL DE COMPLEJIDAD DE LA ATENCION DE LA INSTITUCION DONDE SE ATENDIO EL PARTO],"ALTA"),COUNTIFS(Tabla1[AÑO PARTO],$B$4,Tabla1[MES PARTO],I6,Tabla1[SALE DEL PROGRAMA POR],"CESAREA",Tabla1[DILIGENCIAMIENTO DE PARTOGRAMA (NO APLICA EN EXPULSIVO)],"NO APLICA",Tabla1[NIVEL DE COMPLEJIDAD DE LA ATENCION DE LA INSTITUCION DONDE SE ATENDIO EL PARTO],"MEDIANA"),COUNTIFS(Tabla1[AÑO PARTO],$B$4,Tabla1[MES PARTO],I6,Tabla1[SALE DEL PROGRAMA POR],"CESAREA",Tabla1[DILIGENCIAMIENTO DE PARTOGRAMA (NO APLICA EN EXPULSIVO)],"NO APLICA",Tabla1[NIVEL DE COMPLEJIDAD DE LA ATENCION DE LA INSTITUCION DONDE SE ATENDIO EL PARTO],"ALTA")))</f>
        <v>0</v>
      </c>
      <c r="J113" s="206">
        <f>SUM(SUM(COUNTIFS(Tabla1[AÑO PARTO],$B$4,Tabla1[MES PARTO],J6,Tabla1[SALE DEL PROGRAMA POR],"PARTO",Tabla1[NIVEL DE COMPLEJIDAD DE LA ATENCION DE LA INSTITUCION DONDE SE ATENDIO EL PARTO],"MEDIANA"),COUNTIFS(Tabla1[AÑO PARTO],$B$4,Tabla1[MES PARTO],J6,Tabla1[SALE DEL PROGRAMA POR],"PARTO",Tabla1[NIVEL DE COMPLEJIDAD DE LA ATENCION DE LA INSTITUCION DONDE SE ATENDIO EL PARTO],"ALTA"),COUNTIFS(Tabla1[AÑO PARTO],$B$4,Tabla1[MES PARTO],J6,Tabla1[SALE DEL PROGRAMA POR],"CESAREA",Tabla1[NIVEL DE COMPLEJIDAD DE LA ATENCION DE LA INSTITUCION DONDE SE ATENDIO EL PARTO],"MEDIANA"),COUNTIFS(Tabla1[AÑO PARTO],$B$4,Tabla1[MES PARTO],J6,Tabla1[SALE DEL PROGRAMA POR],"CESAREA",Tabla1[NIVEL DE COMPLEJIDAD DE LA ATENCION DE LA INSTITUCION DONDE SE ATENDIO EL PARTO],"ALTA"))-SUM(COUNTIFS(Tabla1[AÑO PARTO],$B$4,Tabla1[MES PARTO],J6,Tabla1[SALE DEL PROGRAMA POR],"PARTO",Tabla1[DILIGENCIAMIENTO DE PARTOGRAMA (NO APLICA EN EXPULSIVO)],"NO APLICA",Tabla1[NIVEL DE COMPLEJIDAD DE LA ATENCION DE LA INSTITUCION DONDE SE ATENDIO EL PARTO],"MEDIANA"),COUNTIFS(Tabla1[AÑO PARTO],$B$4,Tabla1[MES PARTO],J6,Tabla1[SALE DEL PROGRAMA POR],"PARTO",Tabla1[DILIGENCIAMIENTO DE PARTOGRAMA (NO APLICA EN EXPULSIVO)],"NO APLICA",Tabla1[NIVEL DE COMPLEJIDAD DE LA ATENCION DE LA INSTITUCION DONDE SE ATENDIO EL PARTO],"ALTA"),COUNTIFS(Tabla1[AÑO PARTO],$B$4,Tabla1[MES PARTO],J6,Tabla1[SALE DEL PROGRAMA POR],"CESAREA",Tabla1[DILIGENCIAMIENTO DE PARTOGRAMA (NO APLICA EN EXPULSIVO)],"NO APLICA",Tabla1[NIVEL DE COMPLEJIDAD DE LA ATENCION DE LA INSTITUCION DONDE SE ATENDIO EL PARTO],"MEDIANA"),COUNTIFS(Tabla1[AÑO PARTO],$B$4,Tabla1[MES PARTO],J6,Tabla1[SALE DEL PROGRAMA POR],"CESAREA",Tabla1[DILIGENCIAMIENTO DE PARTOGRAMA (NO APLICA EN EXPULSIVO)],"NO APLICA",Tabla1[NIVEL DE COMPLEJIDAD DE LA ATENCION DE LA INSTITUCION DONDE SE ATENDIO EL PARTO],"ALTA")))</f>
        <v>0</v>
      </c>
      <c r="K113" s="206">
        <f>SUM(SUM(COUNTIFS(Tabla1[AÑO PARTO],$B$4,Tabla1[MES PARTO],K6,Tabla1[SALE DEL PROGRAMA POR],"PARTO",Tabla1[NIVEL DE COMPLEJIDAD DE LA ATENCION DE LA INSTITUCION DONDE SE ATENDIO EL PARTO],"MEDIANA"),COUNTIFS(Tabla1[AÑO PARTO],$B$4,Tabla1[MES PARTO],K6,Tabla1[SALE DEL PROGRAMA POR],"PARTO",Tabla1[NIVEL DE COMPLEJIDAD DE LA ATENCION DE LA INSTITUCION DONDE SE ATENDIO EL PARTO],"ALTA"),COUNTIFS(Tabla1[AÑO PARTO],$B$4,Tabla1[MES PARTO],K6,Tabla1[SALE DEL PROGRAMA POR],"CESAREA",Tabla1[NIVEL DE COMPLEJIDAD DE LA ATENCION DE LA INSTITUCION DONDE SE ATENDIO EL PARTO],"MEDIANA"),COUNTIFS(Tabla1[AÑO PARTO],$B$4,Tabla1[MES PARTO],K6,Tabla1[SALE DEL PROGRAMA POR],"CESAREA",Tabla1[NIVEL DE COMPLEJIDAD DE LA ATENCION DE LA INSTITUCION DONDE SE ATENDIO EL PARTO],"ALTA"))-SUM(COUNTIFS(Tabla1[AÑO PARTO],$B$4,Tabla1[MES PARTO],K6,Tabla1[SALE DEL PROGRAMA POR],"PARTO",Tabla1[DILIGENCIAMIENTO DE PARTOGRAMA (NO APLICA EN EXPULSIVO)],"NO APLICA",Tabla1[NIVEL DE COMPLEJIDAD DE LA ATENCION DE LA INSTITUCION DONDE SE ATENDIO EL PARTO],"MEDIANA"),COUNTIFS(Tabla1[AÑO PARTO],$B$4,Tabla1[MES PARTO],K6,Tabla1[SALE DEL PROGRAMA POR],"PARTO",Tabla1[DILIGENCIAMIENTO DE PARTOGRAMA (NO APLICA EN EXPULSIVO)],"NO APLICA",Tabla1[NIVEL DE COMPLEJIDAD DE LA ATENCION DE LA INSTITUCION DONDE SE ATENDIO EL PARTO],"ALTA"),COUNTIFS(Tabla1[AÑO PARTO],$B$4,Tabla1[MES PARTO],K6,Tabla1[SALE DEL PROGRAMA POR],"CESAREA",Tabla1[DILIGENCIAMIENTO DE PARTOGRAMA (NO APLICA EN EXPULSIVO)],"NO APLICA",Tabla1[NIVEL DE COMPLEJIDAD DE LA ATENCION DE LA INSTITUCION DONDE SE ATENDIO EL PARTO],"MEDIANA"),COUNTIFS(Tabla1[AÑO PARTO],$B$4,Tabla1[MES PARTO],K6,Tabla1[SALE DEL PROGRAMA POR],"CESAREA",Tabla1[DILIGENCIAMIENTO DE PARTOGRAMA (NO APLICA EN EXPULSIVO)],"NO APLICA",Tabla1[NIVEL DE COMPLEJIDAD DE LA ATENCION DE LA INSTITUCION DONDE SE ATENDIO EL PARTO],"ALTA")))</f>
        <v>0</v>
      </c>
      <c r="L113" s="206">
        <f>SUM(SUM(COUNTIFS(Tabla1[AÑO PARTO],$B$4,Tabla1[MES PARTO],L6,Tabla1[SALE DEL PROGRAMA POR],"PARTO",Tabla1[NIVEL DE COMPLEJIDAD DE LA ATENCION DE LA INSTITUCION DONDE SE ATENDIO EL PARTO],"MEDIANA"),COUNTIFS(Tabla1[AÑO PARTO],$B$4,Tabla1[MES PARTO],L6,Tabla1[SALE DEL PROGRAMA POR],"PARTO",Tabla1[NIVEL DE COMPLEJIDAD DE LA ATENCION DE LA INSTITUCION DONDE SE ATENDIO EL PARTO],"ALTA"),COUNTIFS(Tabla1[AÑO PARTO],$B$4,Tabla1[MES PARTO],L6,Tabla1[SALE DEL PROGRAMA POR],"CESAREA",Tabla1[NIVEL DE COMPLEJIDAD DE LA ATENCION DE LA INSTITUCION DONDE SE ATENDIO EL PARTO],"MEDIANA"),COUNTIFS(Tabla1[AÑO PARTO],$B$4,Tabla1[MES PARTO],L6,Tabla1[SALE DEL PROGRAMA POR],"CESAREA",Tabla1[NIVEL DE COMPLEJIDAD DE LA ATENCION DE LA INSTITUCION DONDE SE ATENDIO EL PARTO],"ALTA"))-SUM(COUNTIFS(Tabla1[AÑO PARTO],$B$4,Tabla1[MES PARTO],L6,Tabla1[SALE DEL PROGRAMA POR],"PARTO",Tabla1[DILIGENCIAMIENTO DE PARTOGRAMA (NO APLICA EN EXPULSIVO)],"NO APLICA",Tabla1[NIVEL DE COMPLEJIDAD DE LA ATENCION DE LA INSTITUCION DONDE SE ATENDIO EL PARTO],"MEDIANA"),COUNTIFS(Tabla1[AÑO PARTO],$B$4,Tabla1[MES PARTO],L6,Tabla1[SALE DEL PROGRAMA POR],"PARTO",Tabla1[DILIGENCIAMIENTO DE PARTOGRAMA (NO APLICA EN EXPULSIVO)],"NO APLICA",Tabla1[NIVEL DE COMPLEJIDAD DE LA ATENCION DE LA INSTITUCION DONDE SE ATENDIO EL PARTO],"ALTA"),COUNTIFS(Tabla1[AÑO PARTO],$B$4,Tabla1[MES PARTO],L6,Tabla1[SALE DEL PROGRAMA POR],"CESAREA",Tabla1[DILIGENCIAMIENTO DE PARTOGRAMA (NO APLICA EN EXPULSIVO)],"NO APLICA",Tabla1[NIVEL DE COMPLEJIDAD DE LA ATENCION DE LA INSTITUCION DONDE SE ATENDIO EL PARTO],"MEDIANA"),COUNTIFS(Tabla1[AÑO PARTO],$B$4,Tabla1[MES PARTO],L6,Tabla1[SALE DEL PROGRAMA POR],"CESAREA",Tabla1[DILIGENCIAMIENTO DE PARTOGRAMA (NO APLICA EN EXPULSIVO)],"NO APLICA",Tabla1[NIVEL DE COMPLEJIDAD DE LA ATENCION DE LA INSTITUCION DONDE SE ATENDIO EL PARTO],"ALTA")))</f>
        <v>0</v>
      </c>
      <c r="M113" s="206">
        <f>SUM(SUM(COUNTIFS(Tabla1[AÑO PARTO],$B$4,Tabla1[MES PARTO],M6,Tabla1[SALE DEL PROGRAMA POR],"PARTO",Tabla1[NIVEL DE COMPLEJIDAD DE LA ATENCION DE LA INSTITUCION DONDE SE ATENDIO EL PARTO],"MEDIANA"),COUNTIFS(Tabla1[AÑO PARTO],$B$4,Tabla1[MES PARTO],M6,Tabla1[SALE DEL PROGRAMA POR],"PARTO",Tabla1[NIVEL DE COMPLEJIDAD DE LA ATENCION DE LA INSTITUCION DONDE SE ATENDIO EL PARTO],"ALTA"),COUNTIFS(Tabla1[AÑO PARTO],$B$4,Tabla1[MES PARTO],M6,Tabla1[SALE DEL PROGRAMA POR],"CESAREA",Tabla1[NIVEL DE COMPLEJIDAD DE LA ATENCION DE LA INSTITUCION DONDE SE ATENDIO EL PARTO],"MEDIANA"),COUNTIFS(Tabla1[AÑO PARTO],$B$4,Tabla1[MES PARTO],M6,Tabla1[SALE DEL PROGRAMA POR],"CESAREA",Tabla1[NIVEL DE COMPLEJIDAD DE LA ATENCION DE LA INSTITUCION DONDE SE ATENDIO EL PARTO],"ALTA"))-SUM(COUNTIFS(Tabla1[AÑO PARTO],$B$4,Tabla1[MES PARTO],M6,Tabla1[SALE DEL PROGRAMA POR],"PARTO",Tabla1[DILIGENCIAMIENTO DE PARTOGRAMA (NO APLICA EN EXPULSIVO)],"NO APLICA",Tabla1[NIVEL DE COMPLEJIDAD DE LA ATENCION DE LA INSTITUCION DONDE SE ATENDIO EL PARTO],"MEDIANA"),COUNTIFS(Tabla1[AÑO PARTO],$B$4,Tabla1[MES PARTO],M6,Tabla1[SALE DEL PROGRAMA POR],"PARTO",Tabla1[DILIGENCIAMIENTO DE PARTOGRAMA (NO APLICA EN EXPULSIVO)],"NO APLICA",Tabla1[NIVEL DE COMPLEJIDAD DE LA ATENCION DE LA INSTITUCION DONDE SE ATENDIO EL PARTO],"ALTA"),COUNTIFS(Tabla1[AÑO PARTO],$B$4,Tabla1[MES PARTO],M6,Tabla1[SALE DEL PROGRAMA POR],"CESAREA",Tabla1[DILIGENCIAMIENTO DE PARTOGRAMA (NO APLICA EN EXPULSIVO)],"NO APLICA",Tabla1[NIVEL DE COMPLEJIDAD DE LA ATENCION DE LA INSTITUCION DONDE SE ATENDIO EL PARTO],"MEDIANA"),COUNTIFS(Tabla1[AÑO PARTO],$B$4,Tabla1[MES PARTO],M6,Tabla1[SALE DEL PROGRAMA POR],"CESAREA",Tabla1[DILIGENCIAMIENTO DE PARTOGRAMA (NO APLICA EN EXPULSIVO)],"NO APLICA",Tabla1[NIVEL DE COMPLEJIDAD DE LA ATENCION DE LA INSTITUCION DONDE SE ATENDIO EL PARTO],"ALTA")))</f>
        <v>0</v>
      </c>
      <c r="N113" s="116">
        <f>SUM(B113:M113)</f>
        <v>0</v>
      </c>
    </row>
    <row r="114" spans="1:14" ht="39" customHeight="1" thickBot="1" x14ac:dyDescent="0.3">
      <c r="A114" s="210" t="s">
        <v>798</v>
      </c>
      <c r="B114" s="117" t="str">
        <f t="shared" ref="B114:N114" si="37">IF(B$113=0,"",SUM(B112/B$113))</f>
        <v/>
      </c>
      <c r="C114" s="118" t="str">
        <f t="shared" si="37"/>
        <v/>
      </c>
      <c r="D114" s="118" t="str">
        <f t="shared" si="37"/>
        <v/>
      </c>
      <c r="E114" s="118" t="str">
        <f t="shared" si="37"/>
        <v/>
      </c>
      <c r="F114" s="118" t="str">
        <f t="shared" si="37"/>
        <v/>
      </c>
      <c r="G114" s="118" t="str">
        <f t="shared" si="37"/>
        <v/>
      </c>
      <c r="H114" s="118" t="str">
        <f t="shared" si="37"/>
        <v/>
      </c>
      <c r="I114" s="118" t="str">
        <f t="shared" si="37"/>
        <v/>
      </c>
      <c r="J114" s="118" t="str">
        <f t="shared" si="37"/>
        <v/>
      </c>
      <c r="K114" s="118" t="str">
        <f t="shared" si="37"/>
        <v/>
      </c>
      <c r="L114" s="118" t="str">
        <f t="shared" si="37"/>
        <v/>
      </c>
      <c r="M114" s="118" t="str">
        <f t="shared" si="37"/>
        <v/>
      </c>
      <c r="N114" s="211" t="str">
        <f t="shared" si="37"/>
        <v/>
      </c>
    </row>
    <row r="115" spans="1:14" ht="42.75" customHeight="1" thickBot="1" x14ac:dyDescent="0.3">
      <c r="A115" s="194" t="s">
        <v>753</v>
      </c>
      <c r="B115" s="208">
        <f>COUNTIFS(Tabla1[AÑO PARTO],$B$4,Tabla1[MES PARTO],B6,Tabla1[SALE DEL PROGRAMA POR],"PARTO",Tabla1[NIVEL DE COMPLEJIDAD DE LA ATENCION DE LA INSTITUCION DONDE SE ATENDIO EL PARTO],"BAJA",Tabla1[MANEJO ACTIVO DEL TERCER PERIODO DEL PARTO (USO OXITOCINA,MASAJE UTERINO Y TRACCIÓN SOSTENIDA DE CORDÓN)2],"SI")</f>
        <v>0</v>
      </c>
      <c r="C115" s="195">
        <f>COUNTIFS(Tabla1[AÑO PARTO],$B$4,Tabla1[MES PARTO],C6,Tabla1[SALE DEL PROGRAMA POR],"PARTO",Tabla1[NIVEL DE COMPLEJIDAD DE LA ATENCION DE LA INSTITUCION DONDE SE ATENDIO EL PARTO],"BAJA",Tabla1[MANEJO ACTIVO DEL TERCER PERIODO DEL PARTO (USO OXITOCINA,MASAJE UTERINO Y TRACCIÓN SOSTENIDA DE CORDÓN)2],"SI")</f>
        <v>0</v>
      </c>
      <c r="D115" s="195">
        <f>COUNTIFS(Tabla1[AÑO PARTO],$B$4,Tabla1[MES PARTO],D6,Tabla1[SALE DEL PROGRAMA POR],"PARTO",Tabla1[NIVEL DE COMPLEJIDAD DE LA ATENCION DE LA INSTITUCION DONDE SE ATENDIO EL PARTO],"BAJA",Tabla1[MANEJO ACTIVO DEL TERCER PERIODO DEL PARTO (USO OXITOCINA,MASAJE UTERINO Y TRACCIÓN SOSTENIDA DE CORDÓN)2],"SI")</f>
        <v>0</v>
      </c>
      <c r="E115" s="195">
        <f>COUNTIFS(Tabla1[AÑO PARTO],$B$4,Tabla1[MES PARTO],E6,Tabla1[SALE DEL PROGRAMA POR],"PARTO",Tabla1[NIVEL DE COMPLEJIDAD DE LA ATENCION DE LA INSTITUCION DONDE SE ATENDIO EL PARTO],"BAJA",Tabla1[MANEJO ACTIVO DEL TERCER PERIODO DEL PARTO (USO OXITOCINA,MASAJE UTERINO Y TRACCIÓN SOSTENIDA DE CORDÓN)2],"SI")</f>
        <v>0</v>
      </c>
      <c r="F115" s="195">
        <f>COUNTIFS(Tabla1[AÑO PARTO],$B$4,Tabla1[MES PARTO],F6,Tabla1[SALE DEL PROGRAMA POR],"PARTO",Tabla1[NIVEL DE COMPLEJIDAD DE LA ATENCION DE LA INSTITUCION DONDE SE ATENDIO EL PARTO],"BAJA",Tabla1[MANEJO ACTIVO DEL TERCER PERIODO DEL PARTO (USO OXITOCINA,MASAJE UTERINO Y TRACCIÓN SOSTENIDA DE CORDÓN)2],"SI")</f>
        <v>0</v>
      </c>
      <c r="G115" s="195">
        <f>COUNTIFS(Tabla1[AÑO PARTO],$B$4,Tabla1[MES PARTO],G6,Tabla1[SALE DEL PROGRAMA POR],"PARTO",Tabla1[NIVEL DE COMPLEJIDAD DE LA ATENCION DE LA INSTITUCION DONDE SE ATENDIO EL PARTO],"BAJA",Tabla1[MANEJO ACTIVO DEL TERCER PERIODO DEL PARTO (USO OXITOCINA,MASAJE UTERINO Y TRACCIÓN SOSTENIDA DE CORDÓN)2],"SI")</f>
        <v>0</v>
      </c>
      <c r="H115" s="195">
        <f>COUNTIFS(Tabla1[AÑO PARTO],$B$4,Tabla1[MES PARTO],H6,Tabla1[SALE DEL PROGRAMA POR],"PARTO",Tabla1[NIVEL DE COMPLEJIDAD DE LA ATENCION DE LA INSTITUCION DONDE SE ATENDIO EL PARTO],"BAJA",Tabla1[MANEJO ACTIVO DEL TERCER PERIODO DEL PARTO (USO OXITOCINA,MASAJE UTERINO Y TRACCIÓN SOSTENIDA DE CORDÓN)2],"SI")</f>
        <v>0</v>
      </c>
      <c r="I115" s="195">
        <f>COUNTIFS(Tabla1[AÑO PARTO],$B$4,Tabla1[MES PARTO],I6,Tabla1[SALE DEL PROGRAMA POR],"PARTO",Tabla1[NIVEL DE COMPLEJIDAD DE LA ATENCION DE LA INSTITUCION DONDE SE ATENDIO EL PARTO],"BAJA",Tabla1[MANEJO ACTIVO DEL TERCER PERIODO DEL PARTO (USO OXITOCINA,MASAJE UTERINO Y TRACCIÓN SOSTENIDA DE CORDÓN)2],"SI")</f>
        <v>0</v>
      </c>
      <c r="J115" s="195">
        <f>COUNTIFS(Tabla1[AÑO PARTO],$B$4,Tabla1[MES PARTO],J6,Tabla1[SALE DEL PROGRAMA POR],"PARTO",Tabla1[NIVEL DE COMPLEJIDAD DE LA ATENCION DE LA INSTITUCION DONDE SE ATENDIO EL PARTO],"BAJA",Tabla1[MANEJO ACTIVO DEL TERCER PERIODO DEL PARTO (USO OXITOCINA,MASAJE UTERINO Y TRACCIÓN SOSTENIDA DE CORDÓN)2],"SI")</f>
        <v>0</v>
      </c>
      <c r="K115" s="195">
        <f>COUNTIFS(Tabla1[AÑO PARTO],$B$4,Tabla1[MES PARTO],K6,Tabla1[SALE DEL PROGRAMA POR],"PARTO",Tabla1[NIVEL DE COMPLEJIDAD DE LA ATENCION DE LA INSTITUCION DONDE SE ATENDIO EL PARTO],"BAJA",Tabla1[MANEJO ACTIVO DEL TERCER PERIODO DEL PARTO (USO OXITOCINA,MASAJE UTERINO Y TRACCIÓN SOSTENIDA DE CORDÓN)2],"SI")</f>
        <v>0</v>
      </c>
      <c r="L115" s="195">
        <f>COUNTIFS(Tabla1[AÑO PARTO],$B$4,Tabla1[MES PARTO],L6,Tabla1[SALE DEL PROGRAMA POR],"PARTO",Tabla1[NIVEL DE COMPLEJIDAD DE LA ATENCION DE LA INSTITUCION DONDE SE ATENDIO EL PARTO],"BAJA",Tabla1[MANEJO ACTIVO DEL TERCER PERIODO DEL PARTO (USO OXITOCINA,MASAJE UTERINO Y TRACCIÓN SOSTENIDA DE CORDÓN)2],"SI")</f>
        <v>0</v>
      </c>
      <c r="M115" s="195">
        <f>COUNTIFS(Tabla1[AÑO PARTO],$B$4,Tabla1[MES PARTO],M6,Tabla1[SALE DEL PROGRAMA POR],"PARTO",Tabla1[NIVEL DE COMPLEJIDAD DE LA ATENCION DE LA INSTITUCION DONDE SE ATENDIO EL PARTO],"BAJA",Tabla1[MANEJO ACTIVO DEL TERCER PERIODO DEL PARTO (USO OXITOCINA,MASAJE UTERINO Y TRACCIÓN SOSTENIDA DE CORDÓN)2],"SI")</f>
        <v>0</v>
      </c>
      <c r="N115" s="209">
        <f>SUM(B115:M115)</f>
        <v>0</v>
      </c>
    </row>
    <row r="116" spans="1:14" ht="42.75" customHeight="1" thickBot="1" x14ac:dyDescent="0.3">
      <c r="A116" s="217" t="s">
        <v>771</v>
      </c>
      <c r="B116" s="208" t="str">
        <f>IF(B$102=0,"",SUM(B115/B$102))</f>
        <v/>
      </c>
      <c r="C116" s="195" t="str">
        <f t="shared" ref="C116:N116" si="38">IF(C$102=0,"",SUM(C115/C$102))</f>
        <v/>
      </c>
      <c r="D116" s="195" t="str">
        <f t="shared" si="38"/>
        <v/>
      </c>
      <c r="E116" s="195" t="str">
        <f t="shared" si="38"/>
        <v/>
      </c>
      <c r="F116" s="195" t="str">
        <f t="shared" si="38"/>
        <v/>
      </c>
      <c r="G116" s="195" t="str">
        <f t="shared" si="38"/>
        <v/>
      </c>
      <c r="H116" s="195" t="str">
        <f t="shared" si="38"/>
        <v/>
      </c>
      <c r="I116" s="195" t="str">
        <f t="shared" si="38"/>
        <v/>
      </c>
      <c r="J116" s="195" t="str">
        <f t="shared" si="38"/>
        <v/>
      </c>
      <c r="K116" s="195" t="str">
        <f t="shared" si="38"/>
        <v/>
      </c>
      <c r="L116" s="195" t="str">
        <f t="shared" si="38"/>
        <v/>
      </c>
      <c r="M116" s="195" t="str">
        <f t="shared" si="38"/>
        <v/>
      </c>
      <c r="N116" s="209" t="str">
        <f t="shared" si="38"/>
        <v/>
      </c>
    </row>
    <row r="117" spans="1:14" ht="42.75" customHeight="1" thickBot="1" x14ac:dyDescent="0.3">
      <c r="A117" s="194" t="s">
        <v>754</v>
      </c>
      <c r="B117" s="208">
        <f>SUM(COUNTIFS(Tabla1[AÑO PARTO],$B$4,Tabla1[MES PARTO],B6,Tabla1[NIVEL DE COMPLEJIDAD DE LA ATENCION DE LA INSTITUCION DONDE SE ATENDIO EL PARTO],"MEDIANA",Tabla1[MANEJO ACTIVO DEL TERCER PERIODO DEL PARTO (USO OXITOCINA,MASAJE UTERINO Y TRACCIÓN SOSTENIDA DE CORDÓN)2],"SI" ),COUNTIFS(Tabla1[AÑO PARTO],$B$4,Tabla1[MES PARTO],B6,Tabla1[NIVEL DE COMPLEJIDAD DE LA ATENCION DE LA INSTITUCION DONDE SE ATENDIO EL PARTO],"ALTA",Tabla1[MANEJO ACTIVO DEL TERCER PERIODO DEL PARTO (USO OXITOCINA,MASAJE UTERINO Y TRACCIÓN SOSTENIDA DE CORDÓN)2],"SI"))</f>
        <v>0</v>
      </c>
      <c r="C117" s="212">
        <f>SUM(COUNTIFS(Tabla1[AÑO PARTO],$B$4,Tabla1[MES PARTO],C6,Tabla1[NIVEL DE COMPLEJIDAD DE LA ATENCION DE LA INSTITUCION DONDE SE ATENDIO EL PARTO],"MEDIANA",Tabla1[MANEJO ACTIVO DEL TERCER PERIODO DEL PARTO (USO OXITOCINA,MASAJE UTERINO Y TRACCIÓN SOSTENIDA DE CORDÓN)2],"SI" ),COUNTIFS(Tabla1[AÑO PARTO],$B$4,Tabla1[MES PARTO],C6,Tabla1[NIVEL DE COMPLEJIDAD DE LA ATENCION DE LA INSTITUCION DONDE SE ATENDIO EL PARTO],"ALTA",Tabla1[MANEJO ACTIVO DEL TERCER PERIODO DEL PARTO (USO OXITOCINA,MASAJE UTERINO Y TRACCIÓN SOSTENIDA DE CORDÓN)2],"SI"))</f>
        <v>0</v>
      </c>
      <c r="D117" s="212">
        <f>SUM(COUNTIFS(Tabla1[AÑO PARTO],$B$4,Tabla1[MES PARTO],D6,Tabla1[NIVEL DE COMPLEJIDAD DE LA ATENCION DE LA INSTITUCION DONDE SE ATENDIO EL PARTO],"MEDIANA",Tabla1[MANEJO ACTIVO DEL TERCER PERIODO DEL PARTO (USO OXITOCINA,MASAJE UTERINO Y TRACCIÓN SOSTENIDA DE CORDÓN)2],"SI" ),COUNTIFS(Tabla1[AÑO PARTO],$B$4,Tabla1[MES PARTO],D6,Tabla1[NIVEL DE COMPLEJIDAD DE LA ATENCION DE LA INSTITUCION DONDE SE ATENDIO EL PARTO],"ALTA",Tabla1[MANEJO ACTIVO DEL TERCER PERIODO DEL PARTO (USO OXITOCINA,MASAJE UTERINO Y TRACCIÓN SOSTENIDA DE CORDÓN)2],"SI"))</f>
        <v>0</v>
      </c>
      <c r="E117" s="212">
        <f>SUM(COUNTIFS(Tabla1[AÑO PARTO],$B$4,Tabla1[MES PARTO],E6,Tabla1[NIVEL DE COMPLEJIDAD DE LA ATENCION DE LA INSTITUCION DONDE SE ATENDIO EL PARTO],"MEDIANA",Tabla1[MANEJO ACTIVO DEL TERCER PERIODO DEL PARTO (USO OXITOCINA,MASAJE UTERINO Y TRACCIÓN SOSTENIDA DE CORDÓN)2],"SI" ),COUNTIFS(Tabla1[AÑO PARTO],$B$4,Tabla1[MES PARTO],E6,Tabla1[NIVEL DE COMPLEJIDAD DE LA ATENCION DE LA INSTITUCION DONDE SE ATENDIO EL PARTO],"ALTA",Tabla1[MANEJO ACTIVO DEL TERCER PERIODO DEL PARTO (USO OXITOCINA,MASAJE UTERINO Y TRACCIÓN SOSTENIDA DE CORDÓN)2],"SI"))</f>
        <v>0</v>
      </c>
      <c r="F117" s="212">
        <f>SUM(COUNTIFS(Tabla1[AÑO PARTO],$B$4,Tabla1[MES PARTO],F6,Tabla1[NIVEL DE COMPLEJIDAD DE LA ATENCION DE LA INSTITUCION DONDE SE ATENDIO EL PARTO],"MEDIANA",Tabla1[MANEJO ACTIVO DEL TERCER PERIODO DEL PARTO (USO OXITOCINA,MASAJE UTERINO Y TRACCIÓN SOSTENIDA DE CORDÓN)2],"SI" ),COUNTIFS(Tabla1[AÑO PARTO],$B$4,Tabla1[MES PARTO],F6,Tabla1[NIVEL DE COMPLEJIDAD DE LA ATENCION DE LA INSTITUCION DONDE SE ATENDIO EL PARTO],"ALTA",Tabla1[MANEJO ACTIVO DEL TERCER PERIODO DEL PARTO (USO OXITOCINA,MASAJE UTERINO Y TRACCIÓN SOSTENIDA DE CORDÓN)2],"SI"))</f>
        <v>0</v>
      </c>
      <c r="G117" s="212">
        <f>SUM(COUNTIFS(Tabla1[AÑO PARTO],$B$4,Tabla1[MES PARTO],G6,Tabla1[NIVEL DE COMPLEJIDAD DE LA ATENCION DE LA INSTITUCION DONDE SE ATENDIO EL PARTO],"MEDIANA",Tabla1[MANEJO ACTIVO DEL TERCER PERIODO DEL PARTO (USO OXITOCINA,MASAJE UTERINO Y TRACCIÓN SOSTENIDA DE CORDÓN)2],"SI" ),COUNTIFS(Tabla1[AÑO PARTO],$B$4,Tabla1[MES PARTO],G6,Tabla1[NIVEL DE COMPLEJIDAD DE LA ATENCION DE LA INSTITUCION DONDE SE ATENDIO EL PARTO],"ALTA",Tabla1[MANEJO ACTIVO DEL TERCER PERIODO DEL PARTO (USO OXITOCINA,MASAJE UTERINO Y TRACCIÓN SOSTENIDA DE CORDÓN)2],"SI"))</f>
        <v>0</v>
      </c>
      <c r="H117" s="212">
        <f>SUM(COUNTIFS(Tabla1[AÑO PARTO],$B$4,Tabla1[MES PARTO],H6,Tabla1[NIVEL DE COMPLEJIDAD DE LA ATENCION DE LA INSTITUCION DONDE SE ATENDIO EL PARTO],"MEDIANA",Tabla1[MANEJO ACTIVO DEL TERCER PERIODO DEL PARTO (USO OXITOCINA,MASAJE UTERINO Y TRACCIÓN SOSTENIDA DE CORDÓN)2],"SI" ),COUNTIFS(Tabla1[AÑO PARTO],$B$4,Tabla1[MES PARTO],H6,Tabla1[NIVEL DE COMPLEJIDAD DE LA ATENCION DE LA INSTITUCION DONDE SE ATENDIO EL PARTO],"ALTA",Tabla1[MANEJO ACTIVO DEL TERCER PERIODO DEL PARTO (USO OXITOCINA,MASAJE UTERINO Y TRACCIÓN SOSTENIDA DE CORDÓN)2],"SI"))</f>
        <v>0</v>
      </c>
      <c r="I117" s="212">
        <f>SUM(COUNTIFS(Tabla1[AÑO PARTO],$B$4,Tabla1[MES PARTO],I6,Tabla1[NIVEL DE COMPLEJIDAD DE LA ATENCION DE LA INSTITUCION DONDE SE ATENDIO EL PARTO],"MEDIANA",Tabla1[MANEJO ACTIVO DEL TERCER PERIODO DEL PARTO (USO OXITOCINA,MASAJE UTERINO Y TRACCIÓN SOSTENIDA DE CORDÓN)2],"SI" ),COUNTIFS(Tabla1[AÑO PARTO],$B$4,Tabla1[MES PARTO],I6,Tabla1[NIVEL DE COMPLEJIDAD DE LA ATENCION DE LA INSTITUCION DONDE SE ATENDIO EL PARTO],"ALTA",Tabla1[MANEJO ACTIVO DEL TERCER PERIODO DEL PARTO (USO OXITOCINA,MASAJE UTERINO Y TRACCIÓN SOSTENIDA DE CORDÓN)2],"SI"))</f>
        <v>0</v>
      </c>
      <c r="J117" s="212">
        <f>SUM(COUNTIFS(Tabla1[AÑO PARTO],$B$4,Tabla1[MES PARTO],J6,Tabla1[NIVEL DE COMPLEJIDAD DE LA ATENCION DE LA INSTITUCION DONDE SE ATENDIO EL PARTO],"MEDIANA",Tabla1[MANEJO ACTIVO DEL TERCER PERIODO DEL PARTO (USO OXITOCINA,MASAJE UTERINO Y TRACCIÓN SOSTENIDA DE CORDÓN)2],"SI" ),COUNTIFS(Tabla1[AÑO PARTO],$B$4,Tabla1[MES PARTO],J6,Tabla1[NIVEL DE COMPLEJIDAD DE LA ATENCION DE LA INSTITUCION DONDE SE ATENDIO EL PARTO],"ALTA",Tabla1[MANEJO ACTIVO DEL TERCER PERIODO DEL PARTO (USO OXITOCINA,MASAJE UTERINO Y TRACCIÓN SOSTENIDA DE CORDÓN)2],"SI"))</f>
        <v>0</v>
      </c>
      <c r="K117" s="212">
        <f>SUM(COUNTIFS(Tabla1[AÑO PARTO],$B$4,Tabla1[MES PARTO],K6,Tabla1[NIVEL DE COMPLEJIDAD DE LA ATENCION DE LA INSTITUCION DONDE SE ATENDIO EL PARTO],"MEDIANA",Tabla1[MANEJO ACTIVO DEL TERCER PERIODO DEL PARTO (USO OXITOCINA,MASAJE UTERINO Y TRACCIÓN SOSTENIDA DE CORDÓN)2],"SI" ),COUNTIFS(Tabla1[AÑO PARTO],$B$4,Tabla1[MES PARTO],K6,Tabla1[NIVEL DE COMPLEJIDAD DE LA ATENCION DE LA INSTITUCION DONDE SE ATENDIO EL PARTO],"ALTA",Tabla1[MANEJO ACTIVO DEL TERCER PERIODO DEL PARTO (USO OXITOCINA,MASAJE UTERINO Y TRACCIÓN SOSTENIDA DE CORDÓN)2],"SI"))</f>
        <v>0</v>
      </c>
      <c r="L117" s="212">
        <f>SUM(COUNTIFS(Tabla1[AÑO PARTO],$B$4,Tabla1[MES PARTO],L6,Tabla1[NIVEL DE COMPLEJIDAD DE LA ATENCION DE LA INSTITUCION DONDE SE ATENDIO EL PARTO],"MEDIANA",Tabla1[MANEJO ACTIVO DEL TERCER PERIODO DEL PARTO (USO OXITOCINA,MASAJE UTERINO Y TRACCIÓN SOSTENIDA DE CORDÓN)2],"SI" ),COUNTIFS(Tabla1[AÑO PARTO],$B$4,Tabla1[MES PARTO],L6,Tabla1[NIVEL DE COMPLEJIDAD DE LA ATENCION DE LA INSTITUCION DONDE SE ATENDIO EL PARTO],"ALTA",Tabla1[MANEJO ACTIVO DEL TERCER PERIODO DEL PARTO (USO OXITOCINA,MASAJE UTERINO Y TRACCIÓN SOSTENIDA DE CORDÓN)2],"SI"))</f>
        <v>0</v>
      </c>
      <c r="M117" s="212">
        <f>SUM(COUNTIFS(Tabla1[AÑO PARTO],$B$4,Tabla1[MES PARTO],M6,Tabla1[NIVEL DE COMPLEJIDAD DE LA ATENCION DE LA INSTITUCION DONDE SE ATENDIO EL PARTO],"MEDIANA",Tabla1[MANEJO ACTIVO DEL TERCER PERIODO DEL PARTO (USO OXITOCINA,MASAJE UTERINO Y TRACCIÓN SOSTENIDA DE CORDÓN)2],"SI" ),COUNTIFS(Tabla1[AÑO PARTO],$B$4,Tabla1[MES PARTO],M6,Tabla1[NIVEL DE COMPLEJIDAD DE LA ATENCION DE LA INSTITUCION DONDE SE ATENDIO EL PARTO],"ALTA",Tabla1[MANEJO ACTIVO DEL TERCER PERIODO DEL PARTO (USO OXITOCINA,MASAJE UTERINO Y TRACCIÓN SOSTENIDA DE CORDÓN)2],"SI"))</f>
        <v>0</v>
      </c>
      <c r="N117" s="209">
        <f>SUM(B117:M117)</f>
        <v>0</v>
      </c>
    </row>
    <row r="118" spans="1:14" ht="42.75" customHeight="1" thickBot="1" x14ac:dyDescent="0.3">
      <c r="A118" s="210" t="s">
        <v>755</v>
      </c>
      <c r="B118" s="208" t="str">
        <f t="shared" ref="B118:N118" si="39">IF(B$107=0,"",SUM(B117/B$107))</f>
        <v/>
      </c>
      <c r="C118" s="195" t="str">
        <f t="shared" si="39"/>
        <v/>
      </c>
      <c r="D118" s="195" t="str">
        <f t="shared" si="39"/>
        <v/>
      </c>
      <c r="E118" s="195" t="str">
        <f t="shared" si="39"/>
        <v/>
      </c>
      <c r="F118" s="195" t="str">
        <f t="shared" si="39"/>
        <v/>
      </c>
      <c r="G118" s="195" t="str">
        <f t="shared" si="39"/>
        <v/>
      </c>
      <c r="H118" s="195" t="str">
        <f t="shared" si="39"/>
        <v/>
      </c>
      <c r="I118" s="195" t="str">
        <f t="shared" si="39"/>
        <v/>
      </c>
      <c r="J118" s="195" t="str">
        <f t="shared" si="39"/>
        <v/>
      </c>
      <c r="K118" s="195" t="str">
        <f t="shared" si="39"/>
        <v/>
      </c>
      <c r="L118" s="195" t="str">
        <f t="shared" si="39"/>
        <v/>
      </c>
      <c r="M118" s="195" t="str">
        <f t="shared" si="39"/>
        <v/>
      </c>
      <c r="N118" s="209" t="str">
        <f t="shared" si="39"/>
        <v/>
      </c>
    </row>
    <row r="119" spans="1:14" ht="42.75" customHeight="1" thickBot="1" x14ac:dyDescent="0.3">
      <c r="A119" s="194" t="s">
        <v>830</v>
      </c>
      <c r="B119" s="208">
        <f>COUNTIFS(Tabla1[AÑO PARTO],$B$4,Tabla1[MES PARTO],B6,Tabla1[SALE DEL PROGRAMA POR],"PARTO",Tabla1[NIVEL DE COMPLEJIDAD DE LA ATENCION DE LA INSTITUCION DONDE SE ATENDIO EL PARTO],"BAJA",Tabla1[MONITORIA CADA 15 MINUTOS DE SIGNOS VITALES DURANTES LAS PRIMERAS DOS HORAS POSTPARTO (SOPORTE EN HC - 8 VALORACIONES EN LAS PRIMERAS 2 HORAS)],"SI")</f>
        <v>0</v>
      </c>
      <c r="C119" s="212">
        <f>COUNTIFS(Tabla1[AÑO PARTO],$B$4,Tabla1[MES PARTO],C6,Tabla1[SALE DEL PROGRAMA POR],"PARTO",Tabla1[NIVEL DE COMPLEJIDAD DE LA ATENCION DE LA INSTITUCION DONDE SE ATENDIO EL PARTO],"BAJA",Tabla1[MONITORIA CADA 15 MINUTOS DE SIGNOS VITALES DURANTES LAS PRIMERAS DOS HORAS POSTPARTO (SOPORTE EN HC - 8 VALORACIONES EN LAS PRIMERAS 2 HORAS)],"SI")</f>
        <v>0</v>
      </c>
      <c r="D119" s="212">
        <f>COUNTIFS(Tabla1[AÑO PARTO],$B$4,Tabla1[MES PARTO],D6,Tabla1[SALE DEL PROGRAMA POR],"PARTO",Tabla1[NIVEL DE COMPLEJIDAD DE LA ATENCION DE LA INSTITUCION DONDE SE ATENDIO EL PARTO],"BAJA",Tabla1[MONITORIA CADA 15 MINUTOS DE SIGNOS VITALES DURANTES LAS PRIMERAS DOS HORAS POSTPARTO (SOPORTE EN HC - 8 VALORACIONES EN LAS PRIMERAS 2 HORAS)],"SI")</f>
        <v>0</v>
      </c>
      <c r="E119" s="212">
        <f>COUNTIFS(Tabla1[AÑO PARTO],$B$4,Tabla1[MES PARTO],E6,Tabla1[SALE DEL PROGRAMA POR],"PARTO",Tabla1[NIVEL DE COMPLEJIDAD DE LA ATENCION DE LA INSTITUCION DONDE SE ATENDIO EL PARTO],"BAJA",Tabla1[MONITORIA CADA 15 MINUTOS DE SIGNOS VITALES DURANTES LAS PRIMERAS DOS HORAS POSTPARTO (SOPORTE EN HC - 8 VALORACIONES EN LAS PRIMERAS 2 HORAS)],"SI")</f>
        <v>0</v>
      </c>
      <c r="F119" s="212">
        <f>COUNTIFS(Tabla1[AÑO PARTO],$B$4,Tabla1[MES PARTO],F6,Tabla1[SALE DEL PROGRAMA POR],"PARTO",Tabla1[NIVEL DE COMPLEJIDAD DE LA ATENCION DE LA INSTITUCION DONDE SE ATENDIO EL PARTO],"BAJA",Tabla1[MONITORIA CADA 15 MINUTOS DE SIGNOS VITALES DURANTES LAS PRIMERAS DOS HORAS POSTPARTO (SOPORTE EN HC - 8 VALORACIONES EN LAS PRIMERAS 2 HORAS)],"SI")</f>
        <v>0</v>
      </c>
      <c r="G119" s="212">
        <f>COUNTIFS(Tabla1[AÑO PARTO],$B$4,Tabla1[MES PARTO],G6,Tabla1[SALE DEL PROGRAMA POR],"PARTO",Tabla1[NIVEL DE COMPLEJIDAD DE LA ATENCION DE LA INSTITUCION DONDE SE ATENDIO EL PARTO],"BAJA",Tabla1[MONITORIA CADA 15 MINUTOS DE SIGNOS VITALES DURANTES LAS PRIMERAS DOS HORAS POSTPARTO (SOPORTE EN HC - 8 VALORACIONES EN LAS PRIMERAS 2 HORAS)],"SI")</f>
        <v>0</v>
      </c>
      <c r="H119" s="212">
        <f>COUNTIFS(Tabla1[AÑO PARTO],$B$4,Tabla1[MES PARTO],H6,Tabla1[SALE DEL PROGRAMA POR],"PARTO",Tabla1[NIVEL DE COMPLEJIDAD DE LA ATENCION DE LA INSTITUCION DONDE SE ATENDIO EL PARTO],"BAJA",Tabla1[MONITORIA CADA 15 MINUTOS DE SIGNOS VITALES DURANTES LAS PRIMERAS DOS HORAS POSTPARTO (SOPORTE EN HC - 8 VALORACIONES EN LAS PRIMERAS 2 HORAS)],"SI")</f>
        <v>0</v>
      </c>
      <c r="I119" s="212">
        <f>COUNTIFS(Tabla1[AÑO PARTO],$B$4,Tabla1[MES PARTO],I6,Tabla1[SALE DEL PROGRAMA POR],"PARTO",Tabla1[NIVEL DE COMPLEJIDAD DE LA ATENCION DE LA INSTITUCION DONDE SE ATENDIO EL PARTO],"BAJA",Tabla1[MONITORIA CADA 15 MINUTOS DE SIGNOS VITALES DURANTES LAS PRIMERAS DOS HORAS POSTPARTO (SOPORTE EN HC - 8 VALORACIONES EN LAS PRIMERAS 2 HORAS)],"SI")</f>
        <v>0</v>
      </c>
      <c r="J119" s="212">
        <f>COUNTIFS(Tabla1[AÑO PARTO],$B$4,Tabla1[MES PARTO],J6,Tabla1[SALE DEL PROGRAMA POR],"PARTO",Tabla1[NIVEL DE COMPLEJIDAD DE LA ATENCION DE LA INSTITUCION DONDE SE ATENDIO EL PARTO],"BAJA",Tabla1[MONITORIA CADA 15 MINUTOS DE SIGNOS VITALES DURANTES LAS PRIMERAS DOS HORAS POSTPARTO (SOPORTE EN HC - 8 VALORACIONES EN LAS PRIMERAS 2 HORAS)],"SI")</f>
        <v>0</v>
      </c>
      <c r="K119" s="212">
        <f>COUNTIFS(Tabla1[AÑO PARTO],$B$4,Tabla1[MES PARTO],K6,Tabla1[SALE DEL PROGRAMA POR],"PARTO",Tabla1[NIVEL DE COMPLEJIDAD DE LA ATENCION DE LA INSTITUCION DONDE SE ATENDIO EL PARTO],"BAJA",Tabla1[MONITORIA CADA 15 MINUTOS DE SIGNOS VITALES DURANTES LAS PRIMERAS DOS HORAS POSTPARTO (SOPORTE EN HC - 8 VALORACIONES EN LAS PRIMERAS 2 HORAS)],"SI")</f>
        <v>0</v>
      </c>
      <c r="L119" s="212">
        <f>COUNTIFS(Tabla1[AÑO PARTO],$B$4,Tabla1[MES PARTO],L6,Tabla1[SALE DEL PROGRAMA POR],"PARTO",Tabla1[NIVEL DE COMPLEJIDAD DE LA ATENCION DE LA INSTITUCION DONDE SE ATENDIO EL PARTO],"BAJA",Tabla1[MONITORIA CADA 15 MINUTOS DE SIGNOS VITALES DURANTES LAS PRIMERAS DOS HORAS POSTPARTO (SOPORTE EN HC - 8 VALORACIONES EN LAS PRIMERAS 2 HORAS)],"SI")</f>
        <v>0</v>
      </c>
      <c r="M119" s="212">
        <f>COUNTIFS(Tabla1[AÑO PARTO],$B$4,Tabla1[MES PARTO],M6,Tabla1[SALE DEL PROGRAMA POR],"PARTO",Tabla1[NIVEL DE COMPLEJIDAD DE LA ATENCION DE LA INSTITUCION DONDE SE ATENDIO EL PARTO],"BAJA",Tabla1[MONITORIA CADA 15 MINUTOS DE SIGNOS VITALES DURANTES LAS PRIMERAS DOS HORAS POSTPARTO (SOPORTE EN HC - 8 VALORACIONES EN LAS PRIMERAS 2 HORAS)],"SI")</f>
        <v>0</v>
      </c>
      <c r="N119" s="209">
        <f>SUM(B119:M119)</f>
        <v>0</v>
      </c>
    </row>
    <row r="120" spans="1:14" ht="42.75" customHeight="1" thickBot="1" x14ac:dyDescent="0.3">
      <c r="A120" s="217" t="s">
        <v>828</v>
      </c>
      <c r="B120" s="208" t="str">
        <f t="shared" ref="B120:N120" si="40">IF(B$102=0,"",SUM(B119/B$102))</f>
        <v/>
      </c>
      <c r="C120" s="195" t="str">
        <f t="shared" si="40"/>
        <v/>
      </c>
      <c r="D120" s="195" t="str">
        <f t="shared" si="40"/>
        <v/>
      </c>
      <c r="E120" s="195" t="str">
        <f t="shared" si="40"/>
        <v/>
      </c>
      <c r="F120" s="195" t="str">
        <f t="shared" si="40"/>
        <v/>
      </c>
      <c r="G120" s="195" t="str">
        <f t="shared" si="40"/>
        <v/>
      </c>
      <c r="H120" s="195" t="str">
        <f t="shared" si="40"/>
        <v/>
      </c>
      <c r="I120" s="195" t="str">
        <f t="shared" si="40"/>
        <v/>
      </c>
      <c r="J120" s="195" t="str">
        <f t="shared" si="40"/>
        <v/>
      </c>
      <c r="K120" s="195" t="str">
        <f t="shared" si="40"/>
        <v/>
      </c>
      <c r="L120" s="195" t="str">
        <f t="shared" si="40"/>
        <v/>
      </c>
      <c r="M120" s="195" t="str">
        <f t="shared" si="40"/>
        <v/>
      </c>
      <c r="N120" s="209" t="str">
        <f t="shared" si="40"/>
        <v/>
      </c>
    </row>
    <row r="121" spans="1:14" ht="42.75" customHeight="1" thickBot="1" x14ac:dyDescent="0.3">
      <c r="A121" s="194" t="s">
        <v>831</v>
      </c>
      <c r="B121" s="208">
        <f>SUM(COUNTIFS(Tabla1[AÑO PARTO],$B$4,Tabla1[MES PARTO],B6,Tabla1[NIVEL DE COMPLEJIDAD DE LA ATENCION DE LA INSTITUCION DONDE SE ATENDIO EL PARTO],"MEDIANA",Tabla1[MONITORIA CADA 15 MINUTOS DE SIGNOS VITALES DURANTES LAS PRIMERAS DOS HORAS POSTPARTO (SOPORTE EN HC - 8 VALORACIONES EN LAS PRIMERAS 2 HORAS)],"SI" ),COUNTIFS(Tabla1[AÑO PARTO],$B$4,Tabla1[MES PARTO],B6,Tabla1[NIVEL DE COMPLEJIDAD DE LA ATENCION DE LA INSTITUCION DONDE SE ATENDIO EL PARTO],"ALTA",Tabla1[MONITORIA CADA 15 MINUTOS DE SIGNOS VITALES DURANTES LAS PRIMERAS DOS HORAS POSTPARTO (SOPORTE EN HC - 8 VALORACIONES EN LAS PRIMERAS 2 HORAS)],"SI"))</f>
        <v>0</v>
      </c>
      <c r="C121" s="196">
        <f>SUM(COUNTIFS(Tabla1[AÑO PARTO],$B$4,Tabla1[MES PARTO],B6,Tabla1[NIVEL DE COMPLEJIDAD DE LA ATENCION DE LA INSTITUCION DONDE SE ATENDIO EL PARTO],"MEDIANA",Tabla1[MONITORIA CADA 15 MINUTOS DE SIGNOS VITALES DURANTES LAS PRIMERAS DOS HORAS POSTPARTO (SOPORTE EN HC - 8 VALORACIONES EN LAS PRIMERAS 2 HORAS)],"SI" ),COUNTIFS(Tabla1[AÑO PARTO],$B$4,Tabla1[MES PARTO],B6,Tabla1[NIVEL DE COMPLEJIDAD DE LA ATENCION DE LA INSTITUCION DONDE SE ATENDIO EL PARTO],"ALTA",Tabla1[MONITORIA CADA 15 MINUTOS DE SIGNOS VITALES DURANTES LAS PRIMERAS DOS HORAS POSTPARTO (SOPORTE EN HC - 8 VALORACIONES EN LAS PRIMERAS 2 HORAS)],"SI"))</f>
        <v>0</v>
      </c>
      <c r="D121" s="196">
        <f>SUM(COUNTIFS(Tabla1[AÑO PARTO],$B$4,Tabla1[MES PARTO],B6,Tabla1[NIVEL DE COMPLEJIDAD DE LA ATENCION DE LA INSTITUCION DONDE SE ATENDIO EL PARTO],"MEDIANA",Tabla1[MONITORIA CADA 15 MINUTOS DE SIGNOS VITALES DURANTES LAS PRIMERAS DOS HORAS POSTPARTO (SOPORTE EN HC - 8 VALORACIONES EN LAS PRIMERAS 2 HORAS)],"SI" ),COUNTIFS(Tabla1[AÑO PARTO],$B$4,Tabla1[MES PARTO],B6,Tabla1[NIVEL DE COMPLEJIDAD DE LA ATENCION DE LA INSTITUCION DONDE SE ATENDIO EL PARTO],"ALTA",Tabla1[MONITORIA CADA 15 MINUTOS DE SIGNOS VITALES DURANTES LAS PRIMERAS DOS HORAS POSTPARTO (SOPORTE EN HC - 8 VALORACIONES EN LAS PRIMERAS 2 HORAS)],"SI"))</f>
        <v>0</v>
      </c>
      <c r="E121" s="196">
        <f>SUM(COUNTIFS(Tabla1[AÑO PARTO],$B$4,Tabla1[MES PARTO],B6,Tabla1[NIVEL DE COMPLEJIDAD DE LA ATENCION DE LA INSTITUCION DONDE SE ATENDIO EL PARTO],"MEDIANA",Tabla1[MONITORIA CADA 15 MINUTOS DE SIGNOS VITALES DURANTES LAS PRIMERAS DOS HORAS POSTPARTO (SOPORTE EN HC - 8 VALORACIONES EN LAS PRIMERAS 2 HORAS)],"SI" ),COUNTIFS(Tabla1[AÑO PARTO],$B$4,Tabla1[MES PARTO],B6,Tabla1[NIVEL DE COMPLEJIDAD DE LA ATENCION DE LA INSTITUCION DONDE SE ATENDIO EL PARTO],"ALTA",Tabla1[MONITORIA CADA 15 MINUTOS DE SIGNOS VITALES DURANTES LAS PRIMERAS DOS HORAS POSTPARTO (SOPORTE EN HC - 8 VALORACIONES EN LAS PRIMERAS 2 HORAS)],"SI"))</f>
        <v>0</v>
      </c>
      <c r="F121" s="196">
        <f>SUM(COUNTIFS(Tabla1[AÑO PARTO],$B$4,Tabla1[MES PARTO],B6,Tabla1[NIVEL DE COMPLEJIDAD DE LA ATENCION DE LA INSTITUCION DONDE SE ATENDIO EL PARTO],"MEDIANA",Tabla1[MONITORIA CADA 15 MINUTOS DE SIGNOS VITALES DURANTES LAS PRIMERAS DOS HORAS POSTPARTO (SOPORTE EN HC - 8 VALORACIONES EN LAS PRIMERAS 2 HORAS)],"SI" ),COUNTIFS(Tabla1[AÑO PARTO],$B$4,Tabla1[MES PARTO],B6,Tabla1[NIVEL DE COMPLEJIDAD DE LA ATENCION DE LA INSTITUCION DONDE SE ATENDIO EL PARTO],"ALTA",Tabla1[MONITORIA CADA 15 MINUTOS DE SIGNOS VITALES DURANTES LAS PRIMERAS DOS HORAS POSTPARTO (SOPORTE EN HC - 8 VALORACIONES EN LAS PRIMERAS 2 HORAS)],"SI"))</f>
        <v>0</v>
      </c>
      <c r="G121" s="196">
        <f>SUM(COUNTIFS(Tabla1[AÑO PARTO],$B$4,Tabla1[MES PARTO],B6,Tabla1[NIVEL DE COMPLEJIDAD DE LA ATENCION DE LA INSTITUCION DONDE SE ATENDIO EL PARTO],"MEDIANA",Tabla1[MONITORIA CADA 15 MINUTOS DE SIGNOS VITALES DURANTES LAS PRIMERAS DOS HORAS POSTPARTO (SOPORTE EN HC - 8 VALORACIONES EN LAS PRIMERAS 2 HORAS)],"SI" ),COUNTIFS(Tabla1[AÑO PARTO],$B$4,Tabla1[MES PARTO],B6,Tabla1[NIVEL DE COMPLEJIDAD DE LA ATENCION DE LA INSTITUCION DONDE SE ATENDIO EL PARTO],"ALTA",Tabla1[MONITORIA CADA 15 MINUTOS DE SIGNOS VITALES DURANTES LAS PRIMERAS DOS HORAS POSTPARTO (SOPORTE EN HC - 8 VALORACIONES EN LAS PRIMERAS 2 HORAS)],"SI"))</f>
        <v>0</v>
      </c>
      <c r="H121" s="196">
        <f>SUM(COUNTIFS(Tabla1[AÑO PARTO],$B$4,Tabla1[MES PARTO],B6,Tabla1[NIVEL DE COMPLEJIDAD DE LA ATENCION DE LA INSTITUCION DONDE SE ATENDIO EL PARTO],"MEDIANA",Tabla1[MONITORIA CADA 15 MINUTOS DE SIGNOS VITALES DURANTES LAS PRIMERAS DOS HORAS POSTPARTO (SOPORTE EN HC - 8 VALORACIONES EN LAS PRIMERAS 2 HORAS)],"SI" ),COUNTIFS(Tabla1[AÑO PARTO],$B$4,Tabla1[MES PARTO],B6,Tabla1[NIVEL DE COMPLEJIDAD DE LA ATENCION DE LA INSTITUCION DONDE SE ATENDIO EL PARTO],"ALTA",Tabla1[MONITORIA CADA 15 MINUTOS DE SIGNOS VITALES DURANTES LAS PRIMERAS DOS HORAS POSTPARTO (SOPORTE EN HC - 8 VALORACIONES EN LAS PRIMERAS 2 HORAS)],"SI"))</f>
        <v>0</v>
      </c>
      <c r="I121" s="196">
        <f>SUM(COUNTIFS(Tabla1[AÑO PARTO],$B$4,Tabla1[MES PARTO],B6,Tabla1[NIVEL DE COMPLEJIDAD DE LA ATENCION DE LA INSTITUCION DONDE SE ATENDIO EL PARTO],"MEDIANA",Tabla1[MONITORIA CADA 15 MINUTOS DE SIGNOS VITALES DURANTES LAS PRIMERAS DOS HORAS POSTPARTO (SOPORTE EN HC - 8 VALORACIONES EN LAS PRIMERAS 2 HORAS)],"SI" ),COUNTIFS(Tabla1[AÑO PARTO],$B$4,Tabla1[MES PARTO],B6,Tabla1[NIVEL DE COMPLEJIDAD DE LA ATENCION DE LA INSTITUCION DONDE SE ATENDIO EL PARTO],"ALTA",Tabla1[MONITORIA CADA 15 MINUTOS DE SIGNOS VITALES DURANTES LAS PRIMERAS DOS HORAS POSTPARTO (SOPORTE EN HC - 8 VALORACIONES EN LAS PRIMERAS 2 HORAS)],"SI"))</f>
        <v>0</v>
      </c>
      <c r="J121" s="196">
        <f>SUM(COUNTIFS(Tabla1[AÑO PARTO],$B$4,Tabla1[MES PARTO],B6,Tabla1[NIVEL DE COMPLEJIDAD DE LA ATENCION DE LA INSTITUCION DONDE SE ATENDIO EL PARTO],"MEDIANA",Tabla1[MONITORIA CADA 15 MINUTOS DE SIGNOS VITALES DURANTES LAS PRIMERAS DOS HORAS POSTPARTO (SOPORTE EN HC - 8 VALORACIONES EN LAS PRIMERAS 2 HORAS)],"SI" ),COUNTIFS(Tabla1[AÑO PARTO],$B$4,Tabla1[MES PARTO],B6,Tabla1[NIVEL DE COMPLEJIDAD DE LA ATENCION DE LA INSTITUCION DONDE SE ATENDIO EL PARTO],"ALTA",Tabla1[MONITORIA CADA 15 MINUTOS DE SIGNOS VITALES DURANTES LAS PRIMERAS DOS HORAS POSTPARTO (SOPORTE EN HC - 8 VALORACIONES EN LAS PRIMERAS 2 HORAS)],"SI"))</f>
        <v>0</v>
      </c>
      <c r="K121" s="196">
        <f>SUM(COUNTIFS(Tabla1[AÑO PARTO],$B$4,Tabla1[MES PARTO],B6,Tabla1[NIVEL DE COMPLEJIDAD DE LA ATENCION DE LA INSTITUCION DONDE SE ATENDIO EL PARTO],"MEDIANA",Tabla1[MONITORIA CADA 15 MINUTOS DE SIGNOS VITALES DURANTES LAS PRIMERAS DOS HORAS POSTPARTO (SOPORTE EN HC - 8 VALORACIONES EN LAS PRIMERAS 2 HORAS)],"SI" ),COUNTIFS(Tabla1[AÑO PARTO],$B$4,Tabla1[MES PARTO],B6,Tabla1[NIVEL DE COMPLEJIDAD DE LA ATENCION DE LA INSTITUCION DONDE SE ATENDIO EL PARTO],"ALTA",Tabla1[MONITORIA CADA 15 MINUTOS DE SIGNOS VITALES DURANTES LAS PRIMERAS DOS HORAS POSTPARTO (SOPORTE EN HC - 8 VALORACIONES EN LAS PRIMERAS 2 HORAS)],"SI"))</f>
        <v>0</v>
      </c>
      <c r="L121" s="196">
        <f>SUM(COUNTIFS(Tabla1[AÑO PARTO],$B$4,Tabla1[MES PARTO],B6,Tabla1[NIVEL DE COMPLEJIDAD DE LA ATENCION DE LA INSTITUCION DONDE SE ATENDIO EL PARTO],"MEDIANA",Tabla1[MONITORIA CADA 15 MINUTOS DE SIGNOS VITALES DURANTES LAS PRIMERAS DOS HORAS POSTPARTO (SOPORTE EN HC - 8 VALORACIONES EN LAS PRIMERAS 2 HORAS)],"SI" ),COUNTIFS(Tabla1[AÑO PARTO],$B$4,Tabla1[MES PARTO],B6,Tabla1[NIVEL DE COMPLEJIDAD DE LA ATENCION DE LA INSTITUCION DONDE SE ATENDIO EL PARTO],"ALTA",Tabla1[MONITORIA CADA 15 MINUTOS DE SIGNOS VITALES DURANTES LAS PRIMERAS DOS HORAS POSTPARTO (SOPORTE EN HC - 8 VALORACIONES EN LAS PRIMERAS 2 HORAS)],"SI"))</f>
        <v>0</v>
      </c>
      <c r="M121" s="196">
        <f>SUM(COUNTIFS(Tabla1[AÑO PARTO],$B$4,Tabla1[MES PARTO],B6,Tabla1[NIVEL DE COMPLEJIDAD DE LA ATENCION DE LA INSTITUCION DONDE SE ATENDIO EL PARTO],"MEDIANA",Tabla1[MONITORIA CADA 15 MINUTOS DE SIGNOS VITALES DURANTES LAS PRIMERAS DOS HORAS POSTPARTO (SOPORTE EN HC - 8 VALORACIONES EN LAS PRIMERAS 2 HORAS)],"SI" ),COUNTIFS(Tabla1[AÑO PARTO],$B$4,Tabla1[MES PARTO],B6,Tabla1[NIVEL DE COMPLEJIDAD DE LA ATENCION DE LA INSTITUCION DONDE SE ATENDIO EL PARTO],"ALTA",Tabla1[MONITORIA CADA 15 MINUTOS DE SIGNOS VITALES DURANTES LAS PRIMERAS DOS HORAS POSTPARTO (SOPORTE EN HC - 8 VALORACIONES EN LAS PRIMERAS 2 HORAS)],"SI"))</f>
        <v>0</v>
      </c>
      <c r="N121" s="209">
        <f>SUM(B121:M121)</f>
        <v>0</v>
      </c>
    </row>
    <row r="122" spans="1:14" ht="42.75" customHeight="1" thickBot="1" x14ac:dyDescent="0.3">
      <c r="A122" s="210" t="s">
        <v>829</v>
      </c>
      <c r="B122" s="208" t="str">
        <f t="shared" ref="B122:N122" si="41">IF(B$107=0,"",SUM(B121/B$107))</f>
        <v/>
      </c>
      <c r="C122" s="195" t="str">
        <f t="shared" si="41"/>
        <v/>
      </c>
      <c r="D122" s="195" t="str">
        <f t="shared" si="41"/>
        <v/>
      </c>
      <c r="E122" s="195" t="str">
        <f t="shared" si="41"/>
        <v/>
      </c>
      <c r="F122" s="195" t="str">
        <f t="shared" si="41"/>
        <v/>
      </c>
      <c r="G122" s="195" t="str">
        <f t="shared" si="41"/>
        <v/>
      </c>
      <c r="H122" s="195" t="str">
        <f t="shared" si="41"/>
        <v/>
      </c>
      <c r="I122" s="195" t="str">
        <f t="shared" si="41"/>
        <v/>
      </c>
      <c r="J122" s="195" t="str">
        <f t="shared" si="41"/>
        <v/>
      </c>
      <c r="K122" s="195" t="str">
        <f t="shared" si="41"/>
        <v/>
      </c>
      <c r="L122" s="195" t="str">
        <f t="shared" si="41"/>
        <v/>
      </c>
      <c r="M122" s="195" t="str">
        <f t="shared" si="41"/>
        <v/>
      </c>
      <c r="N122" s="209" t="str">
        <f t="shared" si="41"/>
        <v/>
      </c>
    </row>
    <row r="123" spans="1:14" ht="49.5" customHeight="1" thickBot="1" x14ac:dyDescent="0.3">
      <c r="A123" s="194" t="s">
        <v>738</v>
      </c>
      <c r="B123" s="196">
        <f>COUNTIFS(Tabla1[AÑO PARTO],B4,Tabla1[MES PARTO],B6,Tabla1[SALE DEL PROGRAMA POR],"PARTO",Tabla1[NIVEL DE COMPLEJIDAD DE LA ATENCION DE LA INSTITUCION DONDE SE ATENDIO EL PARTO],"BAJA",Tabla1[[PUERPERA SALE CON PLANIFICACIÓN FAMILIAR POST EVENTO OBSTETRICO ]],"SI")</f>
        <v>0</v>
      </c>
      <c r="C123" s="196">
        <f>COUNTIFS(Tabla1[AÑO PARTO],B4,Tabla1[MES PARTO],C6,Tabla1[SALE DEL PROGRAMA POR],"PARTO",Tabla1[NIVEL DE COMPLEJIDAD DE LA ATENCION DE LA INSTITUCION DONDE SE ATENDIO EL PARTO],"BAJA",Tabla1[[PUERPERA SALE CON PLANIFICACIÓN FAMILIAR POST EVENTO OBSTETRICO ]],"SI")</f>
        <v>0</v>
      </c>
      <c r="D123" s="196">
        <f>COUNTIFS(Tabla1[AÑO PARTO],B4,Tabla1[MES PARTO],D6,Tabla1[SALE DEL PROGRAMA POR],"PARTO",Tabla1[NIVEL DE COMPLEJIDAD DE LA ATENCION DE LA INSTITUCION DONDE SE ATENDIO EL PARTO],"BAJA",Tabla1[[PUERPERA SALE CON PLANIFICACIÓN FAMILIAR POST EVENTO OBSTETRICO ]],"SI")</f>
        <v>0</v>
      </c>
      <c r="E123" s="196">
        <f>COUNTIFS(Tabla1[AÑO PARTO],B4,Tabla1[MES PARTO],E6,Tabla1[SALE DEL PROGRAMA POR],"PARTO",Tabla1[NIVEL DE COMPLEJIDAD DE LA ATENCION DE LA INSTITUCION DONDE SE ATENDIO EL PARTO],"BAJA",Tabla1[[PUERPERA SALE CON PLANIFICACIÓN FAMILIAR POST EVENTO OBSTETRICO ]],"SI")</f>
        <v>0</v>
      </c>
      <c r="F123" s="196">
        <f>COUNTIFS(Tabla1[AÑO PARTO],B4,Tabla1[MES PARTO],F6,Tabla1[SALE DEL PROGRAMA POR],"PARTO",Tabla1[NIVEL DE COMPLEJIDAD DE LA ATENCION DE LA INSTITUCION DONDE SE ATENDIO EL PARTO],"BAJA",Tabla1[[PUERPERA SALE CON PLANIFICACIÓN FAMILIAR POST EVENTO OBSTETRICO ]],"SI")</f>
        <v>0</v>
      </c>
      <c r="G123" s="196">
        <f>COUNTIFS(Tabla1[AÑO PARTO],B4,Tabla1[MES PARTO],G6,Tabla1[SALE DEL PROGRAMA POR],"PARTO",Tabla1[NIVEL DE COMPLEJIDAD DE LA ATENCION DE LA INSTITUCION DONDE SE ATENDIO EL PARTO],"BAJA",Tabla1[[PUERPERA SALE CON PLANIFICACIÓN FAMILIAR POST EVENTO OBSTETRICO ]],"SI")</f>
        <v>0</v>
      </c>
      <c r="H123" s="196">
        <f>COUNTIFS(Tabla1[AÑO PARTO],B4,Tabla1[MES PARTO],H6,Tabla1[SALE DEL PROGRAMA POR],"PARTO",Tabla1[NIVEL DE COMPLEJIDAD DE LA ATENCION DE LA INSTITUCION DONDE SE ATENDIO EL PARTO],"BAJA",Tabla1[[PUERPERA SALE CON PLANIFICACIÓN FAMILIAR POST EVENTO OBSTETRICO ]],"SI")</f>
        <v>0</v>
      </c>
      <c r="I123" s="196">
        <f>COUNTIFS(Tabla1[AÑO PARTO],B4,Tabla1[MES PARTO],I6,Tabla1[SALE DEL PROGRAMA POR],"PARTO",Tabla1[NIVEL DE COMPLEJIDAD DE LA ATENCION DE LA INSTITUCION DONDE SE ATENDIO EL PARTO],"BAJA",Tabla1[[PUERPERA SALE CON PLANIFICACIÓN FAMILIAR POST EVENTO OBSTETRICO ]],"SI")</f>
        <v>0</v>
      </c>
      <c r="J123" s="196">
        <f>COUNTIFS(Tabla1[AÑO PARTO],B4,Tabla1[MES PARTO],J6,Tabla1[SALE DEL PROGRAMA POR],"PARTO",Tabla1[NIVEL DE COMPLEJIDAD DE LA ATENCION DE LA INSTITUCION DONDE SE ATENDIO EL PARTO],"BAJA",Tabla1[[PUERPERA SALE CON PLANIFICACIÓN FAMILIAR POST EVENTO OBSTETRICO ]],"SI")</f>
        <v>0</v>
      </c>
      <c r="K123" s="196">
        <f>COUNTIFS(Tabla1[AÑO PARTO],B4,Tabla1[MES PARTO],K6,Tabla1[SALE DEL PROGRAMA POR],"PARTO",Tabla1[NIVEL DE COMPLEJIDAD DE LA ATENCION DE LA INSTITUCION DONDE SE ATENDIO EL PARTO],"BAJA",Tabla1[[PUERPERA SALE CON PLANIFICACIÓN FAMILIAR POST EVENTO OBSTETRICO ]],"SI")</f>
        <v>0</v>
      </c>
      <c r="L123" s="196">
        <f>COUNTIFS(Tabla1[AÑO PARTO],B4,Tabla1[MES PARTO],L6,Tabla1[SALE DEL PROGRAMA POR],"PARTO",Tabla1[NIVEL DE COMPLEJIDAD DE LA ATENCION DE LA INSTITUCION DONDE SE ATENDIO EL PARTO],"BAJA",Tabla1[[PUERPERA SALE CON PLANIFICACIÓN FAMILIAR POST EVENTO OBSTETRICO ]],"SI")</f>
        <v>0</v>
      </c>
      <c r="M123" s="196">
        <f>COUNTIFS(Tabla1[AÑO PARTO],B4,Tabla1[MES PARTO],M6,Tabla1[SALE DEL PROGRAMA POR],"PARTO",Tabla1[NIVEL DE COMPLEJIDAD DE LA ATENCION DE LA INSTITUCION DONDE SE ATENDIO EL PARTO],"BAJA",Tabla1[[PUERPERA SALE CON PLANIFICACIÓN FAMILIAR POST EVENTO OBSTETRICO ]],"SI")</f>
        <v>0</v>
      </c>
      <c r="N123" s="197">
        <f>SUM(B123:M123)</f>
        <v>0</v>
      </c>
    </row>
    <row r="124" spans="1:14" ht="42.75" customHeight="1" thickBot="1" x14ac:dyDescent="0.3">
      <c r="A124" s="217" t="s">
        <v>774</v>
      </c>
      <c r="B124" s="117" t="str">
        <f>IF(B$102=0,"",SUM(B123/B$102))</f>
        <v/>
      </c>
      <c r="C124" s="118" t="str">
        <f>IF(C$102=0,"",SUM(C123/C$102))</f>
        <v/>
      </c>
      <c r="D124" s="118" t="str">
        <f t="shared" ref="D124:L124" si="42">IF(D$102=0,"",SUM(D123/D$102))</f>
        <v/>
      </c>
      <c r="E124" s="118" t="str">
        <f t="shared" si="42"/>
        <v/>
      </c>
      <c r="F124" s="118" t="str">
        <f t="shared" si="42"/>
        <v/>
      </c>
      <c r="G124" s="118" t="str">
        <f t="shared" si="42"/>
        <v/>
      </c>
      <c r="H124" s="118" t="str">
        <f t="shared" si="42"/>
        <v/>
      </c>
      <c r="I124" s="118" t="str">
        <f t="shared" si="42"/>
        <v/>
      </c>
      <c r="J124" s="118" t="str">
        <f t="shared" si="42"/>
        <v/>
      </c>
      <c r="K124" s="118" t="str">
        <f t="shared" si="42"/>
        <v/>
      </c>
      <c r="L124" s="118" t="str">
        <f t="shared" si="42"/>
        <v/>
      </c>
      <c r="M124" s="118" t="str">
        <f>IF(M$102=0,"",SUM(M123/M$102))</f>
        <v/>
      </c>
      <c r="N124" s="119" t="str">
        <f>IF(N$102=0,"",SUM(N123/N$102))</f>
        <v/>
      </c>
    </row>
    <row r="125" spans="1:14" ht="42.75" customHeight="1" thickBot="1" x14ac:dyDescent="0.3">
      <c r="A125" s="189" t="s">
        <v>776</v>
      </c>
      <c r="B125" s="198">
        <f>SUM(COUNTIFS(Tabla1[AÑO PARTO],B4,Tabla1[MES PARTO],B6,Tabla1[NIVEL DE COMPLEJIDAD DE LA ATENCION DE LA INSTITUCION DONDE SE ATENDIO EL PARTO],"MEDIANA",Tabla1[[PUERPERA SALE CON PLANIFICACIÓN FAMILIAR POST EVENTO OBSTETRICO ]],"SI" ),COUNTIFS(Tabla1[AÑO PARTO],B4,Tabla1[MES PARTO],B6,Tabla1[NIVEL DE COMPLEJIDAD DE LA ATENCION DE LA INSTITUCION DONDE SE ATENDIO EL PARTO],"ALTA",Tabla1[[PUERPERA SALE CON PLANIFICACIÓN FAMILIAR POST EVENTO OBSTETRICO ]],"SI"))</f>
        <v>0</v>
      </c>
      <c r="C125" s="198">
        <f>SUM(COUNTIFS(Tabla1[AÑO PARTO],B4,Tabla1[MES PARTO],C6,Tabla1[NIVEL DE COMPLEJIDAD DE LA ATENCION DE LA INSTITUCION DONDE SE ATENDIO EL PARTO],"MEDIANA",Tabla1[[PUERPERA SALE CON PLANIFICACIÓN FAMILIAR POST EVENTO OBSTETRICO ]],"SI" ),COUNTIFS(Tabla1[AÑO PARTO],B4,Tabla1[MES PARTO],C6,Tabla1[NIVEL DE COMPLEJIDAD DE LA ATENCION DE LA INSTITUCION DONDE SE ATENDIO EL PARTO],"ALTA",Tabla1[[PUERPERA SALE CON PLANIFICACIÓN FAMILIAR POST EVENTO OBSTETRICO ]],"SI"))</f>
        <v>0</v>
      </c>
      <c r="D125" s="198">
        <f>SUM(COUNTIFS(Tabla1[AÑO PARTO],B4,Tabla1[MES PARTO],D6,Tabla1[NIVEL DE COMPLEJIDAD DE LA ATENCION DE LA INSTITUCION DONDE SE ATENDIO EL PARTO],"MEDIANA",Tabla1[[PUERPERA SALE CON PLANIFICACIÓN FAMILIAR POST EVENTO OBSTETRICO ]],"SI" ),COUNTIFS(Tabla1[AÑO PARTO],B4,Tabla1[MES PARTO],D6,Tabla1[NIVEL DE COMPLEJIDAD DE LA ATENCION DE LA INSTITUCION DONDE SE ATENDIO EL PARTO],"ALTA",Tabla1[[PUERPERA SALE CON PLANIFICACIÓN FAMILIAR POST EVENTO OBSTETRICO ]],"SI"))</f>
        <v>0</v>
      </c>
      <c r="E125" s="198">
        <f>SUM(COUNTIFS(Tabla1[AÑO PARTO],B4,Tabla1[MES PARTO],E6,Tabla1[NIVEL DE COMPLEJIDAD DE LA ATENCION DE LA INSTITUCION DONDE SE ATENDIO EL PARTO],"MEDIANA",Tabla1[[PUERPERA SALE CON PLANIFICACIÓN FAMILIAR POST EVENTO OBSTETRICO ]],"SI" ),COUNTIFS(Tabla1[AÑO PARTO],B4,Tabla1[MES PARTO],E6,Tabla1[NIVEL DE COMPLEJIDAD DE LA ATENCION DE LA INSTITUCION DONDE SE ATENDIO EL PARTO],"ALTA",Tabla1[[PUERPERA SALE CON PLANIFICACIÓN FAMILIAR POST EVENTO OBSTETRICO ]],"SI"))</f>
        <v>0</v>
      </c>
      <c r="F125" s="198">
        <f>SUM(COUNTIFS(Tabla1[AÑO PARTO],B4,Tabla1[MES PARTO],F6,Tabla1[NIVEL DE COMPLEJIDAD DE LA ATENCION DE LA INSTITUCION DONDE SE ATENDIO EL PARTO],"MEDIANA",Tabla1[[PUERPERA SALE CON PLANIFICACIÓN FAMILIAR POST EVENTO OBSTETRICO ]],"SI" ),COUNTIFS(Tabla1[AÑO PARTO],B4,Tabla1[MES PARTO],F6,Tabla1[NIVEL DE COMPLEJIDAD DE LA ATENCION DE LA INSTITUCION DONDE SE ATENDIO EL PARTO],"ALTA",Tabla1[[PUERPERA SALE CON PLANIFICACIÓN FAMILIAR POST EVENTO OBSTETRICO ]],"SI"))</f>
        <v>0</v>
      </c>
      <c r="G125" s="198">
        <f>SUM(COUNTIFS(Tabla1[AÑO PARTO],B4,Tabla1[MES PARTO],G6,Tabla1[NIVEL DE COMPLEJIDAD DE LA ATENCION DE LA INSTITUCION DONDE SE ATENDIO EL PARTO],"MEDIANA",Tabla1[[PUERPERA SALE CON PLANIFICACIÓN FAMILIAR POST EVENTO OBSTETRICO ]],"SI" ),COUNTIFS(Tabla1[AÑO PARTO],B4,Tabla1[MES PARTO],G6,Tabla1[NIVEL DE COMPLEJIDAD DE LA ATENCION DE LA INSTITUCION DONDE SE ATENDIO EL PARTO],"ALTA",Tabla1[[PUERPERA SALE CON PLANIFICACIÓN FAMILIAR POST EVENTO OBSTETRICO ]],"SI"))</f>
        <v>0</v>
      </c>
      <c r="H125" s="198">
        <f>SUM(COUNTIFS(Tabla1[AÑO PARTO],B4,Tabla1[MES PARTO],H6,Tabla1[NIVEL DE COMPLEJIDAD DE LA ATENCION DE LA INSTITUCION DONDE SE ATENDIO EL PARTO],"MEDIANA",Tabla1[[PUERPERA SALE CON PLANIFICACIÓN FAMILIAR POST EVENTO OBSTETRICO ]],"SI" ),COUNTIFS(Tabla1[AÑO PARTO],B4,Tabla1[MES PARTO],H6,Tabla1[NIVEL DE COMPLEJIDAD DE LA ATENCION DE LA INSTITUCION DONDE SE ATENDIO EL PARTO],"ALTA",Tabla1[[PUERPERA SALE CON PLANIFICACIÓN FAMILIAR POST EVENTO OBSTETRICO ]],"SI"))</f>
        <v>0</v>
      </c>
      <c r="I125" s="198">
        <f>SUM(COUNTIFS(Tabla1[AÑO PARTO],B4,Tabla1[MES PARTO],I6,Tabla1[NIVEL DE COMPLEJIDAD DE LA ATENCION DE LA INSTITUCION DONDE SE ATENDIO EL PARTO],"MEDIANA",Tabla1[[PUERPERA SALE CON PLANIFICACIÓN FAMILIAR POST EVENTO OBSTETRICO ]],"SI" ),COUNTIFS(Tabla1[AÑO PARTO],B4,Tabla1[MES PARTO],I6,Tabla1[NIVEL DE COMPLEJIDAD DE LA ATENCION DE LA INSTITUCION DONDE SE ATENDIO EL PARTO],"ALTA",Tabla1[[PUERPERA SALE CON PLANIFICACIÓN FAMILIAR POST EVENTO OBSTETRICO ]],"SI"))</f>
        <v>0</v>
      </c>
      <c r="J125" s="198">
        <f>SUM(COUNTIFS(Tabla1[AÑO PARTO],B4,Tabla1[MES PARTO],J6,Tabla1[NIVEL DE COMPLEJIDAD DE LA ATENCION DE LA INSTITUCION DONDE SE ATENDIO EL PARTO],"MEDIANA",Tabla1[[PUERPERA SALE CON PLANIFICACIÓN FAMILIAR POST EVENTO OBSTETRICO ]],"SI" ),COUNTIFS(Tabla1[AÑO PARTO],B4,Tabla1[MES PARTO],J6,Tabla1[NIVEL DE COMPLEJIDAD DE LA ATENCION DE LA INSTITUCION DONDE SE ATENDIO EL PARTO],"ALTA",Tabla1[[PUERPERA SALE CON PLANIFICACIÓN FAMILIAR POST EVENTO OBSTETRICO ]],"SI"))</f>
        <v>0</v>
      </c>
      <c r="K125" s="198">
        <f>SUM(COUNTIFS(Tabla1[AÑO PARTO],B4,Tabla1[MES PARTO],K6,Tabla1[NIVEL DE COMPLEJIDAD DE LA ATENCION DE LA INSTITUCION DONDE SE ATENDIO EL PARTO],"MEDIANA",Tabla1[[PUERPERA SALE CON PLANIFICACIÓN FAMILIAR POST EVENTO OBSTETRICO ]],"SI" ),COUNTIFS(Tabla1[AÑO PARTO],B4,Tabla1[MES PARTO],K6,Tabla1[NIVEL DE COMPLEJIDAD DE LA ATENCION DE LA INSTITUCION DONDE SE ATENDIO EL PARTO],"ALTA",Tabla1[[PUERPERA SALE CON PLANIFICACIÓN FAMILIAR POST EVENTO OBSTETRICO ]],"SI"))</f>
        <v>0</v>
      </c>
      <c r="L125" s="198">
        <f>SUM(COUNTIFS(Tabla1[AÑO PARTO],B4,Tabla1[MES PARTO],L6,Tabla1[NIVEL DE COMPLEJIDAD DE LA ATENCION DE LA INSTITUCION DONDE SE ATENDIO EL PARTO],"MEDIANA",Tabla1[[PUERPERA SALE CON PLANIFICACIÓN FAMILIAR POST EVENTO OBSTETRICO ]],"SI" ),COUNTIFS(Tabla1[AÑO PARTO],B4,Tabla1[MES PARTO],L6,Tabla1[NIVEL DE COMPLEJIDAD DE LA ATENCION DE LA INSTITUCION DONDE SE ATENDIO EL PARTO],"ALTA",Tabla1[[PUERPERA SALE CON PLANIFICACIÓN FAMILIAR POST EVENTO OBSTETRICO ]],"SI"))</f>
        <v>0</v>
      </c>
      <c r="M125" s="198">
        <f>SUM(COUNTIFS(Tabla1[AÑO PARTO],B4,Tabla1[MES PARTO],M6,Tabla1[NIVEL DE COMPLEJIDAD DE LA ATENCION DE LA INSTITUCION DONDE SE ATENDIO EL PARTO],"MEDIANA",Tabla1[[PUERPERA SALE CON PLANIFICACIÓN FAMILIAR POST EVENTO OBSTETRICO ]],"SI" ),COUNTIFS(Tabla1[AÑO PARTO],B4,Tabla1[MES PARTO],M6,Tabla1[NIVEL DE COMPLEJIDAD DE LA ATENCION DE LA INSTITUCION DONDE SE ATENDIO EL PARTO],"ALTA",Tabla1[[PUERPERA SALE CON PLANIFICACIÓN FAMILIAR POST EVENTO OBSTETRICO ]],"SI"))</f>
        <v>0</v>
      </c>
      <c r="N125" s="197">
        <f>SUM(B125:M125)</f>
        <v>0</v>
      </c>
    </row>
    <row r="126" spans="1:14" ht="42.75" customHeight="1" thickBot="1" x14ac:dyDescent="0.3">
      <c r="A126" s="190" t="s">
        <v>804</v>
      </c>
      <c r="B126" s="195">
        <f>SUM(COUNTIFS(Tabla1[AÑO PARTO],B4,Tabla1[MES PARTO],B6,Tabla1[NIVEL DE COMPLEJIDAD DE LA ATENCION DE LA INSTITUCION DONDE SE ATENDIO EL PARTO],"MEDIANA"),COUNTIFS(Tabla1[AÑO PARTO],B4,Tabla1[MES PARTO],B6,Tabla1[NIVEL DE COMPLEJIDAD DE LA ATENCION DE LA INSTITUCION DONDE SE ATENDIO EL PARTO],"ALTA"))</f>
        <v>0</v>
      </c>
      <c r="C126" s="195">
        <f>SUM(COUNTIFS(Tabla1[AÑO PARTO],B4,Tabla1[MES PARTO],C6,Tabla1[NIVEL DE COMPLEJIDAD DE LA ATENCION DE LA INSTITUCION DONDE SE ATENDIO EL PARTO],"MEDIANA"),COUNTIFS(Tabla1[AÑO PARTO],B4,Tabla1[MES PARTO],C6,Tabla1[NIVEL DE COMPLEJIDAD DE LA ATENCION DE LA INSTITUCION DONDE SE ATENDIO EL PARTO],"ALTA"))</f>
        <v>0</v>
      </c>
      <c r="D126" s="195">
        <f>SUM(COUNTIFS(Tabla1[AÑO PARTO],B4,Tabla1[MES PARTO],D6,Tabla1[NIVEL DE COMPLEJIDAD DE LA ATENCION DE LA INSTITUCION DONDE SE ATENDIO EL PARTO],"MEDIANA"),COUNTIFS(Tabla1[AÑO PARTO],B4,Tabla1[MES PARTO],D6,Tabla1[NIVEL DE COMPLEJIDAD DE LA ATENCION DE LA INSTITUCION DONDE SE ATENDIO EL PARTO],"ALTA"))</f>
        <v>0</v>
      </c>
      <c r="E126" s="195">
        <f>SUM(COUNTIFS(Tabla1[AÑO PARTO],B4,Tabla1[MES PARTO],E6,Tabla1[NIVEL DE COMPLEJIDAD DE LA ATENCION DE LA INSTITUCION DONDE SE ATENDIO EL PARTO],"MEDIANA"),COUNTIFS(Tabla1[AÑO PARTO],B4,Tabla1[MES PARTO],E6,Tabla1[NIVEL DE COMPLEJIDAD DE LA ATENCION DE LA INSTITUCION DONDE SE ATENDIO EL PARTO],"ALTA"))</f>
        <v>0</v>
      </c>
      <c r="F126" s="195">
        <f>SUM(COUNTIFS(Tabla1[AÑO PARTO],B4,Tabla1[MES PARTO],F6,Tabla1[NIVEL DE COMPLEJIDAD DE LA ATENCION DE LA INSTITUCION DONDE SE ATENDIO EL PARTO],"MEDIANA"),COUNTIFS(Tabla1[AÑO PARTO],B4,Tabla1[MES PARTO],F6,Tabla1[NIVEL DE COMPLEJIDAD DE LA ATENCION DE LA INSTITUCION DONDE SE ATENDIO EL PARTO],"ALTA"))</f>
        <v>0</v>
      </c>
      <c r="G126" s="195">
        <f>SUM(COUNTIFS(Tabla1[AÑO PARTO],B4,Tabla1[MES PARTO],G6,Tabla1[NIVEL DE COMPLEJIDAD DE LA ATENCION DE LA INSTITUCION DONDE SE ATENDIO EL PARTO],"MEDIANA"),COUNTIFS(Tabla1[AÑO PARTO],B4,Tabla1[MES PARTO],G6,Tabla1[NIVEL DE COMPLEJIDAD DE LA ATENCION DE LA INSTITUCION DONDE SE ATENDIO EL PARTO],"ALTA"))</f>
        <v>0</v>
      </c>
      <c r="H126" s="195">
        <f>SUM(COUNTIFS(Tabla1[AÑO PARTO],B4,Tabla1[MES PARTO],H6,Tabla1[NIVEL DE COMPLEJIDAD DE LA ATENCION DE LA INSTITUCION DONDE SE ATENDIO EL PARTO],"MEDIANA"),COUNTIFS(Tabla1[AÑO PARTO],B4,Tabla1[MES PARTO],H6,Tabla1[NIVEL DE COMPLEJIDAD DE LA ATENCION DE LA INSTITUCION DONDE SE ATENDIO EL PARTO],"ALTA"))</f>
        <v>0</v>
      </c>
      <c r="I126" s="195">
        <f>SUM(COUNTIFS(Tabla1[AÑO PARTO],B4,Tabla1[MES PARTO],I6,Tabla1[NIVEL DE COMPLEJIDAD DE LA ATENCION DE LA INSTITUCION DONDE SE ATENDIO EL PARTO],"MEDIANA"),COUNTIFS(Tabla1[AÑO PARTO],B4,Tabla1[MES PARTO],I6,Tabla1[NIVEL DE COMPLEJIDAD DE LA ATENCION DE LA INSTITUCION DONDE SE ATENDIO EL PARTO],"ALTA"))</f>
        <v>0</v>
      </c>
      <c r="J126" s="195">
        <f>SUM(COUNTIFS(Tabla1[AÑO PARTO],B4,Tabla1[MES PARTO],J6,Tabla1[NIVEL DE COMPLEJIDAD DE LA ATENCION DE LA INSTITUCION DONDE SE ATENDIO EL PARTO],"MEDIANA"),COUNTIFS(Tabla1[AÑO PARTO],B4,Tabla1[MES PARTO],J6,Tabla1[NIVEL DE COMPLEJIDAD DE LA ATENCION DE LA INSTITUCION DONDE SE ATENDIO EL PARTO],"ALTA"))</f>
        <v>0</v>
      </c>
      <c r="K126" s="195">
        <f>SUM(COUNTIFS(Tabla1[AÑO PARTO],B4,Tabla1[MES PARTO],K6,Tabla1[NIVEL DE COMPLEJIDAD DE LA ATENCION DE LA INSTITUCION DONDE SE ATENDIO EL PARTO],"MEDIANA"),COUNTIFS(Tabla1[AÑO PARTO],B4,Tabla1[MES PARTO],K6,Tabla1[NIVEL DE COMPLEJIDAD DE LA ATENCION DE LA INSTITUCION DONDE SE ATENDIO EL PARTO],"ALTA"))</f>
        <v>0</v>
      </c>
      <c r="L126" s="195">
        <f>SUM(COUNTIFS(Tabla1[AÑO PARTO],B4,Tabla1[MES PARTO],L6,Tabla1[NIVEL DE COMPLEJIDAD DE LA ATENCION DE LA INSTITUCION DONDE SE ATENDIO EL PARTO],"MEDIANA"),COUNTIFS(Tabla1[AÑO PARTO],B4,Tabla1[MES PARTO],L6,Tabla1[NIVEL DE COMPLEJIDAD DE LA ATENCION DE LA INSTITUCION DONDE SE ATENDIO EL PARTO],"ALTA"))</f>
        <v>0</v>
      </c>
      <c r="M126" s="195">
        <f>SUM(COUNTIFS(Tabla1[AÑO PARTO],B4,Tabla1[MES PARTO],M6,Tabla1[NIVEL DE COMPLEJIDAD DE LA ATENCION DE LA INSTITUCION DONDE SE ATENDIO EL PARTO],"MEDIANA"),COUNTIFS(Tabla1[AÑO PARTO],B4,Tabla1[MES PARTO],M6,Tabla1[NIVEL DE COMPLEJIDAD DE LA ATENCION DE LA INSTITUCION DONDE SE ATENDIO EL PARTO],"ALTA"))</f>
        <v>0</v>
      </c>
      <c r="N126" s="197">
        <f>SUM(B126:M126)</f>
        <v>0</v>
      </c>
    </row>
    <row r="127" spans="1:14" ht="42.75" customHeight="1" thickBot="1" x14ac:dyDescent="0.3">
      <c r="A127" s="207" t="s">
        <v>775</v>
      </c>
      <c r="B127" s="117" t="str">
        <f>IF(B$126=0,"",SUM(B125/B$126))</f>
        <v/>
      </c>
      <c r="C127" s="118" t="str">
        <f t="shared" ref="C127:L127" si="43">IF(C$126=0,"",SUM(C125/C$126))</f>
        <v/>
      </c>
      <c r="D127" s="118" t="str">
        <f t="shared" si="43"/>
        <v/>
      </c>
      <c r="E127" s="118" t="str">
        <f t="shared" si="43"/>
        <v/>
      </c>
      <c r="F127" s="118" t="str">
        <f t="shared" si="43"/>
        <v/>
      </c>
      <c r="G127" s="118" t="str">
        <f t="shared" si="43"/>
        <v/>
      </c>
      <c r="H127" s="118" t="str">
        <f t="shared" si="43"/>
        <v/>
      </c>
      <c r="I127" s="118" t="str">
        <f t="shared" si="43"/>
        <v/>
      </c>
      <c r="J127" s="118" t="str">
        <f t="shared" si="43"/>
        <v/>
      </c>
      <c r="K127" s="118" t="str">
        <f t="shared" si="43"/>
        <v/>
      </c>
      <c r="L127" s="118" t="str">
        <f t="shared" si="43"/>
        <v/>
      </c>
      <c r="M127" s="118" t="str">
        <f>IF(M$126=0,"",SUM(M125/M$126))</f>
        <v/>
      </c>
      <c r="N127" s="119" t="str">
        <f>IF(N$126=0,"",SUM(N125/N$126))</f>
        <v/>
      </c>
    </row>
    <row r="128" spans="1:14" x14ac:dyDescent="0.25">
      <c r="A128" s="188" t="s">
        <v>427</v>
      </c>
      <c r="B128" s="115">
        <f>SUM(COUNTIFS(Tabla1[AÑO PARTO],B4,Tabla1[MES PARTO],B6,Tabla1[NUMERO NACIDOS VIVOS],"&gt;0"),COUNTIFS(Tabla1[AÑO PARTO],B4,Tabla1[MES PARTO],B6,Tabla1[NUMERO NACIDOS VIVOS],"&gt;1"),COUNTIFS(Tabla1[AÑO PARTO],B4,Tabla1[MES PARTO],B6,Tabla1[NUMERO NACIDOS VIVOS],"&gt;2"))</f>
        <v>0</v>
      </c>
      <c r="C128" s="115">
        <f>SUM(COUNTIFS(Tabla1[AÑO PARTO],B4,Tabla1[MES PARTO],C6,Tabla1[NUMERO NACIDOS VIVOS],"&gt;0"),COUNTIFS(Tabla1[AÑO PARTO],B4,Tabla1[MES PARTO],C6,Tabla1[NUMERO NACIDOS VIVOS],"&gt;1"),COUNTIFS(Tabla1[AÑO PARTO],B4,Tabla1[MES PARTO],C6,Tabla1[NUMERO NACIDOS VIVOS],"&gt;2"))</f>
        <v>0</v>
      </c>
      <c r="D128" s="115">
        <f>SUM(COUNTIFS(Tabla1[AÑO PARTO],B4,Tabla1[MES PARTO],D6,Tabla1[NUMERO NACIDOS VIVOS],"&gt;0"),COUNTIFS(Tabla1[AÑO PARTO],B4,Tabla1[MES PARTO],D6,Tabla1[NUMERO NACIDOS VIVOS],"&gt;1"),COUNTIFS(Tabla1[AÑO PARTO],B4,Tabla1[MES PARTO],D6,Tabla1[NUMERO NACIDOS VIVOS],"&gt;2"))</f>
        <v>0</v>
      </c>
      <c r="E128" s="115">
        <f>SUM(COUNTIFS(Tabla1[AÑO PARTO],B4,Tabla1[MES PARTO],E6,Tabla1[NUMERO NACIDOS VIVOS],"&gt;0"),COUNTIFS(Tabla1[AÑO PARTO],B4,Tabla1[MES PARTO],E6,Tabla1[NUMERO NACIDOS VIVOS],"&gt;1"),COUNTIFS(Tabla1[AÑO PARTO],B4,Tabla1[MES PARTO],E6,Tabla1[NUMERO NACIDOS VIVOS],"&gt;2"))</f>
        <v>0</v>
      </c>
      <c r="F128" s="115">
        <f>SUM(COUNTIFS(Tabla1[AÑO PARTO],B4,Tabla1[MES PARTO],F6,Tabla1[NUMERO NACIDOS VIVOS],"&gt;0"),COUNTIFS(Tabla1[AÑO PARTO],B4,Tabla1[MES PARTO],F6,Tabla1[NUMERO NACIDOS VIVOS],"&gt;1"),COUNTIFS(Tabla1[AÑO PARTO],B4,Tabla1[MES PARTO],F6,Tabla1[NUMERO NACIDOS VIVOS],"&gt;2"))</f>
        <v>0</v>
      </c>
      <c r="G128" s="115">
        <f>SUM(COUNTIFS(Tabla1[AÑO PARTO],B4,Tabla1[MES PARTO],G6,Tabla1[NUMERO NACIDOS VIVOS],"&gt;0"),COUNTIFS(Tabla1[AÑO PARTO],B4,Tabla1[MES PARTO],G6,Tabla1[NUMERO NACIDOS VIVOS],"&gt;1"),COUNTIFS(Tabla1[AÑO PARTO],B4,Tabla1[MES PARTO],G6,Tabla1[NUMERO NACIDOS VIVOS],"&gt;2"))</f>
        <v>0</v>
      </c>
      <c r="H128" s="115">
        <f>SUM(COUNTIFS(Tabla1[AÑO PARTO],B4,Tabla1[MES PARTO],H6,Tabla1[NUMERO NACIDOS VIVOS],"&gt;0"),COUNTIFS(Tabla1[AÑO PARTO],B4,Tabla1[MES PARTO],H6,Tabla1[NUMERO NACIDOS VIVOS],"&gt;1"),COUNTIFS(Tabla1[AÑO PARTO],B4,Tabla1[MES PARTO],H6,Tabla1[NUMERO NACIDOS VIVOS],"&gt;2"))</f>
        <v>0</v>
      </c>
      <c r="I128" s="115">
        <f>SUM(COUNTIFS(Tabla1[AÑO PARTO],B4,Tabla1[MES PARTO],I6,Tabla1[NUMERO NACIDOS VIVOS],"&gt;0"),COUNTIFS(Tabla1[AÑO PARTO],B4,Tabla1[MES PARTO],I6,Tabla1[NUMERO NACIDOS VIVOS],"&gt;1"),COUNTIFS(Tabla1[AÑO PARTO],B4,Tabla1[MES PARTO],I6,Tabla1[NUMERO NACIDOS VIVOS],"&gt;2"))</f>
        <v>0</v>
      </c>
      <c r="J128" s="115">
        <f>SUM(COUNTIFS(Tabla1[AÑO PARTO],B4,Tabla1[MES PARTO],J6,Tabla1[NUMERO NACIDOS VIVOS],"&gt;0"),COUNTIFS(Tabla1[AÑO PARTO],B4,Tabla1[MES PARTO],J6,Tabla1[NUMERO NACIDOS VIVOS],"&gt;1"),COUNTIFS(Tabla1[AÑO PARTO],B4,Tabla1[MES PARTO],J6,Tabla1[NUMERO NACIDOS VIVOS],"&gt;2"))</f>
        <v>0</v>
      </c>
      <c r="K128" s="115">
        <f>SUM(COUNTIFS(Tabla1[AÑO PARTO],B4,Tabla1[MES PARTO],K6,Tabla1[NUMERO NACIDOS VIVOS],"&gt;0"),COUNTIFS(Tabla1[AÑO PARTO],B4,Tabla1[MES PARTO],K6,Tabla1[NUMERO NACIDOS VIVOS],"&gt;1"),COUNTIFS(Tabla1[AÑO PARTO],B4,Tabla1[MES PARTO],K6,Tabla1[NUMERO NACIDOS VIVOS],"&gt;2"))</f>
        <v>0</v>
      </c>
      <c r="L128" s="115">
        <f>SUM(COUNTIFS(Tabla1[AÑO PARTO],B4,Tabla1[MES PARTO],L6,Tabla1[NUMERO NACIDOS VIVOS],"&gt;0"),COUNTIFS(Tabla1[AÑO PARTO],B4,Tabla1[MES PARTO],L6,Tabla1[NUMERO NACIDOS VIVOS],"&gt;1"),COUNTIFS(Tabla1[AÑO PARTO],B4,Tabla1[MES PARTO],L6,Tabla1[NUMERO NACIDOS VIVOS],"&gt;2"))</f>
        <v>0</v>
      </c>
      <c r="M128" s="115">
        <f>SUM(COUNTIFS(Tabla1[AÑO PARTO],B4,Tabla1[MES PARTO],M6,Tabla1[NUMERO NACIDOS VIVOS],"&gt;0"),COUNTIFS(Tabla1[AÑO PARTO],B4,Tabla1[MES PARTO],M6,Tabla1[NUMERO NACIDOS VIVOS],"&gt;1"),COUNTIFS(Tabla1[AÑO PARTO],B4,Tabla1[MES PARTO],M6,Tabla1[NUMERO NACIDOS VIVOS],"&gt;2"))</f>
        <v>0</v>
      </c>
      <c r="N128" s="124">
        <f t="shared" si="30"/>
        <v>0</v>
      </c>
    </row>
    <row r="129" spans="1:14" x14ac:dyDescent="0.25">
      <c r="A129" s="131" t="s">
        <v>428</v>
      </c>
      <c r="B129" s="68">
        <f>SUM(COUNTIFS(Tabla1[AÑO PARTO],B4,Tabla1[MES PARTO],B6,Tabla1[NUMERO NACIDOS VIVOS],"&gt;0",Tabla1[EDAD GESTACIONAL SALIDA PROGRAMA],"&gt;=37"),COUNTIFS(Tabla1[AÑO PARTO],B4,Tabla1[MES PARTO],B6,Tabla1[NUMERO NACIDOS VIVOS],"&gt;1",Tabla1[EDAD GESTACIONAL SALIDA PROGRAMA],"&gt;=37"),COUNTIFS(Tabla1[AÑO PARTO],B4,Tabla1[MES PARTO],B6,Tabla1[NUMERO NACIDOS VIVOS],"&gt;2",Tabla1[EDAD GESTACIONAL SALIDA PROGRAMA],"&gt;=37"))</f>
        <v>0</v>
      </c>
      <c r="C129" s="68">
        <f>SUM(COUNTIFS(Tabla1[AÑO PARTO],B4,Tabla1[MES PARTO],C6,Tabla1[NUMERO NACIDOS VIVOS],"&gt;0",Tabla1[EDAD GESTACIONAL SALIDA PROGRAMA],"&gt;=37"),COUNTIFS(Tabla1[AÑO PARTO],B4,Tabla1[MES PARTO],C6,Tabla1[NUMERO NACIDOS VIVOS],"&gt;1",Tabla1[EDAD GESTACIONAL SALIDA PROGRAMA],"&gt;=37"),COUNTIFS(Tabla1[AÑO PARTO],B4,Tabla1[MES PARTO],C6,Tabla1[NUMERO NACIDOS VIVOS],"&gt;2",Tabla1[EDAD GESTACIONAL SALIDA PROGRAMA],"&gt;=37"))</f>
        <v>0</v>
      </c>
      <c r="D129" s="68">
        <f>SUM(COUNTIFS(Tabla1[AÑO PARTO],B4,Tabla1[MES PARTO],D6,Tabla1[NUMERO NACIDOS VIVOS],"&gt;0",Tabla1[EDAD GESTACIONAL SALIDA PROGRAMA],"&gt;=37"),COUNTIFS(Tabla1[AÑO PARTO],B4,Tabla1[MES PARTO],D6,Tabla1[NUMERO NACIDOS VIVOS],"&gt;1",Tabla1[EDAD GESTACIONAL SALIDA PROGRAMA],"&gt;=37"),COUNTIFS(Tabla1[AÑO PARTO],B4,Tabla1[MES PARTO],D6,Tabla1[NUMERO NACIDOS VIVOS],"&gt;2",Tabla1[EDAD GESTACIONAL SALIDA PROGRAMA],"&gt;=37"))</f>
        <v>0</v>
      </c>
      <c r="E129" s="68">
        <f>SUM(COUNTIFS(Tabla1[AÑO PARTO],B4,Tabla1[MES PARTO],E6,Tabla1[NUMERO NACIDOS VIVOS],"&gt;0",Tabla1[EDAD GESTACIONAL SALIDA PROGRAMA],"&gt;=37"),COUNTIFS(Tabla1[AÑO PARTO],B4,Tabla1[MES PARTO],E6,Tabla1[NUMERO NACIDOS VIVOS],"&gt;1",Tabla1[EDAD GESTACIONAL SALIDA PROGRAMA],"&gt;=37"),COUNTIFS(Tabla1[AÑO PARTO],B4,Tabla1[MES PARTO],E6,Tabla1[NUMERO NACIDOS VIVOS],"&gt;2",Tabla1[EDAD GESTACIONAL SALIDA PROGRAMA],"&gt;=37"))</f>
        <v>0</v>
      </c>
      <c r="F129" s="68">
        <f>SUM(COUNTIFS(Tabla1[AÑO PARTO],B4,Tabla1[MES PARTO],F6,Tabla1[NUMERO NACIDOS VIVOS],"&gt;0",Tabla1[EDAD GESTACIONAL SALIDA PROGRAMA],"&gt;=37"),COUNTIFS(Tabla1[AÑO PARTO],B4,Tabla1[MES PARTO],F6,Tabla1[NUMERO NACIDOS VIVOS],"&gt;1",Tabla1[EDAD GESTACIONAL SALIDA PROGRAMA],"&gt;=37"),COUNTIFS(Tabla1[AÑO PARTO],B4,Tabla1[MES PARTO],F6,Tabla1[NUMERO NACIDOS VIVOS],"&gt;2",Tabla1[EDAD GESTACIONAL SALIDA PROGRAMA],"&gt;=37"))</f>
        <v>0</v>
      </c>
      <c r="G129" s="68">
        <f>SUM(COUNTIFS(Tabla1[AÑO PARTO],B4,Tabla1[MES PARTO],G6,Tabla1[NUMERO NACIDOS VIVOS],"&gt;0",Tabla1[EDAD GESTACIONAL SALIDA PROGRAMA],"&gt;=37"),COUNTIFS(Tabla1[AÑO PARTO],B4,Tabla1[MES PARTO],G6,Tabla1[NUMERO NACIDOS VIVOS],"&gt;1",Tabla1[EDAD GESTACIONAL SALIDA PROGRAMA],"&gt;=37"),COUNTIFS(Tabla1[AÑO PARTO],B4,Tabla1[MES PARTO],G6,Tabla1[NUMERO NACIDOS VIVOS],"&gt;2",Tabla1[EDAD GESTACIONAL SALIDA PROGRAMA],"&gt;=37"))</f>
        <v>0</v>
      </c>
      <c r="H129" s="68">
        <f>SUM(COUNTIFS(Tabla1[AÑO PARTO],B4,Tabla1[MES PARTO],H6,Tabla1[NUMERO NACIDOS VIVOS],"&gt;0",Tabla1[EDAD GESTACIONAL SALIDA PROGRAMA],"&gt;=37"),COUNTIFS(Tabla1[AÑO PARTO],B4,Tabla1[MES PARTO],H6,Tabla1[NUMERO NACIDOS VIVOS],"&gt;1",Tabla1[EDAD GESTACIONAL SALIDA PROGRAMA],"&gt;=37"),COUNTIFS(Tabla1[AÑO PARTO],B4,Tabla1[MES PARTO],H6,Tabla1[NUMERO NACIDOS VIVOS],"&gt;2",Tabla1[EDAD GESTACIONAL SALIDA PROGRAMA],"&gt;=37"))</f>
        <v>0</v>
      </c>
      <c r="I129" s="68">
        <f>SUM(COUNTIFS(Tabla1[AÑO PARTO],B4,Tabla1[MES PARTO],I6,Tabla1[NUMERO NACIDOS VIVOS],"&gt;0",Tabla1[EDAD GESTACIONAL SALIDA PROGRAMA],"&gt;=37"),COUNTIFS(Tabla1[AÑO PARTO],B4,Tabla1[MES PARTO],I6,Tabla1[NUMERO NACIDOS VIVOS],"&gt;1",Tabla1[EDAD GESTACIONAL SALIDA PROGRAMA],"&gt;=37"),COUNTIFS(Tabla1[AÑO PARTO],B4,Tabla1[MES PARTO],I6,Tabla1[NUMERO NACIDOS VIVOS],"&gt;2",Tabla1[EDAD GESTACIONAL SALIDA PROGRAMA],"&gt;=37"))</f>
        <v>0</v>
      </c>
      <c r="J129" s="68">
        <f>SUM(COUNTIFS(Tabla1[AÑO PARTO],B4,Tabla1[MES PARTO],J6,Tabla1[NUMERO NACIDOS VIVOS],"&gt;0",Tabla1[EDAD GESTACIONAL SALIDA PROGRAMA],"&gt;=37"),COUNTIFS(Tabla1[AÑO PARTO],B4,Tabla1[MES PARTO],J6,Tabla1[NUMERO NACIDOS VIVOS],"&gt;1",Tabla1[EDAD GESTACIONAL SALIDA PROGRAMA],"&gt;=37"),COUNTIFS(Tabla1[AÑO PARTO],B4,Tabla1[MES PARTO],J6,Tabla1[NUMERO NACIDOS VIVOS],"&gt;2",Tabla1[EDAD GESTACIONAL SALIDA PROGRAMA],"&gt;=37"))</f>
        <v>0</v>
      </c>
      <c r="K129" s="68">
        <f>SUM(COUNTIFS(Tabla1[AÑO PARTO],B4,Tabla1[MES PARTO],K6,Tabla1[NUMERO NACIDOS VIVOS],"&gt;0",Tabla1[EDAD GESTACIONAL SALIDA PROGRAMA],"&gt;=37"),COUNTIFS(Tabla1[AÑO PARTO],B4,Tabla1[MES PARTO],K6,Tabla1[NUMERO NACIDOS VIVOS],"&gt;1",Tabla1[EDAD GESTACIONAL SALIDA PROGRAMA],"&gt;=37"),COUNTIFS(Tabla1[AÑO PARTO],B4,Tabla1[MES PARTO],K6,Tabla1[NUMERO NACIDOS VIVOS],"&gt;2",Tabla1[EDAD GESTACIONAL SALIDA PROGRAMA],"&gt;=37"))</f>
        <v>0</v>
      </c>
      <c r="L129" s="68">
        <f>SUM(COUNTIFS(Tabla1[AÑO PARTO],B4,Tabla1[MES PARTO],L6,Tabla1[NUMERO NACIDOS VIVOS],"&gt;0",Tabla1[EDAD GESTACIONAL SALIDA PROGRAMA],"&gt;=37"),COUNTIFS(Tabla1[AÑO PARTO],B4,Tabla1[MES PARTO],L6,Tabla1[NUMERO NACIDOS VIVOS],"&gt;1",Tabla1[EDAD GESTACIONAL SALIDA PROGRAMA],"&gt;=37"),COUNTIFS(Tabla1[AÑO PARTO],B4,Tabla1[MES PARTO],L6,Tabla1[NUMERO NACIDOS VIVOS],"&gt;2",Tabla1[EDAD GESTACIONAL SALIDA PROGRAMA],"&gt;=37"))</f>
        <v>0</v>
      </c>
      <c r="M129" s="68">
        <f>SUM(COUNTIFS(Tabla1[AÑO PARTO],B4,Tabla1[MES PARTO],M6,Tabla1[NUMERO NACIDOS VIVOS],"&gt;0",Tabla1[EDAD GESTACIONAL SALIDA PROGRAMA],"&gt;=37"),COUNTIFS(Tabla1[AÑO PARTO],B4,Tabla1[MES PARTO],M6,Tabla1[NUMERO NACIDOS VIVOS],"&gt;1",Tabla1[EDAD GESTACIONAL SALIDA PROGRAMA],"&gt;=37"),COUNTIFS(Tabla1[AÑO PARTO],B4,Tabla1[MES PARTO],M6,Tabla1[NUMERO NACIDOS VIVOS],"&gt;2",Tabla1[EDAD GESTACIONAL SALIDA PROGRAMA],"&gt;=37"))</f>
        <v>0</v>
      </c>
      <c r="N129" s="128">
        <f t="shared" si="30"/>
        <v>0</v>
      </c>
    </row>
    <row r="130" spans="1:14" ht="26.25" thickBot="1" x14ac:dyDescent="0.3">
      <c r="A130" s="141" t="s">
        <v>429</v>
      </c>
      <c r="B130" s="142">
        <f>SUM(COUNTIFS(Tabla1[AÑO PARTO],B4,Tabla1[MES PARTO],B6,Tabla1[PESO RN  EN GRAMOS],"&lt;2500",Tabla1[EDAD GESTACIONAL SALIDA PROGRAMA],"&gt;=37"),COUNTIFS(Tabla1[AÑO PARTO],B4,Tabla1[MES PARTO],B6,Tabla1[PESO RN 2 EN GRAMOS2],"&lt;2500",Tabla1[EDAD GESTACIONAL SALIDA PROGRAMA],"&gt;=37"))</f>
        <v>0</v>
      </c>
      <c r="C130" s="142">
        <f>SUM(COUNTIFS(Tabla1[AÑO PARTO],B4,Tabla1[MES PARTO],C6,Tabla1[PESO RN  EN GRAMOS],"&lt;2500",Tabla1[EDAD GESTACIONAL SALIDA PROGRAMA],"&gt;=37"),COUNTIFS(Tabla1[AÑO PARTO],B4,Tabla1[MES PARTO],C6,Tabla1[PESO RN 2 EN GRAMOS2],"&lt;2500",Tabla1[EDAD GESTACIONAL SALIDA PROGRAMA],"&gt;=37"))</f>
        <v>0</v>
      </c>
      <c r="D130" s="142">
        <f>SUM(COUNTIFS(Tabla1[AÑO PARTO],B4,Tabla1[MES PARTO],D6,Tabla1[PESO RN  EN GRAMOS],"&lt;2500",Tabla1[EDAD GESTACIONAL SALIDA PROGRAMA],"&gt;=37"),COUNTIFS(Tabla1[AÑO PARTO],B4,Tabla1[MES PARTO],D6,Tabla1[PESO RN 2 EN GRAMOS2],"&lt;2500",Tabla1[EDAD GESTACIONAL SALIDA PROGRAMA],"&gt;=37"))</f>
        <v>0</v>
      </c>
      <c r="E130" s="142">
        <f>SUM(COUNTIFS(Tabla1[AÑO PARTO],B4,Tabla1[MES PARTO],E6,Tabla1[PESO RN  EN GRAMOS],"&lt;2500",Tabla1[EDAD GESTACIONAL SALIDA PROGRAMA],"&gt;=37"),COUNTIFS(Tabla1[AÑO PARTO],B4,Tabla1[MES PARTO],E6,Tabla1[PESO RN 2 EN GRAMOS2],"&lt;2500",Tabla1[EDAD GESTACIONAL SALIDA PROGRAMA],"&gt;=37"))</f>
        <v>0</v>
      </c>
      <c r="F130" s="142">
        <f>SUM(COUNTIFS(Tabla1[AÑO PARTO],B4,Tabla1[MES PARTO],F6,Tabla1[PESO RN  EN GRAMOS],"&lt;2500",Tabla1[EDAD GESTACIONAL SALIDA PROGRAMA],"&gt;=37"),COUNTIFS(Tabla1[AÑO PARTO],B4,Tabla1[MES PARTO],F6,Tabla1[PESO RN 2 EN GRAMOS2],"&lt;2500",Tabla1[EDAD GESTACIONAL SALIDA PROGRAMA],"&gt;=37"))</f>
        <v>0</v>
      </c>
      <c r="G130" s="142">
        <f>SUM(COUNTIFS(Tabla1[AÑO PARTO],B4,Tabla1[MES PARTO],G6,Tabla1[PESO RN  EN GRAMOS],"&lt;2500",Tabla1[EDAD GESTACIONAL SALIDA PROGRAMA],"&gt;=37"),COUNTIFS(Tabla1[AÑO PARTO],B4,Tabla1[MES PARTO],G6,Tabla1[PESO RN 2 EN GRAMOS2],"&lt;2500",Tabla1[EDAD GESTACIONAL SALIDA PROGRAMA],"&gt;=37"))</f>
        <v>0</v>
      </c>
      <c r="H130" s="142">
        <f>SUM(COUNTIFS(Tabla1[AÑO PARTO],B4,Tabla1[MES PARTO],H6,Tabla1[PESO RN  EN GRAMOS],"&lt;2500",Tabla1[EDAD GESTACIONAL SALIDA PROGRAMA],"&gt;=37"),COUNTIFS(Tabla1[AÑO PARTO],B4,Tabla1[MES PARTO],H6,Tabla1[PESO RN 2 EN GRAMOS2],"&lt;2500",Tabla1[EDAD GESTACIONAL SALIDA PROGRAMA],"&gt;=37"))</f>
        <v>0</v>
      </c>
      <c r="I130" s="142">
        <f>SUM(COUNTIFS(Tabla1[AÑO PARTO],B4,Tabla1[MES PARTO],I6,Tabla1[PESO RN  EN GRAMOS],"&lt;2500",Tabla1[EDAD GESTACIONAL SALIDA PROGRAMA],"&gt;=37"),COUNTIFS(Tabla1[AÑO PARTO],B4,Tabla1[MES PARTO],I6,Tabla1[PESO RN 2 EN GRAMOS2],"&lt;2500",Tabla1[EDAD GESTACIONAL SALIDA PROGRAMA],"&gt;=37"))</f>
        <v>0</v>
      </c>
      <c r="J130" s="142">
        <f>SUM(COUNTIFS(Tabla1[AÑO PARTO],B4,Tabla1[MES PARTO],J6,Tabla1[PESO RN  EN GRAMOS],"&lt;2500",Tabla1[EDAD GESTACIONAL SALIDA PROGRAMA],"&gt;=37"),COUNTIFS(Tabla1[AÑO PARTO],B4,Tabla1[MES PARTO],J6,Tabla1[PESO RN 2 EN GRAMOS2],"&lt;2500",Tabla1[EDAD GESTACIONAL SALIDA PROGRAMA],"&gt;=37"))</f>
        <v>0</v>
      </c>
      <c r="K130" s="142">
        <f>SUM(COUNTIFS(Tabla1[AÑO PARTO],B4,Tabla1[MES PARTO],K6,Tabla1[PESO RN  EN GRAMOS],"&lt;2500",Tabla1[EDAD GESTACIONAL SALIDA PROGRAMA],"&gt;=37"),COUNTIFS(Tabla1[AÑO PARTO],B4,Tabla1[MES PARTO],K6,Tabla1[PESO RN 2 EN GRAMOS2],"&lt;2500",Tabla1[EDAD GESTACIONAL SALIDA PROGRAMA],"&gt;=37"))</f>
        <v>0</v>
      </c>
      <c r="L130" s="142">
        <f>SUM(COUNTIFS(Tabla1[AÑO PARTO],B4,Tabla1[MES PARTO],L6,Tabla1[PESO RN  EN GRAMOS],"&lt;2500",Tabla1[EDAD GESTACIONAL SALIDA PROGRAMA],"&gt;=37"),COUNTIFS(Tabla1[AÑO PARTO],B4,Tabla1[MES PARTO],L6,Tabla1[PESO RN 2 EN GRAMOS2],"&lt;2500",Tabla1[EDAD GESTACIONAL SALIDA PROGRAMA],"&gt;=37"))</f>
        <v>0</v>
      </c>
      <c r="M130" s="142">
        <f>SUM(COUNTIFS(Tabla1[AÑO PARTO],B4,Tabla1[MES PARTO],M6,Tabla1[PESO RN  EN GRAMOS],"&lt;2500",Tabla1[EDAD GESTACIONAL SALIDA PROGRAMA],"&gt;=37"),COUNTIFS(Tabla1[AÑO PARTO],B4,Tabla1[MES PARTO],M6,Tabla1[PESO RN 2 EN GRAMOS2],"&lt;2500",Tabla1[EDAD GESTACIONAL SALIDA PROGRAMA],"&gt;=37"))</f>
        <v>0</v>
      </c>
      <c r="N130" s="135">
        <f t="shared" si="30"/>
        <v>0</v>
      </c>
    </row>
    <row r="131" spans="1:14" ht="15.75" thickBot="1" x14ac:dyDescent="0.3">
      <c r="A131" s="66" t="s">
        <v>430</v>
      </c>
      <c r="B131" s="117" t="str">
        <f>IF(B129=0,"",SUM(B130/B129))</f>
        <v/>
      </c>
      <c r="C131" s="118" t="str">
        <f t="shared" ref="C131:N131" si="44">IF(C129=0,"",SUM(C130/C129))</f>
        <v/>
      </c>
      <c r="D131" s="118" t="str">
        <f t="shared" si="44"/>
        <v/>
      </c>
      <c r="E131" s="118" t="str">
        <f t="shared" si="44"/>
        <v/>
      </c>
      <c r="F131" s="118" t="str">
        <f t="shared" si="44"/>
        <v/>
      </c>
      <c r="G131" s="118" t="str">
        <f t="shared" si="44"/>
        <v/>
      </c>
      <c r="H131" s="118" t="str">
        <f t="shared" si="44"/>
        <v/>
      </c>
      <c r="I131" s="118" t="str">
        <f t="shared" si="44"/>
        <v/>
      </c>
      <c r="J131" s="118" t="str">
        <f t="shared" si="44"/>
        <v/>
      </c>
      <c r="K131" s="118" t="str">
        <f t="shared" si="44"/>
        <v/>
      </c>
      <c r="L131" s="118" t="str">
        <f t="shared" si="44"/>
        <v/>
      </c>
      <c r="M131" s="118" t="str">
        <f t="shared" si="44"/>
        <v/>
      </c>
      <c r="N131" s="119" t="str">
        <f t="shared" si="44"/>
        <v/>
      </c>
    </row>
    <row r="132" spans="1:14" ht="26.25" thickBot="1" x14ac:dyDescent="0.3">
      <c r="A132" s="132" t="s">
        <v>741</v>
      </c>
      <c r="B132" s="115">
        <f>SUM(COUNTIFS(Tabla1[AÑO PARTO],B4,Tabla1[MES PARTO],B6,Tabla1[[ EVENTO DE INTERES EN SALUD PÚBLICA DEL RECIÉN NACIDO2]],"MUERTE PERINATAL O NEONATAL TEMPRANA"),COUNTIFS(Tabla1[AÑO PARTO],B4,Tabla1[MES PARTO],B6,Tabla1[[ EVENTO DE INTERES EN SALUD PÚBLICA DEL RECIÉN NACIDO2]],"MUERTE NEONATAL TARDÍA"))</f>
        <v>0</v>
      </c>
      <c r="C132" s="115">
        <f>SUM(COUNTIFS(Tabla1[AÑO PARTO],B4,Tabla1[MES PARTO],C6,Tabla1[[ EVENTO DE INTERES EN SALUD PÚBLICA DEL RECIÉN NACIDO2]],"MUERTE PERINATAL O NEONATAL TEMPRANA"),COUNTIFS(Tabla1[AÑO PARTO],B4,Tabla1[MES PARTO],C6,Tabla1[[ EVENTO DE INTERES EN SALUD PÚBLICA DEL RECIÉN NACIDO2]],"MUERTE NEONATAL TARDÍA"))</f>
        <v>0</v>
      </c>
      <c r="D132" s="115">
        <f>SUM(COUNTIFS(Tabla1[AÑO PARTO],B4,Tabla1[MES PARTO],D6,Tabla1[[ EVENTO DE INTERES EN SALUD PÚBLICA DEL RECIÉN NACIDO2]],"MUERTE PERINATAL O NEONATAL TEMPRANA"),COUNTIFS(Tabla1[AÑO PARTO],B4,Tabla1[MES PARTO],D6,Tabla1[[ EVENTO DE INTERES EN SALUD PÚBLICA DEL RECIÉN NACIDO2]],"MUERTE NEONATAL TARDÍA"))</f>
        <v>0</v>
      </c>
      <c r="E132" s="115">
        <f>SUM(COUNTIFS(Tabla1[AÑO PARTO],B4,Tabla1[MES PARTO],E6,Tabla1[[ EVENTO DE INTERES EN SALUD PÚBLICA DEL RECIÉN NACIDO2]],"MUERTE PERINATAL O NEONATAL TEMPRANA"),COUNTIFS(Tabla1[AÑO PARTO],B4,Tabla1[MES PARTO],E6,Tabla1[[ EVENTO DE INTERES EN SALUD PÚBLICA DEL RECIÉN NACIDO2]],"MUERTE NEONATAL TARDÍA"))</f>
        <v>0</v>
      </c>
      <c r="F132" s="115">
        <f>SUM(COUNTIFS(Tabla1[AÑO PARTO],B4,Tabla1[MES PARTO],F6,Tabla1[[ EVENTO DE INTERES EN SALUD PÚBLICA DEL RECIÉN NACIDO2]],"MUERTE PERINATAL O NEONATAL TEMPRANA"),COUNTIFS(Tabla1[AÑO PARTO],B4,Tabla1[MES PARTO],F6,Tabla1[[ EVENTO DE INTERES EN SALUD PÚBLICA DEL RECIÉN NACIDO2]],"MUERTE NEONATAL TARDÍA"))</f>
        <v>0</v>
      </c>
      <c r="G132" s="115">
        <f>SUM(COUNTIFS(Tabla1[AÑO PARTO],B4,Tabla1[MES PARTO],G6,Tabla1[[ EVENTO DE INTERES EN SALUD PÚBLICA DEL RECIÉN NACIDO2]],"MUERTE PERINATAL O NEONATAL TEMPRANA"),COUNTIFS(Tabla1[AÑO PARTO],B4,Tabla1[MES PARTO],G6,Tabla1[[ EVENTO DE INTERES EN SALUD PÚBLICA DEL RECIÉN NACIDO2]],"MUERTE NEONATAL TARDÍA"))</f>
        <v>0</v>
      </c>
      <c r="H132" s="115">
        <f>SUM(COUNTIFS(Tabla1[AÑO PARTO],B4,Tabla1[MES PARTO],H6,Tabla1[[ EVENTO DE INTERES EN SALUD PÚBLICA DEL RECIÉN NACIDO2]],"MUERTE PERINATAL O NEONATAL TEMPRANA"),COUNTIFS(Tabla1[AÑO PARTO],B4,Tabla1[MES PARTO],H6,Tabla1[[ EVENTO DE INTERES EN SALUD PÚBLICA DEL RECIÉN NACIDO2]],"MUERTE NEONATAL TARDÍA"))</f>
        <v>0</v>
      </c>
      <c r="I132" s="115">
        <f>SUM(COUNTIFS(Tabla1[AÑO PARTO],B4,Tabla1[MES PARTO],I6,Tabla1[[ EVENTO DE INTERES EN SALUD PÚBLICA DEL RECIÉN NACIDO2]],"MUERTE PERINATAL O NEONATAL TEMPRANA"),COUNTIFS(Tabla1[AÑO PARTO],B4,Tabla1[MES PARTO],I6,Tabla1[[ EVENTO DE INTERES EN SALUD PÚBLICA DEL RECIÉN NACIDO2]],"MUERTE NEONATAL TARDÍA"))</f>
        <v>0</v>
      </c>
      <c r="J132" s="115">
        <f>SUM(COUNTIFS(Tabla1[AÑO PARTO],B4,Tabla1[MES PARTO],J6,Tabla1[[ EVENTO DE INTERES EN SALUD PÚBLICA DEL RECIÉN NACIDO2]],"MUERTE PERINATAL O NEONATAL TEMPRANA"),COUNTIFS(Tabla1[AÑO PARTO],B4,Tabla1[MES PARTO],J6,Tabla1[[ EVENTO DE INTERES EN SALUD PÚBLICA DEL RECIÉN NACIDO2]],"MUERTE NEONATAL TARDÍA"))</f>
        <v>0</v>
      </c>
      <c r="K132" s="115">
        <f>SUM(COUNTIFS(Tabla1[AÑO PARTO],B4,Tabla1[MES PARTO],K6,Tabla1[[ EVENTO DE INTERES EN SALUD PÚBLICA DEL RECIÉN NACIDO2]],"MUERTE PERINATAL O NEONATAL TEMPRANA"),COUNTIFS(Tabla1[AÑO PARTO],B4,Tabla1[MES PARTO],K6,Tabla1[[ EVENTO DE INTERES EN SALUD PÚBLICA DEL RECIÉN NACIDO2]],"MUERTE NEONATAL TARDÍA"))</f>
        <v>0</v>
      </c>
      <c r="L132" s="115">
        <f>SUM(COUNTIFS(Tabla1[AÑO PARTO],B4,Tabla1[MES PARTO],L6,Tabla1[[ EVENTO DE INTERES EN SALUD PÚBLICA DEL RECIÉN NACIDO2]],"MUERTE PERINATAL O NEONATAL TEMPRANA"),COUNTIFS(Tabla1[AÑO PARTO],B4,Tabla1[MES PARTO],L6,Tabla1[[ EVENTO DE INTERES EN SALUD PÚBLICA DEL RECIÉN NACIDO2]],"MUERTE NEONATAL TARDÍA"))</f>
        <v>0</v>
      </c>
      <c r="M132" s="115">
        <f>SUM(COUNTIFS(Tabla1[AÑO PARTO],B4,Tabla1[MES PARTO],M6,Tabla1[[ EVENTO DE INTERES EN SALUD PÚBLICA DEL RECIÉN NACIDO2]],"MUERTE PERINATAL O NEONATAL TEMPRANA"),COUNTIFS(Tabla1[AÑO PARTO],B4,Tabla1[MES PARTO],M6,Tabla1[[ EVENTO DE INTERES EN SALUD PÚBLICA DEL RECIÉN NACIDO2]],"MUERTE NEONATAL TARDÍA"))</f>
        <v>0</v>
      </c>
      <c r="N132" s="126">
        <f t="shared" si="30"/>
        <v>0</v>
      </c>
    </row>
    <row r="133" spans="1:14" ht="15.75" thickBot="1" x14ac:dyDescent="0.3">
      <c r="A133" s="133" t="s">
        <v>431</v>
      </c>
      <c r="B133" s="260"/>
      <c r="C133" s="261"/>
      <c r="D133" s="261"/>
      <c r="E133" s="261"/>
      <c r="F133" s="261"/>
      <c r="G133" s="261"/>
      <c r="H133" s="261"/>
      <c r="I133" s="261"/>
      <c r="J133" s="261"/>
      <c r="K133" s="261"/>
      <c r="L133" s="261"/>
      <c r="M133" s="261"/>
      <c r="N133" s="205" t="str">
        <f>IF(N$128=0,"",SUM((N132/N$128)*1000))</f>
        <v/>
      </c>
    </row>
    <row r="134" spans="1:14" ht="15.75" thickBot="1" x14ac:dyDescent="0.3">
      <c r="A134" s="132" t="s">
        <v>432</v>
      </c>
      <c r="B134" s="68">
        <f>SUM(COUNTIFS(Tabla1[AÑO PARTO],B4,Tabla1[MES PARTO],B6,Tabla1[[ EVENTO DE INTERES EN SALUD PÚBLICA DE LA MADRE]],"MORBILIDAD MATERNA EXTREMA"),COUNTIFS(Tabla1[AÑO PARTO],B4,Tabla1[MES PARTO],B6,Tabla1[[ EVENTO DE INTERES EN SALUD PÚBLICA DE LA MADRE]],"MUERTE Y MORBILIDAD MATERNA EXTREMA"))</f>
        <v>0</v>
      </c>
      <c r="C134" s="68">
        <f>SUM(COUNTIFS(Tabla1[AÑO PARTO],B4,Tabla1[MES PARTO],C6,Tabla1[[ EVENTO DE INTERES EN SALUD PÚBLICA DE LA MADRE]],"MORBILIDAD MATERNA EXTREMA"),COUNTIFS(Tabla1[AÑO PARTO],B4,Tabla1[MES PARTO],C6,Tabla1[[ EVENTO DE INTERES EN SALUD PÚBLICA DE LA MADRE]],"MUERTE Y MORBILIDAD MATERNA EXTREMA"))</f>
        <v>0</v>
      </c>
      <c r="D134" s="68">
        <f>SUM(COUNTIFS(Tabla1[AÑO PARTO],B4,Tabla1[MES PARTO],D6,Tabla1[[ EVENTO DE INTERES EN SALUD PÚBLICA DE LA MADRE]],"MORBILIDAD MATERNA EXTREMA"),COUNTIFS(Tabla1[AÑO PARTO],B4,Tabla1[MES PARTO],D6,Tabla1[[ EVENTO DE INTERES EN SALUD PÚBLICA DE LA MADRE]],"MUERTE Y MORBILIDAD MATERNA EXTREMA"))</f>
        <v>0</v>
      </c>
      <c r="E134" s="68">
        <f>SUM(COUNTIFS(Tabla1[AÑO PARTO],B4,Tabla1[MES PARTO],E6,Tabla1[[ EVENTO DE INTERES EN SALUD PÚBLICA DE LA MADRE]],"MORBILIDAD MATERNA EXTREMA"),COUNTIFS(Tabla1[AÑO PARTO],B4,Tabla1[MES PARTO],E6,Tabla1[[ EVENTO DE INTERES EN SALUD PÚBLICA DE LA MADRE]],"MUERTE Y MORBILIDAD MATERNA EXTREMA"))</f>
        <v>0</v>
      </c>
      <c r="F134" s="68">
        <f>SUM(COUNTIFS(Tabla1[AÑO PARTO],B4,Tabla1[MES PARTO],F6,Tabla1[[ EVENTO DE INTERES EN SALUD PÚBLICA DE LA MADRE]],"MORBILIDAD MATERNA EXTREMA"),COUNTIFS(Tabla1[AÑO PARTO],B4,Tabla1[MES PARTO],F6,Tabla1[[ EVENTO DE INTERES EN SALUD PÚBLICA DE LA MADRE]],"MUERTE Y MORBILIDAD MATERNA EXTREMA"))</f>
        <v>0</v>
      </c>
      <c r="G134" s="68">
        <f>SUM(COUNTIFS(Tabla1[AÑO PARTO],B4,Tabla1[MES PARTO],G6,Tabla1[[ EVENTO DE INTERES EN SALUD PÚBLICA DE LA MADRE]],"MORBILIDAD MATERNA EXTREMA"),COUNTIFS(Tabla1[AÑO PARTO],B4,Tabla1[MES PARTO],G6,Tabla1[[ EVENTO DE INTERES EN SALUD PÚBLICA DE LA MADRE]],"MUERTE Y MORBILIDAD MATERNA EXTREMA"))</f>
        <v>0</v>
      </c>
      <c r="H134" s="68">
        <f>SUM(COUNTIFS(Tabla1[AÑO PARTO],B4,Tabla1[MES PARTO],H6,Tabla1[[ EVENTO DE INTERES EN SALUD PÚBLICA DE LA MADRE]],"MORBILIDAD MATERNA EXTREMA"),COUNTIFS(Tabla1[AÑO PARTO],B4,Tabla1[MES PARTO],H6,Tabla1[[ EVENTO DE INTERES EN SALUD PÚBLICA DE LA MADRE]],"MUERTE Y MORBILIDAD MATERNA EXTREMA"))</f>
        <v>0</v>
      </c>
      <c r="I134" s="68">
        <f>SUM(COUNTIFS(Tabla1[AÑO PARTO],B4,Tabla1[MES PARTO],I6,Tabla1[[ EVENTO DE INTERES EN SALUD PÚBLICA DE LA MADRE]],"MORBILIDAD MATERNA EXTREMA"),COUNTIFS(Tabla1[AÑO PARTO],B4,Tabla1[MES PARTO],I6,Tabla1[[ EVENTO DE INTERES EN SALUD PÚBLICA DE LA MADRE]],"MUERTE Y MORBILIDAD MATERNA EXTREMA"))</f>
        <v>0</v>
      </c>
      <c r="J134" s="68">
        <f>SUM(COUNTIFS(Tabla1[AÑO PARTO],B4,Tabla1[MES PARTO],J6,Tabla1[[ EVENTO DE INTERES EN SALUD PÚBLICA DE LA MADRE]],"MORBILIDAD MATERNA EXTREMA"),COUNTIFS(Tabla1[AÑO PARTO],B4,Tabla1[MES PARTO],J6,Tabla1[[ EVENTO DE INTERES EN SALUD PÚBLICA DE LA MADRE]],"MUERTE Y MORBILIDAD MATERNA EXTREMA"))</f>
        <v>0</v>
      </c>
      <c r="K134" s="68">
        <f>SUM(COUNTIFS(Tabla1[AÑO PARTO],B4,Tabla1[MES PARTO],K6,Tabla1[[ EVENTO DE INTERES EN SALUD PÚBLICA DE LA MADRE]],"MORBILIDAD MATERNA EXTREMA"),COUNTIFS(Tabla1[AÑO PARTO],B4,Tabla1[MES PARTO],K6,Tabla1[[ EVENTO DE INTERES EN SALUD PÚBLICA DE LA MADRE]],"MUERTE Y MORBILIDAD MATERNA EXTREMA"))</f>
        <v>0</v>
      </c>
      <c r="L134" s="68">
        <f>SUM(COUNTIFS(Tabla1[AÑO PARTO],B4,Tabla1[MES PARTO],L6,Tabla1[[ EVENTO DE INTERES EN SALUD PÚBLICA DE LA MADRE]],"MORBILIDAD MATERNA EXTREMA"),COUNTIFS(Tabla1[AÑO PARTO],B4,Tabla1[MES PARTO],L6,Tabla1[[ EVENTO DE INTERES EN SALUD PÚBLICA DE LA MADRE]],"MUERTE Y MORBILIDAD MATERNA EXTREMA"))</f>
        <v>0</v>
      </c>
      <c r="M134" s="68">
        <f>SUM(COUNTIFS(Tabla1[AÑO PARTO],B4,Tabla1[MES PARTO],M6,Tabla1[[ EVENTO DE INTERES EN SALUD PÚBLICA DE LA MADRE]],"MORBILIDAD MATERNA EXTREMA"),COUNTIFS(Tabla1[AÑO PARTO],B4,Tabla1[MES PARTO],M6,Tabla1[[ EVENTO DE INTERES EN SALUD PÚBLICA DE LA MADRE]],"MUERTE Y MORBILIDAD MATERNA EXTREMA"))</f>
        <v>0</v>
      </c>
      <c r="N134" s="126">
        <f t="shared" si="30"/>
        <v>0</v>
      </c>
    </row>
    <row r="135" spans="1:14" ht="26.25" thickBot="1" x14ac:dyDescent="0.3">
      <c r="A135" s="133" t="s">
        <v>433</v>
      </c>
      <c r="B135" s="260"/>
      <c r="C135" s="261"/>
      <c r="D135" s="261"/>
      <c r="E135" s="261"/>
      <c r="F135" s="261"/>
      <c r="G135" s="261"/>
      <c r="H135" s="261"/>
      <c r="I135" s="261"/>
      <c r="J135" s="261"/>
      <c r="K135" s="261"/>
      <c r="L135" s="261"/>
      <c r="M135" s="261"/>
      <c r="N135" s="205" t="str">
        <f>IF(N$128=0,"",SUM((N134/N$128)*1000))</f>
        <v/>
      </c>
    </row>
    <row r="136" spans="1:14" ht="15.75" thickBot="1" x14ac:dyDescent="0.3">
      <c r="A136" s="132" t="s">
        <v>748</v>
      </c>
      <c r="B136" s="68">
        <f>SUM(COUNTIFS(Tabla1[AÑO PARTO],B4,Tabla1[MES PARTO],B6,Tabla1[[ EVENTO DE INTERES EN SALUD PÚBLICA DE LA MADRE]],"MUERTE MATERNA"),COUNTIFS(Tabla1[AÑO PARTO],B4,Tabla1[MES PARTO],B6,Tabla1[[ EVENTO DE INTERES EN SALUD PÚBLICA DE LA MADRE]],"MUERTE Y MORBILIDAD MATERNA EXTREMA"))</f>
        <v>0</v>
      </c>
      <c r="C136" s="68">
        <f>SUM(COUNTIFS(Tabla1[AÑO PARTO],B4,Tabla1[MES PARTO],C6,Tabla1[[ EVENTO DE INTERES EN SALUD PÚBLICA DE LA MADRE]],"MUERTE MATERNA"),COUNTIFS(Tabla1[AÑO PARTO],B4,Tabla1[MES PARTO],C6,Tabla1[[ EVENTO DE INTERES EN SALUD PÚBLICA DE LA MADRE]],"MUERTE Y MORBILIDAD MATERNA EXTREMA"))</f>
        <v>0</v>
      </c>
      <c r="D136" s="68">
        <f>SUM(COUNTIFS(Tabla1[AÑO PARTO],B4,Tabla1[MES PARTO],D6,Tabla1[[ EVENTO DE INTERES EN SALUD PÚBLICA DE LA MADRE]],"MUERTE MATERNA"),COUNTIFS(Tabla1[AÑO PARTO],B4,Tabla1[MES PARTO],D6,Tabla1[[ EVENTO DE INTERES EN SALUD PÚBLICA DE LA MADRE]],"MUERTE Y MORBILIDAD MATERNA EXTREMA"))</f>
        <v>0</v>
      </c>
      <c r="E136" s="68">
        <f>SUM(COUNTIFS(Tabla1[AÑO PARTO],B4,Tabla1[MES PARTO],E6,Tabla1[[ EVENTO DE INTERES EN SALUD PÚBLICA DE LA MADRE]],"MUERTE MATERNA"),COUNTIFS(Tabla1[AÑO PARTO],B4,Tabla1[MES PARTO],E6,Tabla1[[ EVENTO DE INTERES EN SALUD PÚBLICA DE LA MADRE]],"MUERTE Y MORBILIDAD MATERNA EXTREMA"))</f>
        <v>0</v>
      </c>
      <c r="F136" s="68">
        <f>SUM(COUNTIFS(Tabla1[AÑO PARTO],B4,Tabla1[MES PARTO],F6,Tabla1[[ EVENTO DE INTERES EN SALUD PÚBLICA DE LA MADRE]],"MUERTE MATERNA"),COUNTIFS(Tabla1[AÑO PARTO],B4,Tabla1[MES PARTO],F6,Tabla1[[ EVENTO DE INTERES EN SALUD PÚBLICA DE LA MADRE]],"MUERTE Y MORBILIDAD MATERNA EXTREMA"))</f>
        <v>0</v>
      </c>
      <c r="G136" s="68">
        <f>SUM(COUNTIFS(Tabla1[AÑO PARTO],B4,Tabla1[MES PARTO],G6,Tabla1[[ EVENTO DE INTERES EN SALUD PÚBLICA DE LA MADRE]],"MUERTE MATERNA"),COUNTIFS(Tabla1[AÑO PARTO],B4,Tabla1[MES PARTO],G6,Tabla1[[ EVENTO DE INTERES EN SALUD PÚBLICA DE LA MADRE]],"MUERTE Y MORBILIDAD MATERNA EXTREMA"))</f>
        <v>0</v>
      </c>
      <c r="H136" s="68">
        <f>SUM(COUNTIFS(Tabla1[AÑO PARTO],B4,Tabla1[MES PARTO],H6,Tabla1[[ EVENTO DE INTERES EN SALUD PÚBLICA DE LA MADRE]],"MUERTE MATERNA"),COUNTIFS(Tabla1[AÑO PARTO],B4,Tabla1[MES PARTO],H6,Tabla1[[ EVENTO DE INTERES EN SALUD PÚBLICA DE LA MADRE]],"MUERTE Y MORBILIDAD MATERNA EXTREMA"))</f>
        <v>0</v>
      </c>
      <c r="I136" s="68">
        <f>SUM(COUNTIFS(Tabla1[AÑO PARTO],B4,Tabla1[MES PARTO],I6,Tabla1[[ EVENTO DE INTERES EN SALUD PÚBLICA DE LA MADRE]],"MUERTE MATERNA"),COUNTIFS(Tabla1[AÑO PARTO],B4,Tabla1[MES PARTO],I6,Tabla1[[ EVENTO DE INTERES EN SALUD PÚBLICA DE LA MADRE]],"MUERTE Y MORBILIDAD MATERNA EXTREMA"))</f>
        <v>0</v>
      </c>
      <c r="J136" s="68">
        <f>SUM(COUNTIFS(Tabla1[AÑO PARTO],B4,Tabla1[MES PARTO],J6,Tabla1[[ EVENTO DE INTERES EN SALUD PÚBLICA DE LA MADRE]],"MUERTE MATERNA"),COUNTIFS(Tabla1[AÑO PARTO],B4,Tabla1[MES PARTO],J6,Tabla1[[ EVENTO DE INTERES EN SALUD PÚBLICA DE LA MADRE]],"MUERTE Y MORBILIDAD MATERNA EXTREMA"))</f>
        <v>0</v>
      </c>
      <c r="K136" s="68">
        <f>SUM(COUNTIFS(Tabla1[AÑO PARTO],B4,Tabla1[MES PARTO],K6,Tabla1[[ EVENTO DE INTERES EN SALUD PÚBLICA DE LA MADRE]],"MUERTE MATERNA"),COUNTIFS(Tabla1[AÑO PARTO],B4,Tabla1[MES PARTO],K6,Tabla1[[ EVENTO DE INTERES EN SALUD PÚBLICA DE LA MADRE]],"MUERTE Y MORBILIDAD MATERNA EXTREMA"))</f>
        <v>0</v>
      </c>
      <c r="L136" s="68">
        <f>SUM(COUNTIFS(Tabla1[AÑO PARTO],B4,Tabla1[MES PARTO],L6,Tabla1[[ EVENTO DE INTERES EN SALUD PÚBLICA DE LA MADRE]],"MUERTE MATERNA"),COUNTIFS(Tabla1[AÑO PARTO],B4,Tabla1[MES PARTO],L6,Tabla1[[ EVENTO DE INTERES EN SALUD PÚBLICA DE LA MADRE]],"MUERTE Y MORBILIDAD MATERNA EXTREMA"))</f>
        <v>0</v>
      </c>
      <c r="M136" s="68">
        <f>SUM(COUNTIFS(Tabla1[AÑO PARTO],B4,Tabla1[MES PARTO],M6,Tabla1[[ EVENTO DE INTERES EN SALUD PÚBLICA DE LA MADRE]],"MUERTE MATERNA"),COUNTIFS(Tabla1[AÑO PARTO],B4,Tabla1[MES PARTO],M6,Tabla1[[ EVENTO DE INTERES EN SALUD PÚBLICA DE LA MADRE]],"MUERTE Y MORBILIDAD MATERNA EXTREMA"))</f>
        <v>0</v>
      </c>
      <c r="N136" s="126">
        <f t="shared" si="30"/>
        <v>0</v>
      </c>
    </row>
    <row r="137" spans="1:14" ht="15.75" thickBot="1" x14ac:dyDescent="0.3">
      <c r="A137" s="134" t="s">
        <v>457</v>
      </c>
      <c r="B137" s="262"/>
      <c r="C137" s="263"/>
      <c r="D137" s="263"/>
      <c r="E137" s="263"/>
      <c r="F137" s="263"/>
      <c r="G137" s="263"/>
      <c r="H137" s="263"/>
      <c r="I137" s="263"/>
      <c r="J137" s="263"/>
      <c r="K137" s="263"/>
      <c r="L137" s="263"/>
      <c r="M137" s="263"/>
      <c r="N137" s="205" t="str">
        <f>IF(N$128=0,"",SUM((N136/N$128)*100000))</f>
        <v/>
      </c>
    </row>
    <row r="138" spans="1:14" ht="26.25" thickBot="1" x14ac:dyDescent="0.3">
      <c r="A138" s="201" t="s">
        <v>746</v>
      </c>
      <c r="B138" s="262" t="str">
        <f t="shared" ref="B138:N138" si="45">IF(B$136=0,"",SUM(B134/B136))</f>
        <v/>
      </c>
      <c r="C138" s="263" t="str">
        <f t="shared" si="45"/>
        <v/>
      </c>
      <c r="D138" s="263" t="str">
        <f t="shared" si="45"/>
        <v/>
      </c>
      <c r="E138" s="263" t="str">
        <f t="shared" si="45"/>
        <v/>
      </c>
      <c r="F138" s="263" t="str">
        <f t="shared" si="45"/>
        <v/>
      </c>
      <c r="G138" s="263" t="str">
        <f t="shared" si="45"/>
        <v/>
      </c>
      <c r="H138" s="263" t="str">
        <f t="shared" si="45"/>
        <v/>
      </c>
      <c r="I138" s="263" t="str">
        <f t="shared" si="45"/>
        <v/>
      </c>
      <c r="J138" s="263" t="str">
        <f t="shared" si="45"/>
        <v/>
      </c>
      <c r="K138" s="263" t="str">
        <f t="shared" si="45"/>
        <v/>
      </c>
      <c r="L138" s="263" t="str">
        <f t="shared" si="45"/>
        <v/>
      </c>
      <c r="M138" s="263" t="str">
        <f t="shared" si="45"/>
        <v/>
      </c>
      <c r="N138" s="204" t="str">
        <f t="shared" si="45"/>
        <v/>
      </c>
    </row>
    <row r="139" spans="1:14" ht="26.25" thickBot="1" x14ac:dyDescent="0.3">
      <c r="A139" s="67" t="s">
        <v>749</v>
      </c>
      <c r="B139" s="68">
        <f>SUM(COUNTIFS(Tabla1[AÑO PARTO],$B$4,Tabla1[MES PARTO],B6,Tabla1[[ EVENTO DE INTERES EN SALUD PÚBLICA DE LA MADRE]],"MUERTE MATERNA"),COUNTIFS(Tabla1[AÑO PARTO],$B$4,Tabla1[MES PARTO],B6,Tabla1[[ EVENTO DE INTERES EN SALUD PÚBLICA DE LA MADRE]],"MUERTE Y MORBILIDAD MATERNA EXTREMA"),COUNTIFS(Tabla1[AÑO PARTO],$B$4,Tabla1[MES PARTO],B6,Tabla1[[ EVENTO DE INTERES EN SALUD PÚBLICA DE LA MADRE]],"MORBILIDAD MATERNA EXTREMA"))</f>
        <v>0</v>
      </c>
      <c r="C139" s="68">
        <f>SUM(COUNTIFS(Tabla1[AÑO PARTO],$B$4,Tabla1[MES PARTO],C6,Tabla1[[ EVENTO DE INTERES EN SALUD PÚBLICA DE LA MADRE]],"MUERTE MATERNA"),COUNTIFS(Tabla1[AÑO PARTO],$B$4,Tabla1[MES PARTO],C6,Tabla1[[ EVENTO DE INTERES EN SALUD PÚBLICA DE LA MADRE]],"MUERTE Y MORBILIDAD MATERNA EXTREMA"),COUNTIFS(Tabla1[AÑO PARTO],$B$4,Tabla1[MES PARTO],C6,Tabla1[[ EVENTO DE INTERES EN SALUD PÚBLICA DE LA MADRE]],"MORBILIDAD MATERNA EXTREMA"))</f>
        <v>0</v>
      </c>
      <c r="D139" s="68">
        <f>SUM(COUNTIFS(Tabla1[AÑO PARTO],$B$4,Tabla1[MES PARTO],D6,Tabla1[[ EVENTO DE INTERES EN SALUD PÚBLICA DE LA MADRE]],"MUERTE MATERNA"),COUNTIFS(Tabla1[AÑO PARTO],$B$4,Tabla1[MES PARTO],D6,Tabla1[[ EVENTO DE INTERES EN SALUD PÚBLICA DE LA MADRE]],"MUERTE Y MORBILIDAD MATERNA EXTREMA"),COUNTIFS(Tabla1[AÑO PARTO],$B$4,Tabla1[MES PARTO],D6,Tabla1[[ EVENTO DE INTERES EN SALUD PÚBLICA DE LA MADRE]],"MORBILIDAD MATERNA EXTREMA"))</f>
        <v>0</v>
      </c>
      <c r="E139" s="68">
        <f>SUM(COUNTIFS(Tabla1[AÑO PARTO],$B$4,Tabla1[MES PARTO],E6,Tabla1[[ EVENTO DE INTERES EN SALUD PÚBLICA DE LA MADRE]],"MUERTE MATERNA"),COUNTIFS(Tabla1[AÑO PARTO],$B$4,Tabla1[MES PARTO],E6,Tabla1[[ EVENTO DE INTERES EN SALUD PÚBLICA DE LA MADRE]],"MUERTE Y MORBILIDAD MATERNA EXTREMA"),COUNTIFS(Tabla1[AÑO PARTO],$B$4,Tabla1[MES PARTO],E6,Tabla1[[ EVENTO DE INTERES EN SALUD PÚBLICA DE LA MADRE]],"MORBILIDAD MATERNA EXTREMA"))</f>
        <v>0</v>
      </c>
      <c r="F139" s="68">
        <f>SUM(COUNTIFS(Tabla1[AÑO PARTO],$B$4,Tabla1[MES PARTO],F6,Tabla1[[ EVENTO DE INTERES EN SALUD PÚBLICA DE LA MADRE]],"MUERTE MATERNA"),COUNTIFS(Tabla1[AÑO PARTO],$B$4,Tabla1[MES PARTO],F6,Tabla1[[ EVENTO DE INTERES EN SALUD PÚBLICA DE LA MADRE]],"MUERTE Y MORBILIDAD MATERNA EXTREMA"),COUNTIFS(Tabla1[AÑO PARTO],$B$4,Tabla1[MES PARTO],F6,Tabla1[[ EVENTO DE INTERES EN SALUD PÚBLICA DE LA MADRE]],"MORBILIDAD MATERNA EXTREMA"))</f>
        <v>0</v>
      </c>
      <c r="G139" s="68">
        <f>SUM(COUNTIFS(Tabla1[AÑO PARTO],$B$4,Tabla1[MES PARTO],G6,Tabla1[[ EVENTO DE INTERES EN SALUD PÚBLICA DE LA MADRE]],"MUERTE MATERNA"),COUNTIFS(Tabla1[AÑO PARTO],$B$4,Tabla1[MES PARTO],G6,Tabla1[[ EVENTO DE INTERES EN SALUD PÚBLICA DE LA MADRE]],"MUERTE Y MORBILIDAD MATERNA EXTREMA"),COUNTIFS(Tabla1[AÑO PARTO],$B$4,Tabla1[MES PARTO],G6,Tabla1[[ EVENTO DE INTERES EN SALUD PÚBLICA DE LA MADRE]],"MORBILIDAD MATERNA EXTREMA"))</f>
        <v>0</v>
      </c>
      <c r="H139" s="68">
        <f>SUM(COUNTIFS(Tabla1[AÑO PARTO],$B$4,Tabla1[MES PARTO],H6,Tabla1[[ EVENTO DE INTERES EN SALUD PÚBLICA DE LA MADRE]],"MUERTE MATERNA"),COUNTIFS(Tabla1[AÑO PARTO],$B$4,Tabla1[MES PARTO],H6,Tabla1[[ EVENTO DE INTERES EN SALUD PÚBLICA DE LA MADRE]],"MUERTE Y MORBILIDAD MATERNA EXTREMA"),COUNTIFS(Tabla1[AÑO PARTO],$B$4,Tabla1[MES PARTO],H6,Tabla1[[ EVENTO DE INTERES EN SALUD PÚBLICA DE LA MADRE]],"MORBILIDAD MATERNA EXTREMA"))</f>
        <v>0</v>
      </c>
      <c r="I139" s="68">
        <f>SUM(COUNTIFS(Tabla1[AÑO PARTO],$B$4,Tabla1[MES PARTO],I6,Tabla1[[ EVENTO DE INTERES EN SALUD PÚBLICA DE LA MADRE]],"MUERTE MATERNA"),COUNTIFS(Tabla1[AÑO PARTO],$B$4,Tabla1[MES PARTO],I6,Tabla1[[ EVENTO DE INTERES EN SALUD PÚBLICA DE LA MADRE]],"MUERTE Y MORBILIDAD MATERNA EXTREMA"),COUNTIFS(Tabla1[AÑO PARTO],$B$4,Tabla1[MES PARTO],I6,Tabla1[[ EVENTO DE INTERES EN SALUD PÚBLICA DE LA MADRE]],"MORBILIDAD MATERNA EXTREMA"))</f>
        <v>0</v>
      </c>
      <c r="J139" s="68">
        <f>SUM(COUNTIFS(Tabla1[AÑO PARTO],$B$4,Tabla1[MES PARTO],J6,Tabla1[[ EVENTO DE INTERES EN SALUD PÚBLICA DE LA MADRE]],"MUERTE MATERNA"),COUNTIFS(Tabla1[AÑO PARTO],$B$4,Tabla1[MES PARTO],J6,Tabla1[[ EVENTO DE INTERES EN SALUD PÚBLICA DE LA MADRE]],"MUERTE Y MORBILIDAD MATERNA EXTREMA"),COUNTIFS(Tabla1[AÑO PARTO],$B$4,Tabla1[MES PARTO],J6,Tabla1[[ EVENTO DE INTERES EN SALUD PÚBLICA DE LA MADRE]],"MORBILIDAD MATERNA EXTREMA"))</f>
        <v>0</v>
      </c>
      <c r="K139" s="68">
        <f>SUM(COUNTIFS(Tabla1[AÑO PARTO],$B$4,Tabla1[MES PARTO],K6,Tabla1[[ EVENTO DE INTERES EN SALUD PÚBLICA DE LA MADRE]],"MUERTE MATERNA"),COUNTIFS(Tabla1[AÑO PARTO],$B$4,Tabla1[MES PARTO],K6,Tabla1[[ EVENTO DE INTERES EN SALUD PÚBLICA DE LA MADRE]],"MUERTE Y MORBILIDAD MATERNA EXTREMA"),COUNTIFS(Tabla1[AÑO PARTO],$B$4,Tabla1[MES PARTO],K6,Tabla1[[ EVENTO DE INTERES EN SALUD PÚBLICA DE LA MADRE]],"MORBILIDAD MATERNA EXTREMA"))</f>
        <v>0</v>
      </c>
      <c r="L139" s="68">
        <f>SUM(COUNTIFS(Tabla1[AÑO PARTO],$B$4,Tabla1[MES PARTO],L6,Tabla1[[ EVENTO DE INTERES EN SALUD PÚBLICA DE LA MADRE]],"MUERTE MATERNA"),COUNTIFS(Tabla1[AÑO PARTO],$B$4,Tabla1[MES PARTO],L6,Tabla1[[ EVENTO DE INTERES EN SALUD PÚBLICA DE LA MADRE]],"MUERTE Y MORBILIDAD MATERNA EXTREMA"),COUNTIFS(Tabla1[AÑO PARTO],$B$4,Tabla1[MES PARTO],L6,Tabla1[[ EVENTO DE INTERES EN SALUD PÚBLICA DE LA MADRE]],"MORBILIDAD MATERNA EXTREMA"))</f>
        <v>0</v>
      </c>
      <c r="M139" s="68">
        <f>SUM(COUNTIFS(Tabla1[AÑO PARTO],$B$4,Tabla1[MES PARTO],M6,Tabla1[[ EVENTO DE INTERES EN SALUD PÚBLICA DE LA MADRE]],"MUERTE MATERNA"),COUNTIFS(Tabla1[AÑO PARTO],$B$4,Tabla1[MES PARTO],M6,Tabla1[[ EVENTO DE INTERES EN SALUD PÚBLICA DE LA MADRE]],"MUERTE Y MORBILIDAD MATERNA EXTREMA"),COUNTIFS(Tabla1[AÑO PARTO],$B$4,Tabla1[MES PARTO],M6,Tabla1[[ EVENTO DE INTERES EN SALUD PÚBLICA DE LA MADRE]],"MORBILIDAD MATERNA EXTREMA"))</f>
        <v>0</v>
      </c>
      <c r="N139" s="102">
        <f>SUM(B139:M139)</f>
        <v>0</v>
      </c>
    </row>
    <row r="140" spans="1:14" ht="15.75" thickBot="1" x14ac:dyDescent="0.3">
      <c r="A140" s="202" t="s">
        <v>747</v>
      </c>
      <c r="B140" s="256" t="str">
        <f>IF(B$139=0,"",SUM(B136/B139))</f>
        <v/>
      </c>
      <c r="C140" s="257"/>
      <c r="D140" s="257"/>
      <c r="E140" s="257"/>
      <c r="F140" s="257"/>
      <c r="G140" s="257"/>
      <c r="H140" s="257"/>
      <c r="I140" s="257"/>
      <c r="J140" s="257"/>
      <c r="K140" s="257"/>
      <c r="L140" s="257"/>
      <c r="M140" s="257"/>
      <c r="N140" s="203" t="str">
        <f>IF(N$139=0,"",SUM(N136/N139))</f>
        <v/>
      </c>
    </row>
    <row r="141" spans="1:14" x14ac:dyDescent="0.25">
      <c r="A141" s="69"/>
    </row>
    <row r="143" spans="1:14" x14ac:dyDescent="0.25">
      <c r="A143" s="69" t="s">
        <v>439</v>
      </c>
      <c r="B143" s="68" t="s">
        <v>398</v>
      </c>
      <c r="C143" s="68" t="s">
        <v>399</v>
      </c>
      <c r="D143" s="68" t="s">
        <v>400</v>
      </c>
      <c r="E143" s="68" t="s">
        <v>401</v>
      </c>
      <c r="F143" s="68" t="s">
        <v>402</v>
      </c>
      <c r="G143" s="68" t="s">
        <v>403</v>
      </c>
      <c r="H143" s="68" t="s">
        <v>404</v>
      </c>
      <c r="I143" s="68" t="s">
        <v>405</v>
      </c>
      <c r="J143" s="68" t="s">
        <v>406</v>
      </c>
      <c r="K143" s="68" t="s">
        <v>407</v>
      </c>
      <c r="L143" s="68" t="s">
        <v>408</v>
      </c>
      <c r="M143" s="68" t="s">
        <v>409</v>
      </c>
      <c r="N143" s="79" t="s">
        <v>456</v>
      </c>
    </row>
    <row r="144" spans="1:14" ht="38.25" x14ac:dyDescent="0.25">
      <c r="A144" s="78" t="s">
        <v>447</v>
      </c>
      <c r="B144" s="68">
        <f>COUNTIFS(Tabla1[AÑO3 INGRESO CPN],B4,Tabla1[MES2 INGRESO CPN],B6,Tabla1[TOTAL SEGUIMIENTOS POR PARTERA],"&gt;0")</f>
        <v>0</v>
      </c>
      <c r="C144" s="68">
        <f>COUNTIFS(Tabla1[AÑO3 INGRESO CPN],B4,Tabla1[MES2 INGRESO CPN],C6,Tabla1[TOTAL SEGUIMIENTOS POR PARTERA],"&gt;0")</f>
        <v>0</v>
      </c>
      <c r="D144" s="68">
        <f>COUNTIFS(Tabla1[AÑO3 INGRESO CPN],B4,Tabla1[MES2 INGRESO CPN],D6,Tabla1[TOTAL SEGUIMIENTOS POR PARTERA],"&gt;0")</f>
        <v>0</v>
      </c>
      <c r="E144" s="68">
        <f>COUNTIFS(Tabla1[AÑO3 INGRESO CPN],B4,Tabla1[MES2 INGRESO CPN],E6,Tabla1[TOTAL SEGUIMIENTOS POR PARTERA],"&gt;0")</f>
        <v>0</v>
      </c>
      <c r="F144" s="68">
        <f>COUNTIFS(Tabla1[AÑO3 INGRESO CPN],B4,Tabla1[MES2 INGRESO CPN],F6,Tabla1[TOTAL SEGUIMIENTOS POR PARTERA],"&gt;0")</f>
        <v>0</v>
      </c>
      <c r="G144" s="68">
        <f>COUNTIFS(Tabla1[AÑO3 INGRESO CPN],B4,Tabla1[MES2 INGRESO CPN],G6,Tabla1[TOTAL SEGUIMIENTOS POR PARTERA],"&gt;0")</f>
        <v>0</v>
      </c>
      <c r="H144" s="68">
        <f>COUNTIFS(Tabla1[AÑO3 INGRESO CPN],B4,Tabla1[MES2 INGRESO CPN],H6,Tabla1[TOTAL SEGUIMIENTOS POR PARTERA],"&gt;0")</f>
        <v>0</v>
      </c>
      <c r="I144" s="68">
        <f>COUNTIFS(Tabla1[AÑO3 INGRESO CPN],B4,Tabla1[MES2 INGRESO CPN],I6,Tabla1[TOTAL SEGUIMIENTOS POR PARTERA],"&gt;0")</f>
        <v>0</v>
      </c>
      <c r="J144" s="68">
        <f>COUNTIFS(Tabla1[AÑO3 INGRESO CPN],B4,Tabla1[MES2 INGRESO CPN],J6,Tabla1[TOTAL SEGUIMIENTOS POR PARTERA],"&gt;0")</f>
        <v>0</v>
      </c>
      <c r="K144" s="68">
        <f>COUNTIFS(Tabla1[AÑO3 INGRESO CPN],B4,Tabla1[MES2 INGRESO CPN],K6,Tabla1[TOTAL SEGUIMIENTOS POR PARTERA],"&gt;0")</f>
        <v>0</v>
      </c>
      <c r="L144" s="68">
        <f>COUNTIFS(Tabla1[AÑO3 INGRESO CPN],B4,Tabla1[MES2 INGRESO CPN],L6,Tabla1[TOTAL SEGUIMIENTOS POR PARTERA],"&gt;0")</f>
        <v>0</v>
      </c>
      <c r="M144" s="68">
        <f>COUNTIFS(Tabla1[AÑO3 INGRESO CPN],B4,Tabla1[MES2 INGRESO CPN],M6,Tabla1[TOTAL SEGUIMIENTOS POR PARTERA],"&gt;0")</f>
        <v>0</v>
      </c>
      <c r="N144" s="68">
        <f>SUM(B144:M144)</f>
        <v>0</v>
      </c>
    </row>
    <row r="145" spans="1:14" ht="28.5" customHeight="1" x14ac:dyDescent="0.25">
      <c r="A145" s="76" t="s">
        <v>451</v>
      </c>
      <c r="B145" s="71" t="str">
        <f>IF(B$40=0,"",SUM(B144/B$40))</f>
        <v/>
      </c>
      <c r="C145" s="71" t="str">
        <f t="shared" ref="C145:N145" si="46">IF(C40=0,"",SUM(C144/C40))</f>
        <v/>
      </c>
      <c r="D145" s="71" t="str">
        <f t="shared" si="46"/>
        <v/>
      </c>
      <c r="E145" s="71">
        <f t="shared" si="46"/>
        <v>0</v>
      </c>
      <c r="F145" s="71" t="str">
        <f t="shared" si="46"/>
        <v/>
      </c>
      <c r="G145" s="71">
        <f t="shared" si="46"/>
        <v>0</v>
      </c>
      <c r="H145" s="71" t="str">
        <f t="shared" si="46"/>
        <v/>
      </c>
      <c r="I145" s="71" t="str">
        <f t="shared" si="46"/>
        <v/>
      </c>
      <c r="J145" s="71" t="str">
        <f t="shared" si="46"/>
        <v/>
      </c>
      <c r="K145" s="71" t="str">
        <f t="shared" si="46"/>
        <v/>
      </c>
      <c r="L145" s="71" t="str">
        <f t="shared" si="46"/>
        <v/>
      </c>
      <c r="M145" s="71" t="str">
        <f t="shared" si="46"/>
        <v/>
      </c>
      <c r="N145" s="71">
        <f t="shared" si="46"/>
        <v>0</v>
      </c>
    </row>
    <row r="146" spans="1:14" ht="38.25" x14ac:dyDescent="0.25">
      <c r="A146" s="78" t="s">
        <v>448</v>
      </c>
      <c r="B146" s="68">
        <f>COUNTIFS(Tabla1[AÑO3 INGRESO CPN],B4,Tabla1[MES2 INGRESO CPN],B6,Tabla1[TOTAL SEGUIMIENTOS POR MEDICINA TRADICIONAL],"&gt;0")</f>
        <v>0</v>
      </c>
      <c r="C146" s="68">
        <f>COUNTIFS(Tabla1[AÑO3 INGRESO CPN],B4,Tabla1[MES2 INGRESO CPN],C6,Tabla1[TOTAL SEGUIMIENTOS POR MEDICINA TRADICIONAL],"&gt;0")</f>
        <v>0</v>
      </c>
      <c r="D146" s="68">
        <f>COUNTIFS(Tabla1[AÑO3 INGRESO CPN],B4,Tabla1[MES2 INGRESO CPN],D6,Tabla1[TOTAL SEGUIMIENTOS POR MEDICINA TRADICIONAL],"&gt;0")</f>
        <v>0</v>
      </c>
      <c r="E146" s="68">
        <f>COUNTIFS(Tabla1[AÑO3 INGRESO CPN],B4,Tabla1[MES2 INGRESO CPN],E6,Tabla1[TOTAL SEGUIMIENTOS POR MEDICINA TRADICIONAL],"&gt;0")</f>
        <v>0</v>
      </c>
      <c r="F146" s="68">
        <f>COUNTIFS(Tabla1[AÑO3 INGRESO CPN],B4,Tabla1[MES2 INGRESO CPN],F6,Tabla1[TOTAL SEGUIMIENTOS POR MEDICINA TRADICIONAL],"&gt;0")</f>
        <v>0</v>
      </c>
      <c r="G146" s="68">
        <f>COUNTIFS(Tabla1[AÑO3 INGRESO CPN],B4,Tabla1[MES2 INGRESO CPN],G6,Tabla1[TOTAL SEGUIMIENTOS POR MEDICINA TRADICIONAL],"&gt;0")</f>
        <v>0</v>
      </c>
      <c r="H146" s="68">
        <f>COUNTIFS(Tabla1[AÑO3 INGRESO CPN],B4,Tabla1[MES2 INGRESO CPN],H6,Tabla1[TOTAL SEGUIMIENTOS POR MEDICINA TRADICIONAL],"&gt;0")</f>
        <v>0</v>
      </c>
      <c r="I146" s="68">
        <f>COUNTIFS(Tabla1[AÑO3 INGRESO CPN],B4,Tabla1[MES2 INGRESO CPN],I6,Tabla1[TOTAL SEGUIMIENTOS POR MEDICINA TRADICIONAL],"&gt;0")</f>
        <v>0</v>
      </c>
      <c r="J146" s="68">
        <f>COUNTIFS(Tabla1[AÑO3 INGRESO CPN],B4,Tabla1[MES2 INGRESO CPN],J6,Tabla1[TOTAL SEGUIMIENTOS POR MEDICINA TRADICIONAL],"&gt;0")</f>
        <v>0</v>
      </c>
      <c r="K146" s="68">
        <f>COUNTIFS(Tabla1[AÑO3 INGRESO CPN],B4,Tabla1[MES2 INGRESO CPN],K6,Tabla1[TOTAL SEGUIMIENTOS POR MEDICINA TRADICIONAL],"&gt;0")</f>
        <v>0</v>
      </c>
      <c r="L146" s="68">
        <f>COUNTIFS(Tabla1[AÑO3 INGRESO CPN],B4,Tabla1[MES2 INGRESO CPN],L6,Tabla1[TOTAL SEGUIMIENTOS POR MEDICINA TRADICIONAL],"&gt;0")</f>
        <v>0</v>
      </c>
      <c r="M146" s="68">
        <f>COUNTIFS(Tabla1[AÑO3 INGRESO CPN],B4,Tabla1[MES2 INGRESO CPN],M6,Tabla1[TOTAL SEGUIMIENTOS POR MEDICINA TRADICIONAL],"&gt;0")</f>
        <v>0</v>
      </c>
      <c r="N146" s="68">
        <f>SUM(B146:M146)</f>
        <v>0</v>
      </c>
    </row>
    <row r="147" spans="1:14" ht="30.75" customHeight="1" x14ac:dyDescent="0.25">
      <c r="A147" s="76" t="s">
        <v>452</v>
      </c>
      <c r="B147" s="71" t="str">
        <f>IF(B$40=0,"",SUM(B146/B$40))</f>
        <v/>
      </c>
      <c r="C147" s="71" t="str">
        <f t="shared" ref="C147:N147" si="47">IF(C$40=0,"",SUM(C146/C$40))</f>
        <v/>
      </c>
      <c r="D147" s="71" t="str">
        <f t="shared" si="47"/>
        <v/>
      </c>
      <c r="E147" s="71">
        <f t="shared" si="47"/>
        <v>0</v>
      </c>
      <c r="F147" s="71" t="str">
        <f t="shared" si="47"/>
        <v/>
      </c>
      <c r="G147" s="71">
        <f t="shared" si="47"/>
        <v>0</v>
      </c>
      <c r="H147" s="71" t="str">
        <f t="shared" si="47"/>
        <v/>
      </c>
      <c r="I147" s="71" t="str">
        <f t="shared" si="47"/>
        <v/>
      </c>
      <c r="J147" s="71" t="str">
        <f t="shared" si="47"/>
        <v/>
      </c>
      <c r="K147" s="71" t="str">
        <f t="shared" si="47"/>
        <v/>
      </c>
      <c r="L147" s="71" t="str">
        <f t="shared" si="47"/>
        <v/>
      </c>
      <c r="M147" s="71" t="str">
        <f t="shared" si="47"/>
        <v/>
      </c>
      <c r="N147" s="71">
        <f t="shared" si="47"/>
        <v>0</v>
      </c>
    </row>
    <row r="148" spans="1:14" ht="25.5" x14ac:dyDescent="0.25">
      <c r="A148" s="78" t="s">
        <v>437</v>
      </c>
      <c r="B148" s="68">
        <f>COUNTIFS(Tabla1[AÑO3 INGRESO CPN],B4,Tabla1[MES2 INGRESO CPN],B6,Tabla1[TRIMESTRE DE GESTACIÓN AL PRIMER SEGUIMIENTO POR SABEDOR],"I TRIM")</f>
        <v>0</v>
      </c>
      <c r="C148" s="68">
        <f>COUNTIFS(Tabla1[AÑO3 INGRESO CPN],B4,Tabla1[MES2 INGRESO CPN],C6,Tabla1[TRIMESTRE DE GESTACIÓN AL PRIMER SEGUIMIENTO POR SABEDOR],"I TRIM")</f>
        <v>0</v>
      </c>
      <c r="D148" s="68">
        <f>COUNTIFS(Tabla1[AÑO3 INGRESO CPN],B4,Tabla1[MES2 INGRESO CPN],D6,Tabla1[TRIMESTRE DE GESTACIÓN AL PRIMER SEGUIMIENTO POR SABEDOR],"I TRIM")</f>
        <v>0</v>
      </c>
      <c r="E148" s="68">
        <f>COUNTIFS(Tabla1[AÑO3 INGRESO CPN],B4,Tabla1[MES2 INGRESO CPN],E6,Tabla1[TRIMESTRE DE GESTACIÓN AL PRIMER SEGUIMIENTO POR SABEDOR],"I TRIM")</f>
        <v>0</v>
      </c>
      <c r="F148" s="68">
        <f>COUNTIFS(Tabla1[AÑO3 INGRESO CPN],B4,Tabla1[MES2 INGRESO CPN],F6,Tabla1[TRIMESTRE DE GESTACIÓN AL PRIMER SEGUIMIENTO POR SABEDOR],"I TRIM")</f>
        <v>0</v>
      </c>
      <c r="G148" s="68">
        <f>COUNTIFS(Tabla1[AÑO3 INGRESO CPN],B4,Tabla1[MES2 INGRESO CPN],G6,Tabla1[TRIMESTRE DE GESTACIÓN AL PRIMER SEGUIMIENTO POR SABEDOR],"I TRIM")</f>
        <v>0</v>
      </c>
      <c r="H148" s="68">
        <f>COUNTIFS(Tabla1[AÑO3 INGRESO CPN],B4,Tabla1[MES2 INGRESO CPN],H6,Tabla1[TRIMESTRE DE GESTACIÓN AL PRIMER SEGUIMIENTO POR SABEDOR],"I TRIM")</f>
        <v>0</v>
      </c>
      <c r="I148" s="68">
        <f>COUNTIFS(Tabla1[AÑO3 INGRESO CPN],B4,Tabla1[MES2 INGRESO CPN],I6,Tabla1[TRIMESTRE DE GESTACIÓN AL PRIMER SEGUIMIENTO POR SABEDOR],"I TRIM")</f>
        <v>0</v>
      </c>
      <c r="J148" s="68">
        <f>COUNTIFS(Tabla1[AÑO3 INGRESO CPN],B4,Tabla1[MES2 INGRESO CPN],J6,Tabla1[TRIMESTRE DE GESTACIÓN AL PRIMER SEGUIMIENTO POR SABEDOR],"I TRIM")</f>
        <v>0</v>
      </c>
      <c r="K148" s="68">
        <f>COUNTIFS(Tabla1[AÑO3 INGRESO CPN],B4,Tabla1[MES2 INGRESO CPN],K6,Tabla1[TRIMESTRE DE GESTACIÓN AL PRIMER SEGUIMIENTO POR SABEDOR],"I TRIM")</f>
        <v>0</v>
      </c>
      <c r="L148" s="68">
        <f>COUNTIFS(Tabla1[AÑO3 INGRESO CPN],B4,Tabla1[MES2 INGRESO CPN],L6,Tabla1[TRIMESTRE DE GESTACIÓN AL PRIMER SEGUIMIENTO POR SABEDOR],"I TRIM")</f>
        <v>0</v>
      </c>
      <c r="M148" s="68">
        <f>COUNTIFS(Tabla1[AÑO3 INGRESO CPN],B4,Tabla1[MES2 INGRESO CPN],M6,Tabla1[TRIMESTRE DE GESTACIÓN AL PRIMER SEGUIMIENTO POR SABEDOR],"I TRIM")</f>
        <v>0</v>
      </c>
      <c r="N148" s="68">
        <f>SUM(B148:M148)</f>
        <v>0</v>
      </c>
    </row>
    <row r="149" spans="1:14" ht="23.25" customHeight="1" x14ac:dyDescent="0.25">
      <c r="A149" s="76" t="s">
        <v>453</v>
      </c>
      <c r="B149" s="71" t="str">
        <f>IF(B$40=0,"",SUM(B148/B$40))</f>
        <v/>
      </c>
      <c r="C149" s="71" t="str">
        <f t="shared" ref="C149:N149" si="48">IF(C$40=0,"",SUM(C148/C$40))</f>
        <v/>
      </c>
      <c r="D149" s="71" t="str">
        <f t="shared" si="48"/>
        <v/>
      </c>
      <c r="E149" s="71">
        <f t="shared" si="48"/>
        <v>0</v>
      </c>
      <c r="F149" s="71" t="str">
        <f t="shared" si="48"/>
        <v/>
      </c>
      <c r="G149" s="71">
        <f t="shared" si="48"/>
        <v>0</v>
      </c>
      <c r="H149" s="71" t="str">
        <f t="shared" si="48"/>
        <v/>
      </c>
      <c r="I149" s="71" t="str">
        <f t="shared" si="48"/>
        <v/>
      </c>
      <c r="J149" s="71" t="str">
        <f t="shared" si="48"/>
        <v/>
      </c>
      <c r="K149" s="71" t="str">
        <f t="shared" si="48"/>
        <v/>
      </c>
      <c r="L149" s="71" t="str">
        <f t="shared" si="48"/>
        <v/>
      </c>
      <c r="M149" s="71" t="str">
        <f t="shared" si="48"/>
        <v/>
      </c>
      <c r="N149" s="71">
        <f t="shared" si="48"/>
        <v>0</v>
      </c>
    </row>
    <row r="150" spans="1:14" ht="25.5" x14ac:dyDescent="0.25">
      <c r="A150" s="78" t="s">
        <v>438</v>
      </c>
      <c r="B150" s="68">
        <f>COUNTIFS(Tabla1[AÑO3 INGRESO CPN],B4,Tabla1[MES2 INGRESO CPN],B6,Tabla1[TRIMESTRE DE GESTACIÓN AL PRIMER SEGUIMIENTO POR SABEDOR],"II TRIM")</f>
        <v>0</v>
      </c>
      <c r="C150" s="68">
        <f>COUNTIFS(Tabla1[AÑO3 INGRESO CPN],B4,Tabla1[MES2 INGRESO CPN],C6,Tabla1[TRIMESTRE DE GESTACIÓN AL PRIMER SEGUIMIENTO POR SABEDOR],"II TRIM")</f>
        <v>0</v>
      </c>
      <c r="D150" s="68">
        <f>COUNTIFS(Tabla1[AÑO3 INGRESO CPN],B4,Tabla1[MES2 INGRESO CPN],D6,Tabla1[TRIMESTRE DE GESTACIÓN AL PRIMER SEGUIMIENTO POR SABEDOR],"II TRIM")</f>
        <v>0</v>
      </c>
      <c r="E150" s="68">
        <f>COUNTIFS(Tabla1[AÑO3 INGRESO CPN],B4,Tabla1[MES2 INGRESO CPN],E6,Tabla1[TRIMESTRE DE GESTACIÓN AL PRIMER SEGUIMIENTO POR SABEDOR],"II TRIM")</f>
        <v>0</v>
      </c>
      <c r="F150" s="68">
        <f>COUNTIFS(Tabla1[AÑO3 INGRESO CPN],B4,Tabla1[MES2 INGRESO CPN],F6,Tabla1[TRIMESTRE DE GESTACIÓN AL PRIMER SEGUIMIENTO POR SABEDOR],"II TRIM")</f>
        <v>0</v>
      </c>
      <c r="G150" s="68">
        <f>COUNTIFS(Tabla1[AÑO3 INGRESO CPN],B4,Tabla1[MES2 INGRESO CPN],G6,Tabla1[TRIMESTRE DE GESTACIÓN AL PRIMER SEGUIMIENTO POR SABEDOR],"II TRIM")</f>
        <v>0</v>
      </c>
      <c r="H150" s="68">
        <f>COUNTIFS(Tabla1[AÑO3 INGRESO CPN],B4,Tabla1[MES2 INGRESO CPN],H6,Tabla1[TRIMESTRE DE GESTACIÓN AL PRIMER SEGUIMIENTO POR SABEDOR],"II TRIM")</f>
        <v>0</v>
      </c>
      <c r="I150" s="68">
        <f>COUNTIFS(Tabla1[AÑO3 INGRESO CPN],B4,Tabla1[MES2 INGRESO CPN],I6,Tabla1[TRIMESTRE DE GESTACIÓN AL PRIMER SEGUIMIENTO POR SABEDOR],"II TRIM")</f>
        <v>0</v>
      </c>
      <c r="J150" s="68">
        <f>COUNTIFS(Tabla1[AÑO3 INGRESO CPN],B4,Tabla1[MES2 INGRESO CPN],J6,Tabla1[TRIMESTRE DE GESTACIÓN AL PRIMER SEGUIMIENTO POR SABEDOR],"II TRIM")</f>
        <v>0</v>
      </c>
      <c r="K150" s="68">
        <f>COUNTIFS(Tabla1[AÑO3 INGRESO CPN],B4,Tabla1[MES2 INGRESO CPN],K6,Tabla1[TRIMESTRE DE GESTACIÓN AL PRIMER SEGUIMIENTO POR SABEDOR],"II TRIM")</f>
        <v>0</v>
      </c>
      <c r="L150" s="68">
        <f>COUNTIFS(Tabla1[AÑO3 INGRESO CPN],B4,Tabla1[MES2 INGRESO CPN],L6,Tabla1[TRIMESTRE DE GESTACIÓN AL PRIMER SEGUIMIENTO POR SABEDOR],"II TRIM")</f>
        <v>0</v>
      </c>
      <c r="M150" s="68">
        <f>COUNTIFS(Tabla1[AÑO3 INGRESO CPN],B4,Tabla1[MES2 INGRESO CPN],M6,Tabla1[TRIMESTRE DE GESTACIÓN AL PRIMER SEGUIMIENTO POR SABEDOR],"II TRIM")</f>
        <v>0</v>
      </c>
      <c r="N150" s="68">
        <f>SUM(B150:M150)</f>
        <v>0</v>
      </c>
    </row>
    <row r="151" spans="1:14" ht="25.5" x14ac:dyDescent="0.25">
      <c r="A151" s="76" t="s">
        <v>454</v>
      </c>
      <c r="B151" s="71" t="str">
        <f>IF(B$40=0,"",SUM(B150/B$40))</f>
        <v/>
      </c>
      <c r="C151" s="71" t="str">
        <f t="shared" ref="C151:N151" si="49">IF(C$40=0,"",SUM(C150/C$40))</f>
        <v/>
      </c>
      <c r="D151" s="71" t="str">
        <f t="shared" si="49"/>
        <v/>
      </c>
      <c r="E151" s="71">
        <f t="shared" si="49"/>
        <v>0</v>
      </c>
      <c r="F151" s="71" t="str">
        <f t="shared" si="49"/>
        <v/>
      </c>
      <c r="G151" s="71">
        <f t="shared" si="49"/>
        <v>0</v>
      </c>
      <c r="H151" s="71" t="str">
        <f t="shared" si="49"/>
        <v/>
      </c>
      <c r="I151" s="71" t="str">
        <f t="shared" si="49"/>
        <v/>
      </c>
      <c r="J151" s="71" t="str">
        <f t="shared" si="49"/>
        <v/>
      </c>
      <c r="K151" s="71" t="str">
        <f t="shared" si="49"/>
        <v/>
      </c>
      <c r="L151" s="71" t="str">
        <f t="shared" si="49"/>
        <v/>
      </c>
      <c r="M151" s="71" t="str">
        <f t="shared" si="49"/>
        <v/>
      </c>
      <c r="N151" s="71">
        <f t="shared" si="49"/>
        <v>0</v>
      </c>
    </row>
    <row r="152" spans="1:14" ht="25.5" x14ac:dyDescent="0.25">
      <c r="A152" s="78" t="s">
        <v>450</v>
      </c>
      <c r="B152" s="68">
        <f>COUNTIFS(Tabla1[AÑO3 INGRESO CPN],B4,Tabla1[MES2 INGRESO CPN],B6,Tabla1[TRIMESTRE DE GESTACIÓN AL PRIMER SEGUIMIENTO POR SABEDOR],"III TRIM")</f>
        <v>0</v>
      </c>
      <c r="C152" s="68">
        <f>COUNTIFS(Tabla1[AÑO3 INGRESO CPN],B4,Tabla1[MES2 INGRESO CPN],C6,Tabla1[TRIMESTRE DE GESTACIÓN AL PRIMER SEGUIMIENTO POR SABEDOR],"III TRIM")</f>
        <v>0</v>
      </c>
      <c r="D152" s="68">
        <f>COUNTIFS(Tabla1[AÑO3 INGRESO CPN],B4,Tabla1[MES2 INGRESO CPN],D6,Tabla1[TRIMESTRE DE GESTACIÓN AL PRIMER SEGUIMIENTO POR SABEDOR],"III TRIM")</f>
        <v>0</v>
      </c>
      <c r="E152" s="68">
        <f>COUNTIFS(Tabla1[AÑO3 INGRESO CPN],B4,Tabla1[MES2 INGRESO CPN],E6,Tabla1[TRIMESTRE DE GESTACIÓN AL PRIMER SEGUIMIENTO POR SABEDOR],"III TRIM")</f>
        <v>0</v>
      </c>
      <c r="F152" s="68">
        <f>COUNTIFS(Tabla1[AÑO3 INGRESO CPN],B4,Tabla1[MES2 INGRESO CPN],F6,Tabla1[TRIMESTRE DE GESTACIÓN AL PRIMER SEGUIMIENTO POR SABEDOR],"III TRIM")</f>
        <v>0</v>
      </c>
      <c r="G152" s="68">
        <f>COUNTIFS(Tabla1[AÑO3 INGRESO CPN],B4,Tabla1[MES2 INGRESO CPN],G6,Tabla1[TRIMESTRE DE GESTACIÓN AL PRIMER SEGUIMIENTO POR SABEDOR],"III TRIM")</f>
        <v>0</v>
      </c>
      <c r="H152" s="68">
        <f>COUNTIFS(Tabla1[AÑO3 INGRESO CPN],B4,Tabla1[MES2 INGRESO CPN],H6,Tabla1[TRIMESTRE DE GESTACIÓN AL PRIMER SEGUIMIENTO POR SABEDOR],"III TRIM")</f>
        <v>0</v>
      </c>
      <c r="I152" s="68">
        <f>COUNTIFS(Tabla1[AÑO3 INGRESO CPN],B4,Tabla1[MES2 INGRESO CPN],I6,Tabla1[TRIMESTRE DE GESTACIÓN AL PRIMER SEGUIMIENTO POR SABEDOR],"III TRIM")</f>
        <v>0</v>
      </c>
      <c r="J152" s="68">
        <f>COUNTIFS(Tabla1[AÑO3 INGRESO CPN],B4,Tabla1[MES2 INGRESO CPN],J6,Tabla1[TRIMESTRE DE GESTACIÓN AL PRIMER SEGUIMIENTO POR SABEDOR],"III TRIM")</f>
        <v>0</v>
      </c>
      <c r="K152" s="68">
        <f>COUNTIFS(Tabla1[AÑO3 INGRESO CPN],B4,Tabla1[MES2 INGRESO CPN],K6,Tabla1[TRIMESTRE DE GESTACIÓN AL PRIMER SEGUIMIENTO POR SABEDOR],"III TRIM")</f>
        <v>0</v>
      </c>
      <c r="L152" s="68">
        <f>COUNTIFS(Tabla1[AÑO3 INGRESO CPN],B4,Tabla1[MES2 INGRESO CPN],L6,Tabla1[TRIMESTRE DE GESTACIÓN AL PRIMER SEGUIMIENTO POR SABEDOR],"III TRIM")</f>
        <v>0</v>
      </c>
      <c r="M152" s="68">
        <f>COUNTIFS(Tabla1[AÑO3 INGRESO CPN],B4,Tabla1[MES2 INGRESO CPN],M6,Tabla1[TRIMESTRE DE GESTACIÓN AL PRIMER SEGUIMIENTO POR SABEDOR],"III TRIM")</f>
        <v>0</v>
      </c>
      <c r="N152" s="68">
        <f>SUM(B152:M152)</f>
        <v>0</v>
      </c>
    </row>
    <row r="153" spans="1:14" ht="25.5" x14ac:dyDescent="0.25">
      <c r="A153" s="76" t="s">
        <v>455</v>
      </c>
      <c r="B153" s="71" t="str">
        <f>IF(B$40=0,"",SUM(B152/B$40))</f>
        <v/>
      </c>
      <c r="C153" s="71" t="str">
        <f t="shared" ref="C153:N153" si="50">IF(C$40=0,"",SUM(C152/C$40))</f>
        <v/>
      </c>
      <c r="D153" s="71" t="str">
        <f t="shared" si="50"/>
        <v/>
      </c>
      <c r="E153" s="71">
        <f t="shared" si="50"/>
        <v>0</v>
      </c>
      <c r="F153" s="71" t="str">
        <f t="shared" si="50"/>
        <v/>
      </c>
      <c r="G153" s="71">
        <f t="shared" si="50"/>
        <v>0</v>
      </c>
      <c r="H153" s="71" t="str">
        <f t="shared" si="50"/>
        <v/>
      </c>
      <c r="I153" s="71" t="str">
        <f t="shared" si="50"/>
        <v/>
      </c>
      <c r="J153" s="71" t="str">
        <f t="shared" si="50"/>
        <v/>
      </c>
      <c r="K153" s="71" t="str">
        <f t="shared" si="50"/>
        <v/>
      </c>
      <c r="L153" s="71" t="str">
        <f t="shared" si="50"/>
        <v/>
      </c>
      <c r="M153" s="71" t="str">
        <f t="shared" si="50"/>
        <v/>
      </c>
      <c r="N153" s="71">
        <f t="shared" si="50"/>
        <v>0</v>
      </c>
    </row>
  </sheetData>
  <protectedRanges>
    <protectedRange algorithmName="SHA-512" hashValue="KHhv3JU/LRdRrRTxxkgFceEHPZ5UzadmpZRZR3zmQRnPvkUJZuanRafIJ+qde0IWwLZSvFIQDyUAHq6v6k7XIg==" saltValue="2GKG1kCzVNNcn+vbOPuhJA==" spinCount="100000" sqref="A33" name="Rango2_2_5"/>
    <protectedRange algorithmName="SHA-512" hashValue="NUll9P9xh7KbSfMYpMxsRZLfDw/y/AzW2LSWlpXVscBDqiAxmzo71xjs+a2lh+jRa7pceOC849slke4+ZKx8LA==" saltValue="8qbkKpQ+CiQuLnqgShNvXA==" spinCount="100000" sqref="A13" name="Rango2_88_6"/>
  </protectedRanges>
  <mergeCells count="30">
    <mergeCell ref="B140:M140"/>
    <mergeCell ref="N35:N36"/>
    <mergeCell ref="B133:M133"/>
    <mergeCell ref="B135:M135"/>
    <mergeCell ref="B137:M137"/>
    <mergeCell ref="B138:M138"/>
    <mergeCell ref="C14:C15"/>
    <mergeCell ref="C17:C18"/>
    <mergeCell ref="E14:E15"/>
    <mergeCell ref="B13:C13"/>
    <mergeCell ref="D13:E13"/>
    <mergeCell ref="E17:E18"/>
    <mergeCell ref="B16:C16"/>
    <mergeCell ref="D16:E16"/>
    <mergeCell ref="B19:C19"/>
    <mergeCell ref="D19:E19"/>
    <mergeCell ref="C20:C21"/>
    <mergeCell ref="E20:E21"/>
    <mergeCell ref="B22:C22"/>
    <mergeCell ref="D22:E22"/>
    <mergeCell ref="B28:C28"/>
    <mergeCell ref="D28:E28"/>
    <mergeCell ref="C29:C30"/>
    <mergeCell ref="E29:E30"/>
    <mergeCell ref="C23:C24"/>
    <mergeCell ref="E23:E24"/>
    <mergeCell ref="B25:C25"/>
    <mergeCell ref="D25:E25"/>
    <mergeCell ref="C26:C27"/>
    <mergeCell ref="E26:E27"/>
  </mergeCells>
  <conditionalFormatting sqref="A33">
    <cfRule type="containsText" dxfId="338" priority="45" operator="containsText" text="SE TRASLADO DE EPS">
      <formula>NOT(ISERROR(SEARCH("SE TRASLADO DE EPS",A33)))</formula>
    </cfRule>
    <cfRule type="containsText" dxfId="337" priority="46" operator="containsText" text="INMIGRANTE VENEZOLANA">
      <formula>NOT(ISERROR(SEARCH("INMIGRANTE VENEZOLANA",A33)))</formula>
    </cfRule>
    <cfRule type="containsText" dxfId="336" priority="47" operator="containsText" text="SIN AFILIACIÓN A EPS">
      <formula>NOT(ISERROR(SEARCH("SIN AFILIACIÓN A EPS",A33)))</formula>
    </cfRule>
    <cfRule type="containsText" dxfId="335" priority="48" operator="containsText" text="NOVEDAD">
      <formula>NOT(ISERROR(SEARCH("NOVEDAD",A33)))</formula>
    </cfRule>
    <cfRule type="containsText" dxfId="334" priority="49" operator="containsText" text="IDENTIDAD">
      <formula>NOT(ISERROR(SEARCH("IDENTIDAD",A33)))</formula>
    </cfRule>
    <cfRule type="containsText" dxfId="333" priority="50" operator="containsText" text="CPN">
      <formula>NOT(ISERROR(SEARCH("CPN",A33)))</formula>
    </cfRule>
    <cfRule type="containsText" dxfId="332" priority="51" operator="containsText" text="VIENE">
      <formula>NOT(ISERROR(SEARCH("VIENE",A33)))</formula>
    </cfRule>
    <cfRule type="cellIs" dxfId="331" priority="52" operator="equal">
      <formula>"TRAMITE DE PORTABILIDAD"</formula>
    </cfRule>
  </conditionalFormatting>
  <conditionalFormatting sqref="A39">
    <cfRule type="containsText" dxfId="330" priority="9" operator="containsText" text="SE TRASLADO DE EPS">
      <formula>NOT(ISERROR(SEARCH("SE TRASLADO DE EPS",A39)))</formula>
    </cfRule>
    <cfRule type="containsText" dxfId="329" priority="10" operator="containsText" text="INMIGRANTE VENEZOLANA">
      <formula>NOT(ISERROR(SEARCH("INMIGRANTE VENEZOLANA",A39)))</formula>
    </cfRule>
    <cfRule type="containsText" dxfId="328" priority="11" operator="containsText" text="SIN AFILIACIÓN A EPS">
      <formula>NOT(ISERROR(SEARCH("SIN AFILIACIÓN A EPS",A39)))</formula>
    </cfRule>
    <cfRule type="containsText" dxfId="327" priority="12" operator="containsText" text="NOVEDAD">
      <formula>NOT(ISERROR(SEARCH("NOVEDAD",A39)))</formula>
    </cfRule>
    <cfRule type="containsText" dxfId="326" priority="13" operator="containsText" text="IDENTIDAD">
      <formula>NOT(ISERROR(SEARCH("IDENTIDAD",A39)))</formula>
    </cfRule>
    <cfRule type="containsText" dxfId="325" priority="14" operator="containsText" text="CPN">
      <formula>NOT(ISERROR(SEARCH("CPN",A39)))</formula>
    </cfRule>
    <cfRule type="containsText" dxfId="324" priority="15" operator="containsText" text="VIENE">
      <formula>NOT(ISERROR(SEARCH("VIENE",A39)))</formula>
    </cfRule>
    <cfRule type="cellIs" dxfId="323" priority="16" operator="equal">
      <formula>"TRAMITE DE PORTABILIDAD"</formula>
    </cfRule>
  </conditionalFormatting>
  <dataValidations disablePrompts="1" count="2">
    <dataValidation type="list" allowBlank="1" showInputMessage="1" showErrorMessage="1" sqref="A33" xr:uid="{00000000-0002-0000-0100-000000000000}">
      <formula1>"CPN OTRA IPS,VIENE DE OTRO MUNICIPIO,VIENE DE OTRO DPTO,SE TRASLADO DE EPS,TRAMITE DE PORTABILIDAD,SIN DOCUMENTO IDENTIDAD,SIN AFILIACIÓN A EPS,INMIGRANTE VENEZOLANA,SIN NOVEDAD"</formula1>
    </dataValidation>
    <dataValidation type="list" allowBlank="1" showInputMessage="1" showErrorMessage="1" sqref="A13" xr:uid="{00000000-0002-0000-0100-000001000000}">
      <formula1>"AIC, ASMET SALUD, CAJA COMPENSACION HUILA, CAPITAL SALUD, COMFENALCO, COMPENSAR, Contrato Particular, COOMEVA, COOSALUD, COSMITET, EJERCITO, EMSSANAR, MALLAMAS, NUEVA EPS, OTRO, POLICIA, PPNA, SANITAS, SOS, SURA, UNIDAD DE SALUD UNICAUCA"</formula1>
    </dataValidation>
  </dataValidations>
  <pageMargins left="0.7" right="0.7" top="0.75" bottom="0.75" header="0.3" footer="0.3"/>
  <pageSetup paperSize="9" orientation="portrait" r:id="rId1"/>
  <ignoredErrors>
    <ignoredError sqref="B75:N75 D14 D17 D20 D23 D26 D29 N39 N42 N44 N47 N49 N52 N54 N57 N59 N64 N62 N66 N68:N71 B69:M69 B71:M71 N72:N73 B73:M73 N74 N76:N77 B77:M77 B79:N79 N78 B83:N83 B81:N81 N80 N82 N86 N88 N95 N99 N97 N101 B102:M102 B100 N103 N105 N108 N111 N116 N118 N120 N122 N124 N127 N131 N133 N135 N145 N147 B148:M148 B146 N149 N151 B150:M150 B152:M152" formula="1"/>
  </ignoredError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1">
    <tabColor rgb="FF66FF66"/>
  </sheetPr>
  <dimension ref="A1:PQ8"/>
  <sheetViews>
    <sheetView tabSelected="1" zoomScale="70" zoomScaleNormal="70" zoomScaleSheetLayoutView="76" workbookViewId="0">
      <pane ySplit="1" topLeftCell="A2" activePane="bottomLeft" state="frozen"/>
      <selection pane="bottomLeft" activeCell="E16" sqref="E16"/>
    </sheetView>
  </sheetViews>
  <sheetFormatPr baseColWidth="10" defaultColWidth="11.42578125" defaultRowHeight="15" x14ac:dyDescent="0.25"/>
  <cols>
    <col min="1" max="1" width="22.85546875" style="1" customWidth="1"/>
    <col min="2" max="2" width="20.28515625" style="1" customWidth="1"/>
    <col min="3" max="3" width="21.140625" style="1" customWidth="1"/>
    <col min="4" max="4" width="21.42578125" style="1" customWidth="1"/>
    <col min="5" max="5" width="14.85546875" style="1" customWidth="1"/>
    <col min="6" max="6" width="15.85546875" style="1" customWidth="1"/>
    <col min="7" max="7" width="15.42578125" style="1" customWidth="1"/>
    <col min="8" max="8" width="14.28515625" style="1" customWidth="1"/>
    <col min="9" max="9" width="15.140625" style="1" customWidth="1"/>
    <col min="10" max="10" width="16.85546875" style="1" customWidth="1"/>
    <col min="11" max="11" width="14" style="1" customWidth="1"/>
    <col min="12" max="12" width="12.85546875" style="1" customWidth="1"/>
    <col min="13" max="13" width="13" style="1" customWidth="1"/>
    <col min="14" max="14" width="12.42578125" style="1" customWidth="1"/>
    <col min="15" max="15" width="19.28515625" style="1" customWidth="1"/>
    <col min="16" max="16" width="15.5703125" style="1" customWidth="1"/>
    <col min="17" max="17" width="24.28515625" style="1" customWidth="1"/>
    <col min="18" max="18" width="16.5703125" style="4" customWidth="1"/>
    <col min="19" max="19" width="17.7109375" style="1" customWidth="1"/>
    <col min="20" max="20" width="18.42578125" style="1" customWidth="1"/>
    <col min="21" max="21" width="15.42578125" style="1" customWidth="1"/>
    <col min="22" max="22" width="18" style="1" customWidth="1"/>
    <col min="23" max="23" width="15.85546875" style="1" customWidth="1"/>
    <col min="24" max="24" width="18.5703125" style="1" customWidth="1"/>
    <col min="25" max="25" width="27.5703125" style="1" customWidth="1"/>
    <col min="26" max="26" width="20.5703125" style="1" customWidth="1"/>
    <col min="27" max="27" width="17.42578125" style="1" customWidth="1"/>
    <col min="28" max="28" width="18.28515625" style="1" customWidth="1"/>
    <col min="29" max="29" width="19.42578125" style="1" customWidth="1"/>
    <col min="30" max="30" width="12.28515625" style="1" customWidth="1"/>
    <col min="31" max="31" width="19" style="1" customWidth="1"/>
    <col min="32" max="32" width="14.140625" style="1" customWidth="1"/>
    <col min="33" max="33" width="12.5703125" style="1" customWidth="1"/>
    <col min="34" max="34" width="17" style="1" customWidth="1"/>
    <col min="35" max="35" width="19.140625" style="1" customWidth="1"/>
    <col min="36" max="36" width="14.42578125" style="1" customWidth="1"/>
    <col min="37" max="37" width="13" style="1" customWidth="1"/>
    <col min="38" max="38" width="22.5703125" style="1" customWidth="1"/>
    <col min="39" max="39" width="21.140625" style="1" customWidth="1"/>
    <col min="40" max="40" width="18.28515625" style="1" customWidth="1"/>
    <col min="41" max="41" width="12.5703125" style="1" customWidth="1"/>
    <col min="42" max="42" width="15.42578125" style="1" customWidth="1"/>
    <col min="43" max="43" width="14.140625" style="1" customWidth="1"/>
    <col min="44" max="44" width="13.7109375" style="1" customWidth="1"/>
    <col min="45" max="45" width="14.85546875" style="1" customWidth="1"/>
    <col min="46" max="46" width="11.42578125" style="1" customWidth="1"/>
    <col min="47" max="47" width="13.7109375" style="1" customWidth="1"/>
    <col min="48" max="48" width="12.42578125" style="1" customWidth="1"/>
    <col min="49" max="49" width="18.140625" style="1" customWidth="1"/>
    <col min="50" max="50" width="17.7109375" style="1" customWidth="1"/>
    <col min="51" max="51" width="14.42578125" style="1" customWidth="1"/>
    <col min="52" max="52" width="14.5703125" style="1" customWidth="1"/>
    <col min="53" max="57" width="12.42578125" style="1" customWidth="1"/>
    <col min="58" max="58" width="19.140625" style="1" customWidth="1"/>
    <col min="59" max="61" width="14.28515625" style="1" customWidth="1"/>
    <col min="62" max="62" width="15.7109375" style="4" customWidth="1"/>
    <col min="63" max="63" width="12.42578125" style="1" customWidth="1"/>
    <col min="64" max="64" width="11.28515625" style="4" customWidth="1"/>
    <col min="65" max="65" width="12.85546875" style="4" customWidth="1"/>
    <col min="66" max="66" width="27.140625" style="4" customWidth="1"/>
    <col min="67" max="67" width="13.28515625" style="1" customWidth="1"/>
    <col min="68" max="68" width="14.85546875" style="1" customWidth="1"/>
    <col min="69" max="69" width="14.140625" style="1" customWidth="1"/>
    <col min="70" max="70" width="17" style="1" customWidth="1"/>
    <col min="71" max="73" width="17" style="4" customWidth="1"/>
    <col min="74" max="77" width="20" style="4" customWidth="1"/>
    <col min="78" max="78" width="21.85546875" style="4" customWidth="1"/>
    <col min="79" max="79" width="10.28515625" style="4" customWidth="1"/>
    <col min="80" max="80" width="16.42578125" style="1" customWidth="1"/>
    <col min="81" max="81" width="8.7109375" style="1" customWidth="1"/>
    <col min="82" max="82" width="16.5703125" style="1" customWidth="1"/>
    <col min="83" max="83" width="15.28515625" style="1" customWidth="1"/>
    <col min="84" max="84" width="14.28515625" style="1" customWidth="1"/>
    <col min="85" max="85" width="8.140625" style="1" customWidth="1"/>
    <col min="86" max="86" width="12.42578125" style="1" customWidth="1"/>
    <col min="87" max="87" width="29.85546875" style="1" customWidth="1"/>
    <col min="88" max="88" width="21.140625" style="1" customWidth="1"/>
    <col min="89" max="89" width="24.42578125" style="4" customWidth="1"/>
    <col min="90" max="90" width="8.7109375" style="1" customWidth="1"/>
    <col min="91" max="91" width="11.42578125" style="1" customWidth="1"/>
    <col min="92" max="92" width="17.28515625" style="1" customWidth="1"/>
    <col min="93" max="93" width="23" style="1" customWidth="1"/>
    <col min="94" max="94" width="17.5703125" style="1" customWidth="1"/>
    <col min="95" max="95" width="15.85546875" style="1" customWidth="1"/>
    <col min="96" max="96" width="14.5703125" style="1" customWidth="1"/>
    <col min="97" max="97" width="17.42578125" style="1" customWidth="1"/>
    <col min="98" max="98" width="15.28515625" style="1" customWidth="1"/>
    <col min="99" max="99" width="19.85546875" style="1" customWidth="1"/>
    <col min="100" max="100" width="15" style="1" customWidth="1"/>
    <col min="101" max="101" width="16.85546875" style="1" customWidth="1"/>
    <col min="102" max="102" width="16.42578125" style="1" customWidth="1"/>
    <col min="103" max="103" width="15.28515625" style="1" customWidth="1"/>
    <col min="104" max="104" width="21.28515625" style="1" customWidth="1"/>
    <col min="105" max="105" width="18.42578125" style="1" customWidth="1"/>
    <col min="106" max="106" width="17.28515625" style="1" customWidth="1"/>
    <col min="107" max="107" width="11.42578125" style="1" customWidth="1"/>
    <col min="108" max="118" width="11.42578125" style="4" customWidth="1"/>
    <col min="119" max="119" width="13.28515625" style="4" customWidth="1"/>
    <col min="120" max="120" width="14.85546875" style="4" customWidth="1"/>
    <col min="121" max="121" width="17" style="1" customWidth="1"/>
    <col min="122" max="122" width="15.5703125" style="4" customWidth="1"/>
    <col min="123" max="123" width="13.5703125" style="4" customWidth="1"/>
    <col min="124" max="124" width="19.140625" style="4" customWidth="1"/>
    <col min="125" max="126" width="11.42578125" style="4" customWidth="1"/>
    <col min="127" max="129" width="13.85546875" style="1" customWidth="1"/>
    <col min="130" max="130" width="12.140625" style="1" customWidth="1"/>
    <col min="131" max="131" width="17.5703125" style="4" customWidth="1"/>
    <col min="132" max="132" width="17.85546875" style="4" customWidth="1"/>
    <col min="133" max="133" width="15" style="4" customWidth="1"/>
    <col min="134" max="134" width="16.7109375" style="4" customWidth="1"/>
    <col min="135" max="135" width="15.5703125" style="4" customWidth="1"/>
    <col min="136" max="136" width="19.28515625" style="4" customWidth="1"/>
    <col min="137" max="137" width="15.42578125" style="4" customWidth="1"/>
    <col min="138" max="138" width="13" style="4" customWidth="1"/>
    <col min="139" max="139" width="21.140625" style="1" customWidth="1"/>
    <col min="140" max="140" width="15.85546875" style="4" customWidth="1"/>
    <col min="141" max="141" width="12.5703125" style="1" customWidth="1"/>
    <col min="142" max="142" width="19.42578125" style="1" customWidth="1"/>
    <col min="143" max="143" width="19" style="1" customWidth="1"/>
    <col min="144" max="144" width="20.7109375" style="1" customWidth="1"/>
    <col min="145" max="145" width="18" style="1" customWidth="1"/>
    <col min="146" max="146" width="15.7109375" style="1" customWidth="1"/>
    <col min="147" max="147" width="12.7109375" style="1" customWidth="1"/>
    <col min="148" max="148" width="23.85546875" style="1" customWidth="1"/>
    <col min="149" max="149" width="21.42578125" style="4" customWidth="1"/>
    <col min="150" max="150" width="16" style="5" customWidth="1"/>
    <col min="151" max="151" width="24.7109375" style="1" customWidth="1"/>
    <col min="152" max="152" width="18.140625" style="1" customWidth="1"/>
    <col min="153" max="153" width="16.7109375" style="4" customWidth="1"/>
    <col min="154" max="154" width="16.7109375" style="1" customWidth="1"/>
    <col min="155" max="155" width="20.28515625" style="1" customWidth="1"/>
    <col min="156" max="156" width="18.42578125" style="1" customWidth="1"/>
    <col min="157" max="157" width="20.28515625" style="1" customWidth="1"/>
    <col min="158" max="158" width="21.28515625" style="1" customWidth="1"/>
    <col min="159" max="159" width="15.85546875" style="1" customWidth="1"/>
    <col min="160" max="160" width="25.5703125" style="1" customWidth="1"/>
    <col min="161" max="161" width="21.7109375" style="1" customWidth="1"/>
    <col min="162" max="162" width="21.7109375" style="4" customWidth="1"/>
    <col min="163" max="163" width="15.140625" style="1" customWidth="1"/>
    <col min="164" max="164" width="20.42578125" style="1" customWidth="1"/>
    <col min="165" max="165" width="22" style="1" customWidth="1"/>
    <col min="166" max="166" width="17.140625" style="1" customWidth="1"/>
    <col min="167" max="167" width="17.5703125" style="1" customWidth="1"/>
    <col min="168" max="168" width="20.140625" style="1" customWidth="1"/>
    <col min="169" max="169" width="16.42578125" style="1" customWidth="1"/>
    <col min="170" max="170" width="19.140625" style="1" customWidth="1"/>
    <col min="171" max="171" width="20.42578125" style="1" customWidth="1"/>
    <col min="172" max="172" width="16.7109375" style="1" customWidth="1"/>
    <col min="173" max="173" width="20" style="1" customWidth="1"/>
    <col min="174" max="174" width="25.5703125" style="1" customWidth="1"/>
    <col min="175" max="175" width="16.42578125" style="1" customWidth="1"/>
    <col min="176" max="176" width="19.28515625" style="4" customWidth="1"/>
    <col min="177" max="177" width="20.7109375" style="1" customWidth="1"/>
    <col min="178" max="178" width="14.85546875" style="1" customWidth="1"/>
    <col min="179" max="179" width="22.7109375" style="1" customWidth="1"/>
    <col min="180" max="180" width="23.140625" style="1" customWidth="1"/>
    <col min="181" max="181" width="18.140625" style="1" customWidth="1"/>
    <col min="182" max="182" width="20.7109375" style="16" customWidth="1"/>
    <col min="183" max="183" width="15.28515625" style="1" customWidth="1"/>
    <col min="184" max="184" width="17.140625" style="1" customWidth="1"/>
    <col min="185" max="185" width="17.140625" style="4" customWidth="1"/>
    <col min="186" max="186" width="14.42578125" style="4" customWidth="1"/>
    <col min="187" max="188" width="17.140625" style="1" customWidth="1"/>
    <col min="189" max="189" width="15.140625" style="1" customWidth="1"/>
    <col min="190" max="192" width="22.7109375" style="1" customWidth="1"/>
    <col min="193" max="193" width="30.140625" style="1" customWidth="1"/>
    <col min="194" max="194" width="18.140625" style="1" customWidth="1"/>
    <col min="195" max="195" width="24.85546875" style="1" customWidth="1"/>
    <col min="196" max="196" width="14.5703125" style="1" customWidth="1"/>
    <col min="197" max="197" width="14.5703125" style="4" customWidth="1"/>
    <col min="198" max="201" width="14.5703125" style="1" customWidth="1"/>
    <col min="202" max="202" width="14.5703125" style="4" customWidth="1"/>
    <col min="203" max="203" width="14.5703125" style="1" customWidth="1"/>
    <col min="204" max="204" width="17.140625" style="1" customWidth="1"/>
    <col min="205" max="205" width="16.42578125" style="1" customWidth="1"/>
    <col min="206" max="207" width="21" style="1" customWidth="1"/>
    <col min="208" max="208" width="13.42578125" style="1" customWidth="1"/>
    <col min="209" max="209" width="12.28515625" style="1" customWidth="1"/>
    <col min="210" max="216" width="23" style="1" customWidth="1"/>
    <col min="217" max="217" width="25.140625" style="1" customWidth="1"/>
    <col min="218" max="218" width="32.140625" style="1" customWidth="1"/>
    <col min="219" max="219" width="28.28515625" style="4" customWidth="1"/>
    <col min="220" max="220" width="39.85546875" style="4" customWidth="1"/>
    <col min="221" max="221" width="24.28515625" style="4" customWidth="1"/>
    <col min="222" max="222" width="32.42578125" style="4" customWidth="1"/>
    <col min="223" max="223" width="33.7109375" style="4" customWidth="1"/>
    <col min="224" max="224" width="25.140625" style="4" customWidth="1"/>
    <col min="225" max="225" width="16.85546875" style="4" customWidth="1"/>
    <col min="226" max="226" width="17.85546875" style="4" customWidth="1"/>
    <col min="227" max="227" width="15.140625" style="4" customWidth="1"/>
    <col min="228" max="229" width="19.5703125" style="4" customWidth="1"/>
    <col min="230" max="230" width="21.5703125" style="4" customWidth="1"/>
    <col min="231" max="231" width="18.7109375" style="4" customWidth="1"/>
    <col min="232" max="232" width="21.85546875" style="4" customWidth="1"/>
    <col min="233" max="233" width="20.5703125" style="4" customWidth="1"/>
    <col min="234" max="234" width="24" style="4" customWidth="1"/>
    <col min="235" max="235" width="23.42578125" style="4" customWidth="1"/>
    <col min="236" max="236" width="20" style="2" customWidth="1"/>
    <col min="237" max="237" width="19.85546875" style="3" customWidth="1"/>
    <col min="238" max="244" width="17" style="1" customWidth="1"/>
    <col min="245" max="245" width="26" style="1" customWidth="1"/>
    <col min="246" max="246" width="20.42578125" style="1" customWidth="1"/>
    <col min="247" max="247" width="18.28515625" style="1" customWidth="1"/>
    <col min="248" max="248" width="23.85546875" style="1" customWidth="1"/>
    <col min="249" max="249" width="21.5703125" style="1" customWidth="1"/>
    <col min="250" max="250" width="13.42578125" style="1" customWidth="1"/>
    <col min="251" max="251" width="13.42578125" style="5" customWidth="1"/>
    <col min="252" max="252" width="21" style="1" customWidth="1"/>
    <col min="253" max="253" width="19.28515625" style="1" customWidth="1"/>
    <col min="254" max="254" width="23.28515625" style="1" customWidth="1"/>
    <col min="255" max="255" width="24.28515625" style="1" customWidth="1"/>
    <col min="256" max="256" width="22.5703125" style="1" customWidth="1"/>
    <col min="257" max="257" width="16.140625" style="4" customWidth="1"/>
    <col min="258" max="258" width="20.5703125" style="1" customWidth="1"/>
    <col min="259" max="259" width="15.85546875" style="1" customWidth="1"/>
    <col min="260" max="260" width="26.42578125" style="1" customWidth="1"/>
    <col min="261" max="261" width="24.42578125" style="1" customWidth="1"/>
    <col min="262" max="263" width="27.140625" style="1" customWidth="1"/>
    <col min="264" max="264" width="23.5703125" style="1" customWidth="1"/>
    <col min="265" max="265" width="23" style="1" customWidth="1"/>
    <col min="266" max="266" width="32.42578125" style="1" customWidth="1"/>
    <col min="267" max="267" width="21.140625" style="1" customWidth="1"/>
    <col min="268" max="268" width="27.42578125" style="1" customWidth="1"/>
    <col min="269" max="269" width="37.85546875" style="1" customWidth="1"/>
    <col min="270" max="270" width="26.85546875" style="1" customWidth="1"/>
    <col min="271" max="271" width="13.85546875" style="6" customWidth="1"/>
    <col min="272" max="272" width="9.85546875" style="1" customWidth="1"/>
    <col min="273" max="273" width="13.85546875" style="1" customWidth="1"/>
    <col min="274" max="274" width="17.7109375" style="1" customWidth="1"/>
    <col min="275" max="275" width="10.28515625" style="1" customWidth="1"/>
    <col min="276" max="276" width="13.5703125" style="1" customWidth="1"/>
    <col min="277" max="277" width="16" style="1" customWidth="1"/>
    <col min="278" max="278" width="10.7109375" style="1" customWidth="1"/>
    <col min="279" max="279" width="13.140625" style="1" customWidth="1"/>
    <col min="280" max="280" width="12.42578125" style="4" customWidth="1"/>
    <col min="281" max="281" width="12.42578125" style="15" customWidth="1"/>
    <col min="282" max="282" width="11.140625" style="1" customWidth="1"/>
    <col min="283" max="283" width="15" style="1" customWidth="1"/>
    <col min="284" max="284" width="15.42578125" style="1" customWidth="1"/>
    <col min="285" max="285" width="10.85546875" style="1" customWidth="1"/>
    <col min="286" max="286" width="12.28515625" style="1" customWidth="1"/>
    <col min="287" max="287" width="13.85546875" style="1" customWidth="1"/>
    <col min="288" max="288" width="13.140625" style="1" customWidth="1"/>
    <col min="289" max="289" width="11.5703125" style="1" customWidth="1"/>
    <col min="290" max="290" width="22.140625" style="1" customWidth="1"/>
    <col min="291" max="291" width="14.7109375" style="1" customWidth="1"/>
    <col min="292" max="292" width="20.7109375" style="4" customWidth="1"/>
    <col min="293" max="293" width="19" style="1" customWidth="1"/>
    <col min="294" max="294" width="17.28515625" style="1" customWidth="1"/>
    <col min="295" max="295" width="19" style="1" customWidth="1"/>
    <col min="296" max="296" width="20.85546875" style="1" customWidth="1"/>
    <col min="297" max="297" width="27.42578125" style="1" customWidth="1"/>
    <col min="298" max="298" width="19" style="1" customWidth="1"/>
    <col min="299" max="299" width="18.42578125" style="1" customWidth="1"/>
    <col min="300" max="302" width="22" style="1" customWidth="1"/>
    <col min="303" max="303" width="26.42578125" style="4" customWidth="1"/>
    <col min="304" max="304" width="15.85546875" style="4" customWidth="1"/>
    <col min="305" max="305" width="14.7109375" style="3" customWidth="1"/>
    <col min="306" max="306" width="24.7109375" style="4" customWidth="1"/>
    <col min="307" max="307" width="16.7109375" style="4" customWidth="1"/>
    <col min="308" max="308" width="15.42578125" style="4" customWidth="1"/>
    <col min="309" max="309" width="20" style="4" customWidth="1"/>
    <col min="310" max="310" width="26.7109375" style="4" customWidth="1"/>
    <col min="311" max="311" width="19" style="4" customWidth="1"/>
    <col min="312" max="312" width="22.28515625" style="4" customWidth="1"/>
    <col min="313" max="313" width="20" style="4" customWidth="1"/>
    <col min="314" max="314" width="16.85546875" style="4" customWidth="1"/>
    <col min="315" max="315" width="17.140625" style="1" customWidth="1"/>
    <col min="316" max="316" width="19.7109375" style="1" customWidth="1"/>
    <col min="317" max="317" width="21" style="1" customWidth="1"/>
    <col min="318" max="318" width="20.42578125" style="1" customWidth="1"/>
    <col min="319" max="319" width="14" style="1" customWidth="1"/>
    <col min="320" max="320" width="19.140625" style="1" customWidth="1"/>
    <col min="321" max="321" width="14.5703125" style="1" customWidth="1"/>
    <col min="322" max="322" width="20" style="1" customWidth="1"/>
    <col min="323" max="324" width="19.28515625" style="1" customWidth="1"/>
    <col min="325" max="325" width="14.7109375" style="1" customWidth="1"/>
    <col min="326" max="326" width="19.42578125" style="1" customWidth="1"/>
    <col min="327" max="328" width="18.7109375" style="1" customWidth="1"/>
    <col min="329" max="329" width="15.85546875" style="1" customWidth="1"/>
    <col min="330" max="330" width="17.5703125" style="1" customWidth="1"/>
    <col min="331" max="331" width="16.42578125" style="1" customWidth="1"/>
    <col min="332" max="332" width="20.42578125" style="1" customWidth="1"/>
    <col min="333" max="333" width="18.28515625" style="1" customWidth="1"/>
    <col min="334" max="334" width="22.85546875" style="1" customWidth="1"/>
    <col min="335" max="335" width="18.28515625" style="1" customWidth="1"/>
    <col min="336" max="336" width="24.42578125" style="1" customWidth="1"/>
    <col min="337" max="337" width="17.140625" style="1" customWidth="1"/>
    <col min="338" max="345" width="21.7109375" style="1" customWidth="1"/>
    <col min="346" max="346" width="30.42578125" style="1" customWidth="1"/>
    <col min="347" max="347" width="27.140625" style="1" customWidth="1"/>
    <col min="348" max="350" width="21.7109375" style="1" customWidth="1"/>
    <col min="351" max="351" width="19.7109375" style="1" customWidth="1"/>
    <col min="352" max="352" width="22" style="1" customWidth="1"/>
    <col min="353" max="353" width="20" style="1" customWidth="1"/>
    <col min="354" max="354" width="23.28515625" style="1" customWidth="1"/>
    <col min="355" max="355" width="18" customWidth="1"/>
    <col min="356" max="358" width="15.7109375" customWidth="1"/>
    <col min="359" max="359" width="19.85546875" customWidth="1"/>
    <col min="360" max="360" width="12.140625" customWidth="1"/>
    <col min="361" max="361" width="15.7109375" customWidth="1"/>
    <col min="362" max="391" width="11.42578125" customWidth="1"/>
    <col min="392" max="392" width="11.5703125" customWidth="1"/>
    <col min="393" max="397" width="11.42578125" customWidth="1"/>
    <col min="398" max="398" width="14.85546875" customWidth="1"/>
    <col min="399" max="427" width="11.42578125" customWidth="1"/>
    <col min="428" max="430" width="11.42578125" style="1" customWidth="1"/>
    <col min="431" max="431" width="17.140625" style="1" customWidth="1"/>
    <col min="432" max="432" width="11.7109375" style="1" customWidth="1"/>
    <col min="433" max="433" width="11.42578125" style="1" customWidth="1"/>
    <col min="434" max="16384" width="11.42578125" style="1"/>
  </cols>
  <sheetData>
    <row r="1" spans="1:433" ht="93" customHeight="1" thickBot="1" x14ac:dyDescent="0.3">
      <c r="A1" s="9" t="s">
        <v>638</v>
      </c>
      <c r="B1" s="8" t="s">
        <v>920</v>
      </c>
      <c r="C1" s="8" t="s">
        <v>32</v>
      </c>
      <c r="D1" s="7" t="s">
        <v>689</v>
      </c>
      <c r="E1" s="8" t="s">
        <v>102</v>
      </c>
      <c r="F1" s="8" t="s">
        <v>21</v>
      </c>
      <c r="G1" s="8" t="s">
        <v>0</v>
      </c>
      <c r="H1" s="8" t="s">
        <v>1</v>
      </c>
      <c r="I1" s="8" t="s">
        <v>2</v>
      </c>
      <c r="J1" s="8" t="s">
        <v>3</v>
      </c>
      <c r="K1" s="8" t="s">
        <v>19</v>
      </c>
      <c r="L1" s="8" t="s">
        <v>20</v>
      </c>
      <c r="M1" s="8" t="s">
        <v>4</v>
      </c>
      <c r="N1" s="21" t="s">
        <v>5</v>
      </c>
      <c r="O1" s="8" t="s">
        <v>312</v>
      </c>
      <c r="P1" s="21" t="s">
        <v>46</v>
      </c>
      <c r="Q1" s="8" t="s">
        <v>646</v>
      </c>
      <c r="R1" s="20" t="s">
        <v>172</v>
      </c>
      <c r="S1" s="7" t="s">
        <v>29</v>
      </c>
      <c r="T1" s="7" t="s">
        <v>6</v>
      </c>
      <c r="U1" s="8" t="s">
        <v>147</v>
      </c>
      <c r="V1" s="7" t="s">
        <v>7</v>
      </c>
      <c r="W1" s="8" t="s">
        <v>52</v>
      </c>
      <c r="X1" s="8" t="s">
        <v>200</v>
      </c>
      <c r="Y1" s="8" t="s">
        <v>688</v>
      </c>
      <c r="Z1" s="8" t="s">
        <v>8</v>
      </c>
      <c r="AA1" s="7" t="s">
        <v>25</v>
      </c>
      <c r="AB1" s="8" t="s">
        <v>359</v>
      </c>
      <c r="AC1" s="7" t="s">
        <v>9</v>
      </c>
      <c r="AD1" s="19" t="s">
        <v>379</v>
      </c>
      <c r="AE1" s="7" t="s">
        <v>151</v>
      </c>
      <c r="AF1" s="7" t="s">
        <v>10</v>
      </c>
      <c r="AG1" s="7" t="s">
        <v>26</v>
      </c>
      <c r="AH1" s="7" t="s">
        <v>150</v>
      </c>
      <c r="AI1" s="8" t="s">
        <v>30</v>
      </c>
      <c r="AJ1" s="8" t="s">
        <v>361</v>
      </c>
      <c r="AK1" s="21" t="s">
        <v>53</v>
      </c>
      <c r="AL1" s="17" t="s">
        <v>479</v>
      </c>
      <c r="AM1" s="17" t="s">
        <v>480</v>
      </c>
      <c r="AN1" s="17" t="s">
        <v>481</v>
      </c>
      <c r="AO1" s="17" t="s">
        <v>482</v>
      </c>
      <c r="AP1" s="17" t="s">
        <v>483</v>
      </c>
      <c r="AQ1" s="17" t="s">
        <v>484</v>
      </c>
      <c r="AR1" s="17" t="s">
        <v>123</v>
      </c>
      <c r="AS1" s="17" t="s">
        <v>485</v>
      </c>
      <c r="AT1" s="17" t="s">
        <v>486</v>
      </c>
      <c r="AU1" s="18" t="s">
        <v>148</v>
      </c>
      <c r="AV1" s="17" t="s">
        <v>500</v>
      </c>
      <c r="AW1" s="17" t="s">
        <v>487</v>
      </c>
      <c r="AX1" s="17" t="s">
        <v>495</v>
      </c>
      <c r="AY1" s="17" t="s">
        <v>489</v>
      </c>
      <c r="AZ1" s="17" t="s">
        <v>490</v>
      </c>
      <c r="BA1" s="7" t="s">
        <v>153</v>
      </c>
      <c r="BB1" s="7" t="s">
        <v>154</v>
      </c>
      <c r="BC1" s="7" t="s">
        <v>155</v>
      </c>
      <c r="BD1" s="7" t="s">
        <v>156</v>
      </c>
      <c r="BE1" s="8" t="s">
        <v>168</v>
      </c>
      <c r="BF1" s="8" t="s">
        <v>365</v>
      </c>
      <c r="BG1" s="7" t="s">
        <v>159</v>
      </c>
      <c r="BH1" s="7" t="s">
        <v>363</v>
      </c>
      <c r="BI1" s="7" t="s">
        <v>158</v>
      </c>
      <c r="BJ1" s="7" t="s">
        <v>360</v>
      </c>
      <c r="BK1" s="7" t="s">
        <v>54</v>
      </c>
      <c r="BL1" s="8" t="s">
        <v>40</v>
      </c>
      <c r="BM1" s="21" t="s">
        <v>35</v>
      </c>
      <c r="BN1" s="21" t="s">
        <v>57</v>
      </c>
      <c r="BO1" s="21" t="s">
        <v>11</v>
      </c>
      <c r="BP1" s="21" t="s">
        <v>12</v>
      </c>
      <c r="BQ1" s="21" t="s">
        <v>13</v>
      </c>
      <c r="BR1" s="59" t="s">
        <v>55</v>
      </c>
      <c r="BS1" s="59" t="s">
        <v>56</v>
      </c>
      <c r="BT1" s="59" t="s">
        <v>58</v>
      </c>
      <c r="BU1" s="59" t="s">
        <v>59</v>
      </c>
      <c r="BV1" s="58" t="s">
        <v>161</v>
      </c>
      <c r="BW1" s="58" t="s">
        <v>215</v>
      </c>
      <c r="BX1" s="59" t="s">
        <v>739</v>
      </c>
      <c r="BY1" s="58" t="s">
        <v>157</v>
      </c>
      <c r="BZ1" s="8" t="s">
        <v>636</v>
      </c>
      <c r="CA1" s="8" t="s">
        <v>290</v>
      </c>
      <c r="CB1" s="7" t="s">
        <v>122</v>
      </c>
      <c r="CC1" s="21" t="s">
        <v>17</v>
      </c>
      <c r="CD1" s="21" t="s">
        <v>60</v>
      </c>
      <c r="CE1" s="7" t="s">
        <v>61</v>
      </c>
      <c r="CF1" s="8" t="s">
        <v>514</v>
      </c>
      <c r="CG1" s="21" t="s">
        <v>506</v>
      </c>
      <c r="CH1" s="21" t="s">
        <v>505</v>
      </c>
      <c r="CI1" s="21" t="s">
        <v>507</v>
      </c>
      <c r="CJ1" s="10" t="s">
        <v>62</v>
      </c>
      <c r="CK1" s="8" t="s">
        <v>515</v>
      </c>
      <c r="CL1" s="21" t="s">
        <v>508</v>
      </c>
      <c r="CM1" s="21" t="s">
        <v>509</v>
      </c>
      <c r="CN1" s="21" t="s">
        <v>510</v>
      </c>
      <c r="CO1" s="21" t="s">
        <v>511</v>
      </c>
      <c r="CP1" s="7" t="s">
        <v>134</v>
      </c>
      <c r="CQ1" s="7" t="s">
        <v>135</v>
      </c>
      <c r="CR1" s="21" t="s">
        <v>149</v>
      </c>
      <c r="CS1" s="8" t="s">
        <v>165</v>
      </c>
      <c r="CT1" s="7" t="s">
        <v>166</v>
      </c>
      <c r="CU1" s="21" t="s">
        <v>173</v>
      </c>
      <c r="CV1" s="7" t="s">
        <v>141</v>
      </c>
      <c r="CW1" s="7" t="s">
        <v>146</v>
      </c>
      <c r="CX1" s="7" t="s">
        <v>142</v>
      </c>
      <c r="CY1" s="7" t="s">
        <v>143</v>
      </c>
      <c r="CZ1" s="21" t="s">
        <v>174</v>
      </c>
      <c r="DA1" s="8" t="s">
        <v>357</v>
      </c>
      <c r="DB1" s="8" t="s">
        <v>358</v>
      </c>
      <c r="DC1" s="20" t="s">
        <v>63</v>
      </c>
      <c r="DD1" s="20" t="s">
        <v>64</v>
      </c>
      <c r="DE1" s="20" t="s">
        <v>65</v>
      </c>
      <c r="DF1" s="20" t="s">
        <v>66</v>
      </c>
      <c r="DG1" s="20" t="s">
        <v>67</v>
      </c>
      <c r="DH1" s="20" t="s">
        <v>68</v>
      </c>
      <c r="DI1" s="20" t="s">
        <v>69</v>
      </c>
      <c r="DJ1" s="20" t="s">
        <v>70</v>
      </c>
      <c r="DK1" s="20" t="s">
        <v>71</v>
      </c>
      <c r="DL1" s="20" t="s">
        <v>72</v>
      </c>
      <c r="DM1" s="20" t="s">
        <v>325</v>
      </c>
      <c r="DN1" s="20" t="s">
        <v>644</v>
      </c>
      <c r="DO1" s="172" t="s">
        <v>745</v>
      </c>
      <c r="DP1" s="172" t="s">
        <v>731</v>
      </c>
      <c r="DQ1" s="200" t="s">
        <v>740</v>
      </c>
      <c r="DR1" s="21" t="s">
        <v>48</v>
      </c>
      <c r="DS1" s="96" t="s">
        <v>22</v>
      </c>
      <c r="DT1" s="21" t="s">
        <v>326</v>
      </c>
      <c r="DU1" s="21" t="s">
        <v>291</v>
      </c>
      <c r="DV1" s="21" t="s">
        <v>292</v>
      </c>
      <c r="DW1" s="21" t="s">
        <v>43</v>
      </c>
      <c r="DX1" s="21" t="s">
        <v>33</v>
      </c>
      <c r="DY1" s="21" t="s">
        <v>51</v>
      </c>
      <c r="DZ1" s="21" t="s">
        <v>73</v>
      </c>
      <c r="EA1" s="10" t="s">
        <v>74</v>
      </c>
      <c r="EB1" s="10" t="s">
        <v>75</v>
      </c>
      <c r="EC1" s="7" t="s">
        <v>76</v>
      </c>
      <c r="ED1" s="7" t="s">
        <v>77</v>
      </c>
      <c r="EE1" s="20" t="s">
        <v>78</v>
      </c>
      <c r="EF1" s="34" t="s">
        <v>351</v>
      </c>
      <c r="EG1" s="10" t="s">
        <v>125</v>
      </c>
      <c r="EH1" s="7" t="s">
        <v>124</v>
      </c>
      <c r="EI1" s="24" t="s">
        <v>103</v>
      </c>
      <c r="EJ1" s="10" t="s">
        <v>79</v>
      </c>
      <c r="EK1" s="21" t="s">
        <v>80</v>
      </c>
      <c r="EL1" s="21" t="s">
        <v>126</v>
      </c>
      <c r="EM1" s="21" t="s">
        <v>169</v>
      </c>
      <c r="EN1" s="24" t="s">
        <v>104</v>
      </c>
      <c r="EO1" s="8" t="s">
        <v>109</v>
      </c>
      <c r="EP1" s="21" t="s">
        <v>108</v>
      </c>
      <c r="EQ1" s="21" t="s">
        <v>162</v>
      </c>
      <c r="ER1" s="24" t="s">
        <v>127</v>
      </c>
      <c r="ES1" s="20" t="s">
        <v>128</v>
      </c>
      <c r="ET1" s="21" t="s">
        <v>129</v>
      </c>
      <c r="EU1" s="21" t="s">
        <v>130</v>
      </c>
      <c r="EV1" s="32" t="s">
        <v>371</v>
      </c>
      <c r="EW1" s="10" t="s">
        <v>152</v>
      </c>
      <c r="EX1" s="21" t="s">
        <v>171</v>
      </c>
      <c r="EY1" s="7" t="s">
        <v>110</v>
      </c>
      <c r="EZ1" s="7" t="s">
        <v>111</v>
      </c>
      <c r="FA1" s="7" t="s">
        <v>112</v>
      </c>
      <c r="FB1" s="21" t="s">
        <v>107</v>
      </c>
      <c r="FC1" s="8" t="s">
        <v>113</v>
      </c>
      <c r="FD1" s="21" t="s">
        <v>139</v>
      </c>
      <c r="FE1" s="24" t="s">
        <v>686</v>
      </c>
      <c r="FF1" s="10" t="s">
        <v>852</v>
      </c>
      <c r="FG1" s="21" t="s">
        <v>690</v>
      </c>
      <c r="FH1" s="24" t="s">
        <v>470</v>
      </c>
      <c r="FI1" s="7" t="s">
        <v>114</v>
      </c>
      <c r="FJ1" s="21" t="s">
        <v>691</v>
      </c>
      <c r="FK1" s="233" t="s">
        <v>471</v>
      </c>
      <c r="FL1" s="7" t="s">
        <v>115</v>
      </c>
      <c r="FM1" s="21" t="s">
        <v>692</v>
      </c>
      <c r="FN1" s="24" t="s">
        <v>472</v>
      </c>
      <c r="FO1" s="7" t="s">
        <v>116</v>
      </c>
      <c r="FP1" s="21" t="s">
        <v>693</v>
      </c>
      <c r="FQ1" s="7" t="s">
        <v>140</v>
      </c>
      <c r="FR1" s="7" t="s">
        <v>137</v>
      </c>
      <c r="FS1" s="21" t="s">
        <v>138</v>
      </c>
      <c r="FT1" s="24" t="s">
        <v>81</v>
      </c>
      <c r="FU1" s="7" t="s">
        <v>82</v>
      </c>
      <c r="FV1" s="21" t="s">
        <v>83</v>
      </c>
      <c r="FW1" s="8" t="s">
        <v>362</v>
      </c>
      <c r="FX1" s="8" t="s">
        <v>366</v>
      </c>
      <c r="FY1" s="32" t="s">
        <v>687</v>
      </c>
      <c r="FZ1" s="214" t="s">
        <v>758</v>
      </c>
      <c r="GA1" s="21" t="s">
        <v>694</v>
      </c>
      <c r="GB1" s="32" t="s">
        <v>340</v>
      </c>
      <c r="GC1" s="20" t="s">
        <v>759</v>
      </c>
      <c r="GD1" s="21" t="s">
        <v>695</v>
      </c>
      <c r="GE1" s="32" t="s">
        <v>367</v>
      </c>
      <c r="GF1" s="8" t="s">
        <v>760</v>
      </c>
      <c r="GG1" s="21" t="s">
        <v>696</v>
      </c>
      <c r="GH1" s="32" t="s">
        <v>469</v>
      </c>
      <c r="GI1" s="8" t="s">
        <v>384</v>
      </c>
      <c r="GJ1" s="61" t="s">
        <v>342</v>
      </c>
      <c r="GK1" s="7" t="s">
        <v>344</v>
      </c>
      <c r="GL1" s="62" t="s">
        <v>345</v>
      </c>
      <c r="GM1" s="8" t="s">
        <v>346</v>
      </c>
      <c r="GN1" s="24" t="s">
        <v>84</v>
      </c>
      <c r="GO1" s="10" t="s">
        <v>85</v>
      </c>
      <c r="GP1" s="21" t="s">
        <v>163</v>
      </c>
      <c r="GQ1" s="24" t="s">
        <v>86</v>
      </c>
      <c r="GR1" s="24" t="s">
        <v>88</v>
      </c>
      <c r="GS1" s="21" t="s">
        <v>119</v>
      </c>
      <c r="GT1" s="10" t="s">
        <v>87</v>
      </c>
      <c r="GU1" s="21" t="s">
        <v>164</v>
      </c>
      <c r="GV1" s="21" t="s">
        <v>170</v>
      </c>
      <c r="GW1" s="8" t="s">
        <v>284</v>
      </c>
      <c r="GX1" s="7" t="s">
        <v>120</v>
      </c>
      <c r="GY1" s="7" t="s">
        <v>24</v>
      </c>
      <c r="GZ1" s="7" t="s">
        <v>343</v>
      </c>
      <c r="HA1" s="21" t="s">
        <v>37</v>
      </c>
      <c r="HB1" s="21" t="s">
        <v>38</v>
      </c>
      <c r="HC1" s="21" t="s">
        <v>36</v>
      </c>
      <c r="HD1" s="24" t="s">
        <v>697</v>
      </c>
      <c r="HE1" s="7" t="s">
        <v>698</v>
      </c>
      <c r="HF1" s="24" t="s">
        <v>699</v>
      </c>
      <c r="HG1" s="7" t="s">
        <v>700</v>
      </c>
      <c r="HH1" s="24" t="s">
        <v>701</v>
      </c>
      <c r="HI1" s="7" t="s">
        <v>702</v>
      </c>
      <c r="HJ1" s="7" t="s">
        <v>669</v>
      </c>
      <c r="HK1" s="87" t="s">
        <v>320</v>
      </c>
      <c r="HL1" s="87" t="s">
        <v>385</v>
      </c>
      <c r="HM1" s="87" t="s">
        <v>380</v>
      </c>
      <c r="HN1" s="87" t="s">
        <v>369</v>
      </c>
      <c r="HO1" s="87" t="s">
        <v>323</v>
      </c>
      <c r="HP1" s="87" t="s">
        <v>368</v>
      </c>
      <c r="HQ1" s="87" t="s">
        <v>376</v>
      </c>
      <c r="HR1" s="87" t="s">
        <v>375</v>
      </c>
      <c r="HS1" s="33" t="s">
        <v>397</v>
      </c>
      <c r="HT1" s="7" t="s">
        <v>324</v>
      </c>
      <c r="HU1" s="8" t="s">
        <v>627</v>
      </c>
      <c r="HV1" s="7" t="s">
        <v>294</v>
      </c>
      <c r="HW1" s="8" t="s">
        <v>628</v>
      </c>
      <c r="HX1" s="7" t="s">
        <v>293</v>
      </c>
      <c r="HY1" s="8" t="s">
        <v>629</v>
      </c>
      <c r="HZ1" s="7" t="s">
        <v>299</v>
      </c>
      <c r="IA1" s="8" t="s">
        <v>570</v>
      </c>
      <c r="IB1" s="7" t="s">
        <v>34</v>
      </c>
      <c r="IC1" s="158" t="s">
        <v>14</v>
      </c>
      <c r="ID1" s="8" t="s">
        <v>769</v>
      </c>
      <c r="IE1" s="9" t="s">
        <v>680</v>
      </c>
      <c r="IF1" s="8" t="s">
        <v>671</v>
      </c>
      <c r="IG1" s="9" t="s">
        <v>682</v>
      </c>
      <c r="IH1" s="8" t="s">
        <v>672</v>
      </c>
      <c r="II1" s="9" t="s">
        <v>683</v>
      </c>
      <c r="IJ1" s="8" t="s">
        <v>681</v>
      </c>
      <c r="IK1" s="159" t="s">
        <v>673</v>
      </c>
      <c r="IL1" s="8" t="s">
        <v>117</v>
      </c>
      <c r="IM1" s="7" t="s">
        <v>118</v>
      </c>
      <c r="IN1" s="21" t="s">
        <v>364</v>
      </c>
      <c r="IO1" s="8" t="s">
        <v>792</v>
      </c>
      <c r="IP1" s="21" t="s">
        <v>374</v>
      </c>
      <c r="IQ1" s="60" t="s">
        <v>372</v>
      </c>
      <c r="IR1" s="21" t="s">
        <v>373</v>
      </c>
      <c r="IS1" s="25" t="s">
        <v>285</v>
      </c>
      <c r="IT1" s="26" t="s">
        <v>23</v>
      </c>
      <c r="IU1" s="26" t="s">
        <v>764</v>
      </c>
      <c r="IV1" s="26" t="s">
        <v>765</v>
      </c>
      <c r="IW1" s="27" t="s">
        <v>581</v>
      </c>
      <c r="IX1" s="26" t="s">
        <v>15</v>
      </c>
      <c r="IY1" s="21" t="s">
        <v>89</v>
      </c>
      <c r="IZ1" s="25" t="s">
        <v>175</v>
      </c>
      <c r="JA1" s="25" t="s">
        <v>459</v>
      </c>
      <c r="JB1" s="25" t="s">
        <v>16</v>
      </c>
      <c r="JC1" s="26" t="s">
        <v>703</v>
      </c>
      <c r="JD1" s="33" t="s">
        <v>353</v>
      </c>
      <c r="JE1" s="33" t="s">
        <v>355</v>
      </c>
      <c r="JF1" s="33" t="s">
        <v>354</v>
      </c>
      <c r="JG1" s="33" t="s">
        <v>750</v>
      </c>
      <c r="JH1" s="33" t="s">
        <v>751</v>
      </c>
      <c r="JI1" s="33" t="s">
        <v>763</v>
      </c>
      <c r="JJ1" s="25" t="s">
        <v>782</v>
      </c>
      <c r="JK1" s="28" t="s">
        <v>39</v>
      </c>
      <c r="JL1" s="28" t="s">
        <v>90</v>
      </c>
      <c r="JM1" s="29" t="s">
        <v>179</v>
      </c>
      <c r="JN1" s="21" t="s">
        <v>44</v>
      </c>
      <c r="JO1" s="29" t="s">
        <v>295</v>
      </c>
      <c r="JP1" s="28" t="s">
        <v>91</v>
      </c>
      <c r="JQ1" s="28" t="s">
        <v>92</v>
      </c>
      <c r="JR1" s="28" t="s">
        <v>41</v>
      </c>
      <c r="JS1" s="28" t="s">
        <v>42</v>
      </c>
      <c r="JT1" s="30" t="s">
        <v>131</v>
      </c>
      <c r="JU1" s="30" t="s">
        <v>105</v>
      </c>
      <c r="JV1" s="28" t="s">
        <v>93</v>
      </c>
      <c r="JW1" s="29" t="s">
        <v>178</v>
      </c>
      <c r="JX1" s="21" t="s">
        <v>94</v>
      </c>
      <c r="JY1" s="29" t="s">
        <v>296</v>
      </c>
      <c r="JZ1" s="28" t="s">
        <v>96</v>
      </c>
      <c r="KA1" s="28" t="s">
        <v>97</v>
      </c>
      <c r="KB1" s="28" t="s">
        <v>98</v>
      </c>
      <c r="KC1" s="28" t="s">
        <v>99</v>
      </c>
      <c r="KD1" s="28" t="s">
        <v>132</v>
      </c>
      <c r="KE1" s="28" t="s">
        <v>106</v>
      </c>
      <c r="KF1" s="30" t="s">
        <v>100</v>
      </c>
      <c r="KG1" s="21" t="s">
        <v>176</v>
      </c>
      <c r="KH1" s="7" t="s">
        <v>101</v>
      </c>
      <c r="KI1" s="21" t="s">
        <v>177</v>
      </c>
      <c r="KJ1" s="33" t="s">
        <v>458</v>
      </c>
      <c r="KK1" s="33" t="s">
        <v>395</v>
      </c>
      <c r="KL1" s="33" t="s">
        <v>396</v>
      </c>
      <c r="KM1" s="8" t="s">
        <v>350</v>
      </c>
      <c r="KN1" s="8" t="s">
        <v>286</v>
      </c>
      <c r="KO1" s="100" t="s">
        <v>634</v>
      </c>
      <c r="KP1" s="17" t="s">
        <v>635</v>
      </c>
      <c r="KQ1" s="63" t="s">
        <v>386</v>
      </c>
      <c r="KR1" s="63" t="s">
        <v>377</v>
      </c>
      <c r="KS1" s="98" t="s">
        <v>378</v>
      </c>
      <c r="KT1" s="63" t="s">
        <v>633</v>
      </c>
      <c r="KU1" s="90" t="s">
        <v>630</v>
      </c>
      <c r="KV1" s="90" t="s">
        <v>631</v>
      </c>
      <c r="KW1" s="90" t="s">
        <v>632</v>
      </c>
      <c r="KX1" s="91" t="s">
        <v>606</v>
      </c>
      <c r="KY1" s="64" t="s">
        <v>389</v>
      </c>
      <c r="KZ1" s="64" t="s">
        <v>391</v>
      </c>
      <c r="LA1" s="64" t="s">
        <v>607</v>
      </c>
      <c r="LB1" s="64" t="s">
        <v>388</v>
      </c>
      <c r="LC1" s="22" t="s">
        <v>300</v>
      </c>
      <c r="LD1" s="22" t="s">
        <v>298</v>
      </c>
      <c r="LE1" s="88" t="s">
        <v>297</v>
      </c>
      <c r="LF1" s="22" t="s">
        <v>329</v>
      </c>
      <c r="LG1" s="23" t="s">
        <v>302</v>
      </c>
      <c r="LH1" s="23" t="s">
        <v>303</v>
      </c>
      <c r="LI1" s="88" t="s">
        <v>328</v>
      </c>
      <c r="LJ1" s="23" t="s">
        <v>330</v>
      </c>
      <c r="LK1" s="22" t="s">
        <v>304</v>
      </c>
      <c r="LL1" s="22" t="s">
        <v>301</v>
      </c>
      <c r="LM1" s="88" t="s">
        <v>331</v>
      </c>
      <c r="LN1" s="22" t="s">
        <v>332</v>
      </c>
      <c r="LO1" s="23" t="s">
        <v>305</v>
      </c>
      <c r="LP1" s="23" t="s">
        <v>306</v>
      </c>
      <c r="LQ1" s="88" t="s">
        <v>333</v>
      </c>
      <c r="LR1" s="23" t="s">
        <v>334</v>
      </c>
      <c r="LS1" s="22" t="s">
        <v>307</v>
      </c>
      <c r="LT1" s="22" t="s">
        <v>308</v>
      </c>
      <c r="LU1" s="88" t="s">
        <v>335</v>
      </c>
      <c r="LV1" s="22" t="s">
        <v>336</v>
      </c>
      <c r="LW1" s="65" t="s">
        <v>327</v>
      </c>
      <c r="LX1" s="65" t="s">
        <v>309</v>
      </c>
      <c r="LY1" s="88" t="s">
        <v>337</v>
      </c>
      <c r="LZ1" s="65" t="s">
        <v>310</v>
      </c>
      <c r="MA1" s="22" t="s">
        <v>370</v>
      </c>
      <c r="MB1" s="22" t="s">
        <v>311</v>
      </c>
      <c r="MC1" s="88" t="s">
        <v>338</v>
      </c>
      <c r="MD1" s="22" t="s">
        <v>339</v>
      </c>
      <c r="ME1" s="65" t="s">
        <v>653</v>
      </c>
      <c r="MF1" s="65" t="s">
        <v>654</v>
      </c>
      <c r="MG1" s="88" t="s">
        <v>655</v>
      </c>
      <c r="MH1" s="65" t="s">
        <v>656</v>
      </c>
      <c r="MI1" s="22" t="s">
        <v>657</v>
      </c>
      <c r="MJ1" s="22" t="s">
        <v>658</v>
      </c>
      <c r="MK1" s="88" t="s">
        <v>659</v>
      </c>
      <c r="ML1" s="22" t="s">
        <v>660</v>
      </c>
      <c r="MM1" s="65" t="s">
        <v>661</v>
      </c>
      <c r="MN1" s="65" t="s">
        <v>662</v>
      </c>
      <c r="MO1" s="88" t="s">
        <v>663</v>
      </c>
      <c r="MP1" s="152" t="s">
        <v>664</v>
      </c>
      <c r="MQ1" s="155" t="s">
        <v>288</v>
      </c>
      <c r="MR1" s="156" t="s">
        <v>392</v>
      </c>
      <c r="MS1" s="156" t="s">
        <v>449</v>
      </c>
      <c r="MT1" s="156" t="s">
        <v>287</v>
      </c>
      <c r="MU1" s="156" t="s">
        <v>289</v>
      </c>
      <c r="MV1" s="156" t="s">
        <v>460</v>
      </c>
      <c r="MW1" s="156" t="s">
        <v>461</v>
      </c>
      <c r="MX1" s="156" t="s">
        <v>462</v>
      </c>
      <c r="MY1" s="156" t="s">
        <v>463</v>
      </c>
      <c r="MZ1" s="156" t="s">
        <v>464</v>
      </c>
      <c r="NA1" s="156" t="s">
        <v>465</v>
      </c>
      <c r="NB1" s="156" t="s">
        <v>314</v>
      </c>
      <c r="NC1" s="156" t="s">
        <v>315</v>
      </c>
      <c r="ND1" s="156" t="s">
        <v>316</v>
      </c>
      <c r="NE1" s="156" t="s">
        <v>317</v>
      </c>
      <c r="NF1" s="156" t="s">
        <v>318</v>
      </c>
      <c r="NG1" s="156" t="s">
        <v>381</v>
      </c>
      <c r="NH1" s="156" t="s">
        <v>382</v>
      </c>
      <c r="NI1" s="156" t="s">
        <v>383</v>
      </c>
      <c r="NJ1" s="173" t="s">
        <v>704</v>
      </c>
      <c r="NK1" s="173" t="s">
        <v>705</v>
      </c>
      <c r="NL1" s="173" t="s">
        <v>706</v>
      </c>
      <c r="NM1" s="174" t="s">
        <v>466</v>
      </c>
      <c r="NN1" s="156" t="s">
        <v>319</v>
      </c>
      <c r="NO1" s="156" t="s">
        <v>468</v>
      </c>
      <c r="NP1" s="156" t="s">
        <v>321</v>
      </c>
      <c r="NQ1" s="156" t="s">
        <v>322</v>
      </c>
      <c r="NR1" s="156" t="s">
        <v>467</v>
      </c>
      <c r="NS1" s="156" t="s">
        <v>445</v>
      </c>
      <c r="NT1" s="156" t="s">
        <v>446</v>
      </c>
      <c r="NU1" s="156" t="s">
        <v>352</v>
      </c>
      <c r="NV1" s="156" t="s">
        <v>347</v>
      </c>
      <c r="NW1" s="156" t="s">
        <v>348</v>
      </c>
      <c r="NX1" s="157" t="s">
        <v>349</v>
      </c>
      <c r="NY1" s="154" t="s">
        <v>665</v>
      </c>
      <c r="NZ1" s="154" t="s">
        <v>707</v>
      </c>
      <c r="OA1" s="154" t="s">
        <v>781</v>
      </c>
      <c r="OB1" s="154" t="s">
        <v>756</v>
      </c>
      <c r="OC1" s="154" t="s">
        <v>757</v>
      </c>
      <c r="OD1" s="154" t="s">
        <v>786</v>
      </c>
      <c r="OE1" s="154" t="s">
        <v>787</v>
      </c>
      <c r="OF1" s="154" t="s">
        <v>799</v>
      </c>
      <c r="OG1" s="154" t="s">
        <v>821</v>
      </c>
      <c r="OH1" s="150" t="s">
        <v>645</v>
      </c>
      <c r="OI1" s="151">
        <v>14</v>
      </c>
      <c r="OJ1" s="151">
        <v>15</v>
      </c>
      <c r="OK1" s="151">
        <v>16</v>
      </c>
      <c r="OL1" s="151">
        <v>17</v>
      </c>
      <c r="OM1" s="151">
        <v>18</v>
      </c>
      <c r="ON1" s="151">
        <v>19</v>
      </c>
      <c r="OO1" s="151">
        <v>20</v>
      </c>
      <c r="OP1" s="151">
        <v>21</v>
      </c>
      <c r="OQ1" s="151">
        <v>22</v>
      </c>
      <c r="OR1" s="151">
        <v>23</v>
      </c>
      <c r="OS1" s="151">
        <v>24</v>
      </c>
      <c r="OT1" s="151">
        <v>25</v>
      </c>
      <c r="OU1" s="151">
        <v>26</v>
      </c>
      <c r="OV1" s="151">
        <v>27</v>
      </c>
      <c r="OW1" s="151">
        <v>28</v>
      </c>
      <c r="OX1" s="151">
        <v>29</v>
      </c>
      <c r="OY1" s="151">
        <v>30</v>
      </c>
      <c r="OZ1" s="151">
        <v>31</v>
      </c>
      <c r="PA1" s="151">
        <v>32</v>
      </c>
      <c r="PB1" s="151">
        <v>33</v>
      </c>
      <c r="PC1" s="151">
        <v>34</v>
      </c>
      <c r="PD1" s="151">
        <v>35</v>
      </c>
      <c r="PE1" s="151">
        <v>36</v>
      </c>
      <c r="PF1" s="151">
        <v>37</v>
      </c>
      <c r="PG1" s="151">
        <v>38</v>
      </c>
      <c r="PH1" s="151">
        <v>39</v>
      </c>
      <c r="PI1" s="151">
        <v>40</v>
      </c>
      <c r="PJ1" s="151">
        <v>41</v>
      </c>
      <c r="PK1" s="160">
        <v>42</v>
      </c>
      <c r="PL1" s="169" t="s">
        <v>675</v>
      </c>
      <c r="PM1" s="170" t="s">
        <v>674</v>
      </c>
      <c r="PN1" s="170" t="s">
        <v>676</v>
      </c>
      <c r="PO1" s="170" t="s">
        <v>677</v>
      </c>
      <c r="PP1" s="170" t="s">
        <v>678</v>
      </c>
      <c r="PQ1" s="218" t="s">
        <v>679</v>
      </c>
    </row>
    <row r="2" spans="1:433" ht="42" customHeight="1" x14ac:dyDescent="0.25">
      <c r="A2" s="187" t="s">
        <v>851</v>
      </c>
      <c r="B2" s="68"/>
      <c r="C2" s="68"/>
      <c r="D2" s="187"/>
      <c r="E2" s="68"/>
      <c r="F2" s="68"/>
      <c r="G2" s="68"/>
      <c r="H2" s="68"/>
      <c r="I2" s="145"/>
      <c r="J2" s="146"/>
      <c r="K2" s="68"/>
      <c r="L2" s="68"/>
      <c r="M2" s="35"/>
      <c r="N2" s="38" t="str">
        <f t="shared" ref="N2:N8" ca="1" si="0">IF(M2&gt;0,SUM(TODAY()-M2)/365,"")</f>
        <v/>
      </c>
      <c r="O2" s="35"/>
      <c r="P2" s="39" t="str">
        <f t="shared" ref="P2:P8" si="1">IF(AND(O2="",R2&gt;0),"ACUDE ESPONTANEAMENTE",IF(AND(AND(O2&gt;0,R2=""),OR(IW2&gt;0,IT2&lt;&gt;"")),"NA",IF(AND(O2&gt;0,IW2="",R2=""),"NO",IF(AND(O2&gt;0,R2&gt;0),"SI",""))))</f>
        <v/>
      </c>
      <c r="Q2" s="40"/>
      <c r="R2" s="35"/>
      <c r="S2" s="31"/>
      <c r="T2" s="37"/>
      <c r="U2" s="31"/>
      <c r="V2" s="31"/>
      <c r="W2" s="31"/>
      <c r="X2" s="31"/>
      <c r="Y2" s="31"/>
      <c r="Z2" s="31"/>
      <c r="AA2" s="31"/>
      <c r="AB2" s="41"/>
      <c r="AC2" s="40"/>
      <c r="AD2" s="55"/>
      <c r="AE2" s="40"/>
      <c r="AF2" s="40"/>
      <c r="AG2" s="36"/>
      <c r="AH2" s="36"/>
      <c r="AI2" s="37"/>
      <c r="AJ2" s="36"/>
      <c r="AK2" s="42" t="str">
        <f>IF(AND(AE2="",AF2="",AG2="",AH2="",AI2="",AJ2=""),"",IF(AND(OR(O2&gt;0,R2&gt;0),NP2&gt;=0,NP2&lt;2),"SIN RIESGO",IF(AND(OR(O2&gt;0,R2&gt;0),NP2&gt;=2),"CON RIESGO",IF(AND(O2="",R2=""),"",IF(OR(Tabla1[[#This Row],[EMBARAZO ACEPTADO Y/O  DESEADO]]="SIN DATO",Tabla1[[#This Row],[APOYO FAMILIAR]]="SIN DATO",Tabla1[[#This Row],[ANSIEDAD (Tensión emocional, Humor depresivo y sx angustia).]]="SIN DATO",Tabla1[[#This Row],[GRUPO DE POBLACION ESPECIAL]]="SIN DATO",Tabla1[[#This Row],[HA SIDO VICTIMA DE VIOLENCIA BASADA EN GENERO]]="SIN DATO"),"COMPLETAR EVALUACIÓN","")))))</f>
        <v/>
      </c>
      <c r="AL2" s="36"/>
      <c r="AM2" s="40"/>
      <c r="AN2" s="40"/>
      <c r="AO2" s="40"/>
      <c r="AP2" s="40"/>
      <c r="AQ2" s="40"/>
      <c r="AR2" s="31"/>
      <c r="AS2" s="31"/>
      <c r="AT2" s="31"/>
      <c r="AU2" s="40"/>
      <c r="AV2" s="31"/>
      <c r="AW2" s="40"/>
      <c r="AX2" s="40"/>
      <c r="AY2" s="40"/>
      <c r="AZ2" s="40"/>
      <c r="BA2" s="40"/>
      <c r="BB2" s="40"/>
      <c r="BC2" s="40"/>
      <c r="BD2" s="40"/>
      <c r="BE2" s="40"/>
      <c r="BF2" s="40"/>
      <c r="BG2" s="40"/>
      <c r="BH2" s="40"/>
      <c r="BI2" s="40"/>
      <c r="BJ2" s="35"/>
      <c r="BK2" s="35"/>
      <c r="BL2" s="31"/>
      <c r="BM2" s="43" t="str">
        <f t="shared" ref="BM2:BM8" si="2">IF(OR(BJ2="SD",BK2=""),"",IF(BJ2="",0,SUM(BK2-BJ2)/30))</f>
        <v/>
      </c>
      <c r="BN2" s="57" t="str">
        <f t="shared" ref="BN2:BN8" si="3">IF(BS2&gt;0,SUM(BR2-NQ2),"")</f>
        <v/>
      </c>
      <c r="BO2" s="44" t="str">
        <f t="shared" ref="BO2:BO8" si="4">IF(AND(BL2="Corregida",BK2&gt;0,R2&gt;0,ISBLANK(BS2)),"SIN SEMANAS X ECO",IF(AND(BL2="Corregida",BK2&gt;0,R2&gt;0),SUM(R2-BN2)/7,IF(AND(OR(BL2="SI",BL2="NO"),BK2&gt;0,R2&gt;0),SUM(R2-BK2)/7,"")))</f>
        <v/>
      </c>
      <c r="BP2" s="31" t="str">
        <f t="shared" ref="BP2:BP8" si="5">IF(AND(BO2="",IP2=""),"",IF(AND(BO2="",IP2="DEFINIR FPP POR ECO"),"SIN DATO",IF(BO2&lt;0,"ERROR FUM O INGRESO O ECO",IF(BL2="NO","DEFINIR CON ECO",IF(BO2&lt;12,"I TRIM",IF(BO2&lt;27,"II TRIM",IF(AND(BO2&gt;26,BO2&lt;45),"III TRIM","ERROR FUM O INGRESO O ECO")))))))</f>
        <v/>
      </c>
      <c r="BQ2" s="39" t="str">
        <f t="shared" ref="BQ2:BQ8" ca="1" si="6">IF(SUM((TODAY()-BK2)/7)&gt;43.1,"",IF(AND(BK2&gt;0,OR(BL2="si",BL2="Corregida",BL2="NO")),SUM((TODAY()-BK2)/7),""))</f>
        <v/>
      </c>
      <c r="BR2" s="35"/>
      <c r="BS2" s="43"/>
      <c r="BT2" s="35"/>
      <c r="BU2" s="31"/>
      <c r="BV2" s="40"/>
      <c r="BW2" s="40"/>
      <c r="BX2" s="40"/>
      <c r="BY2" s="40"/>
      <c r="BZ2" s="35"/>
      <c r="CA2" s="31"/>
      <c r="CB2" s="31"/>
      <c r="CC2" s="39" t="str">
        <f t="shared" ref="CC2:CC8" si="7">IF(AND(OR(O2&gt;0,R2&gt;0),CA2=""),"SD",IF(AND(OR(O2="",R2=""),CA2=""),"",IF(AND(OR(O2&gt;0,R2&gt;0),CA2&gt;0,CB2&gt;0),SUM(CB2)/(CA2*CA2),"X")))</f>
        <v/>
      </c>
      <c r="CD2" s="45" t="str">
        <f t="shared" ref="CD2:CD8" si="8">IF(AND(CC2&lt;10,CB2="SD"),"SIN DATO PESO PREGESTACION O I TRIM",IF(AND(OR(R2&gt;0,O2&gt;0),CC2="X"),"INGRESAR DATO DE PESO",IF(CC2="SD","INGRESAR DATO DE TALLA Y PESO",IF(CC2&lt;18.5,"BAJO PESO",IF(CC2&lt;25,"NORMAL",IF(CC2&lt;30,"SOBREPESO",IF(AND(CC2&gt;=30,CC2&lt;50),"OBESIDAD","")))))))</f>
        <v/>
      </c>
      <c r="CE2" s="35"/>
      <c r="CF2" s="31"/>
      <c r="CG2" s="39" t="str">
        <f t="shared" ref="CG2:CG8" si="9">IF(AND(OR(O2&gt;0,R2&gt;0),CA2=""),"SD",IF(AND(OR(O2="",R2=""),CA2=""),"",IF(AND(OR(O2&gt;0,R2&gt;0),CA2&gt;0),SUM(CF2)/(CA2*CA2),"X")))</f>
        <v/>
      </c>
      <c r="CH2" s="31" t="str">
        <f t="shared" ref="CH2:CH8" si="10">IF(AND(CE2="",BK2=""),"",IF(AND(BK2&gt;0,CE2=""),"NA",IF(CE2&lt;BK2,"REVISAR FUM O FECHA PESO",IF(CE2&gt;0,INT(SUM(CE2-BK2)/7)))))</f>
        <v/>
      </c>
      <c r="CI2" s="31" t="str">
        <f>IF(OR(CH2="",CH2="NA"),"",IF(AND(CH2&gt;=29,CH2&lt;=42),"REGISTRAR EN III TRIM",IF(AND(CH2&gt;0,CH2&lt;=13),"REGISTRAR EN I TRIM",IF(CH2="REVISAR FUM O FECHA PESO","REVISAR",IF(CH2&gt;0,HLOOKUP(CH2,$OI$1:PK2,OH2),"")))))</f>
        <v/>
      </c>
      <c r="CJ2" s="35"/>
      <c r="CK2" s="31"/>
      <c r="CL2" s="39" t="str">
        <f t="shared" ref="CL2:CL8" si="11">IF(AND(OR(O2&gt;0,R2&gt;0),CA2=""),"SD",IF(AND(OR(O2="",R2=""),CA2=""),"",IF(AND(OR(O2&gt;0,R2&gt;0),CA2&gt;0),SUM(CK2)/(CA2*CA2),"X")))</f>
        <v/>
      </c>
      <c r="CM2" s="31" t="str">
        <f t="shared" ref="CM2:CM8" si="12">IF(AND(CJ2="",BK2=""),"",IF(AND(BK2&gt;0,CJ2=""),"NA",IF(CJ2&lt;BK2,"REVISAR FUM O FECHA PESO",IF(CJ2&gt;0,INT(SUM(CJ2-BK2)/7)))))</f>
        <v/>
      </c>
      <c r="CN2" s="31" t="str">
        <f>IF(OR(CM2="",CM2="NA"),"",IF(AND(CM2&gt;0,CM2&lt;=28),"REGISTRAR EN  TRIM RESPECTIVO",IF(CM2&gt;0,HLOOKUP(CM2,$OI$1:PK2,OH2),"")))</f>
        <v/>
      </c>
      <c r="CO2" s="31" t="str">
        <f t="shared" ref="CO2:CO8" si="13">IF(AND(OR(O2&gt;0,R2&gt;0),CD2&lt;&gt;"",CI2&lt;&gt;"",CN2&lt;&gt;""),CN2,IF(AND(OR(O2&gt;0,R2&gt;0),CD2&lt;&gt;"",CI2&lt;&gt;"",CN2=""),CI2,IF(AND(OR(O2&gt;0,R2&gt;0),CD2&lt;&gt;"",CI2="",CN2=""),CD2,IF(AND(OR(O2&gt;0,R2&gt;0),CD2&lt;&gt;"",CI2="",CN2&lt;&gt;""),CN2,""))))</f>
        <v/>
      </c>
      <c r="CP2" s="31"/>
      <c r="CQ2" s="31"/>
      <c r="CR2" s="37" t="str">
        <f t="shared" ref="CR2:CR8" si="14">IF(AND(OR(R2="",R2&lt;&gt;""),CQ2="",CP2=""),"",IF(AND(OR(O2&gt;0,R2&gt;0),OR(CP2&gt;=140,CQ2&gt;=90)),"DEFINIR ESTADIO HTA",IF(AND(OR(O2&gt;0,R2&gt;0),AND(CP2&gt;120,CP2&lt;=139)),"PRE HTA SEGUIMIENTO",IF(AND(OR(O2&gt;0,R2&gt;0),AND(CQ2&gt;80,CQ2&lt;=89)),"PRE HTA SEGUIMIENTO",IF(AND(OR(O2&gt;0,R2&gt;0),AND(CP2&gt;=80,CP2&lt;=120)),"APARENTEMENTE NORMAL",IF(AND(OR(O2&gt;0,R2&gt;0),AND(CQ2&gt;=50,CQ2&lt;=80)),"APARENTEMENTE NORMAL",IF(AND(OR(O2&gt;0,R2&gt;0),OR(CP2&lt;=70,CQ2&lt;=40)),"HIPOTENSIÓN","")))))))</f>
        <v/>
      </c>
      <c r="CS2" s="31"/>
      <c r="CT2" s="31"/>
      <c r="CU2" s="37" t="str">
        <f t="shared" ref="CU2:CU8" si="15">IF(AND(OR(R2="",R2&lt;&gt;""),CS2="",CT2=""),"",IF(AND(OR(O2&gt;0,R2&gt;0),OR(CS2&gt;=140,CT2&gt;=90)),"ALTO RIESGO PREECLAMPSIA,DEFINIR ESTADIO HTA",IF(AND(OR(O2&gt;0,R2&gt;0),AND(CS2&gt;120,CS2&lt;=139)),"PRE HTA SEGUIMIENTO,RIESGO HIPERTENSION INDUCIDA POR EL EMBARAZO",IF(AND(OR(O2&gt;0,R2&gt;0),AND(CT2&gt;80,CT2&lt;=89)),"PRE HTA SEGUIMIENTO, RIESGO HIPERTENSION INDUCIDA POR EL EMBARAZO",IF(AND(OR(O2&lt;&gt;"",R2&lt;&gt;""),CQ2&lt;&gt;"",CT2&lt;&gt;"",CQ2&lt;=CT2),"VIGILAR CIFRAS PRESION ARTERIAL",IF(AND(OR(O2&gt;0,R2&gt;0),AND(CS2&gt;120,CS2&lt;=139)),"PRE HTA SEGUIMIENTO",IF(AND(OR(O2&gt;0,R2&gt;0),OR(CS2&lt;=60,CT2&lt;40)),"HIPOTENSIÓN",IF(AND(OR(O2&lt;&gt;"",R2&lt;&gt;""),CQ2&lt;&gt;"",CT2&lt;&gt;"",CQ2&gt;CT2),"APARENTEMENTE NORMAL",IF(AND(OR(O2&gt;0,R2&gt;0),AND(CS2&gt;=80,CS2&lt;=120)),"APARENTEMENTE NORMAL",IF(AND(OR(O2&gt;0,R2&gt;0),AND(CT2&gt;=50,CT2&lt;=80)),"APARENTEMENTE NORMAL",""))))))))))</f>
        <v/>
      </c>
      <c r="CV2" s="31"/>
      <c r="CW2" s="31"/>
      <c r="CX2" s="31"/>
      <c r="CY2" s="31"/>
      <c r="CZ2" s="37" t="str">
        <f t="shared" ref="CZ2:CZ8" si="16">IF(AND(OR(R2="",R2&lt;&gt;""),CV2="",CW2="",CX2="",CY2=""),"",IF(AND(OR(O2&gt;0,R2&gt;0),OR(CV2&gt;=140,CW2&gt;=90,CX2&gt;=140,CY2&gt;=90)),"ESTUDIO INMEDIATO HTA PARA DESCARTAR PREECLAMSIA",IF(AND(OR(O2&gt;0,R2&gt;0),OR(AND(CX2&gt;=130,CX2&lt;=139),AND(CV2&gt;=130,CV2&lt;=139))),"PRE HTA,RIESGO ALTO PREECLAMPSIA",IF(AND(OR(O2&gt;0,R2&gt;0),OR(AND(CY2&gt;=80,CY2&lt;=89),AND(CW2&gt;=80,CW2&lt;=89))),"PRE HTA,RIESGO ALTO PREECLAMPSIA",IF(AND(OR(O2&gt;0,R2&gt;0),OR(AND(CX2&gt;120,CX2&lt;=129),AND(CV2&gt;120,CV2&lt;=129))),"RANGO PREHIPERTENSIVO SEGUIMIENTO HTA",IF(AND(OR(O2&lt;&gt;"",R2&lt;&gt;""),CQ2&lt;&gt;"",CW2&lt;&gt;"",CY2&lt;&gt;"",OR(CQ2&lt;CY2,CQ2&lt;CW2)),"VIGILAR CIFRAS PRESION ARTERIAL",IF(AND(OR(O2&lt;&gt;"",R2&lt;&gt;""),CP2="",CQ2="",OR(CW2&lt;CY2,CV2&lt;CX2)),"VIGILAR CIFRAS PRESION ARTERIAL",IF(AND(OR(O2&lt;&gt;"",R2&lt;&gt;""),CQ2&lt;&gt;"",CW2&lt;&gt;"",CY2&lt;&gt;"",OR(CQ2=CY2,CQ2=CW2)),"APARENTEMENTE NORMAL",IF(AND(OR(O2&gt;0,R2&gt;0),OR(AND(CX2&gt;=80,CX2&lt;=120),AND(CV2&gt;=80,CV2&lt;=120))),"APARENTEMENTE NORMAL",IF(AND(OR(O2&gt;0,R2&gt;0),OR(AND(CY2&gt;=50,CY2&lt;80),AND(CW2&gt;=50,CW2&lt;80))),"APARENTEMENTE NORMAL",""))))))))))</f>
        <v/>
      </c>
      <c r="DA2" s="35"/>
      <c r="DB2" s="35"/>
      <c r="DC2" s="35"/>
      <c r="DD2" s="35"/>
      <c r="DE2" s="35"/>
      <c r="DF2" s="35"/>
      <c r="DG2" s="35"/>
      <c r="DH2" s="35"/>
      <c r="DI2" s="35"/>
      <c r="DJ2" s="35"/>
      <c r="DK2" s="35"/>
      <c r="DL2" s="35"/>
      <c r="DM2" s="35"/>
      <c r="DN2" s="35"/>
      <c r="DO2" s="43"/>
      <c r="DP2" s="35"/>
      <c r="DQ2" s="31" t="str">
        <f t="shared" ref="DQ2:DQ8" si="17">IF(AND(BP2="ERROR FUM O INGRESO",DP2&gt;0),"ERROR FUM O INGRESO",IF(AND(DP2="",R2="",O2=""),"",IF(OR(AND(DP2&lt;&gt;"",DP2&lt;BK2),AND(DP2&lt;&gt;"",AND(SUM((DP2-BK2)/7)&gt;0,SUM((DP2-BK2)/7)&lt;28))),"PLAN REALIZADO ANTES III TRIM", IF(AND(DP2="",OR(O2&gt;0,R2&gt;0),AND(BQ2&gt;=28, BQ2&lt;35,DR2="ACTIVA INGRESO A CPN")),"PLANEAR PLAN DE PARTO", IF(AND(DP2="",OR(O2&gt;0,R2&gt;0),BQ2&gt;=35,DR2="ACTIVA INGRESO A CPN"),"CONCERTAR PLAN DE PARTO INMEDIATO", IF(AND(DP2="",OR(O2&gt;0,R2&gt;0),AND(BQ2&gt;0, BQ2&lt;28),OR(DR2="ACTIVA INGRESO A CPN", DR2=" ACTIVA SIN INGRESO CPN")),"EN ESPERA", IF(AND(DP2="",OR(O2&gt;0,R2&gt;0),AND(IY2&gt;0, IY2&lt;28)),"NO APLICA SALE PROGRAMA ANTES III TRIM", IF(AND(DP2="",OR(O2&gt;0,R2&gt;0),AND(IY2&gt;=28, IY2&lt;35)),"SALE PROGRAMA ANTES SEMANA 35", IF(AND(DP2="",OR(O2&gt;0,R2&gt;0),IY2&gt;35),"SALE SIN PLAN DE PARTO",IF(DP2&gt;0,SUM(DP2-BK2)/7,""))))))))))</f>
        <v/>
      </c>
      <c r="DR2" s="46" t="str">
        <f t="shared" ref="DR2:DR8" si="18">IF(AND(R2&lt;&gt;"",IT2="CAMBIO DE RESIDENCIA"),"SEGUIMIENTO REPORTE EPS",IF(AND(R2&lt;&gt;"",OR(IT2&lt;&gt;"",IW2&lt;&gt;"")),"SALIO PROGRAMA",IF(AND(AND(R2="",O2&gt;0),OR(IT2&lt;&gt;"",IW2&lt;&gt;"")),"SALE SIN INGRESO CPN",IF(AND(R2="",O2&gt;0,IT2="",IW2=""),"ACTIVA SIN INGRESO CPN",IF(AND(R2&lt;&gt;"",OR(IT2="",IW2="")),"ACTIVA INGRESO A CPN","")))))</f>
        <v/>
      </c>
      <c r="DS2" s="35" t="str">
        <f>IF(Tabla1[[#This Row],[EDAD GESTACIONAL ÚLTIMO CPN]]="SD","CITA MANUAL",IF(Tabla1[[#This Row],[GESTANTES ACTUALES]]="SALIO PROGRAMA","NO APLICA",IF(AND(Tabla1[[#This Row],[EDAD GESTACIONAL ÚLTIMO CPN]]&gt;0,Tabla1[[#This Row],[EDAD GESTACIONAL ÚLTIMO CPN]]&lt;=35),WORKDAY(SUM(Tabla1[[#This Row],[FECHA ULTIMO CPN]]+30),1,#REF!),IF(AND(Tabla1[[#This Row],[EDAD GESTACIONAL ÚLTIMO CPN]]&gt;=36,Tabla1[[#This Row],[EDAD GESTACIONAL ÚLTIMO CPN]]&lt;=42),WORKDAY(SUM(Tabla1[[#This Row],[FECHA ULTIMO CPN]]+14)-3,1,#REF!),""))))</f>
        <v/>
      </c>
      <c r="DT2" s="31" t="str">
        <f t="shared" ref="DT2:DT8" ca="1" si="19">IF(NR2="SD","",IF(AND(NR2&lt;=33,NR2&gt;=8),"MES DE CONTROL",IF(AND(NR2&gt;=1,NR2&lt;8),"SEMANA DE CONTROL",IF(NR2=0,"DIA DE CONTROL",IF(NR2&lt;0,"INASISTENTE",IF(NR2="Y","SEGUIMIENTO FUERA MUNICIPIO",IF(NR2="Z","BUSCAR PARA INGRESO A CPN",IF(NR2="W","DEFINIR FECHA CITA",IF(NR2="X","NO REALIZO CPN",IF(NR2="S","DILIGENCIAR FECHA SALIDA PROGRAMA","REVISAR FORMULA"))))))))))</f>
        <v/>
      </c>
      <c r="DU2" s="35" t="str">
        <f>IF(R2="","",IF(R2&gt;0,MAX(Tabla1[[#This Row],[FECHA C2]:[FECHA C13]],Tabla1[[#This Row],[FECHA CONSULTA PRIMERA VEZ PROGRAMA CPN ]])))</f>
        <v/>
      </c>
      <c r="DV2" s="31" t="str">
        <f t="shared" ref="DV2:DV8" si="20">IF(AND(DU2="",BK2="",R2=""),"",IF(AND(R2="",BK2&gt;0,DU2=""),"",IF(AND(R2&gt;0,DU2&lt;BK2),"REVISAR FUM O FECHA PESO",IF(AND(R2&gt;0,DU2&gt;0,BK2=""),"SD",IF(AND(R2&gt;0,DU2&gt;0,BK2&gt;0),INT(SUM(DU2-BK2)/7))))))</f>
        <v/>
      </c>
      <c r="DW2" s="43" t="str">
        <f>IF(R2&gt;0,SUM(COUNTA(DC2:DN2)+COUNTA(Tabla1[[#This Row],[FECHA CONSULTA PRIMERA VEZ PROGRAMA CPN ]])),"")</f>
        <v/>
      </c>
      <c r="DX2" s="43" t="str">
        <f t="shared" ref="DX2:DX8" si="21">IF(AND(DW2&gt;=0,DW2&lt;4),"NO",IF(AND(DW2&gt;=4,DW2&lt;12),"SI",""))</f>
        <v/>
      </c>
      <c r="DY2" s="39" t="str">
        <f t="shared" ref="DY2:DY8" si="22">IF(BO2="","",IF(BO2&gt;0,INT(SUM(((40-BO2)/4)+2)),"X"))</f>
        <v/>
      </c>
      <c r="DZ2" s="47" t="str">
        <f t="shared" ref="DZ2:DZ8" si="23">IF(DY2="","",IF(DW2&gt;0,SUM(DW2/DY2),"X"))</f>
        <v/>
      </c>
      <c r="EA2" s="35"/>
      <c r="EB2" s="35"/>
      <c r="EC2" s="35"/>
      <c r="ED2" s="35"/>
      <c r="EE2" s="35"/>
      <c r="EF2" s="35"/>
      <c r="EG2" s="35"/>
      <c r="EH2" s="31"/>
      <c r="EI2" s="31"/>
      <c r="EJ2" s="35"/>
      <c r="EK2" s="43" t="str">
        <f t="shared" ref="EK2:EK8" si="24">IF(AND(BP2="ERROR FUM O INGRESO",EJ2&gt;0),"ERROR FUM O INGRESO",IF(AND(EJ2="",R2="",O2=""),"",IF(OR(AND(EJ2&lt;&gt;"",EJ2&lt;BK2),AND(EJ2&lt;&gt;"",SUM((EJ2-BK2)/7)&gt;40)),"CORREGIR FECHA RESULTADO",IF(AND(EJ2="",OR(O2&gt;0,R2&gt;0)),"TOMAR EXAMEN",IF(EJ2&gt;0,SUM(EJ2-BK2)/7,"")))))</f>
        <v/>
      </c>
      <c r="EL2" s="39" t="str">
        <f t="shared" ref="EL2:EL8" si="25">IF(AND(OR(O2&gt;0,R2&gt;0),EI2=""),"",IF(AND(OR(O2&gt;0,R2&gt;0),EI2&gt;0,EI2&lt;11),"MANEJO MD POR ANEMIA FERROPENICA",IF(AND(OR(O2&gt;0,R2&gt;0),EI2&lt;=14),"NORMAL- SUMINISTRAR SULFATO FERROSO",IF(AND(OR(O2&gt;0,R2&gt;0),EI2&lt;20),"NO DAR SULFATO FERROSO",""))))</f>
        <v/>
      </c>
      <c r="EM2" s="31" t="str">
        <f t="shared" ref="EM2:EM8" si="26">IF(AND(EK2="",BP2=""),"",IF(AND(EK2&lt;&gt;"",BP2="SIN DATO"),"SIN DATO",IF(AND(EK2="",BP2&lt;&gt;""),"",IF(AND(EK2&lt;0,BP2&gt;0),"ERROR FUM O INGRESO",IF(EK2&lt;=13,"I TRIM",IF(EK2&lt;28,"II TRIM",IF(AND(EK2&gt;27,EK2&lt;45),"III TRIM","POR DEFINIR")))))))</f>
        <v/>
      </c>
      <c r="EN2" s="37"/>
      <c r="EO2" s="35"/>
      <c r="EP2" s="44" t="str">
        <f t="shared" ref="EP2:EP8" si="27">IF(AND(BP2="ERROR FUM O INGRESO",EO2&gt;0),"ERROR FUM O INGRESO",IF(AND(EO2="",R2="",O2=""),"",IF(OR(AND(EO2&lt;&gt;"",EO2&lt;BK2),AND(EO2&lt;&gt;"",SUM((EO2-BK2)/7)&gt;40)),"CORREGIR FECHA RESULTADO",IF(AND(EO2="",OR(O2&gt;0,R2&gt;0)),"TOMAR EXAMEN",IF(EO2&gt;0,SUM(EO2-BK2)/7,"")))))</f>
        <v/>
      </c>
      <c r="EQ2" s="39" t="str">
        <f t="shared" ref="EQ2:EQ8" si="28">IF(AND(OR(O2&gt;0,R2&gt;0),EN2=""),"",IF(AND(OR(O2&gt;0,R2&gt;0),EN2&gt;0,EN2&lt;10.5),"MANEJO MD POR ANEMIA FERROPENICA",IF(AND(OR(O2&gt;0,R2&gt;0),EN2&lt;14),"NORMAL- SUMINISTRAR SULFATO FERROSO",IF(AND(OR(O2&gt;0,R2&gt;0),EN2&lt;20),"NO DAR SULFATO FERROSO",""))))</f>
        <v/>
      </c>
      <c r="ER2" s="37"/>
      <c r="ES2" s="35"/>
      <c r="ET2" s="44" t="str">
        <f t="shared" ref="ET2:ET8" si="29">IF(AND(BP2="ERROR FUM O INGRESO",ES2&gt;0),"ERROR FUM O INGRESO",IF(AND(ES2="",R2="",O2=""),"",IF(OR(AND(ES2&lt;&gt;"",ES2&lt;BK2),AND(ES2&lt;&gt;"",SUM((ES2-BK2)/7)&gt;40)),"CORREGIR FECHA RESULTADO",IF(AND(ES2="",OR(O2&gt;0,R2&gt;0)),"TOMAR EXAMEN",IF(ES2&gt;0,SUM(ES2-BK2)/7,"")))))</f>
        <v/>
      </c>
      <c r="EU2" s="39" t="str">
        <f t="shared" ref="EU2:EU8" si="30">IF(ER2="A-","RIESGO DE INCOMPATIBILIDAD RH",IF(ER2="B-","RIESGO DE INCOMPATIBILIDAD RH",IF(ER2="O-","RIESGO DE INCOMPATIBILIDAD RH",IF(ER2="AB-","RIESGO DE INCOMPATIBILIDAD RH",IF(OR(ER2="A+",ER2="A--"),"NO HAY RIESGO POR RH",IF(OR(ER2="B+",ER2="B--"),"NO HAY RIESGO POR RH",IF(OR(ER2="O+",ER2="O--"),"NO HAY RIESGO POR RH",IF(OR(ER2="AB+",ER2="AB--"),"NO HAY RIESGO POR RH",IF(ER2=0,"")))))))))</f>
        <v/>
      </c>
      <c r="EV2" s="31"/>
      <c r="EW2" s="35"/>
      <c r="EX2" s="44" t="str">
        <f t="shared" ref="EX2:EX8" si="31">IF(AND(BP2="ERROR FUM O INGRESO",EW2&gt;0),"ERROR FUM O INGRESO",IF(AND(EW2="",R2="",O2=""),"",IF(OR(AND(EW2&lt;&gt;"",EW2&lt;BK2),AND(EW2&lt;&gt;"",SUM((EW2-BK2)/7)&gt;40)),"CORREGIR FECHA RESULTADO",IF(AND(EW2="",OR(O2&gt;0,R2&gt;0)),"TOMAR EXAMEN",IF(EW2&gt;0,SUM(EW2-BK2)/7,"")))))</f>
        <v/>
      </c>
      <c r="EY2" s="44"/>
      <c r="EZ2" s="44"/>
      <c r="FA2" s="44"/>
      <c r="FB2" s="31" t="str">
        <f t="shared" ref="FB2:FB8" ca="1" si="32">IF(AND(OR(EY2&gt;0,EZ2&gt;0,FA2&gt;0),FD2&gt;0,FD2&lt;24,AND(EY2&gt;1,EY2&lt;92),AND(EZ2&gt;1,EZ2&lt;180),AND(FA2&gt;1,FA2&lt;153)),"NORMAL, NO DESCARTA DIABETES POR REALIZARLO ANTES DE  SEMANA 24, ",IF(AND(OR(EY2&gt;0,EZ2&gt;0,FA2&gt;0),FD2&gt;0,FD2&lt;24,OR(EY2&gt;=92,EZ2&gt;=180,FA2&gt;=153)),"DIABETES, REMITIR",IF(AND(BQ2="",FC2="",EY2="",EZ2="",FA2=""),"",IF(AND(BQ2&gt;=19,BQ2&lt;24,FC2="",EY2="",EZ2="",FA2=""),"PROGRAMAR TOMA PTOG SIGUIENTE CONTROL",IF(AND(BQ2&gt;=24,FC2="",EY2="",EZ2="",FA2=""),"TOMAR PTOG",IF(OR(EY2&gt;=92,EZ2&gt;=180,FA2&gt;=153),"DIABETES, REMITIR",IF(AND(AND(EY2&gt;1,EY2&lt;92),AND(EZ2&gt;1,EZ2&lt;180),AND(FA2&gt;1,FA2&lt;153)),"NORMAL",IF(AND(EY2&gt;0,OR(EZ2=0,FA2=0)),"NO COMPLETA EXAMEN",""))))))))</f>
        <v/>
      </c>
      <c r="FC2" s="48"/>
      <c r="FD2" s="44" t="str">
        <f t="shared" ref="FD2:FD8" si="33">IF(AND(BP2="ERROR FUM O INGRESO",FC2&gt;0),"ERROR FUM O INGRESO",IF(AND(FC2="",R2="",O2=""),"",IF(OR(AND(FC2&lt;&gt;"",FC2&lt;BK2),AND(FC2&lt;&gt;"",SUM((FC2-BK2)/7)&gt;40)),"CORREGIR FECHA RESULTADO",IF(AND(FC2="",OR(O2&gt;0,R2&gt;0)),"TOMAR EXAMEN",IF(FC2&gt;0,SUM(FC2-BK2)/7,"")))))</f>
        <v/>
      </c>
      <c r="FE2" s="35"/>
      <c r="FF2" s="35"/>
      <c r="FG2" s="44" t="str">
        <f t="shared" ref="FG2:FG8" si="34">IF(AND(BP2="ERROR FUM O INGRESO",FF2&gt;0),"ERROR FUM O INGRESO",IF(AND(FF2="",R2="",O2=""),"",IF(OR(AND(FF2&lt;&gt;"",FF2&lt;BK2),AND(FF2&lt;&gt;"",AND(SUM((FF2-BK2)/7)&gt;=13,SUM((FF2-BK2)/7)&lt;27))),"REGISTRAR EN II TRIMESTRE",IF(OR(AND(FF2&lt;&gt;"",FF2&lt;BK2),AND(FF2&lt;&gt;"",AND(SUM((FF2-BK2)/7)&gt;=27,SUM((FF2-BK2)/7)&lt;44))),"REGISTRAR EN III TRIMESTRE",IF(AND(FF2="",OR(O2&gt;0,R2&gt;0),AND(BQ2&gt;1,BQ2&lt;10)),"EN RANGO PARA TOMAR EXAMEN",IF(AND(FF2="",OR(O2&gt;0,R2&gt;0),AND(BQ2&gt;=10,BQ2&lt;13)),"TOMA INMEDIATA DE TAMIZAJE",IF(AND(FF2="",BO2&lt;13,OR(O2&gt;0,R2&gt;0)),"PIERDE TOMA DE TAMIZAJE",IF(AND(FF2="",OR(O2&gt;0,R2&gt;0),AND(BO2&gt;=13,BO2&lt;43)),"NO APLICA-INGRESO TARDIO",IF(FF2&gt;0,SUM(FF2-BK2)/7,"")))))))))</f>
        <v/>
      </c>
      <c r="FH2" s="35"/>
      <c r="FI2" s="49"/>
      <c r="FJ2" s="44" t="str">
        <f t="shared" ref="FJ2:FJ8" si="35">IF(AND(BP2="ERROR FUM O INGRESO",FI2&gt;0),"ERROR FUM O INGRESO",IF(AND(FI2="",R2="",O2=""),"",IF(AND(FI2&lt;&gt;"",FI2&lt;BK2), "INCOHERENCIA FUM Y FECHA TAMIZAJE",IF(AND(FI2="",DR2="ACTIVA INGRESO A CPN",AND(BQ2&gt;0,BQ2&lt;13)),"EN ESPERA-ESTÁ I TRIM", IF(AND(FI2="",AND(BO2&gt;0, BO2&lt;13),OR(O2&gt;0,R2&gt;0),AND(IY2&gt;0,IY2&lt;13)),"NO APLICA-SALIO DEL PROGRAMA I TRIM",IF(AND(FI2&lt;&gt;"",AND(SUM((FI2-BK2)/7)&gt;0,SUM((FI2-BK2)/7)&lt;13)),"REGISTRAR EN I TRIMESTRE",IF(AND(FI2&lt;&gt;"",AND(SUM((FI2-BK2)/7)&gt;=27,SUM((FI2-BK2)/7)&lt;44)),"REGISTRAR EN III TRIMESTRE",IF(AND(FI2="",OR(O2&gt;0,R2&gt;0),AND(BQ2&gt;=13,BQ2&lt;24),DR2="ACTIVA INGRESO A CPN"),"EN RANGO PARA TOMAR EXAMEN",IF(AND(FI2="",OR(O2&gt;0,R2&gt;0),AND(BQ2&gt;=25,BQ2&lt;27),DR2="ACTIVA INGRESO A CPN"),"TOMA INMEDIATA DE TAMIZAJE",IF(AND(FI2="",OR(O2&gt;0,R2&gt;0),AND(BO2&gt;=27,BO2&lt;44)),"NO APLICA-INGRESO TARDIO",IF(AND(FI2="",BO2&lt;27),"PIERDE TOMA DE TAMIZAJE",IF(FI2&gt;0,SUM(FI2-BK2)/7,""))))))))))))</f>
        <v/>
      </c>
      <c r="FK2" s="35"/>
      <c r="FL2" s="49"/>
      <c r="FM2" s="44" t="str">
        <f t="shared" ref="FM2:FM8" si="36">IF(AND(BP2="ERROR FUM O INGRESO",FL2&gt;0),"ERROR FUM O INGRESO",IF(AND(FL2="",R2="",O2=""),"",IF(AND(FL2&lt;&gt;"",FL2&lt;BK2), "INCOHERENCIA FUM Y FECHA TAMIZAJE",IF(AND(FL2="",DR2="ACTIVA INGRESO A CPN",AND(BQ2&gt;0,BQ2&lt;27)),"EN ESPERA-ESTÁ I TRIM O II TRIM", IF(AND(FL2="",AND(BO2&gt;0, BO2&lt;27),OR(O2&gt;0,R2&gt;0),AND(IY2&gt;0,IY2&lt;27)),"NO APLICA-SALIO DEL PROGRAMA I O II TRIM",IF(AND(FL2&lt;&gt;"",AND(SUM((FL2-BK2)/7)&gt;0,SUM((FL2-BK2)/7)&lt;13)),"REGISTAR EN I TRIMESTRE",IF(AND(FL2&lt;&gt;"",AND(SUM((FL2-BK2)/7)&gt;=13,SUM((FL2-BK2)/7)&lt;27)),"REGISTRAR EN II TRIMESTRE",IF(AND(FL2="",OR(O2&gt;0,R2&gt;0),AND(BQ2&gt;=28,BQ2&lt;35),DR2="ACTIVA INGRESO A CPN"),"EN RANGO PARA TOMAR EXAMEN",IF(AND(FL2="",OR(O2&gt;0,R2&gt;0),BQ2&gt;=35, DR2="ACTIVA INGRESO A CPN"),"TOMA INMEDIATA DE TAMIZAJE",IF(AND(FL2="",DR2= "SALE SIN INGRESO CPN"),"NO APLICA-SIN CPN",IF(AND(FL2="",BO2&lt;44),"PIERDE TOMA DE TAMIZAJE",IF(FL2&gt;0,SUM(FL2-BK2)/7,""))))))))))))</f>
        <v/>
      </c>
      <c r="FN2" s="35"/>
      <c r="FO2" s="49"/>
      <c r="FP2" s="44" t="str">
        <f>IF(AND(FE2="",FH2="",FK2="",FN2=""),"",IF(OR(OR(Tabla1[[#This Row],[TAMIZAJE  PARA SIFILIS  SEGÚN GPC SIFILIS I TRIMESTRE]]="P. R POSITIVA CASO SIFILIS",Tabla1[[#This Row],[TAMIZAJE  PARA SIFILIS  SEGÚN GPC SIFILIS II TRIMESTRE]]="P. R POSITIVA CASO SIFILIS",Tabla1[[#This Row],[TAMIZAJE  PARA SIFILIS  SEGÚN GPC SIFILIS III TRIMESTRE]]="P. R POSITIVA CASO SIFILIS",Tabla1[[#This Row],[TAMIZAJE  PARA SIFILIS  SEGÚN GPC SIFILIS INTRAPARTO]]="P. R POSITIVA CASO SIFILIS"),OR(Tabla1[[#This Row],[TAMIZAJE  PARA SIFILIS  SEGÚN GPC SIFILIS I TRIMESTRE]]="REINFECCIÓN-DILUCIONES AUMENTAN",Tabla1[[#This Row],[TAMIZAJE  PARA SIFILIS  SEGÚN GPC SIFILIS II TRIMESTRE]]="REINFECCIÓN-DILUCIONES AUMENTAN",Tabla1[[#This Row],[TAMIZAJE  PARA SIFILIS  SEGÚN GPC SIFILIS III TRIMESTRE]]="REINFECCIÓN-DILUCIONES AUMENTAN",Tabla1[[#This Row],[TAMIZAJE  PARA SIFILIS  SEGÚN GPC SIFILIS INTRAPARTO]]="REINFECCIÓN-DILUCIONES AUMENTAN")),"SIFILIS GESTACIONAL",""))</f>
        <v/>
      </c>
      <c r="FQ2" s="31"/>
      <c r="FR2" s="35"/>
      <c r="FS2" s="44" t="str">
        <f t="shared" ref="FS2:FS8" si="37">IF(AND(BP2="ERROR FUM O INGRESO",FR2&gt;0),"ERROR FUM O INGRESO",IF(AND(FR2="",R2="",O2=""),"",IF(OR(AND(FR2&lt;&gt;"",FR2&lt;BK2),AND(FR2&lt;&gt;"",SUM((FR2-BK2)/7)&gt;40)),"CORREGIR FECHA RESULTADO",IF(AND(FR2="",OR(O2&gt;0,R2&gt;0)),"TOMAR EXAMEN",IF(FR2&gt;0,SUM(FR2-BK2)/7,"")))))</f>
        <v/>
      </c>
      <c r="FT2" s="43"/>
      <c r="FU2" s="35"/>
      <c r="FV2" s="44" t="str">
        <f t="shared" ref="FV2:FV8" si="38">IF(AND(BP2="ERROR FUM O INGRESO",FU2&gt;0),"ERROR FUM O INGRESO",IF(AND(FU2="",R2="",O2=""),"",IF(OR(AND(FU2&lt;&gt;"",FU2&lt;BK2),AND(FU2&lt;&gt;"",SUM((FU2-BK2)/7)&gt;40)),"CORREGIR FECHA RESULTADO",IF(AND(FU2="",OR(O2&gt;0,R2&gt;0)),"TOMAR EXAMEN",IF(FU2&gt;0,SUM(FU2-BK2)/7,"")))))</f>
        <v/>
      </c>
      <c r="FW2" s="35"/>
      <c r="FX2" s="35"/>
      <c r="FY2" s="35"/>
      <c r="FZ2" s="35"/>
      <c r="GA2" s="44" t="str">
        <f t="shared" ref="GA2:GA8" si="39">IF(AND(BP2="ERROR FUM O INGRESO",FZ2&gt;0),"ERROR FUM O INGRESO",IF(AND(FZ2="",R2="",O2=""),"",IF(OR(AND(FZ2&lt;&gt;"",FZ2&lt;BK2),AND(FZ2&lt;&gt;"",AND(SUM((FZ2-BK2)/7)&gt;=13,SUM((FZ2-BK2)/7)&lt;27))),"REGISTRAR EN II TRIMESTRE",IF(OR(AND(FZ2&lt;&gt;"",FZ2&lt;BK2),AND(FZ2&lt;&gt;"",AND(SUM((FZ2-BK2)/7)&gt;=27,SUM((FZ2-BK2)/7)&lt;44))),"REGISTRAR EN III TRIMESTRE",IF(AND(FZ2="",OR(O2&gt;0,R2&gt;0),AND(BQ2&gt;1,BQ2&lt;10)),"EN RANGO PARA TOMAR EXAMEN",IF(AND(FZ2="",OR(O2&gt;0,R2&gt;0),AND(BQ2&gt;=10,BQ2&lt;12)),"TOMA INMEDIATA DE TAMIZAJE",IF(AND(FZ2="",BO2&lt;12,OR(O2&gt;0,R2&gt;0)),"PIERDE TOMA DE TAMIZAJE",IF(AND(FZ2="",OR(O2&gt;0,R2&gt;0),AND(BO2&gt;=13,BO2&lt;44)),"NO APLICA-INGRESO TARDIO",IF(FZ2&gt;0,SUM(FZ2-BK2)/7,"")))))))))</f>
        <v/>
      </c>
      <c r="GB2" s="35"/>
      <c r="GC2" s="35"/>
      <c r="GD2" s="44" t="str">
        <f t="shared" ref="GD2:GD8" si="40">IF(AND(BP2="ERROR FUM O INGRESO",GC2&gt;0),"ERROR FUM O INGRESO",IF(AND(GC2="",R2="",O2=""),"",IF(AND(GC2&lt;&gt;"",GC2&lt;BK2), "INCOHERENCIA FUM Y FECHA TAMIZAJE",IF(AND(GC2="",DR2="ACTIVA INGRESO A CPN",AND(BQ2&gt;0,BQ2&lt;13)),"EN ESPERA-ESTÁ I TRIM", IF(AND(GC2="",AND(BO2&gt;0, BO2&lt;12),OR(O2&gt;0,R2&gt;0),AND(IY2&gt;0,IY2&lt;13)),"NO APLICA-SALIO DEL PROGRAMA I TRIM",IF(AND(GC2&lt;&gt;"",AND(SUM((GC2-BK2)/7)&gt;0,SUM((GC2-BK2)/7)&lt;13)),"REGISTRAR EN I TRIMESTRE",IF(AND(GC2&lt;&gt;"",AND(SUM((GC2-BK2)/7)&gt;=27,SUM((GC2-BK2)/7)&lt;44)),"REGISTRAR EN III TRIMESTRE",IF(AND(GC2="",OR(O2&gt;0,R2&gt;0),AND(BQ2&gt;=12,BQ2&lt;25),DR2="ACTIVA INGRESO A CPN"),"EN RANGO PARA TOMAR EXAMEN",IF(AND(GC2="",OR(O2&gt;0,R2&gt;0),AND(BQ2&gt;=25,BQ2&lt;27),DR2="ACTIVA INGRESO A CPN"),"TOMA INMEDIATA DE TAMIZAJE",IF(AND(GC2="",OR(O2&gt;0,R2&gt;0),AND(BO2&gt;=27,BO2&lt;43)),"NO APLICA-INGRESO TARDIO",IF(AND(GC2="",BO2&lt;27),"PIERDE TOMA DE TAMIZAJE",IF(GC2&gt;0,SUM(GC2-BK2)/7,""))))))))))))</f>
        <v/>
      </c>
      <c r="GE2" s="35"/>
      <c r="GF2" s="35"/>
      <c r="GG2" s="44" t="str">
        <f t="shared" ref="GG2:GG8" si="41">IF(AND(BP2="ERROR FUM O INGRESO",GF2&gt;0),"ERROR FUM O INGRESO",IF(AND(GF2="",R2="",O2=""),"",IF(AND(GF2&lt;&gt;"",GF2&lt;BK2), "INCOHERENCIA FUM Y FECHA TAMIZAJE",IF(AND(GF2="",DR2="ACTIVA INGRESO A CPN",AND(BQ2&gt;0,BQ2&lt;27)),"EN ESPERA-ESTÁ I TRIM O II TRIM", IF(AND(GF2="",AND(BO2&gt;0, BO2&lt;28),OR(O2&gt;0,R2&gt;0),AND(IY2&gt;0,IY2&lt;28)),"NO APLICA-SALIO DEL PROGRAMA I O II TRIM",IF(AND(GF2&lt;&gt;"",AND(SUM((GF2-BK2)/7)&gt;0,SUM((GF2-BK2)/7)&lt;13)),"REGISTAR EN I TRIMESTRE",IF(AND(GF2&lt;&gt;"",AND(SUM((GF2-BK2)/7)&gt;=13,SUM((GF2-BK2)/7)&lt;27)),"REGISTRAR EN II TRIMESTRE",IF(AND(GF2="",OR(O2&gt;0,R2&gt;0),AND(BQ2&gt;=28,BQ2&lt;35),DR2="ACTIVA INGRESO A CPN"),"EN RANGO PARA TOMAR EXAMEN",IF(AND(GF2="",OR(O2&gt;0,R2&gt;0),BQ2&gt;=35, DR2="ACTIVA INGRESO A CPN"),"TOMA INMEDIATA DE TAMIZAJE",IF(AND(GF2="",DR2= "SALE SIN INGRESO CPN"),"NO APLICA-SIN CPN",IF(AND(GF2="",BO2&lt;44),"PIERDE TOMA DE TAMIZAJE",IF(GF2&gt;0,SUM(GF2-BK2)/7,""))))))))))))</f>
        <v/>
      </c>
      <c r="GH2" s="35"/>
      <c r="GI2" s="44"/>
      <c r="GJ2" s="35"/>
      <c r="GK2" s="35"/>
      <c r="GL2" s="35"/>
      <c r="GM2" s="35"/>
      <c r="GN2" s="43"/>
      <c r="GO2" s="35"/>
      <c r="GP2" s="44" t="str">
        <f t="shared" ref="GP2:GP8" si="42">IF(AND(BP2="ERROR FUM O INGRESO",GO2&gt;0),"ERROR FUM O INGRESO",IF(AND(GO2="",R2="",O2=""),"",IF(OR(AND(GO2&lt;&gt;"",GO2&lt;BK2),AND(GO2&lt;&gt;"",SUM((GO2-BK2)/7)&gt;40)),"CORREGIR FECHA RESULTADO",IF(AND(GO2="",OR(O2&gt;0,R2&gt;0)),"TOMAR EXAMEN",IF(GO2&gt;0,SUM(GO2-BK2)/7,"")))))</f>
        <v/>
      </c>
      <c r="GQ2" s="43"/>
      <c r="GR2" s="43"/>
      <c r="GS2" s="35" t="str">
        <f t="shared" ref="GS2:GS8" si="43">IF(GQ2="NEGATIVO","CONTROL Igm",IF(AND(GQ2="POSITIVO",GR2="NEGATIVO"),"SE EXCLUYE INFECCION",IF(AND(GQ2="POSITIVO",GR2="POSITIVO"),"TOXOPLASMOSIS, REMITIR PARA MANEJO","")))</f>
        <v/>
      </c>
      <c r="GT2" s="35"/>
      <c r="GU2" s="44" t="str">
        <f t="shared" ref="GU2:GU8" si="44">IF(AND(BP2="ERROR FUM O INGRESO",GT2&gt;0),"ERROR FUM O INGRESO",IF(AND(GT2="",R2="",O2=""),"",IF(OR(AND(GT2&lt;&gt;"",GT2&lt;BK2),AND(GT2&lt;&gt;"",SUM((GT2-BK2)/7)&gt;40)),"CORREGIR FECHA RESULTADO",IF(AND(GT2="",OR(O2&gt;0,R2&gt;0)),"TOMAR EXAMEN",IF(GT2&gt;0,SUM(GT2-BK2)/7,"")))))</f>
        <v/>
      </c>
      <c r="GV2" s="31" t="str">
        <f t="shared" ref="GV2:GV8" si="45">IF(AND(GU2="",BP2=""),"",IF(AND(GU2&lt;&gt;"",BP2="SIN DATO"),"SIN DATO",IF(AND(GU2="",BP2&lt;&gt;""),"",IF(AND(GU2&lt;0,BP2&gt;0),"ERROR FUM O INGRESO",IF(GU2&lt;=13,"I TRIM",IF(GU2&lt;28,"II TRIM",IF(AND(GU2&gt;27,GU2&lt;45),"III TRIM","POR DEFINIR")))))))</f>
        <v/>
      </c>
      <c r="GW2" s="43"/>
      <c r="GX2" s="46"/>
      <c r="GY2" s="31"/>
      <c r="GZ2" s="35"/>
      <c r="HA2" s="43" t="str">
        <f t="shared" ref="HA2:HA8" si="46">IF(GZ2&gt;0,SUM(GZ2-BK2)/7,"")</f>
        <v/>
      </c>
      <c r="HB2" s="31" t="str">
        <f t="shared" ref="HB2:HB8" si="47">IF(HA2&lt;0,"ANTES DEL EMBARAZO",IF(AND(HA2&gt;0,HA2&lt;13),"I TRIM",IF(AND(HA2&gt;12,HA2&lt;28),"II TRIM",IF(AND(HA2&gt;27,HA2&lt;41),"III TRIM",""))))</f>
        <v/>
      </c>
      <c r="HC2" s="31" t="str">
        <f t="shared" ref="HC2:HC8" si="48">IF(GY2="","",IF(GY2="CARCINOMA ESCAMOCELULAR","CITAR PARA COLPOSCOPIA Y PATOLOGIA",IF(GY2="ASCUS","CITAR PARA COLPOSCOPIA",IF(GY2="ACSI","CITAR PARA COLPOSCOPIA",IF(GY2="INFECCION VPH","CITAR PARA COLPOSCOPIA",IF(GY2="NIC I","CITAR PARA COLPOSCOPIA",IF(GY2="NIC I VPH","CITAR PARA COLPOSCOPIA",IF(GY2="NIC II","CITAR PARA COLPOSCOPIA",IF(GY2="NIC III","CITAR PARA COLPOSCOPIA",IF(GY2="CAMBIOS INFLAMATORIOS","CONSULTA CON MÉDICO GENERAL",IF(GY2="INFECCION","CONSULTA CON MÉDICO GENERAL",IF(GY2="NEGATIVA PARA NEOPLASIA","CITA PARA CITOLOGIA SEGÚN ESQUEMA1-1-3",IF(GY2="MUESTRA INADECUADA","REPETIR CITOLOGIA",IF(GY2=0,"SD"))))))))))))))</f>
        <v/>
      </c>
      <c r="HD2" s="31"/>
      <c r="HE2" s="31"/>
      <c r="HF2" s="31"/>
      <c r="HG2" s="31"/>
      <c r="HH2" s="31"/>
      <c r="HI2" s="31"/>
      <c r="HJ2" s="35"/>
      <c r="HK2" s="35" t="str">
        <f>IF(OR(O2&gt;0,R2&gt;0),CONCATENATE(IF(Tabla1[[#This Row],[NECESIDAD O DESARMONIA DESDE LO PROPIO 1]]&lt;&gt;"",Tabla1[[#This Row],[NECESIDAD O DESARMONIA DESDE LO PROPIO 1]],""),"*",CONCATENATE(IF(Tabla1[[#This Row],[NECESIDAD O DESARMONIA DESDE LO PROPIO 12]]&lt;&gt;"",Tabla1[[#This Row],[NECESIDAD O DESARMONIA DESDE LO PROPIO 12]],""),"*",CONCATENATE(IF(Tabla1[[#This Row],[NECESIDAD O DESARMONIA DESDE LO PROPIO 13]]&lt;&gt;"",Tabla1[[#This Row],[NECESIDAD O DESARMONIA DESDE LO PROPIO 13]],""),"*",CONCATENATE(IF(Tabla1[[#This Row],[NECESIDAD O DESARMONIA DESDE LO PROPIO 14]]&lt;&gt;"",Tabla1[[#This Row],[NECESIDAD O DESARMONIA DESDE LO PROPIO 14]],""),"*",CONCATENATE(IF(Tabla1[[#This Row],[NECESIDAD O DESARMONIA DESDE LO PROPIO 15]]&lt;&gt;"",Tabla1[[#This Row],[NECESIDAD O DESARMONIA DESDE LO PROPIO 15]],""),"*",CONCATENATE(IF(Tabla1[[#This Row],[NECESIDAD O DESARMONIA DESDE LO PROPIO 16]]&lt;&gt;"",Tabla1[[#This Row],[NECESIDAD O DESARMONIA DESDE LO PROPIO 16]],""),"*",CONCATENATE(IF(Tabla1[[#This Row],[NECESIDAD O DESARMONIA DESDE LO PROPIO 17444]]&lt;&gt;"",Tabla1[[#This Row],[NECESIDAD O DESARMONIA DESDE LO PROPIO 17444]],"")))))))),"")</f>
        <v/>
      </c>
      <c r="HL2" s="35" t="str">
        <f t="shared" ref="HL2:HL8" si="49">IF(OR(O2&gt;0,R2&gt;0),CONCATENATE(IF(AY2="SI","ANTECEDENTE EMBARAZO MOLAR",""),"*",CONCATENATE(IF(AZ2="SI","ANTECEDENTE MUERTE NEONATAL",""),"*",CONCATENATE(IF(AND(BM2&gt;0,BM2&lt;13),"PERIODO INTERGENESICO CORTO",""),"*",CONCATENATE(IF(AND(BO2&gt;13,BO2&lt;42),"INGRESO TARDIO A CPN",""),"*",CONCATENATE(IF(CO2="BAJO PESO","BAJO PESO",""),"*",CONCATENATE(IF(CO2="SOBREPESO","SOBREPESO",""),"*",CONCATENATE(IF(CO2="OBESIDAD","OBESIDAD",""),"*",CONCATENATE(IF(GN2="POSITIVO","SEGUIMIENTO INFECCIÓN HEP B",""),"*",CONCATENATE(IF(GS2="TOXOPLASMOSIS, REMITIR PARA MANEJO","INFECCIÓN TOXOPLASMOSIS",""),"*",CONCATENATE(IF(GS2="CONTROL Igm","PREVENCIÓN CONTAGIO TOXOPLASMOSIS",""),"*",CONCATENATE(IF(OR(HJ2="COVID19 PRIMER TRIMESTRE",HJ2="COVID19 SEGUNDO TRIMESTRE",HJ2="COVID19 TERCER TRIMESTRE",HJ2="COVID19 PUERPERIO"),"INFECCIÓN SARS-CoV2 CONFIRMADA",""),"*",CONCATENATE(IF(OR(HC2="CITAR PARA COLPOSCOPIA",HC2="CITAR PARA COLPOSCOPIA Y PATOLOGIA"),"DESCARTAR CANCER DE UTERO",""),"*",)))))))))))),"")</f>
        <v/>
      </c>
      <c r="HM2" s="35" t="str">
        <f t="shared" ref="HM2:HM8" si="50">IF(AND(O2="",R2=""),"",IF(AND(OR(O2&lt;&gt;"",R2&lt;&gt;""),OR(HO2="RIESGO ALTO DE COMPLICACIONES HIPERTENSIVAS VER MANEJO GUIA SUMINISTRO ASA Y CALCIO",HO2="RIESGO MODERADO (2 O MAS CRITERIOS) VER MANEJO GUIA SUMINISTRO ASA Y CALCIO")),"ALTO RIESGO",IF(AND(HL2="************",OR(O2&lt;&gt;"",R2&lt;&gt;""),AND(NM2&gt;=0,NM2&lt;3)),"BAJO RIESGO",IF(AND(OR(O2&lt;&gt;"",R2&lt;&gt;""),OR(HJ2="COVID19 PRIMER TRIMESTRE",HJ2="COVID19 SEGUNDO TRIMESTRE",HJ2="COVID19 TERCER TRIMESTRE",HJ2="COVID19 PUERPERIO")),"ALTO RIESGO",IF(AND(HL2&lt;&gt;"",OR(O2&lt;&gt;"",R2&lt;&gt;""),AND(NM2&gt;=0,NM2&lt;3)),"CON RIESGO",IF(AND(OR(O2&lt;&gt;"",R2&lt;&gt;""),NM2&gt;2),"ALTO RIESGO",""))))))</f>
        <v/>
      </c>
      <c r="HN2" s="31" t="str">
        <f t="shared" ref="HN2:HN8" si="51">IF(OR(O2&gt;0,R2&gt;0),CONCATENATE(IF(AK2="CON RIESGO","RIESGO PSICOSOCIAL",""),"*",CONCATENATE(IF(AL2="SI","ANTECEDENTE PREECLAMPSIA",""),"*",CONCATENATE(IF(AM2="SI","ANTECEDENTE HEMORRAGIA POSTPARTO O RETENCIÓN DE PLACENTA",""),"*",CONCATENATE(IF(AN2="SI","ANTECEDENTE RN BAJO PESO O MACROSOMICO",""),"*",CONCATENATE(IF(AP2="SI","ANTECEDENTE TRABAJO DE PARTO PROLONGADO",""),"*",CONCATENATE(IF(AU2="SI","INFERTILIDAD",""),"*",CONCATENATE(IF(BA2="SI","ENFERMERDAD AUTOINMUNE",""),"*",CONCATENATE(IF(BB2="SI","DIABETES PREGESTACIONAL",""),"*",CONCATENATE(IF(BC2="SI","ENFERMEDAD CARDIACA",""),"*",CONCATENATE(IF(BD2="SI","HTA CRÓNICA",""),"*",CONCATENATE(IF(BE2="SI","ENFERMEDAD RENAL CRÓNICA",""),"*",CONCATENATE(IF(BG2="SI","RUPTURA PREMATURA DE MEMBRANAS",""),"*",CONCATENATE(IF(OR(BH2="SI",BI2="SI"),"HEMORRAGIA DURANTE LA GESTACIÓN",""),"*",CONCATENATE(IF(BV2="SI","RCIU",""),"*",CONCATENATE(IF(BW2="SI","EMBARAZO GEMELAR",""),"*",CONCATENATE(IF(NJ2=3,"PRESENTACIÓN FETAL PODALICA O TRANSVERSA",""),"*",CONCATENATE(IF(BY2="SI","POLIHIDRAMNIOS",""),"*",CONCATENATE(IF(FB2="DIABETES, REMITIR","DIABETES GESTACIONAL",""),"*",CONCATENATE(IF(FP2&lt;&gt;"","SEGUIMIENTO PARA SIFILIS GESTACIONAL",""),"*",CONCATENATE(IF(NI2=3,"SEGUIMIENTO PARA VIH",""),"*",CONCATENATE(IF(NG2=1,"SEGUIMIENTO PARA ANEMIA",""),"*",CONCATENATE(IF(ND2=2,"MULTIPARIDAD",""),"*",CONCATENATE(IF(ND2=1,"MULTIPARIDAD",""),"*",CONCATENATE(IF(NC2=1,"ANTECEDENTE MUERTE PERINATAL",""),"*",CONCATENATE(IF(OR(NA2=2,NA2=1),"RIESGO POR EDAD",""),"*",CONCATENATE(IF(OR(NE2=1,NE2=2),"CESAREAS PREVIAS",""),"*",CONCATENATE(IF(NF2=1,"ANTECEDENTE ECTOPICO O CX UTERINA",""),"*",CONCATENATE(IF(NH2=1,"EMBARAZO PROLONGADO",""),"*",CONCATENATE(IF(NK2=2,"SEGUIMIENTO PARA CHAGAS",""),"*",CONCATENATE(IF(NL2=3,"SEGUIMIENTO PARA MALARIA",""),"*",CONCATENATE(IF(OR(HJ2="COVID19 PRIMER TRIMESTRE",HJ2="COVID19 SEGUNDO TRIMESTRE", HJ2="COVID19 TERCER TRIMESTRE",HJ2="COVID19 PUERPERIO"),"SEGUIMIENTO PARA COVID19",""),"*",CONCATENATE(IF(EU2="RIESGO DE INCOMPATIBILIDAD RH","SEGUIMIENTO PARA INCOMPATIBILIDAD RH",""),"*")))))))))))))))))))))))))))))))),"")</f>
        <v/>
      </c>
      <c r="HO2" s="31" t="str">
        <f t="shared" ref="HO2:HO8" si="52">IF(AND(O2="",R2=""),"",IF(AND(OR(O2&gt;0,R2&gt;0),OR(AL2="SI",BD2="SI",BA2="SI",BB2="SI",BE2="SI")),"RIESGO ALTO DE COMPLICACIONES HIPERTENSIVAS VER MANEJO GUIA SUMINISTRO ASA Y CALCIO",IF(AND(OR(O2&gt;0,R2&gt;0),NN2&gt;1),"RIESGO MODERADO (2 O MAS CRITERIOS) VER MANEJO GUIA SUMINISTRO ASA Y CALCIO","SIN ANTECEDENTES DE RIESGO")))</f>
        <v/>
      </c>
      <c r="HP2" s="37" t="str">
        <f t="shared" ref="HP2:HP8" si="53">IF(AND(O2="",R2=""),"",IF(AND(OR(O2&gt;0,R2&gt;0),CR2&lt;&gt;"",CU2&lt;&gt;"",CZ2&lt;&gt;""),CZ2,IF(AND(OR(O2&gt;0,R2&gt;0),CR2&lt;&gt;"",CU2&lt;&gt;"",CZ2=""),CU2,IF(AND(OR(O2&gt;0,R2&gt;0),CR2&lt;&gt;"",CU2="",CZ2=""),CR2,IF(AND(OR(O2&gt;0,R2&gt;0),CR2="",CU2="",CZ2&lt;&gt;""),CZ2,IF(AND(OR(O2&gt;0,R2&gt;0),CR2="",CU2&lt;&gt;"",CZ2&lt;&gt;""),CZ2,IF(AND(OR(O2&gt;0,R2&gt;0),CR2&lt;&gt;"",CU2="",CZ2&lt;&gt;""),CZ2,IF(AND(OR(O2&gt;0,R2&gt;0),CR2="",CU2&lt;&gt;"",CZ2=""),CU2,""))))))))</f>
        <v/>
      </c>
      <c r="HQ2" s="31" t="str">
        <f t="shared" ref="HQ2:HQ8" ca="1" si="54">IF(NR2="SD","",IF(AND(NR2&lt;=33,NR2&gt;=8),"MES DE CONTROL",IF(AND(NR2&gt;=1,NR2&lt;8),"SEMANA DE CONTROL",IF(NR2=0,"DIA DE CONTROL",IF(NR2&lt;0,"INASISTENTE",IF(NR2="Y","SEGUIMIENTO FUERA MUNICIPIO",IF(NR2="Z","BUSCAR PARA INGRESO A CPN",IF(NR2="W","DEFINIR FECHA CITA",IF(NR2="X","NO REALIZO CPN",IF(NR2="S","DILIGENCIAR FECHA SALIDA PROGRAMA","REVISAR FORMULA"))))))))))</f>
        <v/>
      </c>
      <c r="HR2" s="46" t="str">
        <f t="shared" ref="HR2:HR8" si="55">IF(AND(R2&lt;&gt;"",IT2="CAMBIO DE RESIDENCIA"),"SEGUIMIENTO REPORTE EPS",IF(AND(R2&lt;&gt;"",OR(IT2&lt;&gt;"",IW2&lt;&gt;"")),"SALIO PROGRAMA",IF(AND(AND(R2="",O2&gt;0),OR(IT2&lt;&gt;"",IW2&lt;&gt;"")),"SALE SIN INGRESO CPN",IF(AND(R2="",O2&gt;0,IT2="",IW2=""),"ACTIVA SIN INGRESO CPN",IF(AND(R2&lt;&gt;"",OR(IT2="",IW2="")),"ACTIVA INGRESO A CPN","")))))</f>
        <v/>
      </c>
      <c r="HS2" s="31"/>
      <c r="HT2" s="31"/>
      <c r="HU2" s="35"/>
      <c r="HV2" s="35"/>
      <c r="HW2" s="35"/>
      <c r="HX2" s="35"/>
      <c r="HY2" s="35"/>
      <c r="HZ2" s="35"/>
      <c r="IA2" s="40"/>
      <c r="IB2" s="35"/>
      <c r="IC2" s="43" t="str">
        <f t="shared" ref="IC2:IC8" si="56">IF(AND(BP2="ERROR FUM O INGRESO",IB2&gt;0),"ERROR FUM O INGRESO",IF(AND(IB2="",R2=""),"",IF(OR(AND(IB2&lt;&gt;"",IB2&lt;BK2),AND(IB2&lt;&gt;"",SUM((IB2-BK2)/7)&gt;40)),"CORREGIR FECHA CONSULTA",IF(AND(IB2="",R2&gt;0),"PENDIENTE CONSULTA",IF(IB2&gt;0,SUM(IB2-BK2)/7,"")))))</f>
        <v/>
      </c>
      <c r="ID2" s="40"/>
      <c r="IE2" s="40"/>
      <c r="IF2" s="35"/>
      <c r="IG2" s="35"/>
      <c r="IH2" s="171"/>
      <c r="II2" s="171"/>
      <c r="IJ2" s="171"/>
      <c r="IK2" s="37" t="str">
        <f>IF(AND(BK2="",PM2="SD"),"SIN DATO EDAD GESTACIONAL",IF(AND(BK2="",PN2=""),"",IF(AND(AND(BQ2&gt;0,BQ2&lt;12),PN2=""),"MENOR 12 SEMANAS",IF(AND(BQ2&gt;11.6,PN2="",HJ2="BAJO RIESGO O SE DESCARTA INFECCIÓN POR SARS-CoV2"),"PROGRAMAR APLICACION DE VACUNA",IF(OR(AND(BQ2&gt;11.6,PN2=""),HJ2="FACTOR DE RIESGO PARA COVID19",HJ2="COVID19 PRIMER TRIMESTRE",HJ2="COVID19 SEGUNDO TRIMESTRE",HJ2="COVID19 TERCER TRIMESTRE",HJ2="COVID19 PUERPERIO"),"DIFERIR FECHA DE VACUNACION SEGÚN LINEAMIENTOS",IF(AND(BQ2&gt;11.6,PN2="Error Jansen X Fecha Segunda Dosis"),"Error Jansen X Fecha Segunda Dosis",IF(AND(BQ2&gt;11.6,PN2="Firma"),"FIRMA DISENTIMIENTO",IF(AND(BQ2&gt;11.6,PN2="Firma3"),"NO ACEPTA VACUNA Y NO FIRMA DISCENTIMIENTO",IF(AND(BQ2&gt;11.6,PN2="Firma2"),"Error en Fecha x Firma Disentimiento",IF(AND(BQ2&gt;11.6,PN2="Firma4"),"Error en Fecha x No Acepta no Firma",IF(AND(BQ2&gt;11.6,PN2="Completo",Tabla1[[#This Row],[Fecha Refuerzo Anti COVID-20]]=""),"PENDIENTE REFUERZO",IF(AND(BQ2&gt;11.6,PN2="Completo",Tabla1[[#This Row],[Fecha Refuerzo Anti COVID-20]]&lt;&gt;""),"CON REFUERZO",IF(AND(BQ2&gt;11.6,PN2="Falta Dosis"),PQ2,IF(OR(AND(BQ2&gt;11.6,PN2=""),HJ2="",HJ2="NO SE EVALUA RIESGO INFECCIÓN COVID19"),"DEFINIR RIESGO CONTAGIO SARS-CoV2, columna GZ",""))))))))))))))</f>
        <v/>
      </c>
      <c r="IL2" s="171"/>
      <c r="IM2" s="35"/>
      <c r="IN2" s="35" t="str">
        <f t="shared" ref="IN2:IN8" si="57">IF(AND(BK2="",NO2="SD"),"SIN DATO EDAD GESTACIONAL",IF(AND(BK2="",IM2=""),"",IF(AND(AND(BQ2&gt;0,BQ2&lt;20),IM2=""),"EN ESPERA PARA VACUNAR",IF(AND(AND(BQ2&gt;19,BQ2&lt;27),IM2=""),"PROGRAMAR APLICACION DE VACUNA",IF(AND(AND(BQ2&gt;26,BQ2&lt;43),IM2=""),"INASISTENTE",IF(AND(AND(NO2&gt;19,NO2&lt;27),IM2&gt;0),"VACUNA APLICADA ENTRE SEMANA 20 Y SEMANA 26",IF(AND(NO2&lt;20,IM2&gt;0),"VACUNA APLICADA ANTES SEMANA 20",IF(AND(NO2&gt;26,IM2&gt;0),"VACUNA APLICADA ENTRE SEMANA 27 Y EL PARTO",IF(AND(OR(IT2="CESAREA",IT2="PARTO"),IR2="POSIBLEMENTE NACIO",IM2=""),"SALE SIN VACUNA","")))))))))</f>
        <v/>
      </c>
      <c r="IO2" s="35"/>
      <c r="IP2" s="35" t="str">
        <f t="shared" ref="IP2:IP8" si="58">IF(OR(BL2="SI",BL2="Corregida",BL2="NO"),(BK2+280),IF(BL2="Sin Dato","DEFINIR FPP POR ECO",""))</f>
        <v/>
      </c>
      <c r="IQ2" s="44" t="str">
        <f t="shared" ref="IQ2:IQ8" ca="1" si="59">IF(OR(IP2="DEFINIR FPP POR ECO",BP2="ERROR FUM O INGRESO"),"SIN DEFINIR",IF(IP2="","",IF(IP2&gt;0,SUM(IP2-TODAY()),"X")))</f>
        <v/>
      </c>
      <c r="IR2" s="35" t="str">
        <f t="shared" ref="IR2:IR8" ca="1" si="60">IF(IQ2&lt;0,"POSIBLEMENTE NACIO",IF(IQ2="SIN DEFINIR","SIN DATO",IF(AND(IQ2&gt;=0,IQ2&lt;=7),"SEMANA DE PARTO",IF(AND(IQ2&gt;=8,IQ2&lt;=28),"MENOS DE 4 SEMANAS",IF(AND(IQ2&gt;=29,IQ2&lt;=280),"PENDIENTE","")))))</f>
        <v/>
      </c>
      <c r="IS2" s="35"/>
      <c r="IT2" s="31"/>
      <c r="IU2" s="31"/>
      <c r="IV2" s="51"/>
      <c r="IW2" s="35"/>
      <c r="IX2" s="31"/>
      <c r="IY2" s="44" t="str">
        <f t="shared" ref="IY2:IY8" si="61">IF(AND(IW2&gt;0,IT2&lt;&gt;""),SUM(IW2-BK2)/7,"")</f>
        <v/>
      </c>
      <c r="IZ2" s="52"/>
      <c r="JA2" s="31"/>
      <c r="JB2" s="31"/>
      <c r="JC2" s="31"/>
      <c r="JD2" s="31"/>
      <c r="JE2" s="31"/>
      <c r="JF2" s="31"/>
      <c r="JG2" s="31"/>
      <c r="JH2" s="31"/>
      <c r="JI2" s="31"/>
      <c r="JJ2" s="31"/>
      <c r="JK2" s="46"/>
      <c r="JL2" s="31"/>
      <c r="JM2" s="53"/>
      <c r="JN2" s="31" t="str">
        <f t="shared" ref="JN2:JN8" si="62">IF(AND(JM2&gt;700,JM2&lt;2500,IY2&gt;36),"BAJO PESO AL NACER",IF(AND(JM2&gt;500,JM2&lt;2500,IY2&lt;37),"PREMATURO",IF(AND(JM2&gt;2499,JM2&lt;4000,IY2&gt;36),"PESO ADECUADO EDAD GESTACIONAL",IF(AND(JM2&gt;3999,JM2&lt;6000,IY2&gt;36),"PESO GRANDE EDAD GESTACIONAL",""))))</f>
        <v/>
      </c>
      <c r="JO2" s="46"/>
      <c r="JP2" s="31"/>
      <c r="JQ2" s="31"/>
      <c r="JR2" s="31"/>
      <c r="JS2" s="46"/>
      <c r="JT2" s="35"/>
      <c r="JU2" s="35"/>
      <c r="JV2" s="31"/>
      <c r="JW2" s="53"/>
      <c r="JX2" s="31" t="str">
        <f t="shared" ref="JX2:JX8" si="63">IF(AND(JW2&gt;700,JW2&lt;2500,IY2&gt;36,IY2&lt;43),"BAJO PESO AL NACER",IF(AND(JW2&gt;700,JW2&lt;2500,IY2&lt;37),"PREMATURO",IF(AND(JW2&gt;2499,JW2&lt;4000,IY2&gt;36,IY2&lt;43),"PESO ADECUADO EDAD GESTACIONAL",IF(AND(JW2&gt;3999,JW2&lt;6000,IY2&gt;36,IY2&lt;43),"PESO GRANDE EDAD GESTACIONAL",""))))</f>
        <v/>
      </c>
      <c r="JY2" s="35"/>
      <c r="JZ2" s="31"/>
      <c r="KA2" s="31"/>
      <c r="KB2" s="31"/>
      <c r="KC2" s="46"/>
      <c r="KD2" s="35"/>
      <c r="KE2" s="35"/>
      <c r="KF2" s="50"/>
      <c r="KG2" s="43" t="str">
        <f t="shared" ref="KG2:KG8" si="64">IF(AND(KF2&lt;&gt;"",KF2&lt;IW2),"INCONSISTENCIA FECHA CONTROL",IF(AND(OR(IT2="Parto",IT2="Cesarea"),KF2&gt;0,IW2&gt;0),SUM(KF2-IW2),IF(AND(OR(IT2="Parto",IT2="Cesarea"),KF2="",IW2&gt;0),"INASISTENTE","")))</f>
        <v/>
      </c>
      <c r="KH2" s="50"/>
      <c r="KI2" s="43" t="str">
        <f t="shared" ref="KI2:KI8" si="65">IF(AND(KH2&lt;&gt;"",KH2&lt;IW2),"INCONSISTENCIA FECHA CONTROL",IF(AND(OR(IT2="Parto",IT2="Cesarea",IT2="Aborto Espontaneo",IT2="Aborto Inducido",IT2="IVE"),KH2&gt;0,IW2&gt;0),SUM(KH2-IW2),IF(AND(KH2&lt;&gt;"",KH2&lt;IW2),"INCONSISTENCIA FECHA CONTROL",IF(AND(OR(IT2="Parto",IT2="Cesarea",IT2="Aborto Espontaneo",IT2="Aborto Inducido",IT2="IVE"),KH2="",IW2&gt;0),"INASISTENTE",""))))</f>
        <v/>
      </c>
      <c r="KJ2" s="31"/>
      <c r="KK2" s="31"/>
      <c r="KL2" s="31"/>
      <c r="KM2" s="54"/>
      <c r="KN2" s="43"/>
      <c r="KO2" s="43"/>
      <c r="KP2" s="43"/>
      <c r="KQ2" s="56"/>
      <c r="KR2" s="56"/>
      <c r="KS2" s="99"/>
      <c r="KT2" s="56"/>
      <c r="KU2" s="56"/>
      <c r="KV2" s="99"/>
      <c r="KW2" s="56"/>
      <c r="KX2" s="56"/>
      <c r="KY2" s="56"/>
      <c r="KZ2" s="56"/>
      <c r="LA2" s="56"/>
      <c r="LB2" s="56"/>
      <c r="LC2" s="56"/>
      <c r="LD2" s="55"/>
      <c r="LE2" s="55"/>
      <c r="LF2" s="55"/>
      <c r="LG2" s="55"/>
      <c r="LH2" s="55"/>
      <c r="LI2" s="55"/>
      <c r="LJ2" s="55"/>
      <c r="LK2" s="55"/>
      <c r="LL2" s="55"/>
      <c r="LM2" s="55"/>
      <c r="LN2" s="55"/>
      <c r="LO2" s="55"/>
      <c r="LP2" s="55"/>
      <c r="LQ2" s="55"/>
      <c r="LR2" s="55"/>
      <c r="LS2" s="55"/>
      <c r="LT2" s="55"/>
      <c r="LU2" s="55"/>
      <c r="LV2" s="55"/>
      <c r="LW2" s="55"/>
      <c r="LX2" s="55"/>
      <c r="LY2" s="55"/>
      <c r="LZ2" s="55"/>
      <c r="MA2" s="55"/>
      <c r="MB2" s="55"/>
      <c r="MC2" s="55"/>
      <c r="MD2" s="55"/>
      <c r="ME2" s="55"/>
      <c r="MF2" s="55"/>
      <c r="MG2" s="55"/>
      <c r="MH2" s="55"/>
      <c r="MI2" s="55"/>
      <c r="MJ2" s="55"/>
      <c r="MK2" s="55"/>
      <c r="ML2" s="55"/>
      <c r="MM2" s="55"/>
      <c r="MN2" s="55"/>
      <c r="MO2" s="55"/>
      <c r="MP2" s="153"/>
      <c r="MQ2" s="148">
        <f t="shared" ref="MQ2:MQ8" si="66">SUM(COUNTIF(LD2,"PARTERO (A)"),COUNTIF(LH2,"PARTERO (A)"),COUNTIF(LL2,"PARTERO (A)"),COUNTIF(LP2,"PARTERO (A)"),COUNTIF(LT2,"PARTERO (A)"),COUNTIF(LX2,"PARTERO (A)"),COUNTIF(MN2,"PARTERO (A)"))</f>
        <v>0</v>
      </c>
      <c r="MR2" t="str">
        <f t="shared" ref="MR2:MR8" si="67">IF(AND(R2="",O2=""),"",IF(AND(OR(O2&gt;0,R2&gt;0),LC2&gt;0),SUM(LC2-BK2)/7,""))</f>
        <v/>
      </c>
      <c r="MS2" t="str">
        <f t="shared" ref="MS2:MS8" si="68">IF(AND(MR2="",BP2=""),"",IF(AND(MR2&lt;&gt;"",BP2="SIN DATO"),"SIN DATO",IF(AND(MR2="",BP2&lt;&gt;""),"",IF(AND(MR2&lt;0,BP2&gt;0),"ERROR FUM O INGRESO",IF(MR2&lt;=13,"I TRIM",IF(MR2&lt;28,"II TRIM",IF(AND(MR2&gt;27,MR2&lt;45),"III TRIM","POR DEFINIR")))))))</f>
        <v/>
      </c>
      <c r="MT2">
        <f t="shared" ref="MT2:MT8" si="69">SUM(COUNTIF(LD2,"MEDICO (A) TRADICIONAL"),COUNTIF(LH2,"MEDICO (A) TRADICIONAL"),COUNTIF(LL2,"MEDICO (A) TRADICIONAL"),COUNTIF(LP2,"MEDICO (A) TRADICIONAL"),COUNTIF(LT2,"MEDICO (A) TRADICIONAL"),COUNTIF(LX2,"MEDICO (A) TRADICIONAL"),COUNTIF(MN2,"MEDICO (A) TRADICIONAL"))</f>
        <v>0</v>
      </c>
      <c r="MU2" t="str">
        <f>IF(AND(Tabla1[[#This Row],[FECHA DE IDENTIFICACION DE LA GESTANTE]]="",Tabla1[[#This Row],[FECHA CONSULTA PRIMERA VEZ PROGRAMA CPN ]]=""),"",IF(AND(Tabla1[[#This Row],[FECHA DE IDENTIFICACION DE LA GESTANTE]]&gt;0,Tabla1[[#This Row],[FECHA CONSULTA PRIMERA VEZ PROGRAMA CPN ]]=""),"SIN INGRESO CPN",IF(AND(Tabla1[[#This Row],[FECHA DE IDENTIFICACION DE LA GESTANTE]]="",Tabla1[[#This Row],[FECHA CONSULTA PRIMERA VEZ PROGRAMA CPN ]]&gt;0),"NO APLICA",SUM(Tabla1[[#This Row],[FECHA CONSULTA PRIMERA VEZ PROGRAMA CPN ]]-Tabla1[[#This Row],[FECHA DE IDENTIFICACION DE LA GESTANTE]]))))</f>
        <v/>
      </c>
      <c r="MV2" t="str">
        <f t="shared" ref="MV2:MV8" si="70">IF(AND(O2&gt;0,BK2&gt;0),SUM(O2-BK2)/7,"")</f>
        <v/>
      </c>
      <c r="MW2" t="str">
        <f t="shared" ref="MW2:MW8" si="71">IF(R2&gt;0,MONTH(R2),"")</f>
        <v/>
      </c>
      <c r="MX2" t="str">
        <f t="shared" ref="MX2:MX8" si="72">IF(R2&gt;0,YEAR(R2),"")</f>
        <v/>
      </c>
      <c r="MY2" t="str">
        <f t="shared" ref="MY2:MY8" si="73">IF(AND(MW2&gt;=1,MW2&lt;=3),"I TRIMESTRE AÑO",IF(AND(MW2&gt;=4,MW2&lt;=6),"II TRIMESTRE AÑO",IF(AND(MW2&gt;=7,MW2&lt;=9),"III TRIMESTRE AÑO",IF(AND(MW2&gt;=10,MW2&lt;=12),"IV TRIMESTRE AÑO",""))))</f>
        <v/>
      </c>
      <c r="MZ2" t="str">
        <f t="shared" ref="MZ2:MZ8" si="74">IF(AND(M2&gt;0,R2&gt;0),DAYS360(M2,R2)/30.44/12,IF(AND(M2&gt;0,O2&gt;0,R2=""),DAYS360(M2,O2)/30.44/12,""))</f>
        <v/>
      </c>
      <c r="NA2" t="str">
        <f t="shared" ref="NA2:NA8" si="75">IF(AND(MZ2&gt;7,MZ2&lt;14),2,IF(MZ2&lt;16,1,IF(MZ2&lt;=35,0,IF(AND(MZ2&gt;35,MZ2&lt;50),2,""))))</f>
        <v/>
      </c>
      <c r="NB2" t="str">
        <f t="shared" ref="NB2:NB8" si="76">+IF(MZ2="","",IF(MZ2&lt;14,"MENOR 14 AÑOS",IF(MZ2&lt;20,"DE 14 A 19AÑOS",IF(MZ2&lt;25," DE 20 A 24 AÑOS",IF(MZ2&lt;30," DE 25 A 29 AÑOS",IF(MZ2&lt;35," DE 30 A 34 AÑOS",IF(MZ2&lt;40," DE 35 A 39 AÑOS"," DE 40 Y MAS")))))))</f>
        <v/>
      </c>
      <c r="NC2" t="str">
        <f t="shared" ref="NC2:NC8" si="77">IF(AW2="SI",1,IF(AW2="NO",0,""))</f>
        <v/>
      </c>
      <c r="ND2" t="str">
        <f t="shared" ref="ND2:ND8" si="78">IF(AS2="","",IF(AS2=0,1,IF(AND(AS2&gt;=1,AS2&lt;=4),0,IF(AS2&gt;=5,2,"X"))))</f>
        <v/>
      </c>
      <c r="NE2" t="str">
        <f t="shared" ref="NE2:NE8" si="79">IF(AV2="","",IF(AV2=0,0,IF(AV2=1,1,IF(OR(AV2=2,AV2="3 O MAS"),2,"X"))))</f>
        <v/>
      </c>
      <c r="NF2" t="str">
        <f t="shared" ref="NF2:NF8" si="80">IF(AX2="SI",1,IF(AX2="NO",0,""))</f>
        <v/>
      </c>
      <c r="NG2" t="str">
        <f t="shared" ref="NG2:NG8" si="81">IF(OR(AND(EI2&gt;0,EI2&lt;11),AND(EN2&gt;0,EN2&lt;10.5)),1,"")</f>
        <v/>
      </c>
      <c r="NH2" t="str">
        <f t="shared" ref="NH2:NH8" ca="1" si="82">IF(AND(AND(BQ2&gt;40.9,BQ2&lt;43),IW2=""),1,"")</f>
        <v/>
      </c>
      <c r="NI2" t="str">
        <f t="shared" ref="NI2:NI8" si="83">IF(AND(FY2="",GB2="",GE2="",GH2=""),"",IF(OR(OR(FY2="P.R REACTIVA",FY2="ELISA REACTIVA"),OR(GB2="P.R REACTIVA",GB2="ELISA REACTIVA"),OR(GE2="P.R REACTIVA",GE2="ELISA REACTIVA"),OR(GH2="P.R REACTIVA",GH2="ELISA REACTIVA")),3,""))</f>
        <v/>
      </c>
      <c r="NJ2" t="str">
        <f t="shared" ref="NJ2:NJ8" si="84">IF(BX2="","",IF(OR(BX2="CEFÁLICA",BX2="SD"),0,IF(OR(BX2="PODÁLICA",BX2="TRANSVERSA O DE FRENTE",BX2="OBLICUA"),3,"")))</f>
        <v/>
      </c>
      <c r="NK2" t="str">
        <f t="shared" ref="NK2:NK8" si="85">IF(HD2="","",IF(HD2="POSITIVO",2,"0"))</f>
        <v/>
      </c>
      <c r="NL2" t="str">
        <f t="shared" ref="NL2:NL8" si="86">IF(AND(HF2="",HH2=""),"",IF(OR(HF2="POSITIVO",HH2="POSITIVO"),3,0))</f>
        <v/>
      </c>
      <c r="NM2" t="str">
        <f t="shared" ref="NM2:NM8" si="87">IF(AND(O2="",R2=""),"",IF(OR(O2&lt;&gt;"",R2&lt;&gt;""),SUM(COUNTIF(AL2:AP2,"SI"),COUNTIF(AU2,"SI"),COUNTIF(BF2,"SI"),COUNTIF(BI2,"SI"),SUM(COUNTIF(BA2:BC2,"SI")*3),SUM(COUNTIF(BV2:BW2,"SI")*3),SUM(COUNTIF(BH2,"SI")*3),SUM(COUNTIF(BG2,"SI")*2),SUM(COUNTIF(BY2,"SI")*2),SUM(COUNTIF(BE2,"SI")*2),SUM(COUNTIF(FB2,"DIABETES, REMITIR")*2),SUM(NC2:NL2),SUM(NA2),SUM(NP2),SUM(COUNTIF(EU2,"RIESGO DE INCOMPATIBILIDAD RH")*3),SUM(COUNTIF(FP2,"SIFILIS GESTACIONAL")*3)),""))</f>
        <v/>
      </c>
      <c r="NN2" t="str">
        <f>IF(OR(O2&gt;0,R2&gt;0),SUM(COUNTIF(Tabla1[[#This Row],[AÑOS AL INICIO5 CPN]],"&gt;=40"),COUNTIF(AR2,"0"),COUNTIF(AQ2,"SI"),COUNTIF(BW2,"SI"),COUNTIF(BM2,"&gt;119"),COUNTIF(CC2,"&gt;=35")),"")</f>
        <v/>
      </c>
      <c r="NO2" t="str">
        <f t="shared" ref="NO2:NO8" si="88">IF(AND(R2="",O2=""),"",IF(AND(OR(O2&gt;0,R2&gt;0),BK2=""),"SD",IF(AND(OR(O2&gt;0,R2&gt;0),IM2&gt;0),SUM(IM2-BK2)/7,"")))</f>
        <v/>
      </c>
      <c r="NP2" t="str">
        <f t="shared" ref="NP2:NP8" si="89">IF(AND(AE2="",AF2="",AG2="",AH2="",AI2="",AJ2=""),"",SUM(SUM(COUNTIF(AE2,"NO")/2),COUNTIF(AF2,"NO"),SUM(COUNTIF(AG2,"SI")/2),COUNTIF(AH2,"SI"),SUM(COUNTIF(AJ2,"SI")*2),COUNTIF(AI2,"DESPLAZADA"),COUNTIF(AI2,"MIGRATORIA"),COUNTIF(AI2,"DISCAPACIDAD FISICA"),COUNTIF(AI2,"DISCAPACIDAD CONDUCTUAL"),COUNTIF(AI2,"DISCAPACIDAD VISUAL"),COUNTIF(AI2,"DISCAPACIDAD AUDITIVA"),COUNTIF(AI2,"DISCAPACIDAD MULTIPLE"),COUNTIF(AI2,"DISCAPACIDAD SISTEMICA")))</f>
        <v/>
      </c>
      <c r="NQ2" t="str">
        <f t="shared" ref="NQ2:NQ8" si="90">IF(BS2&gt;0,BS2*7,"")</f>
        <v/>
      </c>
      <c r="NR2" t="str">
        <f ca="1">IF(Tabla1[[#This Row],[GESTANTES ACTUALES]]="","SD",IF(Tabla1[[#This Row],[GESTANTES ACTUALES]]="SEGUIMIENTO REPORTE EPS","Y",IF(Tabla1[[#This Row],[GESTANTES ACTUALES]]="SALE SIN INGRESO CPN","X",IF(AND(Tabla1[[#This Row],[CITA PROXIMO CONTROL]]="",Tabla1[[#This Row],[GESTANTES ACTUALES]]="ACTIVA SIN INGRESO CPN",P2="NO"),"Z",IF(AND(Tabla1[[#This Row],[CITA PROXIMO CONTROL]]="CITA MANUAL",Tabla1[[#This Row],[GESTANTES ACTUALES]]="ACTIVA INGRESO A CPN"),"W",IF(AND(Tabla1[[#This Row],[GESTANTES ACTUALES]]="SALIO PROGRAMA",IW2=""),"S",IF(AND(Tabla1[[#This Row],[CITA PROXIMO CONTROL]]&gt;0,IW2=""),(Tabla1[[#This Row],[CITA PROXIMO CONTROL]]-TODAY()),"SD")))))))</f>
        <v>SD</v>
      </c>
      <c r="NS2">
        <f>MONTH(Tabla1[[#This Row],[FECHA DE SALIDA  DEL PROGRAMA]])</f>
        <v>1</v>
      </c>
      <c r="NT2">
        <f>YEAR(Tabla1[[#This Row],[FECHA DE SALIDA  DEL PROGRAMA]])</f>
        <v>1900</v>
      </c>
      <c r="NU2" t="str">
        <f t="shared" ref="NU2:NU8" si="91">IF(AND(O2&gt;0,R2=""),"NO CPN",IF(AND(O2="",R2=""),"",IF(AND(R2&gt;0,EF2&gt;0,EE2&gt;0),_xlfn.DAYS(EF2,EE2),IF(AND(R2&gt;0,EF2&gt;0,EE2=""),"NO CITA","X"))))</f>
        <v/>
      </c>
      <c r="NV2" t="str">
        <f t="shared" ref="NV2:NV8" si="92">IF(AND(O2&gt;0,R2=""),"NO CPN",IF(AND(O2="",R2=""),"",IF(AND(EJ2&lt;&gt;"",ES2&lt;&gt;"",EW2&lt;&gt;"",FF2&lt;&gt;"",FU2&lt;&gt;"",FZ2&lt;&gt;"",GO2&lt;&gt;"",GQ2&lt;&gt;"",GR2&lt;&gt;""),"SI","NO")))</f>
        <v/>
      </c>
      <c r="NW2" t="str">
        <f>IF(AND(O2&gt;0,R2=""),"NO CPN",IF(AND(O2="",R2=""),"",IF(AND(R2&gt;0,Tabla1[[#This Row],[SEMANAS DE GESTACION ACTUALIZADAS]]&lt;=12),"NO APLICA",IF(AND(FC2&lt;&gt;"",FI2&lt;&gt;""),"SI","NO"))))</f>
        <v/>
      </c>
      <c r="NX2" s="149" t="str">
        <f>IF(AND(O2&gt;0,R2=""),"NO CPN",IF(AND(O2="",R2=""),"",IF(AND(R2&gt;0,Tabla1[[#This Row],[SEMANAS DE GESTACION ACTUALIZADAS]]&lt;=27),"NO APLICA",IF(AND(EO2&lt;&gt;"",FL2&lt;&gt;"",GF2&lt;&gt;""),"SI","NO"))))</f>
        <v/>
      </c>
      <c r="NY2" s="147" t="str">
        <f t="shared" ref="NY2:NY8" si="93">IF(AND(BO2="",IP2=""),"",IF(AND(BO2="",IP2="DEFINIR FPP POR ECO"),"SIN DATO",IF(BO2&lt;0,"ERROR FUM O INGRESO",IF(BL2="NO","DEFINIR CON ECO",IF(BO2&lt;10,"I TRIM",IF(BO2&lt;27,"II TRIM",IF(AND(BO2&gt;26,BO2&lt;45),"III TRIM","ERROR FUM O INGRESO")))))))</f>
        <v/>
      </c>
      <c r="NZ2" s="1" t="str">
        <f>IF(AND(IY3&gt;0,IY3&lt;37),10,IF(OR(BX3="Transversa",BX3="Oblicua"),9,IF(BW3="SI",8,IF(AND(AS3=0,AV3=0,BW3="NO",BX3="Cefálica",IY3&gt;=37,JC3="INICIO ESPONTÁNEO"),1,IF(AND(AND(AS3=0,AV3=0,BW3="NO",BX3="Cefálica",IY3&gt;=37),OR(JC3="LE HACEN INDUCCIÓN",JC3="LE HACEN CESÁREA SIN INICIO TRABAJO DE PARTO")),2,IF(AND(AS3&gt;=1,AV3=0,BW3="NO",BX3="Cefálica",IY3&gt;=37,JC3="INICIO ESPONTÁNEO"),3,IF(AND(AND(AS3&gt;=1,AV3=0,BW3="NO",BX3="Cefálica",IY3&gt;=37),OR(JC3="LE HACEN INDUCCIÓN",JC3="LE HACEN CESÁREA SIN INICIO TRABAJO DE PARTO")),4,IF(AND(AND(AS3&gt;=1,AV3&gt;=1,BW3="NO",BX3="Cefálica",IY3&gt;=37),OR(JC3="LE HACEN INDUCCIÓN",JC3="LE HACEN CESÁREA SIN INICIO TRABAJO DE PARTO",JC3="INICIO ESPONTÁNEO")),5,IF(AND(AND(AS3=0,AV3=0,BW3="NO",BX3="Podálica",IY3&gt;=1),OR(JC3="LE HACEN INDUCCIÓN",JC3="LE HACEN CESÁREA SIN INICIO TRABAJO DE PARTO",JC3="INICIO ESPONTÁNEO")),6,IF(AND(AND(AS3&gt;=1,BW3="NO",BX3="Podálica",IY3&gt;=1),OR(JC3="LE HACEN INDUCCIÓN",JC3="LE HACEN CESÁREA SIN INICIO TRABAJO DE PARTO",JC3="INICIO ESPONTÁNEO"),OR(AV3=0,AV3&gt;=1)),7,""))))))))))</f>
        <v/>
      </c>
      <c r="OA2" s="1" t="str">
        <f t="shared" ref="OA2:OA8" si="94">IF(AND(O2="",R2=""),"",IF(AND(BO2&gt;0,BO2&lt;12,IY2&gt;28,IY2&lt;44),3, IF(OR(AND(BO2&gt;=12,BO2&lt;28,IY2&gt;=28,IY2&lt;44),AND(BO2&gt;0,BO2&lt;12,IY2&gt;=12,IY2&lt;29)),2,IF(OR(AND(BO2&gt;=28,BO2&lt;44),AND(BO2&gt;0,BO2&lt;12,IY2&gt;0,IY2&lt;12),AND(BO2&gt;=12,BO2&lt;28,IY2&gt;=12,IY2&lt;28)),1,IF(AND(BO2&gt;0,BO2&lt;12,BQ2&gt;=28,BQ2&lt;44,DR2="ACTIVA INGRESO A CPN"),3,IF(OR(AND(BO2&gt;0,BO2&lt;12,BQ2&gt;=12,BQ2&lt;28,DR2="ACTIVA INGRESO A CPN"),AND(BO2&gt;=12,BO2&lt;28,BQ2&gt;=28,BQ2&lt;44,DR2="ACTIVA INGRESO A CPN")),2,IF(OR(AND(BO2&gt;0,BO2&lt;12,BQ2&gt;0,BQ2&lt;12,DR2="ACTIVA INGRESO A CPN"),AND(BO2&gt;=12,BO2&lt;28,BQ2&gt;=12,BQ2&lt;28,DR2="ACTIVA INGRESO A CPN")),1,"REVISAR FUM O FECHA SALIDA PROGRAMA")))))))</f>
        <v/>
      </c>
      <c r="OB2" s="213">
        <f t="shared" ref="OB2:OB8" si="95">COUNT(FG2,FJ2,FM2,FO2)</f>
        <v>0</v>
      </c>
      <c r="OC2" s="1">
        <f t="shared" ref="OC2:OC8" si="96">COUNT(GA2,GD2,GG2,GI2)</f>
        <v>0</v>
      </c>
      <c r="OD2" s="1" t="str">
        <f t="shared" ref="OD2:OD8" si="97">IF(OA2="","",IF(OA2="REVISAR FUM O FECHA SALIDA PROGRAMA","POR DEFINIR",IF(OR(OA2=OB2,OB2&gt;OA2),"COMPLETO",IF(OB2&lt;OA2,"INCOMPLETO",""))))</f>
        <v/>
      </c>
      <c r="OE2" s="1" t="str">
        <f t="shared" ref="OE2:OE8" si="98">IF(OA2="","",IF(OA2="REVISAR FUM O FECHA SALIDA PROGRAMA","POR DEFINIR",IF(OR(OA2=OC2,OC2&gt;OA2),"COMPLETO",IF(OC2&lt;OA2,"INCOMPLETO",""))))</f>
        <v/>
      </c>
      <c r="OF2" s="221" t="str">
        <f>IF(AND(O2="",R2=""),"",IF(OR(AND(Tabla1[[#This Row],[SUMINISTRO DE SULFATO FERROSO ]]="ADECUADO SEGÚN GPC",Tabla1[[#This Row],[SUMINISTRO CALCIO ]]="ADECUADO SEGÚN GPC",Tabla1[[#This Row],[SUMINISTRO DE ACIDO FOLICO ]]="ADECUADO SEGÚN GPC"),AND(Tabla1[[#This Row],[SUMINISTRO DE SULFATO FERROSO ]]="NO APLICA",Tabla1[[#This Row],[SUMINISTRO CALCIO ]]="ADECUADO SEGÚN GPC",Tabla1[[#This Row],[SUMINISTRO DE ACIDO FOLICO ]]="ADECUADO SEGÚN GPC"),AND(Tabla1[[#This Row],[SUMINISTRO DE SULFATO FERROSO ]]="ADECUADO SEGÚN GPC",Tabla1[[#This Row],[SUMINISTRO CALCIO ]]="NO APLICA",Tabla1[[#This Row],[SUMINISTRO DE ACIDO FOLICO ]]="ADECUADO SEGÚN GPC"),AND(Tabla1[[#This Row],[SUMINISTRO DE SULFATO FERROSO ]]="ADECUADO SEGÚN GPC",Tabla1[[#This Row],[SUMINISTRO CALCIO ]]="ADECUADO SEGÚN GPC",Tabla1[[#This Row],[SUMINISTRO DE ACIDO FOLICO ]]="NO APLICA"),AND(Tabla1[[#This Row],[SUMINISTRO DE SULFATO FERROSO ]]="NO APLICA",Tabla1[[#This Row],[SUMINISTRO CALCIO ]]="ADECUADO SEGÚN GPC",Tabla1[[#This Row],[SUMINISTRO DE ACIDO FOLICO ]]="NO APLICA"),AND(Tabla1[[#This Row],[SUMINISTRO DE SULFATO FERROSO ]]="NO APLICA",Tabla1[[#This Row],[SUMINISTRO CALCIO ]]="NO APLICA",Tabla1[[#This Row],[SUMINISTRO DE ACIDO FOLICO ]]="ADECUADO SEGÚN GPC"),AND(Tabla1[[#This Row],[SUMINISTRO DE SULFATO FERROSO ]]="ADECUADO SEGÚN GPC",Tabla1[[#This Row],[SUMINISTRO CALCIO ]]="NO APLICA",Tabla1[[#This Row],[SUMINISTRO DE ACIDO FOLICO ]]="NO APLICA"),AND(Tabla1[[#This Row],[SUMINISTRO DE SULFATO FERROSO ]]="NO APLICA",Tabla1[[#This Row],[SUMINISTRO CALCIO ]]="NO APLICA",Tabla1[[#This Row],[SUMINISTRO DE ACIDO FOLICO ]]="NO APLICA")),"COMPLETO","INCOMPLETO"))</f>
        <v/>
      </c>
      <c r="OG2" s="230" t="str">
        <f t="shared" ref="OG2:OG8" si="99">IF(AND(O2="",R2=""),"",IF(OR(IN2="VACUNA APLICADA ENTRE SEMANA 20 Y SEMANA 26",IN2="VACUNA APLICADA ENTRE SEMANA 27 Y EL PARTO",IN2="VACUNA APLICADA ANTES SEMANA 20"),"VACUNADA","SIN VACUNAR"))</f>
        <v/>
      </c>
      <c r="OH2" s="148">
        <f>ROW(Tabla1[[#This Row],[SEMANAS DE GESTACION II TRIM]])</f>
        <v>2</v>
      </c>
      <c r="OI2" t="str">
        <f t="shared" ref="OI2:OI5" si="100">IF(AND(CH2=$OI$1,CG2&gt;10,CG2&lt;20.8),"BAJO PESO",IF(AND(CH2=$OI$1,CG2&gt;20.7,CG2&lt;25.8),"NORMAL",IF(AND(CH2=$OI$1,CG2&gt;25.7,CG2&lt;30.6),"SOBREPESO",IF(AND(CH2=$OI$1,CG2&gt;30.5,CG2&lt;50),"OBESIDAD",""))))</f>
        <v/>
      </c>
      <c r="OJ2" t="str">
        <f t="shared" ref="OJ2:OJ5" si="101">IF(AND(CH2=$OJ$1,CG2&gt;10,CG2&lt;20.9),"BAJO PESO",IF(AND(CH2=$OJ$1,CG2&gt;20.8,CG2&lt;25.9),"NORMAL",IF(AND(CH2=$OJ$1,CG2&gt;25.8,CG2&lt;30.7),"SOBREPESO",IF(AND(CH2=$OJ$1,CG2&gt;30.6,CG2&lt;50),"OBESIDAD",""))))</f>
        <v/>
      </c>
      <c r="OK2" t="str">
        <f t="shared" ref="OK2:OK5" si="102">IF(AND(CH2=$OK$1,CG2&gt;10,CG2&lt;21.1),"BAJO PESO",IF(AND(CH2=$OK$1,CG2&gt;21,CG2&lt;26),"NORMAL",IF(AND(CH2=$OK$1,CG2&gt;25.9,CG2&lt;30.8),"SOBREPESO",IF(AND(CH2=$OK$1,CG2&gt;30.7,CG2&lt;50),"OBESIDAD",""))))</f>
        <v/>
      </c>
      <c r="OL2" t="str">
        <f t="shared" ref="OL2:OL5" si="103">IF(AND(CH2=$OL$1,CG2&gt;10,CG2&lt;21.2),"BAJO PESO",IF(AND(CH2=$OL$1,CG2&gt;21.1,CG2&lt;26.1),"NORMAL",IF(AND(CH2=$OL$1,CG2&gt;26,CG2&lt;31.9),"SOBREPESO",IF(AND(CH2=$OL$1,CG2&gt;30.8,CG2&lt;50),"OBESIDAD",""))))</f>
        <v/>
      </c>
      <c r="OM2" t="str">
        <f t="shared" ref="OM2:OM5" si="104">IF(AND(CH2=$OM$1,CG2&gt;10,CG2&lt;21.3),"BAJO PESO",IF(AND(CH2=$OM$1,CG2&gt;21.2,CG2&lt;26.2),"NORMAL",IF(AND(CH2=$OM$1,CG2&gt;26.1,CG2&lt;31),"SOBREPESO",IF(AND(CH2=$OM$1,CG2&gt;30.9,CG2&lt;50),"OBESIDAD",""))))</f>
        <v/>
      </c>
      <c r="ON2" t="str">
        <f t="shared" ref="ON2:ON5" si="105">IF(AND(CH2=$ON$1,CG2&gt;10,CG2&lt;21.5),"BAJO PESO",IF(AND(CH2=$ON$1,CG2&gt;21.4,CG2&lt;26.3),"NORMAL",IF(AND(CH2=$ON$1,CG2&gt;26.2,CG2&lt;31),"SOBREPESO",IF(AND(CH2=$ON$1,CG2&gt;30.9,CG2&lt;50),"OBESIDAD",""))))</f>
        <v/>
      </c>
      <c r="OO2" t="str">
        <f t="shared" ref="OO2:OO5" si="106">IF(AND(CH2=$OO$1,CG2&gt;10,CG2&lt;21.6),"BAJO PESO",IF(AND(CH2=$OO$1,CG2&gt;21.5,CG2&lt;26.4),"NORMAL",IF(AND(CH2=$OO$1,CG2&gt;26.3,CG2&lt;31.1),"SOBREPESO",IF(AND(CH2=$OO$1,CG2&gt;31,CG2&lt;50),"OBESIDAD",""))))</f>
        <v/>
      </c>
      <c r="OP2" t="str">
        <f t="shared" ref="OP2:OP5" si="107">IF(AND(CH2=$OP$1,CG2&gt;10,CG2&lt;21.8),"BAJO PESO",IF(AND(CH2=$OP$1,CG2&gt;21.7,CG2&lt;26.5),"NORMAL",IF(AND(CH2=$OP$1,CG2&gt;26.4,CG2&lt;31.2),"SOBREPESO",IF(AND(CH2=$OP$1,CG2&gt;31.1,CG2&lt;50),"OBESIDAD",""))))</f>
        <v/>
      </c>
      <c r="OQ2" t="str">
        <f t="shared" ref="OQ2:OQ5" si="108">IF(AND(CH2=$OQ$1,CG2&gt;10,CG2&lt;21.9),"BAJO PESO",IF(AND(CH2=$OQ$1,CG2&gt;21.8,CG2&lt;26.7),"NORMAL",IF(AND(CH2=$OQ$1,CG2&gt;26.6,CG2&lt;31.3),"SOBREPESO",IF(AND(CH2=$OQ$1,CG2&gt;31.2,CG2&lt;50),"OBESIDAD",""))))</f>
        <v/>
      </c>
      <c r="OR2" t="str">
        <f t="shared" ref="OR2:OR5" si="109">IF(AND(CH2=$OR$1,CG2&gt;10,CG2&lt;22.1),"BAJO PESO",IF(AND(CH2=$OR$1,CG2&gt;22,CG2&lt;26.8),"NORMAL",IF(AND(CH2=$OR$1,CG2&gt;26.7,CG2&lt;31.4),"SOBREPESO",IF(AND(CH2=$OR$1,CG2&gt;31.3,CG2&lt;50),"OBESIDAD",""))))</f>
        <v/>
      </c>
      <c r="OS2" t="str">
        <f t="shared" ref="OS2:OS5" si="110">IF(AND(CH2=$OS$1,CG2&gt;10,CG2&lt;22.3),"BAJO PESO",IF(AND(CH2=$OS$1,CG2&gt;22.2,CG2&lt;27),"NORMAL",IF(AND(CH2=$OS$1,CG2&gt;26.9,CG2&lt;31.6),"SOBREPESO",IF(AND(CH2=$OS$1,CG2&gt;31.5,CG2&lt;50),"OBESIDAD",""))))</f>
        <v/>
      </c>
      <c r="OT2" t="str">
        <f t="shared" ref="OT2:OT5" si="111">IF(AND(CH2=$OT$1,$CG2&gt;10,CG2&lt;22.5),"BAJO PESO",IF(AND(CH2=$OT$1,CG2&gt;22.4,CG2&lt;27.1),"NORMAL",IF(AND(CH2=$OT$1,CG2&gt;27,CG2&lt;31.7),"SOBREPESO",IF(AND(CH2=$OT$1,CG2&gt;31.6,CG2&lt;50),"OBESIDAD",""))))</f>
        <v/>
      </c>
      <c r="OU2" t="str">
        <f t="shared" ref="OU2:OU5" si="112">IF(AND(CH2=$OU$1,CG2&gt;10,CG2&lt;22.7),"BAJO PESO",IF(AND(CH2=$OU$1,CG2&gt;22.6,CG2&lt;27.3),"NORMAL",IF(AND(CH2=$OU$1,CG2&gt;27.1,CG2&lt;31.8),"SOBREPESO",IF(AND(CH2=$OU$1,CG2&gt;31.7,CG2&lt;50),"OBESIDAD",""))))</f>
        <v/>
      </c>
      <c r="OV2" t="str">
        <f t="shared" ref="OV2:OV5" si="113">IF(AND(CH2=$OV$1,CG2&gt;10,CG2&lt;22.8),"BAJO PESO",IF(AND(CH2=$OV$1,CG2&gt;22.7,CG2&lt;27.4),"NORMAL",IF(AND(CH2=$OV$1,CG2&gt;27.3,CG2&lt;31.9),"SOBREPESO",IF(AND(CH2=$OV$1,CG2&gt;31.8,CG2&lt;50),"OBESIDAD",""))))</f>
        <v/>
      </c>
      <c r="OW2" t="str">
        <f t="shared" ref="OW2:OW5" si="114">IF(AND(CH2=$OW$1,CG2&gt;10,CG2&lt;23),"BAJO PESO",IF(AND(CH2=$OW$1,CG2&gt;22.9,CG2&lt;27.6),"NORMAL",IF(AND(CH2=$OW$1,CG2&gt;27.5,CG2&lt;32),"SOBREPESO",IF(AND(CH2=$OW$1,CG2&gt;31.9,CG2&lt;50),"OBESIDAD",""))))</f>
        <v/>
      </c>
      <c r="OX2" t="str">
        <f t="shared" ref="OX2:OX5" si="115">IF(AND(CM2=$OX$1,CL2&gt;10,CL2&lt;23.2),"BAJO PESO",IF(AND(CM2=$OX$1,CL2&gt;23.1,CL2&lt;27.7),"NORMAL",IF(AND(CM2=$OX$1,CL2&gt;27.6,CL2&lt;32.1),"SOBREPESO",IF(AND(CM2=$OX$1,CL2&gt;32,CL2&lt;50),"OBESIDAD",""))))</f>
        <v/>
      </c>
      <c r="OY2" t="str">
        <f t="shared" ref="OY2:OY5" si="116">IF(AND(CM2=$OY$1,CL2&gt;10,CL2&lt;23.4),"BAJO PESO",IF(AND(CM2=$OY$1,CL2&gt;23.3,CL2&lt;27.9),"NORMAL",IF(AND(CM2=$OY$1,CL2&gt;27.8,CL2&lt;32.2),"SOBREPESO",IF(AND(CM2=$OY$1,CL2&gt;32.1,CL2&lt;50),"OBESIDAD",""))))</f>
        <v/>
      </c>
      <c r="OZ2" t="str">
        <f t="shared" ref="OZ2:OZ5" si="117">IF(AND(CM2=$OZ$1,CL2&gt;10,CL2&lt;23.5),"BAJO PESO",IF(AND(CM2=$OZ$1,CL2&gt;23.4,CL2&lt;28),"NORMAL",IF(AND(CM2=$OZ$1,CL2&gt;27.9,CL2&lt;32.1),"SOBREPESO",IF(AND(CM2=$OZ$1,CL2&gt;32.2,CL2&lt;50),"OBESIDAD",""))))</f>
        <v/>
      </c>
      <c r="PA2" t="str">
        <f t="shared" ref="PA2:PA5" si="118">IF(AND(CM2=$PA$1,CL2&gt;10,CL2&lt;23.7),"BAJO PESO",IF(AND(CM2=$PA$1,CL2&gt;23.6,CL2&lt;28.1),"NORMAL",IF(AND(CM2=$PA$1,CL2&gt;28,CL2&lt;33.4),"SOBREPESO",IF(AND(CM2=$PA$1,CL2&gt;33.3,CL2&lt;50),"OBESIDAD",""))))</f>
        <v/>
      </c>
      <c r="PB2" t="str">
        <f t="shared" ref="PB2:PB5" si="119">IF(AND(CM2=$PB$1,CL2&gt;10,CL2&lt;23.9),"BAJO PESO",IF(AND(CM2=$PB$1,CL2&gt;23.8,CL2&lt;28.2),"NORMAL",IF(AND(CM2=$PB$1,CL2&gt;28.1,CL2&lt;33.5),"SOBREPESO",IF(AND(CM2=$PB$1,CL2&gt;33.4,CL2&lt;50),"OBESIDAD",""))))</f>
        <v/>
      </c>
      <c r="PC2" t="str">
        <f t="shared" ref="PC2:PC5" si="120">IF(AND(CM2=$PC$1,CL2&gt;10,CL2&lt;24),"BAJO PESO",IF(AND(CM2=$PC$1,CL2&gt;23.9,CL2&lt;28.4),"NORMAL",IF(AND(CM2=$PC$1,CL2&gt;28.3,CL2&lt;33.6),"SOBREPESO",IF(AND(CM2=$PC$1,CL2&gt;33.5,CL2&lt;50),"OBESIDAD",""))))</f>
        <v/>
      </c>
      <c r="PD2" t="str">
        <f t="shared" ref="PD2:PD5" si="121">IF(AND(CM2=$PD$1,CL2&gt;10,CL2&lt;24.2),"BAJO PESO",IF(AND(CM2=$PD$1,CL2&gt;24.1,CL2&lt;28.5),"NORMAL",IF(AND(CM2=$PD$1,CL2&gt;28.4,CL2&lt;33.7),"SOBREPESO",IF(AND(CM2=$PD$1,CL2&gt;33.6,CL2&lt;50),"OBESIDAD",""))))</f>
        <v/>
      </c>
      <c r="PE2" t="str">
        <f t="shared" ref="PE2:PE5" si="122">IF(AND(CM2=$PE$1,CL2&gt;10,CL2&lt;24.3),"BAJO PESO",IF(AND(CM2=$PE$1,CL2&gt;24.2,CL2&lt;28.6),"NORMAL",IF(AND(CM2=$PE$1,CL2&gt;28.5,CL2&lt;33.8),"SOBREPESO",IF(AND(CM2=$PE$1,CL2&gt;33.7,CL2&lt;50),"OBESIDAD",""))))</f>
        <v/>
      </c>
      <c r="PF2" t="str">
        <f t="shared" ref="PF2:PF5" si="123">IF(AND(CM2=$PF$1,CL2&gt;10,CL2&lt;24.5),"BAJO PESO",IF(AND(CM2=$PF$1,CL2&gt;24.4,CL2&lt;28.8),"NORMAL",IF(AND(CM2=$PF$1,CL2&gt;28.7,CL2&lt;32.9),"SOBREPESO",IF(AND(CM2=$PF$1,CL2&gt;32.8,CL2&lt;50),"OBESIDAD",""))))</f>
        <v/>
      </c>
      <c r="PG2" t="str">
        <f t="shared" ref="PG2:PG5" si="124">IF(AND(CM2=$PG$1,CL2&gt;10,CL2&lt;24.6),"BAJO PESO",IF(AND(CM2=$PG$1,CL2&gt;24.5,CL2&lt;28.9),"NORMAL",IF(AND(CM2=$PG$1,CL2&gt;28.8,CL2&lt;33),"SOBREPESO",IF(AND(CM2=$PG$1,CL2&gt;32.9,CL2&lt;50),"OBESIDAD",""))))</f>
        <v/>
      </c>
      <c r="PH2" t="str">
        <f t="shared" ref="PH2:PH5" si="125">IF(AND(CM2=$PH$1,CL2&gt;10,CL2&lt;24.8),"BAJO PESO",IF(AND(CM2=$PH$1,CL2&gt;24.7,CL2&lt;29),"NORMAL",IF(AND(CM2=$PH$1,CL2&gt;28.9,CL2&lt;33.1),"SOBREPESO",IF(AND(CM2=$PH$1,CL2&gt;33,CL2&lt;50),"OBESIDAD",""))))</f>
        <v/>
      </c>
      <c r="PI2" t="str">
        <f t="shared" ref="PI2:PI5" si="126">IF(AND(CM2=$PI$1,CL2&gt;10,CL2&lt;25),"BAJO PESO",IF(AND(CM2=$PI$1,CL2&gt;24.9,CL2&lt;29.2),"NORMAL",IF(AND(CM2=$PI$1,CL2&gt;29.1,CL2&lt;33.2),"SOBREPESO",IF(AND(CM2=$PI$1,CL2&gt;33.1,CL2&lt;50),"OBESIDAD",""))))</f>
        <v/>
      </c>
      <c r="PJ2" t="str">
        <f t="shared" ref="PJ2:PJ5" si="127">IF(AND(CM2=$PJ$1,CL2&gt;10,CL2&lt;25.1),"BAJO PESO",IF(AND(CM2=$PJ$1,CL2&gt;25,CL2&lt;29.3),"NORMAL",IF(AND(CM2=$PJ$1,CL2&gt;29.2,CL2&lt;33.3),"SOBREPESO",IF(AND(CM2=$PJ$1,CL2&gt;33.2,CL2&lt;50),"OBESIDAD",""))))</f>
        <v/>
      </c>
      <c r="PK2" t="str">
        <f t="shared" ref="PK2:PK5" si="128">IF(AND(CM2=$PK$1,CL2&gt;10,CL2&lt;25.1),"BAJO PESO",IF(AND(CM2=$PK$1,CL2&gt;25,CL2&lt;29.4),"NORMAL",IF(AND(CM2=$PK$1,CL2&gt;29.3,CL2&lt;33.3),"SOBREPESO",IF(AND(CM2=$PK$1,CL2&gt;33.2,CL2&lt;50),"OBESIDAD",""))))</f>
        <v/>
      </c>
      <c r="PL2" s="164" t="str">
        <f>IF(Tabla1[[#This Row],[Tipo Biológico Vacuna anti COVID-19 (Disentimiento)]]="Pfizer","a",IF(Tabla1[[#This Row],[Tipo Biológico Vacuna anti COVID-19 (Disentimiento)]]="Janssen","b",IF(Tabla1[[#This Row],[Tipo Biológico Vacuna anti COVID-19 (Disentimiento)]]="Sinovac","c",IF(Tabla1[[#This Row],[Tipo Biológico Vacuna anti COVID-19 (Disentimiento)]]="Jhonson&amp;Jhonson","e",IF(Tabla1[[#This Row],[Tipo Biológico Vacuna anti COVID-19 (Disentimiento)]]="Moderna","f",IF(Tabla1[[#This Row],[Tipo Biológico Vacuna anti COVID-19 (Disentimiento)]]="Firma Disentimiento","x",IF(Tabla1[[#This Row],[Tipo Biológico Vacuna anti COVID-19 (Disentimiento)]]="No Acepta y No Firma Disentimiento","xx",IF(Tabla1[[#This Row],[Tipo Biológico Vacuna anti COVID-19 (Disentimiento)]]="Astrazeneca","d",""))))))))</f>
        <v/>
      </c>
      <c r="PM2" s="165" t="str">
        <f t="shared" ref="PM2:PM5" si="129">IF(AND(R2="",O2=""),"",IF(AND(OR(O2&gt;0,R2&gt;0),BK2=""),"SD",IF(AND(OR(O2&gt;0,R2&gt;0),IF2&gt;0),SUM(IF2-BK2)/7,"")))</f>
        <v/>
      </c>
      <c r="PN2" s="161" t="str">
        <f>IF(AND(PL2="x",IF2="",IH2=""),"Firma",IF(AND(PL2="x",IF2&gt;0,IH2=""),"Firma2",IF(AND(PL2="x",IF2&gt;0,IH2&gt;0),"Firma2",IF(AND(PL2="xx",IF2="",IH2=""),"Firma3",IF(AND(PL2="xx",IF2&gt;0,IH2=""),"Firma4",IF(AND(PL2="xx",IF2&gt;0,IH2&gt;0),"Firma4",IF(AND(PL2&lt;&gt;"b",IF2&gt;0,IH2=""),"Falta dosis",IF(AND(PL2="b",IF2&gt;0,IH2=""),"Completo",IF(AND(PL2="b",IF2&gt;0,IH2&gt;0),"Error Jansen X Fecha Segunda Dosis",IF(AND(PL2&lt;&gt;"b",IF2&gt;0,IH2&gt;0),"Completo",""))))))))))</f>
        <v/>
      </c>
      <c r="PO2" s="166" t="str">
        <f>IF(Tabla1[[#This Row],[Tipo Biológico Vacuna anti COVID-19 (Disentimiento)]]="Pfizer",Tabla1[[#This Row],[Fecha 1ra Dosis Anti COVID-19]]+21,IF(Tabla1[[#This Row],[Tipo Biológico Vacuna anti COVID-19 (Disentimiento)]]="Janssen","Sin Segunda Dosis",IF(Tabla1[[#This Row],[Tipo Biológico Vacuna anti COVID-19 (Disentimiento)]]="Sinovac",Tabla1[[#This Row],[Fecha 1ra Dosis Anti COVID-19]]+28,IF(Tabla1[[#This Row],[Tipo Biológico Vacuna anti COVID-19 (Disentimiento)]]="Jhonson&amp;Jhonson","e",IF(Tabla1[[#This Row],[Tipo Biológico Vacuna anti COVID-19 (Disentimiento)]]="Moderna","f",IF(Tabla1[[#This Row],[Tipo Biológico Vacuna anti COVID-19 (Disentimiento)]]="Firma Disentimiento","Firma Disentimiento",IF(Tabla1[[#This Row],[Tipo Biológico Vacuna anti COVID-19 (Disentimiento)]]="No Acepta y No Firma Disentimiento","No Acepta y No Firma Disentimiento",IF(Tabla1[[#This Row],[Tipo Biológico Vacuna anti COVID-19 (Disentimiento)]]="Astrazeneca",Tabla1[[#This Row],[Fecha 1ra Dosis Anti COVID-19]]+84,""))))))))</f>
        <v/>
      </c>
      <c r="PP2" s="167" t="str">
        <f ca="1">IF(PO2="","",SUM(TODAY()-Tabla1[[#This Row],[Fecha 1ra Dosis Anti COVID-19]]))</f>
        <v/>
      </c>
      <c r="PQ2" s="219" t="str">
        <f>IFERROR(IF(Tabla1[[#This Row],[Fecha 1ra Dosis Anti COVID-19]]="","",IF(OR(AND(Tabla1[[#This Row],[Tipo Biológico Vacuna anti COVID-19 (Disentimiento)]]="Astrazeneca",PP2&lt;84),AND(Tabla1[[#This Row],[Tipo Biológico Vacuna anti COVID-19 (Disentimiento)]]="Pfizer",PP2&lt;21),AND(Tabla1[[#This Row],[Tipo Biológico Vacuna anti COVID-19 (Disentimiento)]]="Moderna",PP2&lt;21),AND(Tabla1[[#This Row],[Tipo Biológico Vacuna anti COVID-19 (Disentimiento)]]="Sinovac",PP2&lt;28)),"Pendiente Segunda Dosis",IF(OR(AND(Tabla1[[#This Row],[Tipo Biológico Vacuna anti COVID-19 (Disentimiento)]]="Astrazeneca",PP2&gt;=85),AND(Tabla1[[#This Row],[Tipo Biológico Vacuna anti COVID-19 (Disentimiento)]]="Pfizer",PP2&gt;=22),AND(Tabla1[[#This Row],[Tipo Biológico Vacuna anti COVID-19 (Disentimiento)]]="Moderna",PP2&gt;=22),AND(Tabla1[[#This Row],[Tipo Biológico Vacuna anti COVID-19 (Disentimiento)]]="Sinovac",PP2&gt;=29)),"inasistente",IF(OR(AND(Tabla1[[#This Row],[Tipo Biológico Vacuna anti COVID-19 (Disentimiento)]],"Astrazeneca",PP2=84),AND(Tabla1[[#This Row],[Tipo Biológico Vacuna anti COVID-19 (Disentimiento)]],"Pfizer",PP2=21),AND(Tabla1[[#This Row],[Tipo Biológico Vacuna anti COVID-19 (Disentimiento)]],"Moderna",PP2=21),AND(Tabla1[[#This Row],[Tipo Biológico Vacuna anti COVID-19 (Disentimiento)]],"Sinovac",PP2=28)),"Día vacunación1","")))),"Día de Vacunación")</f>
        <v/>
      </c>
    </row>
    <row r="3" spans="1:433" ht="39.950000000000003" customHeight="1" x14ac:dyDescent="0.25">
      <c r="A3" s="145" t="s">
        <v>853</v>
      </c>
      <c r="B3" s="68" t="s">
        <v>921</v>
      </c>
      <c r="C3" s="68" t="s">
        <v>855</v>
      </c>
      <c r="D3" s="187" t="s">
        <v>856</v>
      </c>
      <c r="E3" s="68" t="s">
        <v>857</v>
      </c>
      <c r="F3" s="68" t="s">
        <v>858</v>
      </c>
      <c r="G3" s="68" t="s">
        <v>859</v>
      </c>
      <c r="H3" s="68"/>
      <c r="I3" s="145" t="s">
        <v>860</v>
      </c>
      <c r="J3" s="146">
        <v>1002952263</v>
      </c>
      <c r="K3" s="68" t="s">
        <v>861</v>
      </c>
      <c r="L3" s="68" t="s">
        <v>862</v>
      </c>
      <c r="M3" s="35">
        <v>37247</v>
      </c>
      <c r="N3" s="38">
        <f t="shared" ca="1" si="0"/>
        <v>21.87123287671233</v>
      </c>
      <c r="O3" s="35">
        <v>44662</v>
      </c>
      <c r="P3" s="39" t="str">
        <f t="shared" si="1"/>
        <v>SI</v>
      </c>
      <c r="Q3" s="40" t="s">
        <v>876</v>
      </c>
      <c r="R3" s="35">
        <v>44662</v>
      </c>
      <c r="S3" s="31" t="s">
        <v>877</v>
      </c>
      <c r="T3" s="37" t="s">
        <v>800</v>
      </c>
      <c r="U3" s="31" t="s">
        <v>878</v>
      </c>
      <c r="V3" s="31" t="s">
        <v>879</v>
      </c>
      <c r="W3" s="31" t="s">
        <v>880</v>
      </c>
      <c r="X3" s="31" t="s">
        <v>880</v>
      </c>
      <c r="Y3" s="31" t="s">
        <v>881</v>
      </c>
      <c r="Z3" s="31">
        <v>3044779923</v>
      </c>
      <c r="AA3" s="31" t="s">
        <v>882</v>
      </c>
      <c r="AB3" s="41" t="s">
        <v>883</v>
      </c>
      <c r="AC3" s="40" t="s">
        <v>884</v>
      </c>
      <c r="AD3" s="55" t="s">
        <v>885</v>
      </c>
      <c r="AE3" s="40" t="s">
        <v>875</v>
      </c>
      <c r="AF3" s="40" t="s">
        <v>875</v>
      </c>
      <c r="AG3" s="36" t="s">
        <v>886</v>
      </c>
      <c r="AH3" s="36" t="s">
        <v>886</v>
      </c>
      <c r="AI3" s="37" t="s">
        <v>885</v>
      </c>
      <c r="AJ3" s="36" t="s">
        <v>886</v>
      </c>
      <c r="AK3" s="42" t="str">
        <f>IF(AND(AE3="",AF3="",AG3="",AH3="",AI3="",AJ3=""),"",IF(AND(OR(O3&gt;0,R3&gt;0),NP3&gt;=0,NP3&lt;2),"SIN RIESGO",IF(AND(OR(O3&gt;0,R3&gt;0),NP3&gt;=2),"CON RIESGO",IF(AND(O3="",R3=""),"",IF(OR(Tabla1[[#This Row],[EMBARAZO ACEPTADO Y/O  DESEADO]]="SIN DATO",Tabla1[[#This Row],[APOYO FAMILIAR]]="SIN DATO",Tabla1[[#This Row],[ANSIEDAD (Tensión emocional, Humor depresivo y sx angustia).]]="SIN DATO",Tabla1[[#This Row],[GRUPO DE POBLACION ESPECIAL]]="SIN DATO",Tabla1[[#This Row],[HA SIDO VICTIMA DE VIOLENCIA BASADA EN GENERO]]="SIN DATO"),"COMPLETAR EVALUACIÓN","")))))</f>
        <v>SIN RIESGO</v>
      </c>
      <c r="AL3" s="36" t="s">
        <v>886</v>
      </c>
      <c r="AM3" s="40" t="s">
        <v>886</v>
      </c>
      <c r="AN3" s="40" t="s">
        <v>886</v>
      </c>
      <c r="AO3" s="40" t="s">
        <v>886</v>
      </c>
      <c r="AP3" s="40" t="s">
        <v>886</v>
      </c>
      <c r="AQ3" s="40" t="s">
        <v>886</v>
      </c>
      <c r="AR3" s="31">
        <v>1</v>
      </c>
      <c r="AS3" s="31">
        <v>0</v>
      </c>
      <c r="AT3" s="31">
        <v>1</v>
      </c>
      <c r="AU3" s="40" t="s">
        <v>886</v>
      </c>
      <c r="AV3" s="31">
        <v>0</v>
      </c>
      <c r="AW3" s="40" t="s">
        <v>886</v>
      </c>
      <c r="AX3" s="40" t="s">
        <v>886</v>
      </c>
      <c r="AY3" s="40" t="s">
        <v>886</v>
      </c>
      <c r="AZ3" s="40" t="s">
        <v>886</v>
      </c>
      <c r="BA3" s="40" t="s">
        <v>886</v>
      </c>
      <c r="BB3" s="40" t="s">
        <v>886</v>
      </c>
      <c r="BC3" s="40" t="s">
        <v>886</v>
      </c>
      <c r="BD3" s="40" t="s">
        <v>886</v>
      </c>
      <c r="BE3" s="40" t="s">
        <v>886</v>
      </c>
      <c r="BF3" s="40" t="s">
        <v>886</v>
      </c>
      <c r="BG3" s="40" t="s">
        <v>886</v>
      </c>
      <c r="BH3" s="40" t="s">
        <v>886</v>
      </c>
      <c r="BI3" s="40" t="s">
        <v>886</v>
      </c>
      <c r="BJ3" s="35">
        <v>44053</v>
      </c>
      <c r="BK3" s="35">
        <v>44657</v>
      </c>
      <c r="BL3" s="31" t="s">
        <v>875</v>
      </c>
      <c r="BM3" s="43">
        <f t="shared" si="2"/>
        <v>20.133333333333333</v>
      </c>
      <c r="BN3" s="57" t="str">
        <f t="shared" si="3"/>
        <v/>
      </c>
      <c r="BO3" s="44">
        <f t="shared" si="4"/>
        <v>0.7142857142857143</v>
      </c>
      <c r="BP3" s="31" t="str">
        <f t="shared" si="5"/>
        <v>I TRIM</v>
      </c>
      <c r="BQ3" s="39" t="str">
        <f t="shared" ca="1" si="6"/>
        <v/>
      </c>
      <c r="BR3" s="35"/>
      <c r="BS3" s="43"/>
      <c r="BT3" s="35"/>
      <c r="BU3" s="31"/>
      <c r="BV3" s="40" t="s">
        <v>886</v>
      </c>
      <c r="BW3" s="40" t="s">
        <v>886</v>
      </c>
      <c r="BX3" s="40" t="s">
        <v>887</v>
      </c>
      <c r="BY3" s="40" t="s">
        <v>887</v>
      </c>
      <c r="BZ3" s="35">
        <v>44662</v>
      </c>
      <c r="CA3" s="31">
        <v>1.6</v>
      </c>
      <c r="CB3" s="31">
        <v>65</v>
      </c>
      <c r="CC3" s="39">
        <f t="shared" si="7"/>
        <v>25.390624999999996</v>
      </c>
      <c r="CD3" s="45" t="str">
        <f t="shared" si="8"/>
        <v>SOBREPESO</v>
      </c>
      <c r="CE3" s="35"/>
      <c r="CF3" s="31"/>
      <c r="CG3" s="39">
        <f t="shared" si="9"/>
        <v>0</v>
      </c>
      <c r="CH3" s="31" t="str">
        <f t="shared" si="10"/>
        <v>NA</v>
      </c>
      <c r="CI3" s="31" t="str">
        <f>IF(OR(CH3="",CH3="NA"),"",IF(AND(CH3&gt;=29,CH3&lt;=42),"REGISTRAR EN III TRIM",IF(AND(CH3&gt;0,CH3&lt;=13),"REGISTRAR EN I TRIM",IF(CH3="REVISAR FUM O FECHA PESO","REVISAR",IF(CH3&gt;0,HLOOKUP(CH3,$OI$1:PK3,OH3),"")))))</f>
        <v/>
      </c>
      <c r="CJ3" s="35"/>
      <c r="CK3" s="31"/>
      <c r="CL3" s="39">
        <f t="shared" si="11"/>
        <v>0</v>
      </c>
      <c r="CM3" s="31" t="str">
        <f t="shared" si="12"/>
        <v>NA</v>
      </c>
      <c r="CN3" s="31" t="str">
        <f>IF(OR(CM3="",CM3="NA"),"",IF(AND(CM3&gt;0,CM3&lt;=28),"REGISTRAR EN  TRIM RESPECTIVO",IF(CM3&gt;0,HLOOKUP(CM3,$OI$1:PK3,OH3),"")))</f>
        <v/>
      </c>
      <c r="CO3" s="31" t="str">
        <f t="shared" si="13"/>
        <v>SOBREPESO</v>
      </c>
      <c r="CP3" s="31">
        <v>110</v>
      </c>
      <c r="CQ3" s="31">
        <v>70</v>
      </c>
      <c r="CR3" s="37" t="str">
        <f t="shared" si="14"/>
        <v>APARENTEMENTE NORMAL</v>
      </c>
      <c r="CS3" s="31"/>
      <c r="CT3" s="31"/>
      <c r="CU3" s="37" t="str">
        <f t="shared" si="15"/>
        <v/>
      </c>
      <c r="CV3" s="31"/>
      <c r="CW3" s="31"/>
      <c r="CX3" s="31"/>
      <c r="CY3" s="31"/>
      <c r="CZ3" s="37" t="str">
        <f t="shared" si="16"/>
        <v/>
      </c>
      <c r="DA3" s="35">
        <v>44662</v>
      </c>
      <c r="DB3" s="35">
        <v>44662</v>
      </c>
      <c r="DC3" s="35"/>
      <c r="DD3" s="35"/>
      <c r="DE3" s="35"/>
      <c r="DF3" s="35"/>
      <c r="DG3" s="35"/>
      <c r="DH3" s="35"/>
      <c r="DI3" s="35"/>
      <c r="DJ3" s="35"/>
      <c r="DK3" s="35"/>
      <c r="DL3" s="35"/>
      <c r="DM3" s="35"/>
      <c r="DN3" s="35"/>
      <c r="DO3" s="43"/>
      <c r="DP3" s="35"/>
      <c r="DQ3" s="31" t="str">
        <f t="shared" ca="1" si="17"/>
        <v>SALE SIN PLAN DE PARTO</v>
      </c>
      <c r="DR3" s="46" t="str">
        <f t="shared" si="18"/>
        <v>SEGUIMIENTO REPORTE EPS</v>
      </c>
      <c r="DS3" s="35" t="str">
        <f>IF(Tabla1[[#This Row],[EDAD GESTACIONAL ÚLTIMO CPN]]="SD","CITA MANUAL",IF(Tabla1[[#This Row],[GESTANTES ACTUALES]]="SALIO PROGRAMA","NO APLICA",IF(AND(Tabla1[[#This Row],[EDAD GESTACIONAL ÚLTIMO CPN]]&gt;0,Tabla1[[#This Row],[EDAD GESTACIONAL ÚLTIMO CPN]]&lt;=35),WORKDAY(SUM(Tabla1[[#This Row],[FECHA ULTIMO CPN]]+30),1,#REF!),IF(AND(Tabla1[[#This Row],[EDAD GESTACIONAL ÚLTIMO CPN]]&gt;=36,Tabla1[[#This Row],[EDAD GESTACIONAL ÚLTIMO CPN]]&lt;=42),WORKDAY(SUM(Tabla1[[#This Row],[FECHA ULTIMO CPN]]+14)-3,1,#REF!),""))))</f>
        <v/>
      </c>
      <c r="DT3" s="31" t="str">
        <f t="shared" ca="1" si="19"/>
        <v>SEGUIMIENTO FUERA MUNICIPIO</v>
      </c>
      <c r="DU3" s="35">
        <f>IF(R3="","",IF(R3&gt;0,MAX(Tabla1[[#This Row],[FECHA C2]:[FECHA C13]],Tabla1[[#This Row],[FECHA CONSULTA PRIMERA VEZ PROGRAMA CPN ]])))</f>
        <v>44662</v>
      </c>
      <c r="DV3" s="31">
        <f t="shared" si="20"/>
        <v>0</v>
      </c>
      <c r="DW3" s="43">
        <f>IF(R3&gt;0,SUM(COUNTA(DC3:DN3)+COUNTA(Tabla1[[#This Row],[FECHA CONSULTA PRIMERA VEZ PROGRAMA CPN ]])),"")</f>
        <v>1</v>
      </c>
      <c r="DX3" s="43" t="str">
        <f t="shared" si="21"/>
        <v>NO</v>
      </c>
      <c r="DY3" s="39">
        <f t="shared" si="22"/>
        <v>11</v>
      </c>
      <c r="DZ3" s="47">
        <f t="shared" si="23"/>
        <v>9.0909090909090912E-2</v>
      </c>
      <c r="EA3" s="35">
        <v>44662</v>
      </c>
      <c r="EB3" s="35">
        <v>44662</v>
      </c>
      <c r="EC3" s="35">
        <v>44662</v>
      </c>
      <c r="ED3" s="35"/>
      <c r="EE3" s="35">
        <v>44662</v>
      </c>
      <c r="EF3" s="35"/>
      <c r="EG3" s="35"/>
      <c r="EH3" s="31"/>
      <c r="EI3" s="31">
        <v>14</v>
      </c>
      <c r="EJ3" s="35">
        <v>44662</v>
      </c>
      <c r="EK3" s="43">
        <f t="shared" si="24"/>
        <v>0.7142857142857143</v>
      </c>
      <c r="EL3" s="39" t="str">
        <f t="shared" si="25"/>
        <v>NORMAL- SUMINISTRAR SULFATO FERROSO</v>
      </c>
      <c r="EM3" s="31" t="str">
        <f t="shared" si="26"/>
        <v>I TRIM</v>
      </c>
      <c r="EN3" s="37"/>
      <c r="EO3" s="35"/>
      <c r="EP3" s="44" t="str">
        <f t="shared" si="27"/>
        <v>TOMAR EXAMEN</v>
      </c>
      <c r="EQ3" s="39" t="str">
        <f t="shared" si="28"/>
        <v/>
      </c>
      <c r="ER3" s="37" t="s">
        <v>893</v>
      </c>
      <c r="ES3" s="35">
        <v>44662</v>
      </c>
      <c r="ET3" s="44">
        <f t="shared" si="29"/>
        <v>0.7142857142857143</v>
      </c>
      <c r="EU3" s="39" t="str">
        <f t="shared" si="30"/>
        <v>NO HAY RIESGO POR RH</v>
      </c>
      <c r="EV3" s="31">
        <v>95</v>
      </c>
      <c r="EW3" s="35">
        <v>44662</v>
      </c>
      <c r="EX3" s="44">
        <f t="shared" si="31"/>
        <v>0.7142857142857143</v>
      </c>
      <c r="EY3" s="44"/>
      <c r="EZ3" s="44"/>
      <c r="FA3" s="44"/>
      <c r="FB3" s="31" t="str">
        <f t="shared" ca="1" si="32"/>
        <v/>
      </c>
      <c r="FC3" s="48"/>
      <c r="FD3" s="44" t="str">
        <f t="shared" si="33"/>
        <v>TOMAR EXAMEN</v>
      </c>
      <c r="FE3" s="35" t="s">
        <v>894</v>
      </c>
      <c r="FF3" s="35">
        <v>44662</v>
      </c>
      <c r="FG3" s="44">
        <f t="shared" ca="1" si="34"/>
        <v>0.7142857142857143</v>
      </c>
      <c r="FH3" s="35"/>
      <c r="FI3" s="49"/>
      <c r="FJ3" s="44" t="str">
        <f t="shared" ca="1" si="35"/>
        <v>PIERDE TOMA DE TAMIZAJE</v>
      </c>
      <c r="FK3" s="35"/>
      <c r="FL3" s="49"/>
      <c r="FM3" s="44" t="str">
        <f t="shared" ca="1" si="36"/>
        <v>PIERDE TOMA DE TAMIZAJE</v>
      </c>
      <c r="FN3" s="35"/>
      <c r="FO3" s="49"/>
      <c r="FP3" s="44" t="str">
        <f>IF(AND(FE3="",FH3="",FK3="",FN3=""),"",IF(OR(OR(Tabla1[[#This Row],[TAMIZAJE  PARA SIFILIS  SEGÚN GPC SIFILIS I TRIMESTRE]]="P. R POSITIVA CASO SIFILIS",Tabla1[[#This Row],[TAMIZAJE  PARA SIFILIS  SEGÚN GPC SIFILIS II TRIMESTRE]]="P. R POSITIVA CASO SIFILIS",Tabla1[[#This Row],[TAMIZAJE  PARA SIFILIS  SEGÚN GPC SIFILIS III TRIMESTRE]]="P. R POSITIVA CASO SIFILIS",Tabla1[[#This Row],[TAMIZAJE  PARA SIFILIS  SEGÚN GPC SIFILIS INTRAPARTO]]="P. R POSITIVA CASO SIFILIS"),OR(Tabla1[[#This Row],[TAMIZAJE  PARA SIFILIS  SEGÚN GPC SIFILIS I TRIMESTRE]]="REINFECCIÓN-DILUCIONES AUMENTAN",Tabla1[[#This Row],[TAMIZAJE  PARA SIFILIS  SEGÚN GPC SIFILIS II TRIMESTRE]]="REINFECCIÓN-DILUCIONES AUMENTAN",Tabla1[[#This Row],[TAMIZAJE  PARA SIFILIS  SEGÚN GPC SIFILIS III TRIMESTRE]]="REINFECCIÓN-DILUCIONES AUMENTAN",Tabla1[[#This Row],[TAMIZAJE  PARA SIFILIS  SEGÚN GPC SIFILIS INTRAPARTO]]="REINFECCIÓN-DILUCIONES AUMENTAN")),"SIFILIS GESTACIONAL",""))</f>
        <v/>
      </c>
      <c r="FQ3" s="31"/>
      <c r="FR3" s="35">
        <v>44662</v>
      </c>
      <c r="FS3" s="44">
        <f t="shared" si="37"/>
        <v>0.7142857142857143</v>
      </c>
      <c r="FT3" s="43" t="s">
        <v>895</v>
      </c>
      <c r="FU3" s="35">
        <v>44662</v>
      </c>
      <c r="FV3" s="44">
        <f t="shared" si="38"/>
        <v>0.7142857142857143</v>
      </c>
      <c r="FW3" s="35">
        <v>44662</v>
      </c>
      <c r="FX3" s="35">
        <v>44662</v>
      </c>
      <c r="FY3" s="35" t="s">
        <v>896</v>
      </c>
      <c r="FZ3" s="35">
        <v>44662</v>
      </c>
      <c r="GA3" s="44">
        <f t="shared" ca="1" si="39"/>
        <v>0.7142857142857143</v>
      </c>
      <c r="GB3" s="35"/>
      <c r="GC3" s="35"/>
      <c r="GD3" s="44" t="str">
        <f t="shared" ca="1" si="40"/>
        <v>PIERDE TOMA DE TAMIZAJE</v>
      </c>
      <c r="GE3" s="35"/>
      <c r="GF3" s="35"/>
      <c r="GG3" s="44" t="str">
        <f t="shared" ca="1" si="41"/>
        <v>PIERDE TOMA DE TAMIZAJE</v>
      </c>
      <c r="GH3" s="35"/>
      <c r="GI3" s="44"/>
      <c r="GJ3" s="35" t="s">
        <v>883</v>
      </c>
      <c r="GK3" s="35"/>
      <c r="GL3" s="35" t="s">
        <v>883</v>
      </c>
      <c r="GM3" s="35"/>
      <c r="GN3" s="43" t="s">
        <v>895</v>
      </c>
      <c r="GO3" s="35">
        <v>44662</v>
      </c>
      <c r="GP3" s="44">
        <f t="shared" si="42"/>
        <v>0.7142857142857143</v>
      </c>
      <c r="GQ3" s="43" t="s">
        <v>895</v>
      </c>
      <c r="GR3" s="43" t="s">
        <v>895</v>
      </c>
      <c r="GS3" s="35" t="str">
        <f t="shared" si="43"/>
        <v>CONTROL Igm</v>
      </c>
      <c r="GT3" s="35">
        <v>44662</v>
      </c>
      <c r="GU3" s="44">
        <f t="shared" si="44"/>
        <v>0.7142857142857143</v>
      </c>
      <c r="GV3" s="31" t="str">
        <f t="shared" si="45"/>
        <v>I TRIM</v>
      </c>
      <c r="GW3" s="43"/>
      <c r="GX3" s="46"/>
      <c r="GY3" s="31"/>
      <c r="GZ3" s="35"/>
      <c r="HA3" s="43" t="str">
        <f t="shared" si="46"/>
        <v/>
      </c>
      <c r="HB3" s="31" t="str">
        <f t="shared" si="47"/>
        <v/>
      </c>
      <c r="HC3" s="31" t="str">
        <f t="shared" si="48"/>
        <v/>
      </c>
      <c r="HD3" s="31" t="s">
        <v>897</v>
      </c>
      <c r="HE3" s="31"/>
      <c r="HF3" s="31" t="s">
        <v>898</v>
      </c>
      <c r="HG3" s="31"/>
      <c r="HH3" s="31" t="s">
        <v>899</v>
      </c>
      <c r="HI3" s="31">
        <v>0</v>
      </c>
      <c r="HJ3" s="35" t="s">
        <v>900</v>
      </c>
      <c r="HK3" s="35" t="str">
        <f>IF(OR(O3&gt;0,R3&gt;0),CONCATENATE(IF(Tabla1[[#This Row],[NECESIDAD O DESARMONIA DESDE LO PROPIO 1]]&lt;&gt;"",Tabla1[[#This Row],[NECESIDAD O DESARMONIA DESDE LO PROPIO 1]],""),"*",CONCATENATE(IF(Tabla1[[#This Row],[NECESIDAD O DESARMONIA DESDE LO PROPIO 12]]&lt;&gt;"",Tabla1[[#This Row],[NECESIDAD O DESARMONIA DESDE LO PROPIO 12]],""),"*",CONCATENATE(IF(Tabla1[[#This Row],[NECESIDAD O DESARMONIA DESDE LO PROPIO 13]]&lt;&gt;"",Tabla1[[#This Row],[NECESIDAD O DESARMONIA DESDE LO PROPIO 13]],""),"*",CONCATENATE(IF(Tabla1[[#This Row],[NECESIDAD O DESARMONIA DESDE LO PROPIO 14]]&lt;&gt;"",Tabla1[[#This Row],[NECESIDAD O DESARMONIA DESDE LO PROPIO 14]],""),"*",CONCATENATE(IF(Tabla1[[#This Row],[NECESIDAD O DESARMONIA DESDE LO PROPIO 15]]&lt;&gt;"",Tabla1[[#This Row],[NECESIDAD O DESARMONIA DESDE LO PROPIO 15]],""),"*",CONCATENATE(IF(Tabla1[[#This Row],[NECESIDAD O DESARMONIA DESDE LO PROPIO 16]]&lt;&gt;"",Tabla1[[#This Row],[NECESIDAD O DESARMONIA DESDE LO PROPIO 16]],""),"*",CONCATENATE(IF(Tabla1[[#This Row],[NECESIDAD O DESARMONIA DESDE LO PROPIO 17444]]&lt;&gt;"",Tabla1[[#This Row],[NECESIDAD O DESARMONIA DESDE LO PROPIO 17444]],"")))))))),"")</f>
        <v>******</v>
      </c>
      <c r="HL3" s="35" t="str">
        <f t="shared" si="49"/>
        <v>*****SOBREPESO****PREVENCIÓN CONTAGIO TOXOPLASMOSIS***</v>
      </c>
      <c r="HM3" s="35" t="str">
        <f t="shared" ca="1" si="50"/>
        <v>CON RIESGO</v>
      </c>
      <c r="HN3" s="31" t="str">
        <f t="shared" ca="1" si="51"/>
        <v>**********************MULTIPARIDAD**********</v>
      </c>
      <c r="HO3" s="31" t="str">
        <f t="shared" si="52"/>
        <v>SIN ANTECEDENTES DE RIESGO</v>
      </c>
      <c r="HP3" s="37" t="str">
        <f t="shared" si="53"/>
        <v>APARENTEMENTE NORMAL</v>
      </c>
      <c r="HQ3" s="31" t="str">
        <f t="shared" ca="1" si="54"/>
        <v>SEGUIMIENTO FUERA MUNICIPIO</v>
      </c>
      <c r="HR3" s="46" t="str">
        <f t="shared" si="55"/>
        <v>SEGUIMIENTO REPORTE EPS</v>
      </c>
      <c r="HS3" s="31" t="s">
        <v>875</v>
      </c>
      <c r="HT3" s="31" t="s">
        <v>883</v>
      </c>
      <c r="HU3" s="35"/>
      <c r="HV3" s="35"/>
      <c r="HW3" s="35">
        <v>44662</v>
      </c>
      <c r="HX3" s="35" t="s">
        <v>901</v>
      </c>
      <c r="HY3" s="35">
        <v>44662</v>
      </c>
      <c r="HZ3" s="35" t="s">
        <v>901</v>
      </c>
      <c r="IA3" s="40" t="s">
        <v>887</v>
      </c>
      <c r="IB3" s="35">
        <v>44662</v>
      </c>
      <c r="IC3" s="43">
        <f t="shared" si="56"/>
        <v>0.7142857142857143</v>
      </c>
      <c r="ID3" s="40" t="s">
        <v>875</v>
      </c>
      <c r="IE3" s="40"/>
      <c r="IF3" s="35"/>
      <c r="IG3" s="35"/>
      <c r="IH3" s="171"/>
      <c r="II3" s="171"/>
      <c r="IJ3" s="171"/>
      <c r="IK3" s="37" t="str">
        <f ca="1">IF(AND(BK3="",PM3="SD"),"SIN DATO EDAD GESTACIONAL",IF(AND(BK3="",PN3=""),"",IF(AND(AND(BQ3&gt;0,BQ3&lt;12),PN3=""),"MENOR 12 SEMANAS",IF(AND(BQ3&gt;11.6,PN3="",HJ3="BAJO RIESGO O SE DESCARTA INFECCIÓN POR SARS-CoV2"),"PROGRAMAR APLICACION DE VACUNA",IF(OR(AND(BQ3&gt;11.6,PN3=""),HJ3="FACTOR DE RIESGO PARA COVID19",HJ3="COVID19 PRIMER TRIMESTRE",HJ3="COVID19 SEGUNDO TRIMESTRE",HJ3="COVID19 TERCER TRIMESTRE",HJ3="COVID19 PUERPERIO"),"DIFERIR FECHA DE VACUNACION SEGÚN LINEAMIENTOS",IF(AND(BQ3&gt;11.6,PN3="Error Jansen X Fecha Segunda Dosis"),"Error Jansen X Fecha Segunda Dosis",IF(AND(BQ3&gt;11.6,PN3="Firma"),"FIRMA DISENTIMIENTO",IF(AND(BQ3&gt;11.6,PN3="Firma3"),"NO ACEPTA VACUNA Y NO FIRMA DISCENTIMIENTO",IF(AND(BQ3&gt;11.6,PN3="Firma2"),"Error en Fecha x Firma Disentimiento",IF(AND(BQ3&gt;11.6,PN3="Firma4"),"Error en Fecha x No Acepta no Firma",IF(AND(BQ3&gt;11.6,PN3="Completo",Tabla1[[#This Row],[Fecha Refuerzo Anti COVID-20]]=""),"PENDIENTE REFUERZO",IF(AND(BQ3&gt;11.6,PN3="Completo",Tabla1[[#This Row],[Fecha Refuerzo Anti COVID-20]]&lt;&gt;""),"CON REFUERZO",IF(AND(BQ3&gt;11.6,PN3="Falta Dosis"),PQ3,IF(OR(AND(BQ3&gt;11.6,PN3=""),HJ3="",HJ3="NO SE EVALUA RIESGO INFECCIÓN COVID19"),"DEFINIR RIESGO CONTAGIO SARS-CoV2, columna GZ",""))))))))))))))</f>
        <v>DIFERIR FECHA DE VACUNACION SEGÚN LINEAMIENTOS</v>
      </c>
      <c r="IL3" s="171"/>
      <c r="IM3" s="35"/>
      <c r="IN3" s="35" t="str">
        <f t="shared" ca="1" si="57"/>
        <v/>
      </c>
      <c r="IO3" s="35"/>
      <c r="IP3" s="35">
        <f t="shared" si="58"/>
        <v>44937</v>
      </c>
      <c r="IQ3" s="44">
        <f t="shared" ca="1" si="59"/>
        <v>-293</v>
      </c>
      <c r="IR3" s="35" t="str">
        <f t="shared" ca="1" si="60"/>
        <v>POSIBLEMENTE NACIO</v>
      </c>
      <c r="IS3" s="35"/>
      <c r="IT3" s="31" t="s">
        <v>903</v>
      </c>
      <c r="IU3" s="31"/>
      <c r="IV3" s="51"/>
      <c r="IW3" s="35"/>
      <c r="IX3" s="31"/>
      <c r="IY3" s="44" t="str">
        <f t="shared" si="61"/>
        <v/>
      </c>
      <c r="IZ3" s="52"/>
      <c r="JA3" s="31"/>
      <c r="JB3" s="31"/>
      <c r="JC3" s="31"/>
      <c r="JD3" s="31"/>
      <c r="JE3" s="31"/>
      <c r="JF3" s="31"/>
      <c r="JG3" s="31"/>
      <c r="JH3" s="31"/>
      <c r="JI3" s="31"/>
      <c r="JJ3" s="31"/>
      <c r="JK3" s="46"/>
      <c r="JL3" s="31"/>
      <c r="JM3" s="53"/>
      <c r="JN3" s="31" t="str">
        <f t="shared" si="62"/>
        <v/>
      </c>
      <c r="JO3" s="46"/>
      <c r="JP3" s="31"/>
      <c r="JQ3" s="31"/>
      <c r="JR3" s="31"/>
      <c r="JS3" s="46"/>
      <c r="JT3" s="35"/>
      <c r="JU3" s="35"/>
      <c r="JV3" s="31"/>
      <c r="JW3" s="53"/>
      <c r="JX3" s="31" t="str">
        <f t="shared" si="63"/>
        <v/>
      </c>
      <c r="JY3" s="35"/>
      <c r="JZ3" s="31"/>
      <c r="KA3" s="31"/>
      <c r="KB3" s="31"/>
      <c r="KC3" s="46"/>
      <c r="KD3" s="35"/>
      <c r="KE3" s="35"/>
      <c r="KF3" s="50"/>
      <c r="KG3" s="43" t="str">
        <f t="shared" si="64"/>
        <v/>
      </c>
      <c r="KH3" s="50"/>
      <c r="KI3" s="43" t="str">
        <f t="shared" si="65"/>
        <v/>
      </c>
      <c r="KJ3" s="31"/>
      <c r="KK3" s="31"/>
      <c r="KL3" s="31"/>
      <c r="KM3" s="54"/>
      <c r="KN3" s="43"/>
      <c r="KO3" s="43"/>
      <c r="KP3" s="43"/>
      <c r="KQ3" s="56"/>
      <c r="KR3" s="56"/>
      <c r="KS3" s="99"/>
      <c r="KT3" s="56"/>
      <c r="KU3" s="56"/>
      <c r="KV3" s="99"/>
      <c r="KW3" s="56"/>
      <c r="KX3" s="56"/>
      <c r="KY3" s="56"/>
      <c r="KZ3" s="56"/>
      <c r="LA3" s="56"/>
      <c r="LB3" s="56"/>
      <c r="LC3" s="56"/>
      <c r="LD3" s="55"/>
      <c r="LE3" s="55"/>
      <c r="LF3" s="55"/>
      <c r="LG3" s="55"/>
      <c r="LH3" s="55"/>
      <c r="LI3" s="55"/>
      <c r="LJ3" s="55"/>
      <c r="LK3" s="55"/>
      <c r="LL3" s="55"/>
      <c r="LM3" s="55"/>
      <c r="LN3" s="55"/>
      <c r="LO3" s="55"/>
      <c r="LP3" s="55"/>
      <c r="LQ3" s="55"/>
      <c r="LR3" s="55"/>
      <c r="LS3" s="55"/>
      <c r="LT3" s="55"/>
      <c r="LU3" s="55"/>
      <c r="LV3" s="55"/>
      <c r="LW3" s="55"/>
      <c r="LX3" s="55"/>
      <c r="LY3" s="55"/>
      <c r="LZ3" s="55"/>
      <c r="MA3" s="55"/>
      <c r="MB3" s="55"/>
      <c r="MC3" s="55"/>
      <c r="MD3" s="55"/>
      <c r="ME3" s="55"/>
      <c r="MF3" s="55"/>
      <c r="MG3" s="55"/>
      <c r="MH3" s="55"/>
      <c r="MI3" s="55"/>
      <c r="MJ3" s="55"/>
      <c r="MK3" s="55"/>
      <c r="ML3" s="55"/>
      <c r="MM3" s="55"/>
      <c r="MN3" s="55"/>
      <c r="MO3" s="55"/>
      <c r="MP3" s="153"/>
      <c r="MQ3" s="148">
        <f t="shared" si="66"/>
        <v>0</v>
      </c>
      <c r="MR3" t="str">
        <f t="shared" si="67"/>
        <v/>
      </c>
      <c r="MS3" t="str">
        <f t="shared" si="68"/>
        <v/>
      </c>
      <c r="MT3">
        <f t="shared" si="69"/>
        <v>0</v>
      </c>
      <c r="MU3">
        <f>IF(AND(Tabla1[[#This Row],[FECHA DE IDENTIFICACION DE LA GESTANTE]]="",Tabla1[[#This Row],[FECHA CONSULTA PRIMERA VEZ PROGRAMA CPN ]]=""),"",IF(AND(Tabla1[[#This Row],[FECHA DE IDENTIFICACION DE LA GESTANTE]]&gt;0,Tabla1[[#This Row],[FECHA CONSULTA PRIMERA VEZ PROGRAMA CPN ]]=""),"SIN INGRESO CPN",IF(AND(Tabla1[[#This Row],[FECHA DE IDENTIFICACION DE LA GESTANTE]]="",Tabla1[[#This Row],[FECHA CONSULTA PRIMERA VEZ PROGRAMA CPN ]]&gt;0),"NO APLICA",SUM(Tabla1[[#This Row],[FECHA CONSULTA PRIMERA VEZ PROGRAMA CPN ]]-Tabla1[[#This Row],[FECHA DE IDENTIFICACION DE LA GESTANTE]]))))</f>
        <v>0</v>
      </c>
      <c r="MV3">
        <f t="shared" si="70"/>
        <v>0.7142857142857143</v>
      </c>
      <c r="MW3">
        <f t="shared" si="71"/>
        <v>4</v>
      </c>
      <c r="MX3">
        <f t="shared" si="72"/>
        <v>2022</v>
      </c>
      <c r="MY3" t="str">
        <f t="shared" si="73"/>
        <v>II TRIMESTRE AÑO</v>
      </c>
      <c r="MZ3">
        <f t="shared" si="74"/>
        <v>20.009307928164695</v>
      </c>
      <c r="NA3">
        <f t="shared" si="75"/>
        <v>0</v>
      </c>
      <c r="NB3" t="str">
        <f t="shared" si="76"/>
        <v xml:space="preserve"> DE 20 A 24 AÑOS</v>
      </c>
      <c r="NC3">
        <f t="shared" si="77"/>
        <v>0</v>
      </c>
      <c r="ND3">
        <f t="shared" si="78"/>
        <v>1</v>
      </c>
      <c r="NE3">
        <f t="shared" si="79"/>
        <v>0</v>
      </c>
      <c r="NF3">
        <f t="shared" si="80"/>
        <v>0</v>
      </c>
      <c r="NG3" t="str">
        <f t="shared" si="81"/>
        <v/>
      </c>
      <c r="NH3" t="str">
        <f t="shared" ca="1" si="82"/>
        <v/>
      </c>
      <c r="NI3" t="str">
        <f t="shared" si="83"/>
        <v/>
      </c>
      <c r="NJ3">
        <f t="shared" si="84"/>
        <v>0</v>
      </c>
      <c r="NK3" t="str">
        <f t="shared" si="85"/>
        <v>0</v>
      </c>
      <c r="NL3">
        <f t="shared" si="86"/>
        <v>0</v>
      </c>
      <c r="NM3">
        <f t="shared" ca="1" si="87"/>
        <v>1</v>
      </c>
      <c r="NN3">
        <f>IF(OR(O3&gt;0,R3&gt;0),SUM(COUNTIF(Tabla1[[#This Row],[AÑOS AL INICIO5 CPN]],"&gt;=40"),COUNTIF(AR3,"0"),COUNTIF(AQ3,"SI"),COUNTIF(BW3,"SI"),COUNTIF(BM3,"&gt;119"),COUNTIF(CC3,"&gt;=35")),"")</f>
        <v>0</v>
      </c>
      <c r="NO3" t="str">
        <f t="shared" si="88"/>
        <v/>
      </c>
      <c r="NP3">
        <f t="shared" si="89"/>
        <v>0</v>
      </c>
      <c r="NQ3" t="str">
        <f t="shared" si="90"/>
        <v/>
      </c>
      <c r="NR3" t="str">
        <f ca="1">IF(Tabla1[[#This Row],[GESTANTES ACTUALES]]="","SD",IF(Tabla1[[#This Row],[GESTANTES ACTUALES]]="SEGUIMIENTO REPORTE EPS","Y",IF(Tabla1[[#This Row],[GESTANTES ACTUALES]]="SALE SIN INGRESO CPN","X",IF(AND(Tabla1[[#This Row],[CITA PROXIMO CONTROL]]="",Tabla1[[#This Row],[GESTANTES ACTUALES]]="ACTIVA SIN INGRESO CPN",P3="NO"),"Z",IF(AND(Tabla1[[#This Row],[CITA PROXIMO CONTROL]]="CITA MANUAL",Tabla1[[#This Row],[GESTANTES ACTUALES]]="ACTIVA INGRESO A CPN"),"W",IF(AND(Tabla1[[#This Row],[GESTANTES ACTUALES]]="SALIO PROGRAMA",IW3=""),"S",IF(AND(Tabla1[[#This Row],[CITA PROXIMO CONTROL]]&gt;0,IW3=""),(Tabla1[[#This Row],[CITA PROXIMO CONTROL]]-TODAY()),"SD")))))))</f>
        <v>Y</v>
      </c>
      <c r="NS3">
        <f>MONTH(Tabla1[[#This Row],[FECHA DE SALIDA  DEL PROGRAMA]])</f>
        <v>1</v>
      </c>
      <c r="NT3">
        <f>YEAR(Tabla1[[#This Row],[FECHA DE SALIDA  DEL PROGRAMA]])</f>
        <v>1900</v>
      </c>
      <c r="NU3" t="str">
        <f t="shared" si="91"/>
        <v>X</v>
      </c>
      <c r="NV3" t="str">
        <f t="shared" si="92"/>
        <v>SI</v>
      </c>
      <c r="NW3" t="str">
        <f ca="1">IF(AND(O3&gt;0,R3=""),"NO CPN",IF(AND(O3="",R3=""),"",IF(AND(R3&gt;0,Tabla1[[#This Row],[SEMANAS DE GESTACION ACTUALIZADAS]]&lt;=12),"NO APLICA",IF(AND(FC3&lt;&gt;"",FI3&lt;&gt;""),"SI","NO"))))</f>
        <v>NO</v>
      </c>
      <c r="NX3" s="149" t="str">
        <f ca="1">IF(AND(O3&gt;0,R3=""),"NO CPN",IF(AND(O3="",R3=""),"",IF(AND(R3&gt;0,Tabla1[[#This Row],[SEMANAS DE GESTACION ACTUALIZADAS]]&lt;=27),"NO APLICA",IF(AND(EO3&lt;&gt;"",FL3&lt;&gt;"",GF3&lt;&gt;""),"SI","NO"))))</f>
        <v>NO</v>
      </c>
      <c r="NY3" s="147" t="str">
        <f t="shared" si="93"/>
        <v>I TRIM</v>
      </c>
      <c r="NZ3" s="1">
        <f>IF(AND(IY4&gt;0,IY4&lt;37),10,IF(OR(BX4="Transversa",BX4="Oblicua"),9,IF(BW4="SI",8,IF(AND(AS4=0,AV4=0,BW4="NO",BX4="Cefálica",IY4&gt;=37,JC4="INICIO ESPONTÁNEO"),1,IF(AND(AND(AS4=0,AV4=0,BW4="NO",BX4="Cefálica",IY4&gt;=37),OR(JC4="LE HACEN INDUCCIÓN",JC4="LE HACEN CESÁREA SIN INICIO TRABAJO DE PARTO")),2,IF(AND(AS4&gt;=1,AV4=0,BW4="NO",BX4="Cefálica",IY4&gt;=37,JC4="INICIO ESPONTÁNEO"),3,IF(AND(AND(AS4&gt;=1,AV4=0,BW4="NO",BX4="Cefálica",IY4&gt;=37),OR(JC4="LE HACEN INDUCCIÓN",JC4="LE HACEN CESÁREA SIN INICIO TRABAJO DE PARTO")),4,IF(AND(AND(AS4&gt;=1,AV4&gt;=1,BW4="NO",BX4="Cefálica",IY4&gt;=37),OR(JC4="LE HACEN INDUCCIÓN",JC4="LE HACEN CESÁREA SIN INICIO TRABAJO DE PARTO",JC4="INICIO ESPONTÁNEO")),5,IF(AND(AND(AS4=0,AV4=0,BW4="NO",BX4="Podálica",IY4&gt;=1),OR(JC4="LE HACEN INDUCCIÓN",JC4="LE HACEN CESÁREA SIN INICIO TRABAJO DE PARTO",JC4="INICIO ESPONTÁNEO")),6,IF(AND(AND(AS4&gt;=1,BW4="NO",BX4="Podálica",IY4&gt;=1),OR(JC4="LE HACEN INDUCCIÓN",JC4="LE HACEN CESÁREA SIN INICIO TRABAJO DE PARTO",JC4="INICIO ESPONTÁNEO"),OR(AV4=0,AV4&gt;=1)),7,""))))))))))</f>
        <v>2</v>
      </c>
      <c r="OA3" s="1" t="str">
        <f t="shared" ca="1" si="94"/>
        <v>REVISAR FUM O FECHA SALIDA PROGRAMA</v>
      </c>
      <c r="OB3" s="213">
        <f t="shared" ca="1" si="95"/>
        <v>1</v>
      </c>
      <c r="OC3" s="1">
        <f t="shared" ca="1" si="96"/>
        <v>1</v>
      </c>
      <c r="OD3" s="1" t="str">
        <f t="shared" ca="1" si="97"/>
        <v>POR DEFINIR</v>
      </c>
      <c r="OE3" s="1" t="str">
        <f t="shared" ca="1" si="98"/>
        <v>POR DEFINIR</v>
      </c>
      <c r="OF3" s="221" t="str">
        <f>IF(AND(O3="",R3=""),"",IF(OR(AND(Tabla1[[#This Row],[SUMINISTRO DE SULFATO FERROSO ]]="ADECUADO SEGÚN GPC",Tabla1[[#This Row],[SUMINISTRO CALCIO ]]="ADECUADO SEGÚN GPC",Tabla1[[#This Row],[SUMINISTRO DE ACIDO FOLICO ]]="ADECUADO SEGÚN GPC"),AND(Tabla1[[#This Row],[SUMINISTRO DE SULFATO FERROSO ]]="NO APLICA",Tabla1[[#This Row],[SUMINISTRO CALCIO ]]="ADECUADO SEGÚN GPC",Tabla1[[#This Row],[SUMINISTRO DE ACIDO FOLICO ]]="ADECUADO SEGÚN GPC"),AND(Tabla1[[#This Row],[SUMINISTRO DE SULFATO FERROSO ]]="ADECUADO SEGÚN GPC",Tabla1[[#This Row],[SUMINISTRO CALCIO ]]="NO APLICA",Tabla1[[#This Row],[SUMINISTRO DE ACIDO FOLICO ]]="ADECUADO SEGÚN GPC"),AND(Tabla1[[#This Row],[SUMINISTRO DE SULFATO FERROSO ]]="ADECUADO SEGÚN GPC",Tabla1[[#This Row],[SUMINISTRO CALCIO ]]="ADECUADO SEGÚN GPC",Tabla1[[#This Row],[SUMINISTRO DE ACIDO FOLICO ]]="NO APLICA"),AND(Tabla1[[#This Row],[SUMINISTRO DE SULFATO FERROSO ]]="NO APLICA",Tabla1[[#This Row],[SUMINISTRO CALCIO ]]="ADECUADO SEGÚN GPC",Tabla1[[#This Row],[SUMINISTRO DE ACIDO FOLICO ]]="NO APLICA"),AND(Tabla1[[#This Row],[SUMINISTRO DE SULFATO FERROSO ]]="NO APLICA",Tabla1[[#This Row],[SUMINISTRO CALCIO ]]="NO APLICA",Tabla1[[#This Row],[SUMINISTRO DE ACIDO FOLICO ]]="ADECUADO SEGÚN GPC"),AND(Tabla1[[#This Row],[SUMINISTRO DE SULFATO FERROSO ]]="ADECUADO SEGÚN GPC",Tabla1[[#This Row],[SUMINISTRO CALCIO ]]="NO APLICA",Tabla1[[#This Row],[SUMINISTRO DE ACIDO FOLICO ]]="NO APLICA"),AND(Tabla1[[#This Row],[SUMINISTRO DE SULFATO FERROSO ]]="NO APLICA",Tabla1[[#This Row],[SUMINISTRO CALCIO ]]="NO APLICA",Tabla1[[#This Row],[SUMINISTRO DE ACIDO FOLICO ]]="NO APLICA")),"COMPLETO","INCOMPLETO"))</f>
        <v>INCOMPLETO</v>
      </c>
      <c r="OG3" s="230" t="str">
        <f t="shared" ca="1" si="99"/>
        <v>SIN VACUNAR</v>
      </c>
      <c r="OH3" s="148">
        <f>ROW(Tabla1[[#This Row],[SEMANAS DE GESTACION II TRIM]])</f>
        <v>3</v>
      </c>
      <c r="OI3" t="str">
        <f t="shared" si="100"/>
        <v/>
      </c>
      <c r="OJ3" t="str">
        <f t="shared" si="101"/>
        <v/>
      </c>
      <c r="OK3" t="str">
        <f t="shared" si="102"/>
        <v/>
      </c>
      <c r="OL3" t="str">
        <f t="shared" si="103"/>
        <v/>
      </c>
      <c r="OM3" t="str">
        <f t="shared" si="104"/>
        <v/>
      </c>
      <c r="ON3" t="str">
        <f t="shared" si="105"/>
        <v/>
      </c>
      <c r="OO3" t="str">
        <f t="shared" si="106"/>
        <v/>
      </c>
      <c r="OP3" t="str">
        <f t="shared" si="107"/>
        <v/>
      </c>
      <c r="OQ3" t="str">
        <f t="shared" si="108"/>
        <v/>
      </c>
      <c r="OR3" t="str">
        <f t="shared" si="109"/>
        <v/>
      </c>
      <c r="OS3" t="str">
        <f t="shared" si="110"/>
        <v/>
      </c>
      <c r="OT3" t="str">
        <f t="shared" si="111"/>
        <v/>
      </c>
      <c r="OU3" t="str">
        <f t="shared" si="112"/>
        <v/>
      </c>
      <c r="OV3" t="str">
        <f t="shared" si="113"/>
        <v/>
      </c>
      <c r="OW3" t="str">
        <f t="shared" si="114"/>
        <v/>
      </c>
      <c r="OX3" t="str">
        <f t="shared" si="115"/>
        <v/>
      </c>
      <c r="OY3" t="str">
        <f t="shared" si="116"/>
        <v/>
      </c>
      <c r="OZ3" t="str">
        <f t="shared" si="117"/>
        <v/>
      </c>
      <c r="PA3" t="str">
        <f t="shared" si="118"/>
        <v/>
      </c>
      <c r="PB3" t="str">
        <f t="shared" si="119"/>
        <v/>
      </c>
      <c r="PC3" t="str">
        <f t="shared" si="120"/>
        <v/>
      </c>
      <c r="PD3" t="str">
        <f t="shared" si="121"/>
        <v/>
      </c>
      <c r="PE3" t="str">
        <f t="shared" si="122"/>
        <v/>
      </c>
      <c r="PF3" t="str">
        <f t="shared" si="123"/>
        <v/>
      </c>
      <c r="PG3" t="str">
        <f t="shared" si="124"/>
        <v/>
      </c>
      <c r="PH3" t="str">
        <f t="shared" si="125"/>
        <v/>
      </c>
      <c r="PI3" t="str">
        <f t="shared" si="126"/>
        <v/>
      </c>
      <c r="PJ3" t="str">
        <f t="shared" si="127"/>
        <v/>
      </c>
      <c r="PK3" t="str">
        <f t="shared" si="128"/>
        <v/>
      </c>
      <c r="PL3" s="164" t="str">
        <f>IF(Tabla1[[#This Row],[Tipo Biológico Vacuna anti COVID-19 (Disentimiento)]]="Pfizer","a",IF(Tabla1[[#This Row],[Tipo Biológico Vacuna anti COVID-19 (Disentimiento)]]="Janssen","b",IF(Tabla1[[#This Row],[Tipo Biológico Vacuna anti COVID-19 (Disentimiento)]]="Sinovac","c",IF(Tabla1[[#This Row],[Tipo Biológico Vacuna anti COVID-19 (Disentimiento)]]="Jhonson&amp;Jhonson","e",IF(Tabla1[[#This Row],[Tipo Biológico Vacuna anti COVID-19 (Disentimiento)]]="Moderna","f",IF(Tabla1[[#This Row],[Tipo Biológico Vacuna anti COVID-19 (Disentimiento)]]="Firma Disentimiento","x",IF(Tabla1[[#This Row],[Tipo Biológico Vacuna anti COVID-19 (Disentimiento)]]="No Acepta y No Firma Disentimiento","xx",IF(Tabla1[[#This Row],[Tipo Biológico Vacuna anti COVID-19 (Disentimiento)]]="Astrazeneca","d",""))))))))</f>
        <v/>
      </c>
      <c r="PM3" s="162" t="str">
        <f t="shared" si="129"/>
        <v/>
      </c>
      <c r="PN3" s="161" t="str">
        <f t="shared" ref="PN3:PN5" si="130">IF(AND(PL3="x",IF3="",IH3=""),"Firma",IF(AND(PL3="x",IF3&gt;0,IH3=""),"Firma2",IF(AND(PL3="x",IF3&gt;0,IH3&gt;0),"Firma2",IF(AND(PL3&lt;&gt;"b",IF3&gt;0,IH3=""),"Falta dosis",IF(AND(PL3="b",IF3&gt;0,IH3=""),"Completo",IF(AND(PL3="b",IF3&gt;0,IH3&gt;0),"Error Jansen X Fecha Segunda Dosis",IF(AND(PL3&lt;&gt;"b",IF3&gt;0,IH3&gt;0),"Completo","")))))))</f>
        <v/>
      </c>
      <c r="PO3" s="163" t="str">
        <f>IF(Tabla1[[#This Row],[Tipo Biológico Vacuna anti COVID-19 (Disentimiento)]]="Pfizer",Tabla1[[#This Row],[Fecha 1ra Dosis Anti COVID-19]]+21,IF(Tabla1[[#This Row],[Tipo Biológico Vacuna anti COVID-19 (Disentimiento)]]="Janssen","Sin Segunda Dosis",IF(Tabla1[[#This Row],[Tipo Biológico Vacuna anti COVID-19 (Disentimiento)]]="Sinovac",Tabla1[[#This Row],[Fecha 1ra Dosis Anti COVID-19]]+28,IF(Tabla1[[#This Row],[Tipo Biológico Vacuna anti COVID-19 (Disentimiento)]]="Jhonson&amp;Jhonson","e",IF(Tabla1[[#This Row],[Tipo Biológico Vacuna anti COVID-19 (Disentimiento)]]="Moderna","f",IF(Tabla1[[#This Row],[Tipo Biológico Vacuna anti COVID-19 (Disentimiento)]]="Firma Disentimiento","Firma Disentimiento",IF(Tabla1[[#This Row],[Tipo Biológico Vacuna anti COVID-19 (Disentimiento)]]="Astrazeneca",Tabla1[[#This Row],[Fecha 1ra Dosis Anti COVID-19]]+84,"")))))))</f>
        <v/>
      </c>
      <c r="PP3" s="161" t="str">
        <f ca="1">IF(PO3="","",SUM(TODAY()-Tabla1[[#This Row],[Fecha 1ra Dosis Anti COVID-19]]))</f>
        <v/>
      </c>
      <c r="PQ3" s="219" t="str">
        <f>IFERROR(IF(Tabla1[[#This Row],[Fecha 1ra Dosis Anti COVID-19]]="","",IF(OR(AND(Tabla1[[#This Row],[Tipo Biológico Vacuna anti COVID-19 (Disentimiento)]]="Astrazeneca",PP3&lt;84),AND(Tabla1[[#This Row],[Tipo Biológico Vacuna anti COVID-19 (Disentimiento)]]="Pfizer",PP3&lt;21),AND(Tabla1[[#This Row],[Tipo Biológico Vacuna anti COVID-19 (Disentimiento)]]="Moderna",PP3&lt;21),AND(Tabla1[[#This Row],[Tipo Biológico Vacuna anti COVID-19 (Disentimiento)]]="Sinovac",PP3&lt;28)),"Pendiente Segunda Dosis",IF(OR(AND(Tabla1[[#This Row],[Tipo Biológico Vacuna anti COVID-19 (Disentimiento)]]="Astrazeneca",PP3&gt;=85),AND(Tabla1[[#This Row],[Tipo Biológico Vacuna anti COVID-19 (Disentimiento)]]="Pfizer",PP3&gt;=22),AND(Tabla1[[#This Row],[Tipo Biológico Vacuna anti COVID-19 (Disentimiento)]]="Moderna",PP3&gt;=22),AND(Tabla1[[#This Row],[Tipo Biológico Vacuna anti COVID-19 (Disentimiento)]]="Sinovac",PP3&gt;=29)),"inasistente",IF(OR(AND(Tabla1[[#This Row],[Tipo Biológico Vacuna anti COVID-19 (Disentimiento)]],"Astrazeneca",PP3=84),AND(Tabla1[[#This Row],[Tipo Biológico Vacuna anti COVID-19 (Disentimiento)]],"Pfizer",PP3=21),AND(Tabla1[[#This Row],[Tipo Biológico Vacuna anti COVID-19 (Disentimiento)]],"Moderna",PP3=21),AND(Tabla1[[#This Row],[Tipo Biológico Vacuna anti COVID-19 (Disentimiento)]],"Sinovac",PP3=28)),"Día vacunación1","")))),"Día de Vacunación")</f>
        <v/>
      </c>
    </row>
    <row r="4" spans="1:433" ht="39.950000000000003" customHeight="1" x14ac:dyDescent="0.25">
      <c r="A4" s="145"/>
      <c r="B4" s="68" t="s">
        <v>854</v>
      </c>
      <c r="C4" s="68" t="s">
        <v>855</v>
      </c>
      <c r="D4" s="187" t="s">
        <v>863</v>
      </c>
      <c r="E4" s="68" t="s">
        <v>864</v>
      </c>
      <c r="F4" s="68" t="s">
        <v>865</v>
      </c>
      <c r="G4" s="68" t="s">
        <v>866</v>
      </c>
      <c r="H4" s="68"/>
      <c r="I4" s="145" t="s">
        <v>867</v>
      </c>
      <c r="J4" s="146">
        <v>1058546619</v>
      </c>
      <c r="K4" s="68" t="s">
        <v>861</v>
      </c>
      <c r="L4" s="68" t="s">
        <v>868</v>
      </c>
      <c r="M4" s="35">
        <v>38125</v>
      </c>
      <c r="N4" s="38">
        <f t="shared" ca="1" si="0"/>
        <v>19.465753424657535</v>
      </c>
      <c r="O4" s="35">
        <v>44734</v>
      </c>
      <c r="P4" s="39" t="str">
        <f t="shared" si="1"/>
        <v>SI</v>
      </c>
      <c r="Q4" s="40" t="s">
        <v>876</v>
      </c>
      <c r="R4" s="35">
        <v>44734</v>
      </c>
      <c r="S4" s="31" t="s">
        <v>877</v>
      </c>
      <c r="T4" s="37" t="s">
        <v>800</v>
      </c>
      <c r="U4" s="31" t="s">
        <v>878</v>
      </c>
      <c r="V4" s="31" t="s">
        <v>879</v>
      </c>
      <c r="W4" s="31" t="s">
        <v>888</v>
      </c>
      <c r="X4" s="31" t="s">
        <v>888</v>
      </c>
      <c r="Y4" s="31" t="s">
        <v>888</v>
      </c>
      <c r="Z4" s="31">
        <v>3175892519</v>
      </c>
      <c r="AA4" s="31" t="s">
        <v>882</v>
      </c>
      <c r="AB4" s="41" t="s">
        <v>883</v>
      </c>
      <c r="AC4" s="40" t="s">
        <v>889</v>
      </c>
      <c r="AD4" s="55" t="s">
        <v>890</v>
      </c>
      <c r="AE4" s="40" t="s">
        <v>875</v>
      </c>
      <c r="AF4" s="40" t="s">
        <v>875</v>
      </c>
      <c r="AG4" s="36" t="s">
        <v>886</v>
      </c>
      <c r="AH4" s="36" t="s">
        <v>886</v>
      </c>
      <c r="AI4" s="37" t="s">
        <v>885</v>
      </c>
      <c r="AJ4" s="36" t="s">
        <v>886</v>
      </c>
      <c r="AK4" s="42" t="str">
        <f>IF(AND(AE4="",AF4="",AG4="",AH4="",AI4="",AJ4=""),"",IF(AND(OR(O4&gt;0,R4&gt;0),NP4&gt;=0,NP4&lt;2),"SIN RIESGO",IF(AND(OR(O4&gt;0,R4&gt;0),NP4&gt;=2),"CON RIESGO",IF(AND(O4="",R4=""),"",IF(OR(Tabla1[[#This Row],[EMBARAZO ACEPTADO Y/O  DESEADO]]="SIN DATO",Tabla1[[#This Row],[APOYO FAMILIAR]]="SIN DATO",Tabla1[[#This Row],[ANSIEDAD (Tensión emocional, Humor depresivo y sx angustia).]]="SIN DATO",Tabla1[[#This Row],[GRUPO DE POBLACION ESPECIAL]]="SIN DATO",Tabla1[[#This Row],[HA SIDO VICTIMA DE VIOLENCIA BASADA EN GENERO]]="SIN DATO"),"COMPLETAR EVALUACIÓN","")))))</f>
        <v>SIN RIESGO</v>
      </c>
      <c r="AL4" s="36" t="s">
        <v>886</v>
      </c>
      <c r="AM4" s="40" t="s">
        <v>886</v>
      </c>
      <c r="AN4" s="40" t="s">
        <v>886</v>
      </c>
      <c r="AO4" s="40" t="s">
        <v>886</v>
      </c>
      <c r="AP4" s="40" t="s">
        <v>886</v>
      </c>
      <c r="AQ4" s="40" t="s">
        <v>886</v>
      </c>
      <c r="AR4" s="31">
        <v>0</v>
      </c>
      <c r="AS4" s="31">
        <v>0</v>
      </c>
      <c r="AT4" s="31">
        <v>0</v>
      </c>
      <c r="AU4" s="40" t="s">
        <v>886</v>
      </c>
      <c r="AV4" s="31">
        <v>0</v>
      </c>
      <c r="AW4" s="40" t="s">
        <v>886</v>
      </c>
      <c r="AX4" s="40" t="s">
        <v>886</v>
      </c>
      <c r="AY4" s="40" t="s">
        <v>886</v>
      </c>
      <c r="AZ4" s="40" t="s">
        <v>886</v>
      </c>
      <c r="BA4" s="40" t="s">
        <v>886</v>
      </c>
      <c r="BB4" s="40" t="s">
        <v>886</v>
      </c>
      <c r="BC4" s="40" t="s">
        <v>886</v>
      </c>
      <c r="BD4" s="40" t="s">
        <v>886</v>
      </c>
      <c r="BE4" s="40" t="s">
        <v>886</v>
      </c>
      <c r="BF4" s="40" t="s">
        <v>886</v>
      </c>
      <c r="BG4" s="40" t="s">
        <v>886</v>
      </c>
      <c r="BH4" s="40" t="s">
        <v>886</v>
      </c>
      <c r="BI4" s="40" t="s">
        <v>886</v>
      </c>
      <c r="BJ4" s="35"/>
      <c r="BK4" s="35">
        <v>44664</v>
      </c>
      <c r="BL4" s="31" t="s">
        <v>875</v>
      </c>
      <c r="BM4" s="43">
        <f t="shared" si="2"/>
        <v>0</v>
      </c>
      <c r="BN4" s="57">
        <f t="shared" si="3"/>
        <v>44669</v>
      </c>
      <c r="BO4" s="44">
        <f t="shared" si="4"/>
        <v>10</v>
      </c>
      <c r="BP4" s="31" t="str">
        <f t="shared" si="5"/>
        <v>I TRIM</v>
      </c>
      <c r="BQ4" s="39" t="str">
        <f t="shared" ca="1" si="6"/>
        <v/>
      </c>
      <c r="BR4" s="35">
        <v>44767</v>
      </c>
      <c r="BS4" s="43">
        <v>14</v>
      </c>
      <c r="BT4" s="35">
        <v>44823</v>
      </c>
      <c r="BU4" s="31">
        <v>22</v>
      </c>
      <c r="BV4" s="40" t="s">
        <v>886</v>
      </c>
      <c r="BW4" s="40" t="s">
        <v>886</v>
      </c>
      <c r="BX4" s="40" t="s">
        <v>891</v>
      </c>
      <c r="BY4" s="40" t="s">
        <v>886</v>
      </c>
      <c r="BZ4" s="35">
        <v>44734</v>
      </c>
      <c r="CA4" s="31">
        <v>1.6</v>
      </c>
      <c r="CB4" s="31">
        <v>59</v>
      </c>
      <c r="CC4" s="39">
        <f t="shared" si="7"/>
        <v>23.046874999999996</v>
      </c>
      <c r="CD4" s="45" t="str">
        <f t="shared" si="8"/>
        <v>NORMAL</v>
      </c>
      <c r="CE4" s="35">
        <v>44792</v>
      </c>
      <c r="CF4" s="31">
        <v>54</v>
      </c>
      <c r="CG4" s="39">
        <f t="shared" si="9"/>
        <v>21.093749999999996</v>
      </c>
      <c r="CH4" s="31">
        <f t="shared" si="10"/>
        <v>18</v>
      </c>
      <c r="CI4" s="31" t="str">
        <f>IF(OR(CH4="",CH4="NA"),"",IF(AND(CH4&gt;=29,CH4&lt;=42),"REGISTRAR EN III TRIM",IF(AND(CH4&gt;0,CH4&lt;=13),"REGISTRAR EN I TRIM",IF(CH4="REVISAR FUM O FECHA PESO","REVISAR",IF(CH4&gt;0,HLOOKUP(CH4,$OI$1:PK4,OH4),"")))))</f>
        <v>BAJO PESO</v>
      </c>
      <c r="CJ4" s="35">
        <v>44883</v>
      </c>
      <c r="CK4" s="31">
        <v>60</v>
      </c>
      <c r="CL4" s="39">
        <f t="shared" si="11"/>
        <v>23.437499999999996</v>
      </c>
      <c r="CM4" s="31">
        <f t="shared" si="12"/>
        <v>31</v>
      </c>
      <c r="CN4" s="31" t="str">
        <f>IF(OR(CM4="",CM4="NA"),"",IF(AND(CM4&gt;0,CM4&lt;=28),"REGISTRAR EN  TRIM RESPECTIVO",IF(CM4&gt;0,HLOOKUP(CM4,$OI$1:PK4,OH4),"")))</f>
        <v>BAJO PESO</v>
      </c>
      <c r="CO4" s="31" t="str">
        <f t="shared" si="13"/>
        <v>BAJO PESO</v>
      </c>
      <c r="CP4" s="31">
        <v>110</v>
      </c>
      <c r="CQ4" s="31">
        <v>70</v>
      </c>
      <c r="CR4" s="37" t="str">
        <f t="shared" si="14"/>
        <v>APARENTEMENTE NORMAL</v>
      </c>
      <c r="CS4" s="31">
        <v>100</v>
      </c>
      <c r="CT4" s="31">
        <v>70</v>
      </c>
      <c r="CU4" s="37" t="str">
        <f t="shared" si="15"/>
        <v>VIGILAR CIFRAS PRESION ARTERIAL</v>
      </c>
      <c r="CV4" s="31">
        <v>100</v>
      </c>
      <c r="CW4" s="31">
        <v>70</v>
      </c>
      <c r="CX4" s="31">
        <v>110</v>
      </c>
      <c r="CY4" s="31">
        <v>70</v>
      </c>
      <c r="CZ4" s="37" t="str">
        <f t="shared" si="16"/>
        <v>APARENTEMENTE NORMAL</v>
      </c>
      <c r="DA4" s="35">
        <v>44734</v>
      </c>
      <c r="DB4" s="35">
        <v>44734</v>
      </c>
      <c r="DC4" s="35">
        <v>44792</v>
      </c>
      <c r="DD4" s="35">
        <v>44820</v>
      </c>
      <c r="DE4" s="35">
        <v>44848</v>
      </c>
      <c r="DF4" s="35">
        <v>44883</v>
      </c>
      <c r="DG4" s="35">
        <v>44923</v>
      </c>
      <c r="DH4" s="35"/>
      <c r="DI4" s="35"/>
      <c r="DJ4" s="35"/>
      <c r="DK4" s="35"/>
      <c r="DL4" s="35"/>
      <c r="DM4" s="35"/>
      <c r="DN4" s="35"/>
      <c r="DO4" s="43"/>
      <c r="DP4" s="35"/>
      <c r="DQ4" s="31" t="str">
        <f t="shared" ca="1" si="17"/>
        <v>SALE SIN PLAN DE PARTO</v>
      </c>
      <c r="DR4" s="46" t="str">
        <f t="shared" si="18"/>
        <v>SALIO PROGRAMA</v>
      </c>
      <c r="DS4" s="35" t="str">
        <f>IF(Tabla1[[#This Row],[EDAD GESTACIONAL ÚLTIMO CPN]]="SD","CITA MANUAL",IF(Tabla1[[#This Row],[GESTANTES ACTUALES]]="SALIO PROGRAMA","NO APLICA",IF(AND(Tabla1[[#This Row],[EDAD GESTACIONAL ÚLTIMO CPN]]&gt;0,Tabla1[[#This Row],[EDAD GESTACIONAL ÚLTIMO CPN]]&lt;=35),WORKDAY(SUM(Tabla1[[#This Row],[FECHA ULTIMO CPN]]+30),1,#REF!),IF(AND(Tabla1[[#This Row],[EDAD GESTACIONAL ÚLTIMO CPN]]&gt;=36,Tabla1[[#This Row],[EDAD GESTACIONAL ÚLTIMO CPN]]&lt;=42),WORKDAY(SUM(Tabla1[[#This Row],[FECHA ULTIMO CPN]]+14)-3,1,#REF!),""))))</f>
        <v>NO APLICA</v>
      </c>
      <c r="DT4" s="31" t="str">
        <f t="shared" ca="1" si="19"/>
        <v/>
      </c>
      <c r="DU4" s="35">
        <f>IF(R4="","",IF(R4&gt;0,MAX(Tabla1[[#This Row],[FECHA C2]:[FECHA C13]],Tabla1[[#This Row],[FECHA CONSULTA PRIMERA VEZ PROGRAMA CPN ]])))</f>
        <v>44923</v>
      </c>
      <c r="DV4" s="31">
        <f t="shared" si="20"/>
        <v>37</v>
      </c>
      <c r="DW4" s="43">
        <f>IF(R4&gt;0,SUM(COUNTA(DC4:DN4)+COUNTA(Tabla1[[#This Row],[FECHA CONSULTA PRIMERA VEZ PROGRAMA CPN ]])),"")</f>
        <v>6</v>
      </c>
      <c r="DX4" s="43" t="str">
        <f t="shared" si="21"/>
        <v>SI</v>
      </c>
      <c r="DY4" s="39">
        <f t="shared" si="22"/>
        <v>9</v>
      </c>
      <c r="DZ4" s="47">
        <f t="shared" si="23"/>
        <v>0.66666666666666663</v>
      </c>
      <c r="EA4" s="35">
        <v>44734</v>
      </c>
      <c r="EB4" s="35">
        <v>44734</v>
      </c>
      <c r="EC4" s="35">
        <v>44734</v>
      </c>
      <c r="ED4" s="35">
        <v>44761</v>
      </c>
      <c r="EE4" s="35">
        <v>44734</v>
      </c>
      <c r="EF4" s="35">
        <v>44767</v>
      </c>
      <c r="EG4" s="35">
        <v>44823</v>
      </c>
      <c r="EH4" s="31">
        <v>2</v>
      </c>
      <c r="EI4" s="31">
        <v>13</v>
      </c>
      <c r="EJ4" s="35">
        <v>44734</v>
      </c>
      <c r="EK4" s="43">
        <f t="shared" si="24"/>
        <v>10</v>
      </c>
      <c r="EL4" s="39" t="str">
        <f t="shared" si="25"/>
        <v>NORMAL- SUMINISTRAR SULFATO FERROSO</v>
      </c>
      <c r="EM4" s="31" t="str">
        <f t="shared" si="26"/>
        <v>I TRIM</v>
      </c>
      <c r="EN4" s="37">
        <v>15</v>
      </c>
      <c r="EO4" s="35">
        <v>44883</v>
      </c>
      <c r="EP4" s="44">
        <f t="shared" si="27"/>
        <v>31.285714285714285</v>
      </c>
      <c r="EQ4" s="39" t="str">
        <f t="shared" si="28"/>
        <v>NO DAR SULFATO FERROSO</v>
      </c>
      <c r="ER4" s="37" t="s">
        <v>893</v>
      </c>
      <c r="ES4" s="35">
        <v>44734</v>
      </c>
      <c r="ET4" s="44">
        <f t="shared" si="29"/>
        <v>10</v>
      </c>
      <c r="EU4" s="39" t="str">
        <f t="shared" si="30"/>
        <v>NO HAY RIESGO POR RH</v>
      </c>
      <c r="EV4" s="31">
        <v>95</v>
      </c>
      <c r="EW4" s="35">
        <v>44734</v>
      </c>
      <c r="EX4" s="44">
        <f t="shared" si="31"/>
        <v>10</v>
      </c>
      <c r="EY4" s="44">
        <v>75</v>
      </c>
      <c r="EZ4" s="44">
        <v>85</v>
      </c>
      <c r="FA4" s="44">
        <v>110</v>
      </c>
      <c r="FB4" s="31" t="str">
        <f t="shared" ca="1" si="32"/>
        <v>NORMAL</v>
      </c>
      <c r="FC4" s="48">
        <v>44848</v>
      </c>
      <c r="FD4" s="44">
        <f t="shared" si="33"/>
        <v>26.285714285714285</v>
      </c>
      <c r="FE4" s="35" t="s">
        <v>894</v>
      </c>
      <c r="FF4" s="35">
        <v>44734</v>
      </c>
      <c r="FG4" s="44">
        <f t="shared" ca="1" si="34"/>
        <v>10</v>
      </c>
      <c r="FH4" s="35" t="s">
        <v>894</v>
      </c>
      <c r="FI4" s="49">
        <v>44820</v>
      </c>
      <c r="FJ4" s="44">
        <f t="shared" ca="1" si="35"/>
        <v>22.285714285714285</v>
      </c>
      <c r="FK4" s="35" t="s">
        <v>894</v>
      </c>
      <c r="FL4" s="49">
        <v>44883</v>
      </c>
      <c r="FM4" s="44">
        <f t="shared" ca="1" si="36"/>
        <v>31.285714285714285</v>
      </c>
      <c r="FN4" s="35"/>
      <c r="FO4" s="49"/>
      <c r="FP4" s="44" t="str">
        <f>IF(AND(FE4="",FH4="",FK4="",FN4=""),"",IF(OR(OR(Tabla1[[#This Row],[TAMIZAJE  PARA SIFILIS  SEGÚN GPC SIFILIS I TRIMESTRE]]="P. R POSITIVA CASO SIFILIS",Tabla1[[#This Row],[TAMIZAJE  PARA SIFILIS  SEGÚN GPC SIFILIS II TRIMESTRE]]="P. R POSITIVA CASO SIFILIS",Tabla1[[#This Row],[TAMIZAJE  PARA SIFILIS  SEGÚN GPC SIFILIS III TRIMESTRE]]="P. R POSITIVA CASO SIFILIS",Tabla1[[#This Row],[TAMIZAJE  PARA SIFILIS  SEGÚN GPC SIFILIS INTRAPARTO]]="P. R POSITIVA CASO SIFILIS"),OR(Tabla1[[#This Row],[TAMIZAJE  PARA SIFILIS  SEGÚN GPC SIFILIS I TRIMESTRE]]="REINFECCIÓN-DILUCIONES AUMENTAN",Tabla1[[#This Row],[TAMIZAJE  PARA SIFILIS  SEGÚN GPC SIFILIS II TRIMESTRE]]="REINFECCIÓN-DILUCIONES AUMENTAN",Tabla1[[#This Row],[TAMIZAJE  PARA SIFILIS  SEGÚN GPC SIFILIS III TRIMESTRE]]="REINFECCIÓN-DILUCIONES AUMENTAN",Tabla1[[#This Row],[TAMIZAJE  PARA SIFILIS  SEGÚN GPC SIFILIS INTRAPARTO]]="REINFECCIÓN-DILUCIONES AUMENTAN")),"SIFILIS GESTACIONAL",""))</f>
        <v/>
      </c>
      <c r="FQ4" s="31" t="s">
        <v>801</v>
      </c>
      <c r="FR4" s="35">
        <v>44734</v>
      </c>
      <c r="FS4" s="44">
        <f t="shared" si="37"/>
        <v>10</v>
      </c>
      <c r="FT4" s="43" t="s">
        <v>895</v>
      </c>
      <c r="FU4" s="35">
        <v>44734</v>
      </c>
      <c r="FV4" s="44">
        <f t="shared" si="38"/>
        <v>10</v>
      </c>
      <c r="FW4" s="35">
        <v>44734</v>
      </c>
      <c r="FX4" s="35">
        <v>44734</v>
      </c>
      <c r="FY4" s="35" t="s">
        <v>896</v>
      </c>
      <c r="FZ4" s="35">
        <v>44734</v>
      </c>
      <c r="GA4" s="44">
        <f t="shared" ca="1" si="39"/>
        <v>10</v>
      </c>
      <c r="GB4" s="35" t="s">
        <v>896</v>
      </c>
      <c r="GC4" s="35">
        <v>44820</v>
      </c>
      <c r="GD4" s="44">
        <f t="shared" ca="1" si="40"/>
        <v>22.285714285714285</v>
      </c>
      <c r="GE4" s="35" t="s">
        <v>896</v>
      </c>
      <c r="GF4" s="35">
        <v>44883</v>
      </c>
      <c r="GG4" s="44">
        <f t="shared" ca="1" si="41"/>
        <v>31.285714285714285</v>
      </c>
      <c r="GH4" s="35"/>
      <c r="GI4" s="44"/>
      <c r="GJ4" s="35" t="s">
        <v>883</v>
      </c>
      <c r="GK4" s="35"/>
      <c r="GL4" s="35" t="s">
        <v>883</v>
      </c>
      <c r="GM4" s="35"/>
      <c r="GN4" s="43" t="s">
        <v>895</v>
      </c>
      <c r="GO4" s="35">
        <v>44734</v>
      </c>
      <c r="GP4" s="44">
        <f t="shared" si="42"/>
        <v>10</v>
      </c>
      <c r="GQ4" s="43" t="s">
        <v>895</v>
      </c>
      <c r="GR4" s="43" t="s">
        <v>895</v>
      </c>
      <c r="GS4" s="35" t="str">
        <f t="shared" si="43"/>
        <v>CONTROL Igm</v>
      </c>
      <c r="GT4" s="35">
        <v>44734</v>
      </c>
      <c r="GU4" s="44">
        <f t="shared" si="44"/>
        <v>10</v>
      </c>
      <c r="GV4" s="31" t="str">
        <f t="shared" si="45"/>
        <v>I TRIM</v>
      </c>
      <c r="GW4" s="43" t="s">
        <v>895</v>
      </c>
      <c r="GX4" s="46">
        <v>5</v>
      </c>
      <c r="GY4" s="31"/>
      <c r="GZ4" s="35"/>
      <c r="HA4" s="43" t="str">
        <f t="shared" si="46"/>
        <v/>
      </c>
      <c r="HB4" s="31" t="str">
        <f t="shared" si="47"/>
        <v/>
      </c>
      <c r="HC4" s="31" t="str">
        <f t="shared" si="48"/>
        <v/>
      </c>
      <c r="HD4" s="31" t="s">
        <v>897</v>
      </c>
      <c r="HE4" s="31"/>
      <c r="HF4" s="31" t="s">
        <v>898</v>
      </c>
      <c r="HG4" s="31"/>
      <c r="HH4" s="31" t="s">
        <v>899</v>
      </c>
      <c r="HI4" s="31">
        <v>0</v>
      </c>
      <c r="HJ4" s="35" t="s">
        <v>900</v>
      </c>
      <c r="HK4" s="35" t="str">
        <f>IF(OR(O4&gt;0,R4&gt;0),CONCATENATE(IF(Tabla1[[#This Row],[NECESIDAD O DESARMONIA DESDE LO PROPIO 1]]&lt;&gt;"",Tabla1[[#This Row],[NECESIDAD O DESARMONIA DESDE LO PROPIO 1]],""),"*",CONCATENATE(IF(Tabla1[[#This Row],[NECESIDAD O DESARMONIA DESDE LO PROPIO 12]]&lt;&gt;"",Tabla1[[#This Row],[NECESIDAD O DESARMONIA DESDE LO PROPIO 12]],""),"*",CONCATENATE(IF(Tabla1[[#This Row],[NECESIDAD O DESARMONIA DESDE LO PROPIO 13]]&lt;&gt;"",Tabla1[[#This Row],[NECESIDAD O DESARMONIA DESDE LO PROPIO 13]],""),"*",CONCATENATE(IF(Tabla1[[#This Row],[NECESIDAD O DESARMONIA DESDE LO PROPIO 14]]&lt;&gt;"",Tabla1[[#This Row],[NECESIDAD O DESARMONIA DESDE LO PROPIO 14]],""),"*",CONCATENATE(IF(Tabla1[[#This Row],[NECESIDAD O DESARMONIA DESDE LO PROPIO 15]]&lt;&gt;"",Tabla1[[#This Row],[NECESIDAD O DESARMONIA DESDE LO PROPIO 15]],""),"*",CONCATENATE(IF(Tabla1[[#This Row],[NECESIDAD O DESARMONIA DESDE LO PROPIO 16]]&lt;&gt;"",Tabla1[[#This Row],[NECESIDAD O DESARMONIA DESDE LO PROPIO 16]],""),"*",CONCATENATE(IF(Tabla1[[#This Row],[NECESIDAD O DESARMONIA DESDE LO PROPIO 17444]]&lt;&gt;"",Tabla1[[#This Row],[NECESIDAD O DESARMONIA DESDE LO PROPIO 17444]],"")))))))),"")</f>
        <v>******</v>
      </c>
      <c r="HL4" s="35" t="str">
        <f t="shared" si="49"/>
        <v>****BAJO PESO*****PREVENCIÓN CONTAGIO TOXOPLASMOSIS***</v>
      </c>
      <c r="HM4" s="35" t="str">
        <f t="shared" ca="1" si="50"/>
        <v>CON RIESGO</v>
      </c>
      <c r="HN4" s="31" t="str">
        <f t="shared" ca="1" si="51"/>
        <v>**********************MULTIPARIDAD**********</v>
      </c>
      <c r="HO4" s="31" t="str">
        <f t="shared" si="52"/>
        <v>SIN ANTECEDENTES DE RIESGO</v>
      </c>
      <c r="HP4" s="37" t="str">
        <f t="shared" si="53"/>
        <v>APARENTEMENTE NORMAL</v>
      </c>
      <c r="HQ4" s="31" t="str">
        <f t="shared" ca="1" si="54"/>
        <v/>
      </c>
      <c r="HR4" s="46" t="str">
        <f t="shared" si="55"/>
        <v>SALIO PROGRAMA</v>
      </c>
      <c r="HS4" s="31" t="s">
        <v>875</v>
      </c>
      <c r="HT4" s="31" t="s">
        <v>883</v>
      </c>
      <c r="HU4" s="35">
        <v>44848</v>
      </c>
      <c r="HV4" s="35" t="s">
        <v>901</v>
      </c>
      <c r="HW4" s="35">
        <v>44848</v>
      </c>
      <c r="HX4" s="35" t="s">
        <v>901</v>
      </c>
      <c r="HY4" s="35">
        <v>44734</v>
      </c>
      <c r="HZ4" s="35" t="s">
        <v>901</v>
      </c>
      <c r="IA4" s="40" t="s">
        <v>887</v>
      </c>
      <c r="IB4" s="35">
        <v>44734</v>
      </c>
      <c r="IC4" s="43">
        <f t="shared" si="56"/>
        <v>10</v>
      </c>
      <c r="ID4" s="40" t="s">
        <v>875</v>
      </c>
      <c r="IE4" s="40" t="s">
        <v>902</v>
      </c>
      <c r="IF4" s="35"/>
      <c r="IG4" s="35"/>
      <c r="IH4" s="171"/>
      <c r="II4" s="171"/>
      <c r="IJ4" s="171"/>
      <c r="IK4" s="37" t="str">
        <f ca="1">IF(AND(BK4="",PM4="SD"),"SIN DATO EDAD GESTACIONAL",IF(AND(BK4="",PN4=""),"",IF(AND(AND(BQ4&gt;0,BQ4&lt;12),PN4=""),"MENOR 12 SEMANAS",IF(AND(BQ4&gt;11.6,PN4="",HJ4="BAJO RIESGO O SE DESCARTA INFECCIÓN POR SARS-CoV2"),"PROGRAMAR APLICACION DE VACUNA",IF(OR(AND(BQ4&gt;11.6,PN4=""),HJ4="FACTOR DE RIESGO PARA COVID19",HJ4="COVID19 PRIMER TRIMESTRE",HJ4="COVID19 SEGUNDO TRIMESTRE",HJ4="COVID19 TERCER TRIMESTRE",HJ4="COVID19 PUERPERIO"),"DIFERIR FECHA DE VACUNACION SEGÚN LINEAMIENTOS",IF(AND(BQ4&gt;11.6,PN4="Error Jansen X Fecha Segunda Dosis"),"Error Jansen X Fecha Segunda Dosis",IF(AND(BQ4&gt;11.6,PN4="Firma"),"FIRMA DISENTIMIENTO",IF(AND(BQ4&gt;11.6,PN4="Firma3"),"NO ACEPTA VACUNA Y NO FIRMA DISCENTIMIENTO",IF(AND(BQ4&gt;11.6,PN4="Firma2"),"Error en Fecha x Firma Disentimiento",IF(AND(BQ4&gt;11.6,PN4="Firma4"),"Error en Fecha x No Acepta no Firma",IF(AND(BQ4&gt;11.6,PN4="Completo",Tabla1[[#This Row],[Fecha Refuerzo Anti COVID-20]]=""),"PENDIENTE REFUERZO",IF(AND(BQ4&gt;11.6,PN4="Completo",Tabla1[[#This Row],[Fecha Refuerzo Anti COVID-20]]&lt;&gt;""),"CON REFUERZO",IF(AND(BQ4&gt;11.6,PN4="Falta Dosis"),PQ4,IF(OR(AND(BQ4&gt;11.6,PN4=""),HJ4="",HJ4="NO SE EVALUA RIESGO INFECCIÓN COVID19"),"DEFINIR RIESGO CONTAGIO SARS-CoV2, columna GZ",""))))))))))))))</f>
        <v>FIRMA DISENTIMIENTO</v>
      </c>
      <c r="IL4" s="171">
        <v>44792</v>
      </c>
      <c r="IM4" s="35">
        <v>44820</v>
      </c>
      <c r="IN4" s="35" t="str">
        <f t="shared" ca="1" si="57"/>
        <v>VACUNA APLICADA ENTRE SEMANA 20 Y SEMANA 26</v>
      </c>
      <c r="IO4" s="35"/>
      <c r="IP4" s="35">
        <f t="shared" si="58"/>
        <v>44944</v>
      </c>
      <c r="IQ4" s="44">
        <f t="shared" ca="1" si="59"/>
        <v>-286</v>
      </c>
      <c r="IR4" s="35" t="str">
        <f t="shared" ca="1" si="60"/>
        <v>POSIBLEMENTE NACIO</v>
      </c>
      <c r="IS4" s="35"/>
      <c r="IT4" s="31" t="s">
        <v>904</v>
      </c>
      <c r="IU4" s="31" t="s">
        <v>905</v>
      </c>
      <c r="IV4" s="51" t="s">
        <v>906</v>
      </c>
      <c r="IW4" s="35">
        <v>44945</v>
      </c>
      <c r="IX4" s="31" t="s">
        <v>907</v>
      </c>
      <c r="IY4" s="44">
        <f t="shared" si="61"/>
        <v>40.142857142857146</v>
      </c>
      <c r="IZ4" s="52" t="s">
        <v>908</v>
      </c>
      <c r="JA4" s="31" t="s">
        <v>909</v>
      </c>
      <c r="JB4" s="31" t="s">
        <v>910</v>
      </c>
      <c r="JC4" s="31" t="s">
        <v>911</v>
      </c>
      <c r="JD4" s="31" t="s">
        <v>887</v>
      </c>
      <c r="JE4" s="31" t="s">
        <v>887</v>
      </c>
      <c r="JF4" s="31" t="s">
        <v>887</v>
      </c>
      <c r="JG4" s="31" t="s">
        <v>887</v>
      </c>
      <c r="JH4" s="31" t="s">
        <v>887</v>
      </c>
      <c r="JI4" s="31" t="s">
        <v>887</v>
      </c>
      <c r="JJ4" s="31" t="s">
        <v>912</v>
      </c>
      <c r="JK4" s="46">
        <v>1</v>
      </c>
      <c r="JL4" s="31" t="s">
        <v>913</v>
      </c>
      <c r="JM4" s="53">
        <v>2970</v>
      </c>
      <c r="JN4" s="31" t="str">
        <f t="shared" si="62"/>
        <v>PESO ADECUADO EDAD GESTACIONAL</v>
      </c>
      <c r="JO4" s="236">
        <v>44945</v>
      </c>
      <c r="JP4" s="31"/>
      <c r="JQ4" s="31"/>
      <c r="JR4" s="31"/>
      <c r="JS4" s="46" t="s">
        <v>893</v>
      </c>
      <c r="JT4" s="35">
        <v>44945</v>
      </c>
      <c r="JU4" s="35">
        <v>44945</v>
      </c>
      <c r="JV4" s="31"/>
      <c r="JW4" s="53"/>
      <c r="JX4" s="31" t="str">
        <f t="shared" si="63"/>
        <v/>
      </c>
      <c r="JY4" s="35"/>
      <c r="JZ4" s="31"/>
      <c r="KA4" s="31"/>
      <c r="KB4" s="31"/>
      <c r="KC4" s="46"/>
      <c r="KD4" s="35"/>
      <c r="KE4" s="35"/>
      <c r="KF4" s="50">
        <v>44953</v>
      </c>
      <c r="KG4" s="43">
        <f t="shared" si="64"/>
        <v>8</v>
      </c>
      <c r="KH4" s="50">
        <v>44953</v>
      </c>
      <c r="KI4" s="43">
        <f t="shared" si="65"/>
        <v>8</v>
      </c>
      <c r="KJ4" s="31" t="s">
        <v>875</v>
      </c>
      <c r="KK4" s="31" t="s">
        <v>875</v>
      </c>
      <c r="KL4" s="31" t="s">
        <v>875</v>
      </c>
      <c r="KM4" s="54">
        <v>44945</v>
      </c>
      <c r="KN4" s="43" t="s">
        <v>914</v>
      </c>
      <c r="KO4" s="43"/>
      <c r="KP4" s="43"/>
      <c r="KQ4" s="56"/>
      <c r="KR4" s="56"/>
      <c r="KS4" s="99"/>
      <c r="KT4" s="56"/>
      <c r="KU4" s="56"/>
      <c r="KV4" s="99"/>
      <c r="KW4" s="56"/>
      <c r="KX4" s="56"/>
      <c r="KY4" s="56"/>
      <c r="KZ4" s="56"/>
      <c r="LA4" s="56"/>
      <c r="LB4" s="56"/>
      <c r="LC4" s="56"/>
      <c r="LD4" s="55"/>
      <c r="LE4" s="55"/>
      <c r="LF4" s="55"/>
      <c r="LG4" s="55"/>
      <c r="LH4" s="55"/>
      <c r="LI4" s="55"/>
      <c r="LJ4" s="55"/>
      <c r="LK4" s="55"/>
      <c r="LL4" s="55"/>
      <c r="LM4" s="55"/>
      <c r="LN4" s="55"/>
      <c r="LO4" s="55"/>
      <c r="LP4" s="55"/>
      <c r="LQ4" s="55"/>
      <c r="LR4" s="55"/>
      <c r="LS4" s="55"/>
      <c r="LT4" s="55"/>
      <c r="LU4" s="55"/>
      <c r="LV4" s="55"/>
      <c r="LW4" s="55"/>
      <c r="LX4" s="55"/>
      <c r="LY4" s="55"/>
      <c r="LZ4" s="55"/>
      <c r="MA4" s="55"/>
      <c r="MB4" s="55"/>
      <c r="MC4" s="55"/>
      <c r="MD4" s="55"/>
      <c r="ME4" s="55"/>
      <c r="MF4" s="55"/>
      <c r="MG4" s="55"/>
      <c r="MH4" s="55"/>
      <c r="MI4" s="55"/>
      <c r="MJ4" s="55"/>
      <c r="MK4" s="55"/>
      <c r="ML4" s="55"/>
      <c r="MM4" s="55"/>
      <c r="MN4" s="55"/>
      <c r="MO4" s="55"/>
      <c r="MP4" s="153"/>
      <c r="MQ4" s="148">
        <f t="shared" si="66"/>
        <v>0</v>
      </c>
      <c r="MR4" t="str">
        <f t="shared" si="67"/>
        <v/>
      </c>
      <c r="MS4" t="str">
        <f t="shared" si="68"/>
        <v/>
      </c>
      <c r="MT4">
        <f t="shared" si="69"/>
        <v>0</v>
      </c>
      <c r="MU4">
        <f>IF(AND(Tabla1[[#This Row],[FECHA DE IDENTIFICACION DE LA GESTANTE]]="",Tabla1[[#This Row],[FECHA CONSULTA PRIMERA VEZ PROGRAMA CPN ]]=""),"",IF(AND(Tabla1[[#This Row],[FECHA DE IDENTIFICACION DE LA GESTANTE]]&gt;0,Tabla1[[#This Row],[FECHA CONSULTA PRIMERA VEZ PROGRAMA CPN ]]=""),"SIN INGRESO CPN",IF(AND(Tabla1[[#This Row],[FECHA DE IDENTIFICACION DE LA GESTANTE]]="",Tabla1[[#This Row],[FECHA CONSULTA PRIMERA VEZ PROGRAMA CPN ]]&gt;0),"NO APLICA",SUM(Tabla1[[#This Row],[FECHA CONSULTA PRIMERA VEZ PROGRAMA CPN ]]-Tabla1[[#This Row],[FECHA DE IDENTIFICACION DE LA GESTANTE]]))))</f>
        <v>0</v>
      </c>
      <c r="MV4">
        <f t="shared" si="70"/>
        <v>10</v>
      </c>
      <c r="MW4">
        <f t="shared" si="71"/>
        <v>6</v>
      </c>
      <c r="MX4">
        <f t="shared" si="72"/>
        <v>2022</v>
      </c>
      <c r="MY4" t="str">
        <f t="shared" si="73"/>
        <v>II TRIMESTRE AÑO</v>
      </c>
      <c r="MZ4">
        <f t="shared" si="74"/>
        <v>17.832895313184405</v>
      </c>
      <c r="NA4">
        <f t="shared" si="75"/>
        <v>0</v>
      </c>
      <c r="NB4" t="str">
        <f t="shared" si="76"/>
        <v>DE 14 A 19AÑOS</v>
      </c>
      <c r="NC4">
        <f t="shared" si="77"/>
        <v>0</v>
      </c>
      <c r="ND4">
        <f t="shared" si="78"/>
        <v>1</v>
      </c>
      <c r="NE4">
        <f t="shared" si="79"/>
        <v>0</v>
      </c>
      <c r="NF4">
        <f t="shared" si="80"/>
        <v>0</v>
      </c>
      <c r="NG4" t="str">
        <f t="shared" si="81"/>
        <v/>
      </c>
      <c r="NH4" t="str">
        <f t="shared" ca="1" si="82"/>
        <v/>
      </c>
      <c r="NI4" t="str">
        <f t="shared" si="83"/>
        <v/>
      </c>
      <c r="NJ4">
        <f t="shared" si="84"/>
        <v>0</v>
      </c>
      <c r="NK4" t="str">
        <f t="shared" si="85"/>
        <v>0</v>
      </c>
      <c r="NL4">
        <f t="shared" si="86"/>
        <v>0</v>
      </c>
      <c r="NM4">
        <f t="shared" ca="1" si="87"/>
        <v>1</v>
      </c>
      <c r="NN4">
        <f>IF(OR(O4&gt;0,R4&gt;0),SUM(COUNTIF(Tabla1[[#This Row],[AÑOS AL INICIO5 CPN]],"&gt;=40"),COUNTIF(AR4,"0"),COUNTIF(AQ4,"SI"),COUNTIF(BW4,"SI"),COUNTIF(BM4,"&gt;119"),COUNTIF(CC4,"&gt;=35")),"")</f>
        <v>1</v>
      </c>
      <c r="NO4">
        <f t="shared" si="88"/>
        <v>22.285714285714285</v>
      </c>
      <c r="NP4">
        <f t="shared" si="89"/>
        <v>0</v>
      </c>
      <c r="NQ4">
        <f t="shared" si="90"/>
        <v>98</v>
      </c>
      <c r="NR4" t="str">
        <f ca="1">IF(Tabla1[[#This Row],[GESTANTES ACTUALES]]="","SD",IF(Tabla1[[#This Row],[GESTANTES ACTUALES]]="SEGUIMIENTO REPORTE EPS","Y",IF(Tabla1[[#This Row],[GESTANTES ACTUALES]]="SALE SIN INGRESO CPN","X",IF(AND(Tabla1[[#This Row],[CITA PROXIMO CONTROL]]="",Tabla1[[#This Row],[GESTANTES ACTUALES]]="ACTIVA SIN INGRESO CPN",P4="NO"),"Z",IF(AND(Tabla1[[#This Row],[CITA PROXIMO CONTROL]]="CITA MANUAL",Tabla1[[#This Row],[GESTANTES ACTUALES]]="ACTIVA INGRESO A CPN"),"W",IF(AND(Tabla1[[#This Row],[GESTANTES ACTUALES]]="SALIO PROGRAMA",IW4=""),"S",IF(AND(Tabla1[[#This Row],[CITA PROXIMO CONTROL]]&gt;0,IW4=""),(Tabla1[[#This Row],[CITA PROXIMO CONTROL]]-TODAY()),"SD")))))))</f>
        <v>SD</v>
      </c>
      <c r="NS4">
        <f>MONTH(Tabla1[[#This Row],[FECHA DE SALIDA  DEL PROGRAMA]])</f>
        <v>1</v>
      </c>
      <c r="NT4">
        <f>YEAR(Tabla1[[#This Row],[FECHA DE SALIDA  DEL PROGRAMA]])</f>
        <v>2023</v>
      </c>
      <c r="NU4">
        <f t="shared" si="91"/>
        <v>33</v>
      </c>
      <c r="NV4" t="str">
        <f t="shared" si="92"/>
        <v>SI</v>
      </c>
      <c r="NW4" t="str">
        <f ca="1">IF(AND(O4&gt;0,R4=""),"NO CPN",IF(AND(O4="",R4=""),"",IF(AND(R4&gt;0,Tabla1[[#This Row],[SEMANAS DE GESTACION ACTUALIZADAS]]&lt;=12),"NO APLICA",IF(AND(FC4&lt;&gt;"",FI4&lt;&gt;""),"SI","NO"))))</f>
        <v>SI</v>
      </c>
      <c r="NX4" s="149" t="str">
        <f ca="1">IF(AND(O4&gt;0,R4=""),"NO CPN",IF(AND(O4="",R4=""),"",IF(AND(R4&gt;0,Tabla1[[#This Row],[SEMANAS DE GESTACION ACTUALIZADAS]]&lt;=27),"NO APLICA",IF(AND(EO4&lt;&gt;"",FL4&lt;&gt;"",GF4&lt;&gt;""),"SI","NO"))))</f>
        <v>SI</v>
      </c>
      <c r="NY4" s="147" t="str">
        <f t="shared" si="93"/>
        <v>II TRIM</v>
      </c>
      <c r="NZ4" s="1" t="str">
        <f>IF(AND(IY5&gt;0,IY5&lt;37),10,IF(OR(BX5="Transversa",BX5="Oblicua"),9,IF(BW5="SI",8,IF(AND(AS5=0,AV5=0,BW5="NO",BX5="Cefálica",IY5&gt;=37,JC5="INICIO ESPONTÁNEO"),1,IF(AND(AND(AS5=0,AV5=0,BW5="NO",BX5="Cefálica",IY5&gt;=37),OR(JC5="LE HACEN INDUCCIÓN",JC5="LE HACEN CESÁREA SIN INICIO TRABAJO DE PARTO")),2,IF(AND(AS5&gt;=1,AV5=0,BW5="NO",BX5="Cefálica",IY5&gt;=37,JC5="INICIO ESPONTÁNEO"),3,IF(AND(AND(AS5&gt;=1,AV5=0,BW5="NO",BX5="Cefálica",IY5&gt;=37),OR(JC5="LE HACEN INDUCCIÓN",JC5="LE HACEN CESÁREA SIN INICIO TRABAJO DE PARTO")),4,IF(AND(AND(AS5&gt;=1,AV5&gt;=1,BW5="NO",BX5="Cefálica",IY5&gt;=37),OR(JC5="LE HACEN INDUCCIÓN",JC5="LE HACEN CESÁREA SIN INICIO TRABAJO DE PARTO",JC5="INICIO ESPONTÁNEO")),5,IF(AND(AND(AS5=0,AV5=0,BW5="NO",BX5="Podálica",IY5&gt;=1),OR(JC5="LE HACEN INDUCCIÓN",JC5="LE HACEN CESÁREA SIN INICIO TRABAJO DE PARTO",JC5="INICIO ESPONTÁNEO")),6,IF(AND(AND(AS5&gt;=1,BW5="NO",BX5="Podálica",IY5&gt;=1),OR(JC5="LE HACEN INDUCCIÓN",JC5="LE HACEN CESÁREA SIN INICIO TRABAJO DE PARTO",JC5="INICIO ESPONTÁNEO"),OR(AV5=0,AV5&gt;=1)),7,""))))))))))</f>
        <v/>
      </c>
      <c r="OA4" s="1">
        <f t="shared" si="94"/>
        <v>3</v>
      </c>
      <c r="OB4" s="213">
        <f t="shared" ca="1" si="95"/>
        <v>3</v>
      </c>
      <c r="OC4" s="1">
        <f t="shared" ca="1" si="96"/>
        <v>3</v>
      </c>
      <c r="OD4" s="1" t="str">
        <f t="shared" ca="1" si="97"/>
        <v>COMPLETO</v>
      </c>
      <c r="OE4" s="1" t="str">
        <f t="shared" ca="1" si="98"/>
        <v>COMPLETO</v>
      </c>
      <c r="OF4" s="221" t="str">
        <f>IF(AND(O4="",R4=""),"",IF(OR(AND(Tabla1[[#This Row],[SUMINISTRO DE SULFATO FERROSO ]]="ADECUADO SEGÚN GPC",Tabla1[[#This Row],[SUMINISTRO CALCIO ]]="ADECUADO SEGÚN GPC",Tabla1[[#This Row],[SUMINISTRO DE ACIDO FOLICO ]]="ADECUADO SEGÚN GPC"),AND(Tabla1[[#This Row],[SUMINISTRO DE SULFATO FERROSO ]]="NO APLICA",Tabla1[[#This Row],[SUMINISTRO CALCIO ]]="ADECUADO SEGÚN GPC",Tabla1[[#This Row],[SUMINISTRO DE ACIDO FOLICO ]]="ADECUADO SEGÚN GPC"),AND(Tabla1[[#This Row],[SUMINISTRO DE SULFATO FERROSO ]]="ADECUADO SEGÚN GPC",Tabla1[[#This Row],[SUMINISTRO CALCIO ]]="NO APLICA",Tabla1[[#This Row],[SUMINISTRO DE ACIDO FOLICO ]]="ADECUADO SEGÚN GPC"),AND(Tabla1[[#This Row],[SUMINISTRO DE SULFATO FERROSO ]]="ADECUADO SEGÚN GPC",Tabla1[[#This Row],[SUMINISTRO CALCIO ]]="ADECUADO SEGÚN GPC",Tabla1[[#This Row],[SUMINISTRO DE ACIDO FOLICO ]]="NO APLICA"),AND(Tabla1[[#This Row],[SUMINISTRO DE SULFATO FERROSO ]]="NO APLICA",Tabla1[[#This Row],[SUMINISTRO CALCIO ]]="ADECUADO SEGÚN GPC",Tabla1[[#This Row],[SUMINISTRO DE ACIDO FOLICO ]]="NO APLICA"),AND(Tabla1[[#This Row],[SUMINISTRO DE SULFATO FERROSO ]]="NO APLICA",Tabla1[[#This Row],[SUMINISTRO CALCIO ]]="NO APLICA",Tabla1[[#This Row],[SUMINISTRO DE ACIDO FOLICO ]]="ADECUADO SEGÚN GPC"),AND(Tabla1[[#This Row],[SUMINISTRO DE SULFATO FERROSO ]]="ADECUADO SEGÚN GPC",Tabla1[[#This Row],[SUMINISTRO CALCIO ]]="NO APLICA",Tabla1[[#This Row],[SUMINISTRO DE ACIDO FOLICO ]]="NO APLICA"),AND(Tabla1[[#This Row],[SUMINISTRO DE SULFATO FERROSO ]]="NO APLICA",Tabla1[[#This Row],[SUMINISTRO CALCIO ]]="NO APLICA",Tabla1[[#This Row],[SUMINISTRO DE ACIDO FOLICO ]]="NO APLICA")),"COMPLETO","INCOMPLETO"))</f>
        <v>COMPLETO</v>
      </c>
      <c r="OG4" s="230" t="str">
        <f t="shared" ca="1" si="99"/>
        <v>VACUNADA</v>
      </c>
      <c r="OH4" s="148">
        <f>ROW(Tabla1[[#This Row],[SEMANAS DE GESTACION II TRIM]])</f>
        <v>4</v>
      </c>
      <c r="OI4" t="str">
        <f t="shared" si="100"/>
        <v/>
      </c>
      <c r="OJ4" t="str">
        <f t="shared" si="101"/>
        <v/>
      </c>
      <c r="OK4" t="str">
        <f t="shared" si="102"/>
        <v/>
      </c>
      <c r="OL4" t="str">
        <f t="shared" si="103"/>
        <v/>
      </c>
      <c r="OM4" t="str">
        <f t="shared" si="104"/>
        <v>BAJO PESO</v>
      </c>
      <c r="ON4" t="str">
        <f t="shared" si="105"/>
        <v/>
      </c>
      <c r="OO4" t="str">
        <f t="shared" si="106"/>
        <v/>
      </c>
      <c r="OP4" t="str">
        <f t="shared" si="107"/>
        <v/>
      </c>
      <c r="OQ4" t="str">
        <f t="shared" si="108"/>
        <v/>
      </c>
      <c r="OR4" t="str">
        <f t="shared" si="109"/>
        <v/>
      </c>
      <c r="OS4" t="str">
        <f t="shared" si="110"/>
        <v/>
      </c>
      <c r="OT4" t="str">
        <f t="shared" si="111"/>
        <v/>
      </c>
      <c r="OU4" t="str">
        <f t="shared" si="112"/>
        <v/>
      </c>
      <c r="OV4" t="str">
        <f t="shared" si="113"/>
        <v/>
      </c>
      <c r="OW4" t="str">
        <f t="shared" si="114"/>
        <v/>
      </c>
      <c r="OX4" t="str">
        <f t="shared" si="115"/>
        <v/>
      </c>
      <c r="OY4" t="str">
        <f t="shared" si="116"/>
        <v/>
      </c>
      <c r="OZ4" t="str">
        <f t="shared" si="117"/>
        <v>BAJO PESO</v>
      </c>
      <c r="PA4" t="str">
        <f t="shared" si="118"/>
        <v/>
      </c>
      <c r="PB4" t="str">
        <f t="shared" si="119"/>
        <v/>
      </c>
      <c r="PC4" t="str">
        <f t="shared" si="120"/>
        <v/>
      </c>
      <c r="PD4" t="str">
        <f t="shared" si="121"/>
        <v/>
      </c>
      <c r="PE4" t="str">
        <f t="shared" si="122"/>
        <v/>
      </c>
      <c r="PF4" t="str">
        <f t="shared" si="123"/>
        <v/>
      </c>
      <c r="PG4" t="str">
        <f t="shared" si="124"/>
        <v/>
      </c>
      <c r="PH4" t="str">
        <f t="shared" si="125"/>
        <v/>
      </c>
      <c r="PI4" t="str">
        <f t="shared" si="126"/>
        <v/>
      </c>
      <c r="PJ4" t="str">
        <f t="shared" si="127"/>
        <v/>
      </c>
      <c r="PK4" t="str">
        <f t="shared" si="128"/>
        <v/>
      </c>
      <c r="PL4" s="164" t="str">
        <f>IF(Tabla1[[#This Row],[Tipo Biológico Vacuna anti COVID-19 (Disentimiento)]]="Pfizer","a",IF(Tabla1[[#This Row],[Tipo Biológico Vacuna anti COVID-19 (Disentimiento)]]="Janssen","b",IF(Tabla1[[#This Row],[Tipo Biológico Vacuna anti COVID-19 (Disentimiento)]]="Sinovac","c",IF(Tabla1[[#This Row],[Tipo Biológico Vacuna anti COVID-19 (Disentimiento)]]="Jhonson&amp;Jhonson","e",IF(Tabla1[[#This Row],[Tipo Biológico Vacuna anti COVID-19 (Disentimiento)]]="Moderna","f",IF(Tabla1[[#This Row],[Tipo Biológico Vacuna anti COVID-19 (Disentimiento)]]="Firma Disentimiento","x",IF(Tabla1[[#This Row],[Tipo Biológico Vacuna anti COVID-19 (Disentimiento)]]="No Acepta y No Firma Disentimiento","xx",IF(Tabla1[[#This Row],[Tipo Biológico Vacuna anti COVID-19 (Disentimiento)]]="Astrazeneca","d",""))))))))</f>
        <v>x</v>
      </c>
      <c r="PM4" s="162" t="str">
        <f t="shared" si="129"/>
        <v/>
      </c>
      <c r="PN4" s="161" t="str">
        <f t="shared" si="130"/>
        <v>Firma</v>
      </c>
      <c r="PO4" s="163" t="str">
        <f>IF(Tabla1[[#This Row],[Tipo Biológico Vacuna anti COVID-19 (Disentimiento)]]="Pfizer",Tabla1[[#This Row],[Fecha 1ra Dosis Anti COVID-19]]+21,IF(Tabla1[[#This Row],[Tipo Biológico Vacuna anti COVID-19 (Disentimiento)]]="Janssen","Sin Segunda Dosis",IF(Tabla1[[#This Row],[Tipo Biológico Vacuna anti COVID-19 (Disentimiento)]]="Sinovac",Tabla1[[#This Row],[Fecha 1ra Dosis Anti COVID-19]]+28,IF(Tabla1[[#This Row],[Tipo Biológico Vacuna anti COVID-19 (Disentimiento)]]="Jhonson&amp;Jhonson","e",IF(Tabla1[[#This Row],[Tipo Biológico Vacuna anti COVID-19 (Disentimiento)]]="Moderna","f",IF(Tabla1[[#This Row],[Tipo Biológico Vacuna anti COVID-19 (Disentimiento)]]="Firma Disentimiento","Firma Disentimiento",IF(Tabla1[[#This Row],[Tipo Biológico Vacuna anti COVID-19 (Disentimiento)]]="Astrazeneca",Tabla1[[#This Row],[Fecha 1ra Dosis Anti COVID-19]]+84,"")))))))</f>
        <v>Firma Disentimiento</v>
      </c>
      <c r="PP4" s="161">
        <f ca="1">IF(PO4="","",SUM(TODAY()-Tabla1[[#This Row],[Fecha 1ra Dosis Anti COVID-19]]))</f>
        <v>45230</v>
      </c>
      <c r="PQ4" s="219" t="str">
        <f>IFERROR(IF(Tabla1[[#This Row],[Fecha 1ra Dosis Anti COVID-19]]="","",IF(OR(AND(Tabla1[[#This Row],[Tipo Biológico Vacuna anti COVID-19 (Disentimiento)]]="Astrazeneca",PP4&lt;84),AND(Tabla1[[#This Row],[Tipo Biológico Vacuna anti COVID-19 (Disentimiento)]]="Pfizer",PP4&lt;21),AND(Tabla1[[#This Row],[Tipo Biológico Vacuna anti COVID-19 (Disentimiento)]]="Moderna",PP4&lt;21),AND(Tabla1[[#This Row],[Tipo Biológico Vacuna anti COVID-19 (Disentimiento)]]="Sinovac",PP4&lt;28)),"Pendiente Segunda Dosis",IF(OR(AND(Tabla1[[#This Row],[Tipo Biológico Vacuna anti COVID-19 (Disentimiento)]]="Astrazeneca",PP4&gt;=85),AND(Tabla1[[#This Row],[Tipo Biológico Vacuna anti COVID-19 (Disentimiento)]]="Pfizer",PP4&gt;=22),AND(Tabla1[[#This Row],[Tipo Biológico Vacuna anti COVID-19 (Disentimiento)]]="Moderna",PP4&gt;=22),AND(Tabla1[[#This Row],[Tipo Biológico Vacuna anti COVID-19 (Disentimiento)]]="Sinovac",PP4&gt;=29)),"inasistente",IF(OR(AND(Tabla1[[#This Row],[Tipo Biológico Vacuna anti COVID-19 (Disentimiento)]],"Astrazeneca",PP4=84),AND(Tabla1[[#This Row],[Tipo Biológico Vacuna anti COVID-19 (Disentimiento)]],"Pfizer",PP4=21),AND(Tabla1[[#This Row],[Tipo Biológico Vacuna anti COVID-19 (Disentimiento)]],"Moderna",PP4=21),AND(Tabla1[[#This Row],[Tipo Biológico Vacuna anti COVID-19 (Disentimiento)]],"Sinovac",PP4=28)),"Día vacunación1","")))),"Día de Vacunación")</f>
        <v/>
      </c>
    </row>
    <row r="5" spans="1:433" ht="39.950000000000003" customHeight="1" x14ac:dyDescent="0.25">
      <c r="A5" s="145" t="s">
        <v>869</v>
      </c>
      <c r="B5" s="68" t="s">
        <v>854</v>
      </c>
      <c r="C5" s="68" t="s">
        <v>855</v>
      </c>
      <c r="D5" s="187" t="s">
        <v>863</v>
      </c>
      <c r="E5" s="68" t="s">
        <v>870</v>
      </c>
      <c r="F5" s="68" t="s">
        <v>871</v>
      </c>
      <c r="G5" s="68" t="s">
        <v>872</v>
      </c>
      <c r="H5" s="68" t="s">
        <v>873</v>
      </c>
      <c r="I5" s="145" t="s">
        <v>867</v>
      </c>
      <c r="J5" s="146">
        <v>1061719887</v>
      </c>
      <c r="K5" s="68" t="s">
        <v>874</v>
      </c>
      <c r="L5" s="68" t="s">
        <v>868</v>
      </c>
      <c r="M5" s="35">
        <v>39245</v>
      </c>
      <c r="N5" s="38">
        <f t="shared" ca="1" si="0"/>
        <v>16.397260273972602</v>
      </c>
      <c r="O5" s="35">
        <v>44737</v>
      </c>
      <c r="P5" s="39" t="str">
        <f t="shared" si="1"/>
        <v>SI</v>
      </c>
      <c r="Q5" s="40" t="s">
        <v>876</v>
      </c>
      <c r="R5" s="35">
        <v>44737</v>
      </c>
      <c r="S5" s="31" t="s">
        <v>877</v>
      </c>
      <c r="T5" s="37" t="s">
        <v>800</v>
      </c>
      <c r="U5" s="31" t="s">
        <v>878</v>
      </c>
      <c r="V5" s="31" t="s">
        <v>879</v>
      </c>
      <c r="W5" s="31" t="s">
        <v>892</v>
      </c>
      <c r="X5" s="31" t="s">
        <v>892</v>
      </c>
      <c r="Y5" s="31" t="s">
        <v>888</v>
      </c>
      <c r="Z5" s="31">
        <v>3148325692</v>
      </c>
      <c r="AA5" s="31" t="s">
        <v>882</v>
      </c>
      <c r="AB5" s="41" t="s">
        <v>883</v>
      </c>
      <c r="AC5" s="40" t="s">
        <v>889</v>
      </c>
      <c r="AD5" s="55" t="s">
        <v>885</v>
      </c>
      <c r="AE5" s="40" t="s">
        <v>875</v>
      </c>
      <c r="AF5" s="40" t="s">
        <v>875</v>
      </c>
      <c r="AG5" s="36" t="s">
        <v>886</v>
      </c>
      <c r="AH5" s="36" t="s">
        <v>886</v>
      </c>
      <c r="AI5" s="37" t="s">
        <v>885</v>
      </c>
      <c r="AJ5" s="36" t="s">
        <v>886</v>
      </c>
      <c r="AK5" s="42" t="str">
        <f>IF(AND(AE5="",AF5="",AG5="",AH5="",AI5="",AJ5=""),"",IF(AND(OR(O5&gt;0,R5&gt;0),NP5&gt;=0,NP5&lt;2),"SIN RIESGO",IF(AND(OR(O5&gt;0,R5&gt;0),NP5&gt;=2),"CON RIESGO",IF(AND(O5="",R5=""),"",IF(OR(Tabla1[[#This Row],[EMBARAZO ACEPTADO Y/O  DESEADO]]="SIN DATO",Tabla1[[#This Row],[APOYO FAMILIAR]]="SIN DATO",Tabla1[[#This Row],[ANSIEDAD (Tensión emocional, Humor depresivo y sx angustia).]]="SIN DATO",Tabla1[[#This Row],[GRUPO DE POBLACION ESPECIAL]]="SIN DATO",Tabla1[[#This Row],[HA SIDO VICTIMA DE VIOLENCIA BASADA EN GENERO]]="SIN DATO"),"COMPLETAR EVALUACIÓN","")))))</f>
        <v>SIN RIESGO</v>
      </c>
      <c r="AL5" s="36" t="s">
        <v>886</v>
      </c>
      <c r="AM5" s="40" t="s">
        <v>886</v>
      </c>
      <c r="AN5" s="40" t="s">
        <v>886</v>
      </c>
      <c r="AO5" s="40" t="s">
        <v>886</v>
      </c>
      <c r="AP5" s="40" t="s">
        <v>886</v>
      </c>
      <c r="AQ5" s="40" t="s">
        <v>886</v>
      </c>
      <c r="AR5" s="31">
        <v>1</v>
      </c>
      <c r="AS5" s="31">
        <v>0</v>
      </c>
      <c r="AT5" s="31">
        <v>0</v>
      </c>
      <c r="AU5" s="40" t="s">
        <v>886</v>
      </c>
      <c r="AV5" s="31">
        <v>0</v>
      </c>
      <c r="AW5" s="40" t="s">
        <v>886</v>
      </c>
      <c r="AX5" s="40" t="s">
        <v>886</v>
      </c>
      <c r="AY5" s="40" t="s">
        <v>886</v>
      </c>
      <c r="AZ5" s="40" t="s">
        <v>886</v>
      </c>
      <c r="BA5" s="40" t="s">
        <v>886</v>
      </c>
      <c r="BB5" s="40" t="s">
        <v>886</v>
      </c>
      <c r="BC5" s="40" t="s">
        <v>886</v>
      </c>
      <c r="BD5" s="40" t="s">
        <v>886</v>
      </c>
      <c r="BE5" s="40" t="s">
        <v>886</v>
      </c>
      <c r="BF5" s="40" t="s">
        <v>886</v>
      </c>
      <c r="BG5" s="40" t="s">
        <v>886</v>
      </c>
      <c r="BH5" s="40" t="s">
        <v>886</v>
      </c>
      <c r="BI5" s="40" t="s">
        <v>886</v>
      </c>
      <c r="BJ5" s="35"/>
      <c r="BK5" s="35">
        <v>44667</v>
      </c>
      <c r="BL5" s="31" t="s">
        <v>875</v>
      </c>
      <c r="BM5" s="43">
        <f t="shared" si="2"/>
        <v>0</v>
      </c>
      <c r="BN5" s="57">
        <f t="shared" si="3"/>
        <v>44660.6</v>
      </c>
      <c r="BO5" s="44">
        <f t="shared" si="4"/>
        <v>10</v>
      </c>
      <c r="BP5" s="31" t="str">
        <f t="shared" si="5"/>
        <v>I TRIM</v>
      </c>
      <c r="BQ5" s="39" t="str">
        <f t="shared" ca="1" si="6"/>
        <v/>
      </c>
      <c r="BR5" s="35">
        <v>44774</v>
      </c>
      <c r="BS5" s="43">
        <v>16.2</v>
      </c>
      <c r="BT5" s="35"/>
      <c r="BU5" s="31"/>
      <c r="BV5" s="40" t="s">
        <v>886</v>
      </c>
      <c r="BW5" s="40" t="s">
        <v>886</v>
      </c>
      <c r="BX5" s="40" t="s">
        <v>887</v>
      </c>
      <c r="BY5" s="40" t="s">
        <v>887</v>
      </c>
      <c r="BZ5" s="35">
        <v>44737</v>
      </c>
      <c r="CA5" s="31">
        <v>1.53</v>
      </c>
      <c r="CB5" s="31">
        <v>58</v>
      </c>
      <c r="CC5" s="39">
        <f t="shared" si="7"/>
        <v>24.776795249690291</v>
      </c>
      <c r="CD5" s="45" t="str">
        <f t="shared" si="8"/>
        <v>NORMAL</v>
      </c>
      <c r="CE5" s="35">
        <v>44803</v>
      </c>
      <c r="CF5" s="31">
        <v>51</v>
      </c>
      <c r="CG5" s="39">
        <f t="shared" si="9"/>
        <v>21.786492374727668</v>
      </c>
      <c r="CH5" s="31">
        <f t="shared" si="10"/>
        <v>19</v>
      </c>
      <c r="CI5" s="31" t="str">
        <f>IF(OR(CH5="",CH5="NA"),"",IF(AND(CH5&gt;=29,CH5&lt;=42),"REGISTRAR EN III TRIM",IF(AND(CH5&gt;0,CH5&lt;=13),"REGISTRAR EN I TRIM",IF(CH5="REVISAR FUM O FECHA PESO","REVISAR",IF(CH5&gt;0,HLOOKUP(CH5,$OI$1:PK5,OH5),"")))))</f>
        <v>NORMAL</v>
      </c>
      <c r="CJ5" s="35">
        <v>44897</v>
      </c>
      <c r="CK5" s="31">
        <v>58</v>
      </c>
      <c r="CL5" s="39">
        <f t="shared" si="11"/>
        <v>24.776795249690291</v>
      </c>
      <c r="CM5" s="31">
        <f t="shared" si="12"/>
        <v>32</v>
      </c>
      <c r="CN5" s="31" t="str">
        <f>IF(OR(CM5="",CM5="NA"),"",IF(AND(CM5&gt;0,CM5&lt;=28),"REGISTRAR EN  TRIM RESPECTIVO",IF(CM5&gt;0,HLOOKUP(CM5,$OI$1:PK5,OH5),"")))</f>
        <v>NORMAL</v>
      </c>
      <c r="CO5" s="31" t="str">
        <f t="shared" si="13"/>
        <v>NORMAL</v>
      </c>
      <c r="CP5" s="31">
        <v>110</v>
      </c>
      <c r="CQ5" s="31">
        <v>70</v>
      </c>
      <c r="CR5" s="37" t="str">
        <f t="shared" si="14"/>
        <v>APARENTEMENTE NORMAL</v>
      </c>
      <c r="CS5" s="31">
        <v>100</v>
      </c>
      <c r="CT5" s="31">
        <v>70</v>
      </c>
      <c r="CU5" s="37" t="str">
        <f t="shared" si="15"/>
        <v>VIGILAR CIFRAS PRESION ARTERIAL</v>
      </c>
      <c r="CV5" s="31">
        <v>110</v>
      </c>
      <c r="CW5" s="31">
        <v>70</v>
      </c>
      <c r="CX5" s="31">
        <v>110</v>
      </c>
      <c r="CY5" s="31">
        <v>60</v>
      </c>
      <c r="CZ5" s="37" t="str">
        <f t="shared" si="16"/>
        <v>APARENTEMENTE NORMAL</v>
      </c>
      <c r="DA5" s="35">
        <v>44737</v>
      </c>
      <c r="DB5" s="35">
        <v>44737</v>
      </c>
      <c r="DC5" s="35">
        <v>44770</v>
      </c>
      <c r="DD5" s="35">
        <v>44803</v>
      </c>
      <c r="DE5" s="35">
        <v>44835</v>
      </c>
      <c r="DF5" s="35">
        <v>44866</v>
      </c>
      <c r="DG5" s="35">
        <v>44897</v>
      </c>
      <c r="DH5" s="35">
        <v>44930</v>
      </c>
      <c r="DI5" s="35"/>
      <c r="DJ5" s="35"/>
      <c r="DK5" s="35"/>
      <c r="DL5" s="35"/>
      <c r="DM5" s="35"/>
      <c r="DN5" s="35"/>
      <c r="DO5" s="43"/>
      <c r="DP5" s="35"/>
      <c r="DQ5" s="31" t="str">
        <f t="shared" ca="1" si="17"/>
        <v>SALE SIN PLAN DE PARTO</v>
      </c>
      <c r="DR5" s="46" t="str">
        <f t="shared" si="18"/>
        <v>SALIO PROGRAMA</v>
      </c>
      <c r="DS5" s="35" t="str">
        <f>IF(Tabla1[[#This Row],[EDAD GESTACIONAL ÚLTIMO CPN]]="SD","CITA MANUAL",IF(Tabla1[[#This Row],[GESTANTES ACTUALES]]="SALIO PROGRAMA","NO APLICA",IF(AND(Tabla1[[#This Row],[EDAD GESTACIONAL ÚLTIMO CPN]]&gt;0,Tabla1[[#This Row],[EDAD GESTACIONAL ÚLTIMO CPN]]&lt;=35),WORKDAY(SUM(Tabla1[[#This Row],[FECHA ULTIMO CPN]]+30),1,#REF!),IF(AND(Tabla1[[#This Row],[EDAD GESTACIONAL ÚLTIMO CPN]]&gt;=36,Tabla1[[#This Row],[EDAD GESTACIONAL ÚLTIMO CPN]]&lt;=42),WORKDAY(SUM(Tabla1[[#This Row],[FECHA ULTIMO CPN]]+14)-3,1,#REF!),""))))</f>
        <v>NO APLICA</v>
      </c>
      <c r="DT5" s="31" t="str">
        <f t="shared" ca="1" si="19"/>
        <v/>
      </c>
      <c r="DU5" s="35">
        <f>IF(R5="","",IF(R5&gt;0,MAX(Tabla1[[#This Row],[FECHA C2]:[FECHA C13]],Tabla1[[#This Row],[FECHA CONSULTA PRIMERA VEZ PROGRAMA CPN ]])))</f>
        <v>44930</v>
      </c>
      <c r="DV5" s="31">
        <f t="shared" si="20"/>
        <v>37</v>
      </c>
      <c r="DW5" s="43">
        <f>IF(R5&gt;0,SUM(COUNTA(DC5:DN5)+COUNTA(Tabla1[[#This Row],[FECHA CONSULTA PRIMERA VEZ PROGRAMA CPN ]])),"")</f>
        <v>7</v>
      </c>
      <c r="DX5" s="43" t="str">
        <f t="shared" si="21"/>
        <v>SI</v>
      </c>
      <c r="DY5" s="39">
        <f t="shared" si="22"/>
        <v>9</v>
      </c>
      <c r="DZ5" s="47">
        <f t="shared" si="23"/>
        <v>0.77777777777777779</v>
      </c>
      <c r="EA5" s="35">
        <v>44737</v>
      </c>
      <c r="EB5" s="35">
        <v>44737</v>
      </c>
      <c r="EC5" s="35">
        <v>44737</v>
      </c>
      <c r="ED5" s="35">
        <v>44765</v>
      </c>
      <c r="EE5" s="35">
        <v>44737</v>
      </c>
      <c r="EF5" s="35">
        <v>44774</v>
      </c>
      <c r="EG5" s="35"/>
      <c r="EH5" s="31">
        <v>1</v>
      </c>
      <c r="EI5" s="31">
        <v>13</v>
      </c>
      <c r="EJ5" s="35">
        <v>44737</v>
      </c>
      <c r="EK5" s="43">
        <f t="shared" si="24"/>
        <v>10</v>
      </c>
      <c r="EL5" s="39" t="str">
        <f t="shared" si="25"/>
        <v>NORMAL- SUMINISTRAR SULFATO FERROSO</v>
      </c>
      <c r="EM5" s="31" t="str">
        <f t="shared" si="26"/>
        <v>I TRIM</v>
      </c>
      <c r="EN5" s="37">
        <v>14</v>
      </c>
      <c r="EO5" s="35">
        <v>44866</v>
      </c>
      <c r="EP5" s="44">
        <f t="shared" si="27"/>
        <v>28.428571428571427</v>
      </c>
      <c r="EQ5" s="39" t="str">
        <f t="shared" si="28"/>
        <v>NO DAR SULFATO FERROSO</v>
      </c>
      <c r="ER5" s="37" t="s">
        <v>893</v>
      </c>
      <c r="ES5" s="35">
        <v>44737</v>
      </c>
      <c r="ET5" s="44">
        <f t="shared" si="29"/>
        <v>10</v>
      </c>
      <c r="EU5" s="39" t="str">
        <f t="shared" si="30"/>
        <v>NO HAY RIESGO POR RH</v>
      </c>
      <c r="EV5" s="31">
        <v>94</v>
      </c>
      <c r="EW5" s="35">
        <v>44737</v>
      </c>
      <c r="EX5" s="44">
        <f t="shared" si="31"/>
        <v>10</v>
      </c>
      <c r="EY5" s="44">
        <v>69</v>
      </c>
      <c r="EZ5" s="44">
        <v>110</v>
      </c>
      <c r="FA5" s="44">
        <v>70</v>
      </c>
      <c r="FB5" s="31" t="str">
        <f t="shared" ca="1" si="32"/>
        <v>NORMAL</v>
      </c>
      <c r="FC5" s="48">
        <v>44835</v>
      </c>
      <c r="FD5" s="44">
        <f t="shared" si="33"/>
        <v>24</v>
      </c>
      <c r="FE5" s="35" t="s">
        <v>894</v>
      </c>
      <c r="FF5" s="35">
        <v>44737</v>
      </c>
      <c r="FG5" s="44">
        <f t="shared" ca="1" si="34"/>
        <v>10</v>
      </c>
      <c r="FH5" s="35" t="s">
        <v>894</v>
      </c>
      <c r="FI5" s="49">
        <v>44803</v>
      </c>
      <c r="FJ5" s="44">
        <f t="shared" ca="1" si="35"/>
        <v>19.428571428571427</v>
      </c>
      <c r="FK5" s="35"/>
      <c r="FL5" s="49"/>
      <c r="FM5" s="44" t="str">
        <f t="shared" ca="1" si="36"/>
        <v>PIERDE TOMA DE TAMIZAJE</v>
      </c>
      <c r="FN5" s="35"/>
      <c r="FO5" s="49"/>
      <c r="FP5" s="44" t="str">
        <f>IF(AND(FE5="",FH5="",FK5="",FN5=""),"",IF(OR(OR(Tabla1[[#This Row],[TAMIZAJE  PARA SIFILIS  SEGÚN GPC SIFILIS I TRIMESTRE]]="P. R POSITIVA CASO SIFILIS",Tabla1[[#This Row],[TAMIZAJE  PARA SIFILIS  SEGÚN GPC SIFILIS II TRIMESTRE]]="P. R POSITIVA CASO SIFILIS",Tabla1[[#This Row],[TAMIZAJE  PARA SIFILIS  SEGÚN GPC SIFILIS III TRIMESTRE]]="P. R POSITIVA CASO SIFILIS",Tabla1[[#This Row],[TAMIZAJE  PARA SIFILIS  SEGÚN GPC SIFILIS INTRAPARTO]]="P. R POSITIVA CASO SIFILIS"),OR(Tabla1[[#This Row],[TAMIZAJE  PARA SIFILIS  SEGÚN GPC SIFILIS I TRIMESTRE]]="REINFECCIÓN-DILUCIONES AUMENTAN",Tabla1[[#This Row],[TAMIZAJE  PARA SIFILIS  SEGÚN GPC SIFILIS II TRIMESTRE]]="REINFECCIÓN-DILUCIONES AUMENTAN",Tabla1[[#This Row],[TAMIZAJE  PARA SIFILIS  SEGÚN GPC SIFILIS III TRIMESTRE]]="REINFECCIÓN-DILUCIONES AUMENTAN",Tabla1[[#This Row],[TAMIZAJE  PARA SIFILIS  SEGÚN GPC SIFILIS INTRAPARTO]]="REINFECCIÓN-DILUCIONES AUMENTAN")),"SIFILIS GESTACIONAL",""))</f>
        <v/>
      </c>
      <c r="FQ5" s="31" t="s">
        <v>801</v>
      </c>
      <c r="FR5" s="35">
        <v>44737</v>
      </c>
      <c r="FS5" s="44">
        <f t="shared" si="37"/>
        <v>10</v>
      </c>
      <c r="FT5" s="43" t="s">
        <v>895</v>
      </c>
      <c r="FU5" s="35">
        <v>44737</v>
      </c>
      <c r="FV5" s="44">
        <f t="shared" si="38"/>
        <v>10</v>
      </c>
      <c r="FW5" s="35">
        <v>44737</v>
      </c>
      <c r="FX5" s="35">
        <v>44737</v>
      </c>
      <c r="FY5" s="35" t="s">
        <v>896</v>
      </c>
      <c r="FZ5" s="35">
        <v>44737</v>
      </c>
      <c r="GA5" s="44">
        <f t="shared" ca="1" si="39"/>
        <v>10</v>
      </c>
      <c r="GB5" s="35" t="s">
        <v>896</v>
      </c>
      <c r="GC5" s="35">
        <v>44803</v>
      </c>
      <c r="GD5" s="44">
        <f t="shared" ca="1" si="40"/>
        <v>19.428571428571427</v>
      </c>
      <c r="GE5" s="35"/>
      <c r="GF5" s="35"/>
      <c r="GG5" s="44" t="str">
        <f t="shared" ca="1" si="41"/>
        <v>PIERDE TOMA DE TAMIZAJE</v>
      </c>
      <c r="GH5" s="35"/>
      <c r="GI5" s="44"/>
      <c r="GJ5" s="35" t="s">
        <v>883</v>
      </c>
      <c r="GK5" s="35"/>
      <c r="GL5" s="35" t="s">
        <v>883</v>
      </c>
      <c r="GM5" s="35"/>
      <c r="GN5" s="43" t="s">
        <v>895</v>
      </c>
      <c r="GO5" s="35">
        <v>44737</v>
      </c>
      <c r="GP5" s="44">
        <f t="shared" si="42"/>
        <v>10</v>
      </c>
      <c r="GQ5" s="43" t="s">
        <v>895</v>
      </c>
      <c r="GR5" s="43" t="s">
        <v>895</v>
      </c>
      <c r="GS5" s="35" t="str">
        <f t="shared" si="43"/>
        <v>CONTROL Igm</v>
      </c>
      <c r="GT5" s="35">
        <v>44737</v>
      </c>
      <c r="GU5" s="44">
        <f t="shared" si="44"/>
        <v>10</v>
      </c>
      <c r="GV5" s="31" t="str">
        <f t="shared" si="45"/>
        <v>I TRIM</v>
      </c>
      <c r="GW5" s="43" t="s">
        <v>895</v>
      </c>
      <c r="GX5" s="46">
        <v>5</v>
      </c>
      <c r="GY5" s="31"/>
      <c r="GZ5" s="35"/>
      <c r="HA5" s="43" t="str">
        <f t="shared" si="46"/>
        <v/>
      </c>
      <c r="HB5" s="31" t="str">
        <f t="shared" si="47"/>
        <v/>
      </c>
      <c r="HC5" s="31" t="str">
        <f t="shared" si="48"/>
        <v/>
      </c>
      <c r="HD5" s="31" t="s">
        <v>897</v>
      </c>
      <c r="HE5" s="31"/>
      <c r="HF5" s="31" t="s">
        <v>898</v>
      </c>
      <c r="HG5" s="31"/>
      <c r="HH5" s="31" t="s">
        <v>899</v>
      </c>
      <c r="HI5" s="31">
        <v>0</v>
      </c>
      <c r="HJ5" s="35" t="s">
        <v>900</v>
      </c>
      <c r="HK5" s="35" t="str">
        <f>IF(OR(O5&gt;0,R5&gt;0),CONCATENATE(IF(Tabla1[[#This Row],[NECESIDAD O DESARMONIA DESDE LO PROPIO 1]]&lt;&gt;"",Tabla1[[#This Row],[NECESIDAD O DESARMONIA DESDE LO PROPIO 1]],""),"*",CONCATENATE(IF(Tabla1[[#This Row],[NECESIDAD O DESARMONIA DESDE LO PROPIO 12]]&lt;&gt;"",Tabla1[[#This Row],[NECESIDAD O DESARMONIA DESDE LO PROPIO 12]],""),"*",CONCATENATE(IF(Tabla1[[#This Row],[NECESIDAD O DESARMONIA DESDE LO PROPIO 13]]&lt;&gt;"",Tabla1[[#This Row],[NECESIDAD O DESARMONIA DESDE LO PROPIO 13]],""),"*",CONCATENATE(IF(Tabla1[[#This Row],[NECESIDAD O DESARMONIA DESDE LO PROPIO 14]]&lt;&gt;"",Tabla1[[#This Row],[NECESIDAD O DESARMONIA DESDE LO PROPIO 14]],""),"*",CONCATENATE(IF(Tabla1[[#This Row],[NECESIDAD O DESARMONIA DESDE LO PROPIO 15]]&lt;&gt;"",Tabla1[[#This Row],[NECESIDAD O DESARMONIA DESDE LO PROPIO 15]],""),"*",CONCATENATE(IF(Tabla1[[#This Row],[NECESIDAD O DESARMONIA DESDE LO PROPIO 16]]&lt;&gt;"",Tabla1[[#This Row],[NECESIDAD O DESARMONIA DESDE LO PROPIO 16]],""),"*",CONCATENATE(IF(Tabla1[[#This Row],[NECESIDAD O DESARMONIA DESDE LO PROPIO 17444]]&lt;&gt;"",Tabla1[[#This Row],[NECESIDAD O DESARMONIA DESDE LO PROPIO 17444]],"")))))))),"")</f>
        <v>******</v>
      </c>
      <c r="HL5" s="35" t="str">
        <f t="shared" si="49"/>
        <v>*********PREVENCIÓN CONTAGIO TOXOPLASMOSIS***</v>
      </c>
      <c r="HM5" s="35" t="str">
        <f t="shared" ca="1" si="50"/>
        <v>CON RIESGO</v>
      </c>
      <c r="HN5" s="31" t="str">
        <f t="shared" ca="1" si="51"/>
        <v>**********************MULTIPARIDAD**RIESGO POR EDAD********</v>
      </c>
      <c r="HO5" s="31" t="str">
        <f t="shared" si="52"/>
        <v>SIN ANTECEDENTES DE RIESGO</v>
      </c>
      <c r="HP5" s="37" t="str">
        <f t="shared" si="53"/>
        <v>APARENTEMENTE NORMAL</v>
      </c>
      <c r="HQ5" s="31" t="str">
        <f t="shared" ca="1" si="54"/>
        <v/>
      </c>
      <c r="HR5" s="46" t="str">
        <f t="shared" si="55"/>
        <v>SALIO PROGRAMA</v>
      </c>
      <c r="HS5" s="31" t="s">
        <v>875</v>
      </c>
      <c r="HT5" s="31" t="s">
        <v>883</v>
      </c>
      <c r="HU5" s="35">
        <v>44866</v>
      </c>
      <c r="HV5" s="35" t="s">
        <v>901</v>
      </c>
      <c r="HW5" s="35">
        <v>44835</v>
      </c>
      <c r="HX5" s="35" t="s">
        <v>901</v>
      </c>
      <c r="HY5" s="35">
        <v>44866</v>
      </c>
      <c r="HZ5" s="35" t="s">
        <v>901</v>
      </c>
      <c r="IA5" s="40" t="s">
        <v>887</v>
      </c>
      <c r="IB5" s="35">
        <v>44737</v>
      </c>
      <c r="IC5" s="43">
        <f t="shared" si="56"/>
        <v>10</v>
      </c>
      <c r="ID5" s="40" t="s">
        <v>875</v>
      </c>
      <c r="IE5" s="40" t="s">
        <v>902</v>
      </c>
      <c r="IF5" s="35"/>
      <c r="IG5" s="35"/>
      <c r="IH5" s="171"/>
      <c r="II5" s="171"/>
      <c r="IJ5" s="171"/>
      <c r="IK5" s="37" t="str">
        <f ca="1">IF(AND(BK5="",PM5="SD"),"SIN DATO EDAD GESTACIONAL",IF(AND(BK5="",PN5=""),"",IF(AND(AND(BQ5&gt;0,BQ5&lt;12),PN5=""),"MENOR 12 SEMANAS",IF(AND(BQ5&gt;11.6,PN5="",HJ5="BAJO RIESGO O SE DESCARTA INFECCIÓN POR SARS-CoV2"),"PROGRAMAR APLICACION DE VACUNA",IF(OR(AND(BQ5&gt;11.6,PN5=""),HJ5="FACTOR DE RIESGO PARA COVID19",HJ5="COVID19 PRIMER TRIMESTRE",HJ5="COVID19 SEGUNDO TRIMESTRE",HJ5="COVID19 TERCER TRIMESTRE",HJ5="COVID19 PUERPERIO"),"DIFERIR FECHA DE VACUNACION SEGÚN LINEAMIENTOS",IF(AND(BQ5&gt;11.6,PN5="Error Jansen X Fecha Segunda Dosis"),"Error Jansen X Fecha Segunda Dosis",IF(AND(BQ5&gt;11.6,PN5="Firma"),"FIRMA DISENTIMIENTO",IF(AND(BQ5&gt;11.6,PN5="Firma3"),"NO ACEPTA VACUNA Y NO FIRMA DISCENTIMIENTO",IF(AND(BQ5&gt;11.6,PN5="Firma2"),"Error en Fecha x Firma Disentimiento",IF(AND(BQ5&gt;11.6,PN5="Firma4"),"Error en Fecha x No Acepta no Firma",IF(AND(BQ5&gt;11.6,PN5="Completo",Tabla1[[#This Row],[Fecha Refuerzo Anti COVID-20]]=""),"PENDIENTE REFUERZO",IF(AND(BQ5&gt;11.6,PN5="Completo",Tabla1[[#This Row],[Fecha Refuerzo Anti COVID-20]]&lt;&gt;""),"CON REFUERZO",IF(AND(BQ5&gt;11.6,PN5="Falta Dosis"),PQ5,IF(OR(AND(BQ5&gt;11.6,PN5=""),HJ5="",HJ5="NO SE EVALUA RIESGO INFECCIÓN COVID19"),"DEFINIR RIESGO CONTAGIO SARS-CoV2, columna GZ",""))))))))))))))</f>
        <v>FIRMA DISENTIMIENTO</v>
      </c>
      <c r="IL5" s="171">
        <v>44803</v>
      </c>
      <c r="IM5" s="35">
        <v>44803</v>
      </c>
      <c r="IN5" s="35" t="str">
        <f t="shared" ca="1" si="57"/>
        <v>VACUNA APLICADA ENTRE SEMANA 20 Y SEMANA 26</v>
      </c>
      <c r="IO5" s="35"/>
      <c r="IP5" s="35">
        <f t="shared" si="58"/>
        <v>44947</v>
      </c>
      <c r="IQ5" s="44">
        <f t="shared" ca="1" si="59"/>
        <v>-283</v>
      </c>
      <c r="IR5" s="35" t="str">
        <f t="shared" ca="1" si="60"/>
        <v>POSIBLEMENTE NACIO</v>
      </c>
      <c r="IS5" s="35"/>
      <c r="IT5" s="31" t="s">
        <v>915</v>
      </c>
      <c r="IU5" s="31" t="s">
        <v>905</v>
      </c>
      <c r="IV5" s="51" t="s">
        <v>916</v>
      </c>
      <c r="IW5" s="35">
        <v>44935</v>
      </c>
      <c r="IX5" s="31" t="s">
        <v>907</v>
      </c>
      <c r="IY5" s="44">
        <f t="shared" si="61"/>
        <v>38.285714285714285</v>
      </c>
      <c r="IZ5" s="52" t="s">
        <v>908</v>
      </c>
      <c r="JA5" s="31" t="s">
        <v>909</v>
      </c>
      <c r="JB5" s="31" t="s">
        <v>910</v>
      </c>
      <c r="JC5" s="31" t="s">
        <v>917</v>
      </c>
      <c r="JD5" s="31" t="s">
        <v>875</v>
      </c>
      <c r="JE5" s="31" t="s">
        <v>875</v>
      </c>
      <c r="JF5" s="31"/>
      <c r="JG5" s="31" t="s">
        <v>875</v>
      </c>
      <c r="JH5" s="31" t="s">
        <v>875</v>
      </c>
      <c r="JI5" s="31"/>
      <c r="JJ5" s="31" t="s">
        <v>918</v>
      </c>
      <c r="JK5" s="46">
        <v>1</v>
      </c>
      <c r="JL5" s="31" t="s">
        <v>919</v>
      </c>
      <c r="JM5" s="53">
        <v>2564</v>
      </c>
      <c r="JN5" s="31" t="str">
        <f t="shared" si="62"/>
        <v>PESO ADECUADO EDAD GESTACIONAL</v>
      </c>
      <c r="JO5" s="236">
        <v>44935</v>
      </c>
      <c r="JP5" s="31"/>
      <c r="JQ5" s="31"/>
      <c r="JR5" s="31"/>
      <c r="JS5" s="46" t="s">
        <v>893</v>
      </c>
      <c r="JT5" s="35">
        <v>44935</v>
      </c>
      <c r="JU5" s="35">
        <v>44935</v>
      </c>
      <c r="JV5" s="31"/>
      <c r="JW5" s="53"/>
      <c r="JX5" s="31" t="str">
        <f t="shared" si="63"/>
        <v/>
      </c>
      <c r="JY5" s="35"/>
      <c r="JZ5" s="31"/>
      <c r="KA5" s="31"/>
      <c r="KB5" s="31"/>
      <c r="KC5" s="46"/>
      <c r="KD5" s="35"/>
      <c r="KE5" s="35"/>
      <c r="KF5" s="50">
        <v>44942</v>
      </c>
      <c r="KG5" s="43">
        <f t="shared" si="64"/>
        <v>7</v>
      </c>
      <c r="KH5" s="50">
        <v>44942</v>
      </c>
      <c r="KI5" s="43">
        <f t="shared" si="65"/>
        <v>7</v>
      </c>
      <c r="KJ5" s="31" t="s">
        <v>875</v>
      </c>
      <c r="KK5" s="31" t="s">
        <v>875</v>
      </c>
      <c r="KL5" s="31" t="s">
        <v>875</v>
      </c>
      <c r="KM5" s="54">
        <v>44935</v>
      </c>
      <c r="KN5" s="43" t="s">
        <v>914</v>
      </c>
      <c r="KO5" s="43"/>
      <c r="KP5" s="43"/>
      <c r="KQ5" s="56"/>
      <c r="KR5" s="56"/>
      <c r="KS5" s="99"/>
      <c r="KT5" s="56"/>
      <c r="KU5" s="56"/>
      <c r="KV5" s="99"/>
      <c r="KW5" s="56"/>
      <c r="KX5" s="56"/>
      <c r="KY5" s="56"/>
      <c r="KZ5" s="56"/>
      <c r="LA5" s="56"/>
      <c r="LB5" s="56"/>
      <c r="LC5" s="56"/>
      <c r="LD5" s="55"/>
      <c r="LE5" s="55"/>
      <c r="LF5" s="55"/>
      <c r="LG5" s="55"/>
      <c r="LH5" s="55"/>
      <c r="LI5" s="55"/>
      <c r="LJ5" s="55"/>
      <c r="LK5" s="55"/>
      <c r="LL5" s="55"/>
      <c r="LM5" s="55"/>
      <c r="LN5" s="55"/>
      <c r="LO5" s="55"/>
      <c r="LP5" s="55"/>
      <c r="LQ5" s="55"/>
      <c r="LR5" s="55"/>
      <c r="LS5" s="55"/>
      <c r="LT5" s="55"/>
      <c r="LU5" s="55"/>
      <c r="LV5" s="55"/>
      <c r="LW5" s="55"/>
      <c r="LX5" s="55"/>
      <c r="LY5" s="55"/>
      <c r="LZ5" s="55"/>
      <c r="MA5" s="55"/>
      <c r="MB5" s="55"/>
      <c r="MC5" s="55"/>
      <c r="MD5" s="55"/>
      <c r="ME5" s="55"/>
      <c r="MF5" s="55"/>
      <c r="MG5" s="55"/>
      <c r="MH5" s="55"/>
      <c r="MI5" s="55"/>
      <c r="MJ5" s="55"/>
      <c r="MK5" s="55"/>
      <c r="ML5" s="55"/>
      <c r="MM5" s="55"/>
      <c r="MN5" s="55"/>
      <c r="MO5" s="55"/>
      <c r="MP5" s="153"/>
      <c r="MQ5" s="148">
        <f t="shared" si="66"/>
        <v>0</v>
      </c>
      <c r="MR5" t="str">
        <f t="shared" si="67"/>
        <v/>
      </c>
      <c r="MS5" t="str">
        <f t="shared" si="68"/>
        <v/>
      </c>
      <c r="MT5">
        <f t="shared" si="69"/>
        <v>0</v>
      </c>
      <c r="MU5">
        <f>IF(AND(Tabla1[[#This Row],[FECHA DE IDENTIFICACION DE LA GESTANTE]]="",Tabla1[[#This Row],[FECHA CONSULTA PRIMERA VEZ PROGRAMA CPN ]]=""),"",IF(AND(Tabla1[[#This Row],[FECHA DE IDENTIFICACION DE LA GESTANTE]]&gt;0,Tabla1[[#This Row],[FECHA CONSULTA PRIMERA VEZ PROGRAMA CPN ]]=""),"SIN INGRESO CPN",IF(AND(Tabla1[[#This Row],[FECHA DE IDENTIFICACION DE LA GESTANTE]]="",Tabla1[[#This Row],[FECHA CONSULTA PRIMERA VEZ PROGRAMA CPN ]]&gt;0),"NO APLICA",SUM(Tabla1[[#This Row],[FECHA CONSULTA PRIMERA VEZ PROGRAMA CPN ]]-Tabla1[[#This Row],[FECHA DE IDENTIFICACION DE LA GESTANTE]]))))</f>
        <v>0</v>
      </c>
      <c r="MV5">
        <f t="shared" si="70"/>
        <v>10</v>
      </c>
      <c r="MW5">
        <f t="shared" si="71"/>
        <v>6</v>
      </c>
      <c r="MX5">
        <f t="shared" si="72"/>
        <v>2022</v>
      </c>
      <c r="MY5" t="str">
        <f t="shared" si="73"/>
        <v>II TRIMESTRE AÑO</v>
      </c>
      <c r="MZ5">
        <f t="shared" si="74"/>
        <v>14.818769163381516</v>
      </c>
      <c r="NA5">
        <f t="shared" si="75"/>
        <v>1</v>
      </c>
      <c r="NB5" t="str">
        <f t="shared" si="76"/>
        <v>DE 14 A 19AÑOS</v>
      </c>
      <c r="NC5">
        <f t="shared" si="77"/>
        <v>0</v>
      </c>
      <c r="ND5">
        <f t="shared" si="78"/>
        <v>1</v>
      </c>
      <c r="NE5">
        <f t="shared" si="79"/>
        <v>0</v>
      </c>
      <c r="NF5">
        <f t="shared" si="80"/>
        <v>0</v>
      </c>
      <c r="NG5" t="str">
        <f t="shared" si="81"/>
        <v/>
      </c>
      <c r="NH5" t="str">
        <f t="shared" ca="1" si="82"/>
        <v/>
      </c>
      <c r="NI5" t="str">
        <f t="shared" si="83"/>
        <v/>
      </c>
      <c r="NJ5">
        <f t="shared" si="84"/>
        <v>0</v>
      </c>
      <c r="NK5" t="str">
        <f t="shared" si="85"/>
        <v>0</v>
      </c>
      <c r="NL5">
        <f t="shared" si="86"/>
        <v>0</v>
      </c>
      <c r="NM5">
        <f t="shared" ca="1" si="87"/>
        <v>2</v>
      </c>
      <c r="NN5">
        <f>IF(OR(O5&gt;0,R5&gt;0),SUM(COUNTIF(Tabla1[[#This Row],[AÑOS AL INICIO5 CPN]],"&gt;=40"),COUNTIF(AR5,"0"),COUNTIF(AQ5,"SI"),COUNTIF(BW5,"SI"),COUNTIF(BM5,"&gt;119"),COUNTIF(CC5,"&gt;=35")),"")</f>
        <v>0</v>
      </c>
      <c r="NO5">
        <f t="shared" si="88"/>
        <v>19.428571428571427</v>
      </c>
      <c r="NP5">
        <f t="shared" si="89"/>
        <v>0</v>
      </c>
      <c r="NQ5">
        <f t="shared" si="90"/>
        <v>113.39999999999999</v>
      </c>
      <c r="NR5" t="str">
        <f ca="1">IF(Tabla1[[#This Row],[GESTANTES ACTUALES]]="","SD",IF(Tabla1[[#This Row],[GESTANTES ACTUALES]]="SEGUIMIENTO REPORTE EPS","Y",IF(Tabla1[[#This Row],[GESTANTES ACTUALES]]="SALE SIN INGRESO CPN","X",IF(AND(Tabla1[[#This Row],[CITA PROXIMO CONTROL]]="",Tabla1[[#This Row],[GESTANTES ACTUALES]]="ACTIVA SIN INGRESO CPN",P5="NO"),"Z",IF(AND(Tabla1[[#This Row],[CITA PROXIMO CONTROL]]="CITA MANUAL",Tabla1[[#This Row],[GESTANTES ACTUALES]]="ACTIVA INGRESO A CPN"),"W",IF(AND(Tabla1[[#This Row],[GESTANTES ACTUALES]]="SALIO PROGRAMA",IW5=""),"S",IF(AND(Tabla1[[#This Row],[CITA PROXIMO CONTROL]]&gt;0,IW5=""),(Tabla1[[#This Row],[CITA PROXIMO CONTROL]]-TODAY()),"SD")))))))</f>
        <v>SD</v>
      </c>
      <c r="NS5">
        <f>MONTH(Tabla1[[#This Row],[FECHA DE SALIDA  DEL PROGRAMA]])</f>
        <v>1</v>
      </c>
      <c r="NT5">
        <f>YEAR(Tabla1[[#This Row],[FECHA DE SALIDA  DEL PROGRAMA]])</f>
        <v>2023</v>
      </c>
      <c r="NU5">
        <f t="shared" si="91"/>
        <v>37</v>
      </c>
      <c r="NV5" t="str">
        <f t="shared" si="92"/>
        <v>SI</v>
      </c>
      <c r="NW5" t="str">
        <f ca="1">IF(AND(O5&gt;0,R5=""),"NO CPN",IF(AND(O5="",R5=""),"",IF(AND(R5&gt;0,Tabla1[[#This Row],[SEMANAS DE GESTACION ACTUALIZADAS]]&lt;=12),"NO APLICA",IF(AND(FC5&lt;&gt;"",FI5&lt;&gt;""),"SI","NO"))))</f>
        <v>SI</v>
      </c>
      <c r="NX5" s="149" t="str">
        <f ca="1">IF(AND(O5&gt;0,R5=""),"NO CPN",IF(AND(O5="",R5=""),"",IF(AND(R5&gt;0,Tabla1[[#This Row],[SEMANAS DE GESTACION ACTUALIZADAS]]&lt;=27),"NO APLICA",IF(AND(EO5&lt;&gt;"",FL5&lt;&gt;"",GF5&lt;&gt;""),"SI","NO"))))</f>
        <v>NO</v>
      </c>
      <c r="NY5" s="147" t="str">
        <f t="shared" si="93"/>
        <v>II TRIM</v>
      </c>
      <c r="NZ5" s="1" t="e">
        <f>IF(AND(#REF!&gt;0,#REF!&lt;37),10,IF(OR(#REF!="Transversa",#REF!="Oblicua"),9,IF(#REF!="SI",8,IF(AND(#REF!=0,#REF!=0,#REF!="NO",#REF!="Cefálica",#REF!&gt;=37,#REF!="INICIO ESPONTÁNEO"),1,IF(AND(AND(#REF!=0,#REF!=0,#REF!="NO",#REF!="Cefálica",#REF!&gt;=37),OR(#REF!="LE HACEN INDUCCIÓN",#REF!="LE HACEN CESÁREA SIN INICIO TRABAJO DE PARTO")),2,IF(AND(#REF!&gt;=1,#REF!=0,#REF!="NO",#REF!="Cefálica",#REF!&gt;=37,#REF!="INICIO ESPONTÁNEO"),3,IF(AND(AND(#REF!&gt;=1,#REF!=0,#REF!="NO",#REF!="Cefálica",#REF!&gt;=37),OR(#REF!="LE HACEN INDUCCIÓN",#REF!="LE HACEN CESÁREA SIN INICIO TRABAJO DE PARTO")),4,IF(AND(AND(#REF!&gt;=1,#REF!&gt;=1,#REF!="NO",#REF!="Cefálica",#REF!&gt;=37),OR(#REF!="LE HACEN INDUCCIÓN",#REF!="LE HACEN CESÁREA SIN INICIO TRABAJO DE PARTO",#REF!="INICIO ESPONTÁNEO")),5,IF(AND(AND(#REF!=0,#REF!=0,#REF!="NO",#REF!="Podálica",#REF!&gt;=1),OR(#REF!="LE HACEN INDUCCIÓN",#REF!="LE HACEN CESÁREA SIN INICIO TRABAJO DE PARTO",#REF!="INICIO ESPONTÁNEO")),6,IF(AND(AND(#REF!&gt;=1,#REF!="NO",#REF!="Podálica",#REF!&gt;=1),OR(#REF!="LE HACEN INDUCCIÓN",#REF!="LE HACEN CESÁREA SIN INICIO TRABAJO DE PARTO",#REF!="INICIO ESPONTÁNEO"),OR(#REF!=0,#REF!&gt;=1)),7,""))))))))))</f>
        <v>#REF!</v>
      </c>
      <c r="OA5" s="1">
        <f t="shared" si="94"/>
        <v>3</v>
      </c>
      <c r="OB5" s="213">
        <f t="shared" ca="1" si="95"/>
        <v>2</v>
      </c>
      <c r="OC5" s="1">
        <f t="shared" ca="1" si="96"/>
        <v>2</v>
      </c>
      <c r="OD5" s="1" t="str">
        <f t="shared" ca="1" si="97"/>
        <v>INCOMPLETO</v>
      </c>
      <c r="OE5" s="1" t="str">
        <f t="shared" ca="1" si="98"/>
        <v>INCOMPLETO</v>
      </c>
      <c r="OF5" s="221" t="str">
        <f>IF(AND(O5="",R5=""),"",IF(OR(AND(Tabla1[[#This Row],[SUMINISTRO DE SULFATO FERROSO ]]="ADECUADO SEGÚN GPC",Tabla1[[#This Row],[SUMINISTRO CALCIO ]]="ADECUADO SEGÚN GPC",Tabla1[[#This Row],[SUMINISTRO DE ACIDO FOLICO ]]="ADECUADO SEGÚN GPC"),AND(Tabla1[[#This Row],[SUMINISTRO DE SULFATO FERROSO ]]="NO APLICA",Tabla1[[#This Row],[SUMINISTRO CALCIO ]]="ADECUADO SEGÚN GPC",Tabla1[[#This Row],[SUMINISTRO DE ACIDO FOLICO ]]="ADECUADO SEGÚN GPC"),AND(Tabla1[[#This Row],[SUMINISTRO DE SULFATO FERROSO ]]="ADECUADO SEGÚN GPC",Tabla1[[#This Row],[SUMINISTRO CALCIO ]]="NO APLICA",Tabla1[[#This Row],[SUMINISTRO DE ACIDO FOLICO ]]="ADECUADO SEGÚN GPC"),AND(Tabla1[[#This Row],[SUMINISTRO DE SULFATO FERROSO ]]="ADECUADO SEGÚN GPC",Tabla1[[#This Row],[SUMINISTRO CALCIO ]]="ADECUADO SEGÚN GPC",Tabla1[[#This Row],[SUMINISTRO DE ACIDO FOLICO ]]="NO APLICA"),AND(Tabla1[[#This Row],[SUMINISTRO DE SULFATO FERROSO ]]="NO APLICA",Tabla1[[#This Row],[SUMINISTRO CALCIO ]]="ADECUADO SEGÚN GPC",Tabla1[[#This Row],[SUMINISTRO DE ACIDO FOLICO ]]="NO APLICA"),AND(Tabla1[[#This Row],[SUMINISTRO DE SULFATO FERROSO ]]="NO APLICA",Tabla1[[#This Row],[SUMINISTRO CALCIO ]]="NO APLICA",Tabla1[[#This Row],[SUMINISTRO DE ACIDO FOLICO ]]="ADECUADO SEGÚN GPC"),AND(Tabla1[[#This Row],[SUMINISTRO DE SULFATO FERROSO ]]="ADECUADO SEGÚN GPC",Tabla1[[#This Row],[SUMINISTRO CALCIO ]]="NO APLICA",Tabla1[[#This Row],[SUMINISTRO DE ACIDO FOLICO ]]="NO APLICA"),AND(Tabla1[[#This Row],[SUMINISTRO DE SULFATO FERROSO ]]="NO APLICA",Tabla1[[#This Row],[SUMINISTRO CALCIO ]]="NO APLICA",Tabla1[[#This Row],[SUMINISTRO DE ACIDO FOLICO ]]="NO APLICA")),"COMPLETO","INCOMPLETO"))</f>
        <v>COMPLETO</v>
      </c>
      <c r="OG5" s="230" t="str">
        <f t="shared" ca="1" si="99"/>
        <v>VACUNADA</v>
      </c>
      <c r="OH5" s="148">
        <f>ROW(Tabla1[[#This Row],[SEMANAS DE GESTACION II TRIM]])</f>
        <v>5</v>
      </c>
      <c r="OI5" t="str">
        <f t="shared" si="100"/>
        <v/>
      </c>
      <c r="OJ5" t="str">
        <f t="shared" si="101"/>
        <v/>
      </c>
      <c r="OK5" t="str">
        <f t="shared" si="102"/>
        <v/>
      </c>
      <c r="OL5" t="str">
        <f t="shared" si="103"/>
        <v/>
      </c>
      <c r="OM5" t="str">
        <f t="shared" si="104"/>
        <v/>
      </c>
      <c r="ON5" t="str">
        <f t="shared" si="105"/>
        <v>NORMAL</v>
      </c>
      <c r="OO5" t="str">
        <f t="shared" si="106"/>
        <v/>
      </c>
      <c r="OP5" t="str">
        <f t="shared" si="107"/>
        <v/>
      </c>
      <c r="OQ5" t="str">
        <f t="shared" si="108"/>
        <v/>
      </c>
      <c r="OR5" t="str">
        <f t="shared" si="109"/>
        <v/>
      </c>
      <c r="OS5" t="str">
        <f t="shared" si="110"/>
        <v/>
      </c>
      <c r="OT5" t="str">
        <f t="shared" si="111"/>
        <v/>
      </c>
      <c r="OU5" t="str">
        <f t="shared" si="112"/>
        <v/>
      </c>
      <c r="OV5" t="str">
        <f t="shared" si="113"/>
        <v/>
      </c>
      <c r="OW5" t="str">
        <f t="shared" si="114"/>
        <v/>
      </c>
      <c r="OX5" t="str">
        <f t="shared" si="115"/>
        <v/>
      </c>
      <c r="OY5" t="str">
        <f t="shared" si="116"/>
        <v/>
      </c>
      <c r="OZ5" t="str">
        <f t="shared" si="117"/>
        <v/>
      </c>
      <c r="PA5" t="str">
        <f t="shared" si="118"/>
        <v>NORMAL</v>
      </c>
      <c r="PB5" t="str">
        <f t="shared" si="119"/>
        <v/>
      </c>
      <c r="PC5" t="str">
        <f t="shared" si="120"/>
        <v/>
      </c>
      <c r="PD5" t="str">
        <f t="shared" si="121"/>
        <v/>
      </c>
      <c r="PE5" t="str">
        <f t="shared" si="122"/>
        <v/>
      </c>
      <c r="PF5" t="str">
        <f t="shared" si="123"/>
        <v/>
      </c>
      <c r="PG5" t="str">
        <f t="shared" si="124"/>
        <v/>
      </c>
      <c r="PH5" t="str">
        <f t="shared" si="125"/>
        <v/>
      </c>
      <c r="PI5" t="str">
        <f t="shared" si="126"/>
        <v/>
      </c>
      <c r="PJ5" t="str">
        <f t="shared" si="127"/>
        <v/>
      </c>
      <c r="PK5" t="str">
        <f t="shared" si="128"/>
        <v/>
      </c>
      <c r="PL5" s="164" t="str">
        <f>IF(Tabla1[[#This Row],[Tipo Biológico Vacuna anti COVID-19 (Disentimiento)]]="Pfizer","a",IF(Tabla1[[#This Row],[Tipo Biológico Vacuna anti COVID-19 (Disentimiento)]]="Janssen","b",IF(Tabla1[[#This Row],[Tipo Biológico Vacuna anti COVID-19 (Disentimiento)]]="Sinovac","c",IF(Tabla1[[#This Row],[Tipo Biológico Vacuna anti COVID-19 (Disentimiento)]]="Jhonson&amp;Jhonson","e",IF(Tabla1[[#This Row],[Tipo Biológico Vacuna anti COVID-19 (Disentimiento)]]="Moderna","f",IF(Tabla1[[#This Row],[Tipo Biológico Vacuna anti COVID-19 (Disentimiento)]]="Firma Disentimiento","x",IF(Tabla1[[#This Row],[Tipo Biológico Vacuna anti COVID-19 (Disentimiento)]]="No Acepta y No Firma Disentimiento","xx",IF(Tabla1[[#This Row],[Tipo Biológico Vacuna anti COVID-19 (Disentimiento)]]="Astrazeneca","d",""))))))))</f>
        <v>x</v>
      </c>
      <c r="PM5" s="162" t="str">
        <f t="shared" si="129"/>
        <v/>
      </c>
      <c r="PN5" s="161" t="str">
        <f t="shared" si="130"/>
        <v>Firma</v>
      </c>
      <c r="PO5" s="163" t="str">
        <f>IF(Tabla1[[#This Row],[Tipo Biológico Vacuna anti COVID-19 (Disentimiento)]]="Pfizer",Tabla1[[#This Row],[Fecha 1ra Dosis Anti COVID-19]]+21,IF(Tabla1[[#This Row],[Tipo Biológico Vacuna anti COVID-19 (Disentimiento)]]="Janssen","Sin Segunda Dosis",IF(Tabla1[[#This Row],[Tipo Biológico Vacuna anti COVID-19 (Disentimiento)]]="Sinovac",Tabla1[[#This Row],[Fecha 1ra Dosis Anti COVID-19]]+28,IF(Tabla1[[#This Row],[Tipo Biológico Vacuna anti COVID-19 (Disentimiento)]]="Jhonson&amp;Jhonson","e",IF(Tabla1[[#This Row],[Tipo Biológico Vacuna anti COVID-19 (Disentimiento)]]="Moderna","f",IF(Tabla1[[#This Row],[Tipo Biológico Vacuna anti COVID-19 (Disentimiento)]]="Firma Disentimiento","Firma Disentimiento",IF(Tabla1[[#This Row],[Tipo Biológico Vacuna anti COVID-19 (Disentimiento)]]="Astrazeneca",Tabla1[[#This Row],[Fecha 1ra Dosis Anti COVID-19]]+84,"")))))))</f>
        <v>Firma Disentimiento</v>
      </c>
      <c r="PP5" s="161">
        <f ca="1">IF(PO5="","",SUM(TODAY()-Tabla1[[#This Row],[Fecha 1ra Dosis Anti COVID-19]]))</f>
        <v>45230</v>
      </c>
      <c r="PQ5" s="168" t="str">
        <f>IFERROR(IF(Tabla1[[#This Row],[Fecha 1ra Dosis Anti COVID-19]]="","",IF(OR(AND(Tabla1[[#This Row],[Tipo Biológico Vacuna anti COVID-19 (Disentimiento)]]="Astrazeneca",PP5&lt;84),AND(Tabla1[[#This Row],[Tipo Biológico Vacuna anti COVID-19 (Disentimiento)]]="Pfizer",PP5&lt;21),AND(Tabla1[[#This Row],[Tipo Biológico Vacuna anti COVID-19 (Disentimiento)]]="Moderna",PP5&lt;21),AND(Tabla1[[#This Row],[Tipo Biológico Vacuna anti COVID-19 (Disentimiento)]]="Sinovac",PP5&lt;28)),"Pendiente Segunda Dosis",IF(OR(AND(Tabla1[[#This Row],[Tipo Biológico Vacuna anti COVID-19 (Disentimiento)]]="Astrazeneca",PP5&gt;=85),AND(Tabla1[[#This Row],[Tipo Biológico Vacuna anti COVID-19 (Disentimiento)]]="Pfizer",PP5&gt;=22),AND(Tabla1[[#This Row],[Tipo Biológico Vacuna anti COVID-19 (Disentimiento)]]="Moderna",PP5&gt;=22),AND(Tabla1[[#This Row],[Tipo Biológico Vacuna anti COVID-19 (Disentimiento)]]="Sinovac",PP5&gt;=29)),"inasistente",IF(OR(AND(Tabla1[[#This Row],[Tipo Biológico Vacuna anti COVID-19 (Disentimiento)]],"Astrazeneca",PP5=84),AND(Tabla1[[#This Row],[Tipo Biológico Vacuna anti COVID-19 (Disentimiento)]],"Pfizer",PP5=21),AND(Tabla1[[#This Row],[Tipo Biológico Vacuna anti COVID-19 (Disentimiento)]],"Moderna",PP5=21),AND(Tabla1[[#This Row],[Tipo Biológico Vacuna anti COVID-19 (Disentimiento)]],"Sinovac",PP5=28)),"Día vacunación1","")))),"Día de Vacunación")</f>
        <v/>
      </c>
    </row>
    <row r="6" spans="1:433" ht="39.950000000000003" customHeight="1" x14ac:dyDescent="0.25">
      <c r="A6" s="145" t="s">
        <v>853</v>
      </c>
      <c r="B6" s="68" t="s">
        <v>854</v>
      </c>
      <c r="C6" s="68" t="s">
        <v>855</v>
      </c>
      <c r="D6" s="187" t="s">
        <v>856</v>
      </c>
      <c r="E6" s="68" t="s">
        <v>857</v>
      </c>
      <c r="F6" s="68" t="s">
        <v>858</v>
      </c>
      <c r="G6" s="68" t="s">
        <v>859</v>
      </c>
      <c r="H6" s="68"/>
      <c r="I6" s="145" t="s">
        <v>860</v>
      </c>
      <c r="J6" s="146">
        <v>1002952263</v>
      </c>
      <c r="K6" s="68" t="s">
        <v>861</v>
      </c>
      <c r="L6" s="68" t="s">
        <v>862</v>
      </c>
      <c r="M6" s="35">
        <v>37247</v>
      </c>
      <c r="N6" s="38">
        <f t="shared" ca="1" si="0"/>
        <v>21.87123287671233</v>
      </c>
      <c r="O6" s="35">
        <v>44662</v>
      </c>
      <c r="P6" s="39" t="str">
        <f t="shared" si="1"/>
        <v>SI</v>
      </c>
      <c r="Q6" s="40" t="s">
        <v>876</v>
      </c>
      <c r="R6" s="35">
        <v>44662</v>
      </c>
      <c r="S6" s="31" t="s">
        <v>877</v>
      </c>
      <c r="T6" s="37" t="s">
        <v>800</v>
      </c>
      <c r="U6" s="31" t="s">
        <v>878</v>
      </c>
      <c r="V6" s="31" t="s">
        <v>879</v>
      </c>
      <c r="W6" s="31" t="s">
        <v>880</v>
      </c>
      <c r="X6" s="31" t="s">
        <v>880</v>
      </c>
      <c r="Y6" s="31" t="s">
        <v>881</v>
      </c>
      <c r="Z6" s="31">
        <v>3044779923</v>
      </c>
      <c r="AA6" s="31" t="s">
        <v>882</v>
      </c>
      <c r="AB6" s="41" t="s">
        <v>883</v>
      </c>
      <c r="AC6" s="40" t="s">
        <v>884</v>
      </c>
      <c r="AD6" s="55" t="s">
        <v>885</v>
      </c>
      <c r="AE6" s="40" t="s">
        <v>875</v>
      </c>
      <c r="AF6" s="40" t="s">
        <v>875</v>
      </c>
      <c r="AG6" s="36" t="s">
        <v>886</v>
      </c>
      <c r="AH6" s="36" t="s">
        <v>886</v>
      </c>
      <c r="AI6" s="37" t="s">
        <v>885</v>
      </c>
      <c r="AJ6" s="36" t="s">
        <v>886</v>
      </c>
      <c r="AK6" s="42" t="str">
        <f>IF(AND(AE6="",AF6="",AG6="",AH6="",AI6="",AJ6=""),"",IF(AND(OR(O6&gt;0,R6&gt;0),NP6&gt;=0,NP6&lt;2),"SIN RIESGO",IF(AND(OR(O6&gt;0,R6&gt;0),NP6&gt;=2),"CON RIESGO",IF(AND(O6="",R6=""),"",IF(OR(Tabla1[[#This Row],[EMBARAZO ACEPTADO Y/O  DESEADO]]="SIN DATO",Tabla1[[#This Row],[APOYO FAMILIAR]]="SIN DATO",Tabla1[[#This Row],[ANSIEDAD (Tensión emocional, Humor depresivo y sx angustia).]]="SIN DATO",Tabla1[[#This Row],[GRUPO DE POBLACION ESPECIAL]]="SIN DATO",Tabla1[[#This Row],[HA SIDO VICTIMA DE VIOLENCIA BASADA EN GENERO]]="SIN DATO"),"COMPLETAR EVALUACIÓN","")))))</f>
        <v>SIN RIESGO</v>
      </c>
      <c r="AL6" s="36" t="s">
        <v>886</v>
      </c>
      <c r="AM6" s="40" t="s">
        <v>886</v>
      </c>
      <c r="AN6" s="40" t="s">
        <v>886</v>
      </c>
      <c r="AO6" s="40" t="s">
        <v>886</v>
      </c>
      <c r="AP6" s="40" t="s">
        <v>886</v>
      </c>
      <c r="AQ6" s="40" t="s">
        <v>886</v>
      </c>
      <c r="AR6" s="31">
        <v>1</v>
      </c>
      <c r="AS6" s="31">
        <v>0</v>
      </c>
      <c r="AT6" s="31">
        <v>1</v>
      </c>
      <c r="AU6" s="40" t="s">
        <v>886</v>
      </c>
      <c r="AV6" s="31">
        <v>0</v>
      </c>
      <c r="AW6" s="40" t="s">
        <v>886</v>
      </c>
      <c r="AX6" s="40" t="s">
        <v>886</v>
      </c>
      <c r="AY6" s="40" t="s">
        <v>886</v>
      </c>
      <c r="AZ6" s="40" t="s">
        <v>886</v>
      </c>
      <c r="BA6" s="40" t="s">
        <v>886</v>
      </c>
      <c r="BB6" s="40" t="s">
        <v>886</v>
      </c>
      <c r="BC6" s="40" t="s">
        <v>886</v>
      </c>
      <c r="BD6" s="40" t="s">
        <v>886</v>
      </c>
      <c r="BE6" s="40" t="s">
        <v>886</v>
      </c>
      <c r="BF6" s="40" t="s">
        <v>886</v>
      </c>
      <c r="BG6" s="40" t="s">
        <v>886</v>
      </c>
      <c r="BH6" s="40" t="s">
        <v>886</v>
      </c>
      <c r="BI6" s="40" t="s">
        <v>886</v>
      </c>
      <c r="BJ6" s="35">
        <v>44053</v>
      </c>
      <c r="BK6" s="35">
        <v>44657</v>
      </c>
      <c r="BL6" s="31" t="s">
        <v>875</v>
      </c>
      <c r="BM6" s="43">
        <f t="shared" si="2"/>
        <v>20.133333333333333</v>
      </c>
      <c r="BN6" s="57" t="str">
        <f t="shared" si="3"/>
        <v/>
      </c>
      <c r="BO6" s="44">
        <f t="shared" si="4"/>
        <v>0.7142857142857143</v>
      </c>
      <c r="BP6" s="31" t="str">
        <f t="shared" si="5"/>
        <v>I TRIM</v>
      </c>
      <c r="BQ6" s="39" t="str">
        <f t="shared" ca="1" si="6"/>
        <v/>
      </c>
      <c r="BR6" s="35"/>
      <c r="BS6" s="43"/>
      <c r="BT6" s="35"/>
      <c r="BU6" s="31"/>
      <c r="BV6" s="40" t="s">
        <v>886</v>
      </c>
      <c r="BW6" s="40" t="s">
        <v>886</v>
      </c>
      <c r="BX6" s="40" t="s">
        <v>887</v>
      </c>
      <c r="BY6" s="40" t="s">
        <v>887</v>
      </c>
      <c r="BZ6" s="35">
        <v>44662</v>
      </c>
      <c r="CA6" s="31">
        <v>1.6</v>
      </c>
      <c r="CB6" s="31">
        <v>65</v>
      </c>
      <c r="CC6" s="39">
        <f t="shared" si="7"/>
        <v>25.390624999999996</v>
      </c>
      <c r="CD6" s="45" t="str">
        <f t="shared" si="8"/>
        <v>SOBREPESO</v>
      </c>
      <c r="CE6" s="35"/>
      <c r="CF6" s="31"/>
      <c r="CG6" s="39">
        <f t="shared" si="9"/>
        <v>0</v>
      </c>
      <c r="CH6" s="31" t="str">
        <f t="shared" si="10"/>
        <v>NA</v>
      </c>
      <c r="CI6" s="31" t="str">
        <f>IF(OR(CH6="",CH6="NA"),"",IF(AND(CH6&gt;=29,CH6&lt;=42),"REGISTRAR EN III TRIM",IF(AND(CH6&gt;0,CH6&lt;=13),"REGISTRAR EN I TRIM",IF(CH6="REVISAR FUM O FECHA PESO","REVISAR",IF(CH6&gt;0,HLOOKUP(CH6,$OI$1:PK6,OH6),"")))))</f>
        <v/>
      </c>
      <c r="CJ6" s="35"/>
      <c r="CK6" s="31"/>
      <c r="CL6" s="39">
        <f t="shared" si="11"/>
        <v>0</v>
      </c>
      <c r="CM6" s="31" t="str">
        <f t="shared" si="12"/>
        <v>NA</v>
      </c>
      <c r="CN6" s="31" t="str">
        <f>IF(OR(CM6="",CM6="NA"),"",IF(AND(CM6&gt;0,CM6&lt;=28),"REGISTRAR EN  TRIM RESPECTIVO",IF(CM6&gt;0,HLOOKUP(CM6,$OI$1:PK6,OH6),"")))</f>
        <v/>
      </c>
      <c r="CO6" s="31" t="str">
        <f t="shared" si="13"/>
        <v>SOBREPESO</v>
      </c>
      <c r="CP6" s="31">
        <v>110</v>
      </c>
      <c r="CQ6" s="31">
        <v>70</v>
      </c>
      <c r="CR6" s="37" t="str">
        <f t="shared" si="14"/>
        <v>APARENTEMENTE NORMAL</v>
      </c>
      <c r="CS6" s="31"/>
      <c r="CT6" s="31"/>
      <c r="CU6" s="37" t="str">
        <f t="shared" si="15"/>
        <v/>
      </c>
      <c r="CV6" s="31"/>
      <c r="CW6" s="31"/>
      <c r="CX6" s="31"/>
      <c r="CY6" s="31"/>
      <c r="CZ6" s="37" t="str">
        <f t="shared" si="16"/>
        <v/>
      </c>
      <c r="DA6" s="35">
        <v>44662</v>
      </c>
      <c r="DB6" s="35">
        <v>44662</v>
      </c>
      <c r="DC6" s="35"/>
      <c r="DD6" s="35"/>
      <c r="DE6" s="35"/>
      <c r="DF6" s="35"/>
      <c r="DG6" s="35"/>
      <c r="DH6" s="35"/>
      <c r="DI6" s="35"/>
      <c r="DJ6" s="35"/>
      <c r="DK6" s="35"/>
      <c r="DL6" s="35"/>
      <c r="DM6" s="35"/>
      <c r="DN6" s="35"/>
      <c r="DO6" s="43"/>
      <c r="DP6" s="35"/>
      <c r="DQ6" s="31" t="str">
        <f t="shared" ca="1" si="17"/>
        <v>SALE SIN PLAN DE PARTO</v>
      </c>
      <c r="DR6" s="46" t="str">
        <f t="shared" si="18"/>
        <v>SEGUIMIENTO REPORTE EPS</v>
      </c>
      <c r="DS6" s="35" t="e">
        <f>IF(Tabla1[[#This Row],[EDAD GESTACIONAL ÚLTIMO CPN]]="SD","CITA MANUAL",IF(Tabla1[[#This Row],[GESTANTES ACTUALES]]="SALIO PROGRAMA","NO APLICA",IF(AND(Tabla1[[#This Row],[EDAD GESTACIONAL ÚLTIMO CPN]]&gt;0,Tabla1[[#This Row],[EDAD GESTACIONAL ÚLTIMO CPN]]&lt;=35),WORKDAY(SUM(Tabla1[[#This Row],[FECHA ULTIMO CPN]]+30),1,#REF!),IF(AND(Tabla1[[#This Row],[EDAD GESTACIONAL ÚLTIMO CPN]]&gt;=36,Tabla1[[#This Row],[EDAD GESTACIONAL ÚLTIMO CPN]]&lt;=42),WORKDAY(SUM(Tabla1[[#This Row],[FECHA ULTIMO CPN]]+14)-3,1,#REF!),""))))</f>
        <v>#VALUE!</v>
      </c>
      <c r="DT6" s="31" t="e">
        <f t="shared" ca="1" si="19"/>
        <v>#VALUE!</v>
      </c>
      <c r="DU6" s="35" t="e">
        <f>IF(R6="","",IF(R6&gt;0,MAX(Tabla1[[#This Row],[FECHA C2]:[FECHA C13]],Tabla1[[#This Row],[FECHA CONSULTA PRIMERA VEZ PROGRAMA CPN ]])))</f>
        <v>#VALUE!</v>
      </c>
      <c r="DV6" s="31" t="e">
        <f t="shared" si="20"/>
        <v>#VALUE!</v>
      </c>
      <c r="DW6" s="43">
        <f>IF(R6&gt;0,SUM(COUNTA(DC6:DN6)+COUNTA(Tabla1[[#This Row],[FECHA CONSULTA PRIMERA VEZ PROGRAMA CPN ]])),"")</f>
        <v>1</v>
      </c>
      <c r="DX6" s="43" t="str">
        <f t="shared" si="21"/>
        <v>NO</v>
      </c>
      <c r="DY6" s="39">
        <f t="shared" si="22"/>
        <v>11</v>
      </c>
      <c r="DZ6" s="47">
        <f t="shared" si="23"/>
        <v>9.0909090909090912E-2</v>
      </c>
      <c r="EA6" s="35">
        <v>44662</v>
      </c>
      <c r="EB6" s="35">
        <v>44662</v>
      </c>
      <c r="EC6" s="35">
        <v>44662</v>
      </c>
      <c r="ED6" s="35"/>
      <c r="EE6" s="35">
        <v>44662</v>
      </c>
      <c r="EF6" s="35"/>
      <c r="EG6" s="35"/>
      <c r="EH6" s="31"/>
      <c r="EI6" s="31">
        <v>14</v>
      </c>
      <c r="EJ6" s="35">
        <v>44662</v>
      </c>
      <c r="EK6" s="43">
        <f t="shared" si="24"/>
        <v>0.7142857142857143</v>
      </c>
      <c r="EL6" s="39" t="str">
        <f t="shared" si="25"/>
        <v>NORMAL- SUMINISTRAR SULFATO FERROSO</v>
      </c>
      <c r="EM6" s="31" t="str">
        <f t="shared" si="26"/>
        <v>I TRIM</v>
      </c>
      <c r="EN6" s="37"/>
      <c r="EO6" s="35"/>
      <c r="EP6" s="44" t="str">
        <f t="shared" si="27"/>
        <v>TOMAR EXAMEN</v>
      </c>
      <c r="EQ6" s="39" t="str">
        <f t="shared" si="28"/>
        <v/>
      </c>
      <c r="ER6" s="37" t="s">
        <v>893</v>
      </c>
      <c r="ES6" s="35">
        <v>44662</v>
      </c>
      <c r="ET6" s="44">
        <f t="shared" si="29"/>
        <v>0.7142857142857143</v>
      </c>
      <c r="EU6" s="39" t="str">
        <f t="shared" si="30"/>
        <v>NO HAY RIESGO POR RH</v>
      </c>
      <c r="EV6" s="31">
        <v>95</v>
      </c>
      <c r="EW6" s="35">
        <v>44662</v>
      </c>
      <c r="EX6" s="44">
        <f t="shared" si="31"/>
        <v>0.7142857142857143</v>
      </c>
      <c r="EY6" s="44"/>
      <c r="EZ6" s="44"/>
      <c r="FA6" s="44"/>
      <c r="FB6" s="31" t="str">
        <f t="shared" ca="1" si="32"/>
        <v/>
      </c>
      <c r="FC6" s="48"/>
      <c r="FD6" s="44" t="str">
        <f t="shared" si="33"/>
        <v>TOMAR EXAMEN</v>
      </c>
      <c r="FE6" s="35" t="s">
        <v>894</v>
      </c>
      <c r="FF6" s="35">
        <v>44662</v>
      </c>
      <c r="FG6" s="44">
        <f t="shared" ca="1" si="34"/>
        <v>0.7142857142857143</v>
      </c>
      <c r="FH6" s="35"/>
      <c r="FI6" s="49"/>
      <c r="FJ6" s="44" t="str">
        <f t="shared" ca="1" si="35"/>
        <v>PIERDE TOMA DE TAMIZAJE</v>
      </c>
      <c r="FK6" s="35"/>
      <c r="FL6" s="49"/>
      <c r="FM6" s="44" t="str">
        <f t="shared" ca="1" si="36"/>
        <v>PIERDE TOMA DE TAMIZAJE</v>
      </c>
      <c r="FN6" s="35"/>
      <c r="FO6" s="49"/>
      <c r="FP6" s="44" t="e">
        <f>IF(AND(FE6="",FH6="",FK6="",FN6=""),"",IF(OR(OR(Tabla1[[#This Row],[TAMIZAJE  PARA SIFILIS  SEGÚN GPC SIFILIS I TRIMESTRE]]="P. R POSITIVA CASO SIFILIS",Tabla1[[#This Row],[TAMIZAJE  PARA SIFILIS  SEGÚN GPC SIFILIS II TRIMESTRE]]="P. R POSITIVA CASO SIFILIS",Tabla1[[#This Row],[TAMIZAJE  PARA SIFILIS  SEGÚN GPC SIFILIS III TRIMESTRE]]="P. R POSITIVA CASO SIFILIS",Tabla1[[#This Row],[TAMIZAJE  PARA SIFILIS  SEGÚN GPC SIFILIS INTRAPARTO]]="P. R POSITIVA CASO SIFILIS"),OR(Tabla1[[#This Row],[TAMIZAJE  PARA SIFILIS  SEGÚN GPC SIFILIS I TRIMESTRE]]="REINFECCIÓN-DILUCIONES AUMENTAN",Tabla1[[#This Row],[TAMIZAJE  PARA SIFILIS  SEGÚN GPC SIFILIS II TRIMESTRE]]="REINFECCIÓN-DILUCIONES AUMENTAN",Tabla1[[#This Row],[TAMIZAJE  PARA SIFILIS  SEGÚN GPC SIFILIS III TRIMESTRE]]="REINFECCIÓN-DILUCIONES AUMENTAN",Tabla1[[#This Row],[TAMIZAJE  PARA SIFILIS  SEGÚN GPC SIFILIS INTRAPARTO]]="REINFECCIÓN-DILUCIONES AUMENTAN")),"SIFILIS GESTACIONAL",""))</f>
        <v>#VALUE!</v>
      </c>
      <c r="FQ6" s="31"/>
      <c r="FR6" s="35">
        <v>44662</v>
      </c>
      <c r="FS6" s="44">
        <f t="shared" si="37"/>
        <v>0.7142857142857143</v>
      </c>
      <c r="FT6" s="43" t="s">
        <v>895</v>
      </c>
      <c r="FU6" s="35">
        <v>44662</v>
      </c>
      <c r="FV6" s="44">
        <f t="shared" si="38"/>
        <v>0.7142857142857143</v>
      </c>
      <c r="FW6" s="35">
        <v>44662</v>
      </c>
      <c r="FX6" s="35">
        <v>44662</v>
      </c>
      <c r="FY6" s="35" t="s">
        <v>896</v>
      </c>
      <c r="FZ6" s="35">
        <v>44662</v>
      </c>
      <c r="GA6" s="44">
        <f t="shared" ca="1" si="39"/>
        <v>0.7142857142857143</v>
      </c>
      <c r="GB6" s="35"/>
      <c r="GC6" s="35"/>
      <c r="GD6" s="44" t="str">
        <f t="shared" ca="1" si="40"/>
        <v>PIERDE TOMA DE TAMIZAJE</v>
      </c>
      <c r="GE6" s="35"/>
      <c r="GF6" s="35"/>
      <c r="GG6" s="44" t="str">
        <f t="shared" ca="1" si="41"/>
        <v>PIERDE TOMA DE TAMIZAJE</v>
      </c>
      <c r="GH6" s="35"/>
      <c r="GI6" s="44"/>
      <c r="GJ6" s="35" t="s">
        <v>883</v>
      </c>
      <c r="GK6" s="35"/>
      <c r="GL6" s="35" t="s">
        <v>883</v>
      </c>
      <c r="GM6" s="35"/>
      <c r="GN6" s="43" t="s">
        <v>895</v>
      </c>
      <c r="GO6" s="35">
        <v>44662</v>
      </c>
      <c r="GP6" s="44">
        <f t="shared" si="42"/>
        <v>0.7142857142857143</v>
      </c>
      <c r="GQ6" s="43" t="s">
        <v>895</v>
      </c>
      <c r="GR6" s="43" t="s">
        <v>895</v>
      </c>
      <c r="GS6" s="35" t="str">
        <f t="shared" si="43"/>
        <v>CONTROL Igm</v>
      </c>
      <c r="GT6" s="35">
        <v>44662</v>
      </c>
      <c r="GU6" s="44">
        <f t="shared" si="44"/>
        <v>0.7142857142857143</v>
      </c>
      <c r="GV6" s="31" t="str">
        <f t="shared" si="45"/>
        <v>I TRIM</v>
      </c>
      <c r="GW6" s="43"/>
      <c r="GX6" s="46"/>
      <c r="GY6" s="31"/>
      <c r="GZ6" s="35"/>
      <c r="HA6" s="43" t="str">
        <f t="shared" si="46"/>
        <v/>
      </c>
      <c r="HB6" s="31" t="str">
        <f t="shared" si="47"/>
        <v/>
      </c>
      <c r="HC6" s="31" t="str">
        <f t="shared" si="48"/>
        <v/>
      </c>
      <c r="HD6" s="31" t="s">
        <v>897</v>
      </c>
      <c r="HE6" s="31"/>
      <c r="HF6" s="31" t="s">
        <v>898</v>
      </c>
      <c r="HG6" s="31"/>
      <c r="HH6" s="31" t="s">
        <v>899</v>
      </c>
      <c r="HI6" s="31">
        <v>0</v>
      </c>
      <c r="HJ6" s="35" t="s">
        <v>900</v>
      </c>
      <c r="HK6" s="35" t="e">
        <f>IF(OR(O6&gt;0,R6&gt;0),CONCATENATE(IF(Tabla1[[#This Row],[NECESIDAD O DESARMONIA DESDE LO PROPIO 1]]&lt;&gt;"",Tabla1[[#This Row],[NECESIDAD O DESARMONIA DESDE LO PROPIO 1]],""),"*",CONCATENATE(IF(Tabla1[[#This Row],[NECESIDAD O DESARMONIA DESDE LO PROPIO 12]]&lt;&gt;"",Tabla1[[#This Row],[NECESIDAD O DESARMONIA DESDE LO PROPIO 12]],""),"*",CONCATENATE(IF(Tabla1[[#This Row],[NECESIDAD O DESARMONIA DESDE LO PROPIO 13]]&lt;&gt;"",Tabla1[[#This Row],[NECESIDAD O DESARMONIA DESDE LO PROPIO 13]],""),"*",CONCATENATE(IF(Tabla1[[#This Row],[NECESIDAD O DESARMONIA DESDE LO PROPIO 14]]&lt;&gt;"",Tabla1[[#This Row],[NECESIDAD O DESARMONIA DESDE LO PROPIO 14]],""),"*",CONCATENATE(IF(Tabla1[[#This Row],[NECESIDAD O DESARMONIA DESDE LO PROPIO 15]]&lt;&gt;"",Tabla1[[#This Row],[NECESIDAD O DESARMONIA DESDE LO PROPIO 15]],""),"*",CONCATENATE(IF(Tabla1[[#This Row],[NECESIDAD O DESARMONIA DESDE LO PROPIO 16]]&lt;&gt;"",Tabla1[[#This Row],[NECESIDAD O DESARMONIA DESDE LO PROPIO 16]],""),"*",CONCATENATE(IF(Tabla1[[#This Row],[NECESIDAD O DESARMONIA DESDE LO PROPIO 17444]]&lt;&gt;"",Tabla1[[#This Row],[NECESIDAD O DESARMONIA DESDE LO PROPIO 17444]],"")))))))),"")</f>
        <v>#VALUE!</v>
      </c>
      <c r="HL6" s="35" t="str">
        <f t="shared" si="49"/>
        <v>*****SOBREPESO****PREVENCIÓN CONTAGIO TOXOPLASMOSIS***</v>
      </c>
      <c r="HM6" s="35" t="e">
        <f t="shared" si="50"/>
        <v>#VALUE!</v>
      </c>
      <c r="HN6" s="31" t="e">
        <f t="shared" ca="1" si="51"/>
        <v>#VALUE!</v>
      </c>
      <c r="HO6" s="31" t="e">
        <f t="shared" si="52"/>
        <v>#VALUE!</v>
      </c>
      <c r="HP6" s="37" t="str">
        <f t="shared" si="53"/>
        <v>APARENTEMENTE NORMAL</v>
      </c>
      <c r="HQ6" s="31" t="e">
        <f t="shared" ca="1" si="54"/>
        <v>#VALUE!</v>
      </c>
      <c r="HR6" s="46" t="str">
        <f t="shared" si="55"/>
        <v>SEGUIMIENTO REPORTE EPS</v>
      </c>
      <c r="HS6" s="31" t="s">
        <v>875</v>
      </c>
      <c r="HT6" s="31" t="s">
        <v>883</v>
      </c>
      <c r="HU6" s="35"/>
      <c r="HV6" s="35"/>
      <c r="HW6" s="35">
        <v>44662</v>
      </c>
      <c r="HX6" s="35" t="s">
        <v>901</v>
      </c>
      <c r="HY6" s="35">
        <v>44662</v>
      </c>
      <c r="HZ6" s="35" t="s">
        <v>901</v>
      </c>
      <c r="IA6" s="40" t="s">
        <v>887</v>
      </c>
      <c r="IB6" s="35">
        <v>44662</v>
      </c>
      <c r="IC6" s="43">
        <f t="shared" si="56"/>
        <v>0.7142857142857143</v>
      </c>
      <c r="ID6" s="40" t="s">
        <v>875</v>
      </c>
      <c r="IE6" s="40"/>
      <c r="IF6" s="35"/>
      <c r="IG6" s="35"/>
      <c r="IH6" s="171"/>
      <c r="II6" s="171"/>
      <c r="IJ6" s="171"/>
      <c r="IK6" s="37" t="e">
        <f>IF(AND(BK6="",PM6="SD"),"SIN DATO EDAD GESTACIONAL",IF(AND(BK6="",PN6=""),"",IF(AND(AND(BQ6&gt;0,BQ6&lt;12),PN6=""),"MENOR 12 SEMANAS",IF(AND(BQ6&gt;11.6,PN6="",HJ6="BAJO RIESGO O SE DESCARTA INFECCIÓN POR SARS-CoV2"),"PROGRAMAR APLICACION DE VACUNA",IF(OR(AND(BQ6&gt;11.6,PN6=""),HJ6="FACTOR DE RIESGO PARA COVID19",HJ6="COVID19 PRIMER TRIMESTRE",HJ6="COVID19 SEGUNDO TRIMESTRE",HJ6="COVID19 TERCER TRIMESTRE",HJ6="COVID19 PUERPERIO"),"DIFERIR FECHA DE VACUNACION SEGÚN LINEAMIENTOS",IF(AND(BQ6&gt;11.6,PN6="Error Jansen X Fecha Segunda Dosis"),"Error Jansen X Fecha Segunda Dosis",IF(AND(BQ6&gt;11.6,PN6="Firma"),"FIRMA DISENTIMIENTO",IF(AND(BQ6&gt;11.6,PN6="Firma3"),"NO ACEPTA VACUNA Y NO FIRMA DISCENTIMIENTO",IF(AND(BQ6&gt;11.6,PN6="Firma2"),"Error en Fecha x Firma Disentimiento",IF(AND(BQ6&gt;11.6,PN6="Firma4"),"Error en Fecha x No Acepta no Firma",IF(AND(BQ6&gt;11.6,PN6="Completo",Tabla1[[#This Row],[Fecha Refuerzo Anti COVID-20]]=""),"PENDIENTE REFUERZO",IF(AND(BQ6&gt;11.6,PN6="Completo",Tabla1[[#This Row],[Fecha Refuerzo Anti COVID-20]]&lt;&gt;""),"CON REFUERZO",IF(AND(BQ6&gt;11.6,PN6="Falta Dosis"),PQ6,IF(OR(AND(BQ6&gt;11.6,PN6=""),HJ6="",HJ6="NO SE EVALUA RIESGO INFECCIÓN COVID19"),"DEFINIR RIESGO CONTAGIO SARS-CoV2, columna GZ",""))))))))))))))</f>
        <v>#VALUE!</v>
      </c>
      <c r="IL6" s="171"/>
      <c r="IM6" s="35"/>
      <c r="IN6" s="35" t="str">
        <f t="shared" ca="1" si="57"/>
        <v/>
      </c>
      <c r="IO6" s="35"/>
      <c r="IP6" s="35">
        <f t="shared" si="58"/>
        <v>44937</v>
      </c>
      <c r="IQ6" s="44">
        <f t="shared" ca="1" si="59"/>
        <v>-293</v>
      </c>
      <c r="IR6" s="35" t="str">
        <f t="shared" ca="1" si="60"/>
        <v>POSIBLEMENTE NACIO</v>
      </c>
      <c r="IS6" s="35"/>
      <c r="IT6" s="31" t="s">
        <v>903</v>
      </c>
      <c r="IU6" s="31"/>
      <c r="IV6" s="51"/>
      <c r="IW6" s="35"/>
      <c r="IX6" s="31"/>
      <c r="IY6" s="44" t="str">
        <f t="shared" si="61"/>
        <v/>
      </c>
      <c r="IZ6" s="52"/>
      <c r="JA6" s="31"/>
      <c r="JB6" s="31"/>
      <c r="JC6" s="31"/>
      <c r="JD6" s="31"/>
      <c r="JE6" s="31"/>
      <c r="JF6" s="31"/>
      <c r="JG6" s="31"/>
      <c r="JH6" s="31"/>
      <c r="JI6" s="31"/>
      <c r="JJ6" s="31"/>
      <c r="JK6" s="46"/>
      <c r="JL6" s="31"/>
      <c r="JM6" s="53"/>
      <c r="JN6" s="31" t="str">
        <f t="shared" si="62"/>
        <v/>
      </c>
      <c r="JO6" s="46"/>
      <c r="JP6" s="31"/>
      <c r="JQ6" s="31"/>
      <c r="JR6" s="31"/>
      <c r="JS6" s="46"/>
      <c r="JT6" s="35"/>
      <c r="JU6" s="35"/>
      <c r="JV6" s="31"/>
      <c r="JW6" s="53"/>
      <c r="JX6" s="31" t="str">
        <f t="shared" si="63"/>
        <v/>
      </c>
      <c r="JY6" s="35"/>
      <c r="JZ6" s="31"/>
      <c r="KA6" s="31"/>
      <c r="KB6" s="31"/>
      <c r="KC6" s="46"/>
      <c r="KD6" s="35"/>
      <c r="KE6" s="35"/>
      <c r="KF6" s="50"/>
      <c r="KG6" s="43" t="str">
        <f t="shared" si="64"/>
        <v/>
      </c>
      <c r="KH6" s="50"/>
      <c r="KI6" s="43" t="str">
        <f t="shared" si="65"/>
        <v/>
      </c>
      <c r="KJ6" s="31"/>
      <c r="KK6" s="31"/>
      <c r="KL6" s="31"/>
      <c r="KM6" s="54"/>
      <c r="KN6" s="43"/>
      <c r="KO6" s="43"/>
      <c r="KP6" s="43"/>
      <c r="KQ6" s="56"/>
      <c r="KR6" s="56"/>
      <c r="KS6" s="99"/>
      <c r="KT6" s="56"/>
      <c r="KU6" s="56"/>
      <c r="KV6" s="99"/>
      <c r="KW6" s="56"/>
      <c r="KX6" s="56"/>
      <c r="KY6" s="56"/>
      <c r="KZ6" s="56"/>
      <c r="LA6" s="56"/>
      <c r="LB6" s="56"/>
      <c r="LC6" s="56"/>
      <c r="LD6" s="55"/>
      <c r="LE6" s="55"/>
      <c r="LF6" s="55"/>
      <c r="LG6" s="55"/>
      <c r="LH6" s="55"/>
      <c r="LI6" s="55"/>
      <c r="LJ6" s="55"/>
      <c r="LK6" s="55"/>
      <c r="LL6" s="55"/>
      <c r="LM6" s="55"/>
      <c r="LN6" s="55"/>
      <c r="LO6" s="55"/>
      <c r="LP6" s="55"/>
      <c r="LQ6" s="55"/>
      <c r="LR6" s="55"/>
      <c r="LS6" s="55"/>
      <c r="LT6" s="55"/>
      <c r="LU6" s="55"/>
      <c r="LV6" s="55"/>
      <c r="LW6" s="55"/>
      <c r="LX6" s="55"/>
      <c r="LY6" s="55"/>
      <c r="LZ6" s="55"/>
      <c r="MA6" s="55"/>
      <c r="MB6" s="55"/>
      <c r="MC6" s="55"/>
      <c r="MD6" s="55"/>
      <c r="ME6" s="55"/>
      <c r="MF6" s="55"/>
      <c r="MG6" s="55"/>
      <c r="MH6" s="55"/>
      <c r="MI6" s="55"/>
      <c r="MJ6" s="55"/>
      <c r="MK6" s="55"/>
      <c r="ML6" s="55"/>
      <c r="MM6" s="55"/>
      <c r="MN6" s="55"/>
      <c r="MO6" s="55"/>
      <c r="MP6" s="153"/>
      <c r="MQ6" s="148">
        <f t="shared" si="66"/>
        <v>0</v>
      </c>
      <c r="MR6" t="str">
        <f t="shared" si="67"/>
        <v/>
      </c>
      <c r="MS6" t="str">
        <f t="shared" si="68"/>
        <v/>
      </c>
      <c r="MT6">
        <f t="shared" si="69"/>
        <v>0</v>
      </c>
      <c r="MU6" t="e">
        <f>IF(AND(Tabla1[[#This Row],[FECHA DE IDENTIFICACION DE LA GESTANTE]]="",Tabla1[[#This Row],[FECHA CONSULTA PRIMERA VEZ PROGRAMA CPN ]]=""),"",IF(AND(Tabla1[[#This Row],[FECHA DE IDENTIFICACION DE LA GESTANTE]]&gt;0,Tabla1[[#This Row],[FECHA CONSULTA PRIMERA VEZ PROGRAMA CPN ]]=""),"SIN INGRESO CPN",IF(AND(Tabla1[[#This Row],[FECHA DE IDENTIFICACION DE LA GESTANTE]]="",Tabla1[[#This Row],[FECHA CONSULTA PRIMERA VEZ PROGRAMA CPN ]]&gt;0),"NO APLICA",SUM(Tabla1[[#This Row],[FECHA CONSULTA PRIMERA VEZ PROGRAMA CPN ]]-Tabla1[[#This Row],[FECHA DE IDENTIFICACION DE LA GESTANTE]]))))</f>
        <v>#VALUE!</v>
      </c>
      <c r="MV6">
        <f t="shared" si="70"/>
        <v>0.7142857142857143</v>
      </c>
      <c r="MW6">
        <f t="shared" si="71"/>
        <v>4</v>
      </c>
      <c r="MX6">
        <f t="shared" si="72"/>
        <v>2022</v>
      </c>
      <c r="MY6" t="str">
        <f t="shared" si="73"/>
        <v>II TRIMESTRE AÑO</v>
      </c>
      <c r="MZ6">
        <f t="shared" si="74"/>
        <v>20.009307928164695</v>
      </c>
      <c r="NA6">
        <f t="shared" si="75"/>
        <v>0</v>
      </c>
      <c r="NB6" t="str">
        <f t="shared" si="76"/>
        <v xml:space="preserve"> DE 20 A 24 AÑOS</v>
      </c>
      <c r="NC6">
        <f t="shared" si="77"/>
        <v>0</v>
      </c>
      <c r="ND6">
        <f t="shared" si="78"/>
        <v>1</v>
      </c>
      <c r="NE6">
        <f t="shared" si="79"/>
        <v>0</v>
      </c>
      <c r="NF6">
        <f t="shared" si="80"/>
        <v>0</v>
      </c>
      <c r="NG6" t="str">
        <f t="shared" si="81"/>
        <v/>
      </c>
      <c r="NH6" t="str">
        <f t="shared" ca="1" si="82"/>
        <v/>
      </c>
      <c r="NI6" t="str">
        <f t="shared" si="83"/>
        <v/>
      </c>
      <c r="NJ6">
        <f t="shared" si="84"/>
        <v>0</v>
      </c>
      <c r="NK6" t="str">
        <f t="shared" si="85"/>
        <v>0</v>
      </c>
      <c r="NL6">
        <f t="shared" si="86"/>
        <v>0</v>
      </c>
      <c r="NM6">
        <f t="shared" ca="1" si="87"/>
        <v>1</v>
      </c>
      <c r="NN6" t="e">
        <f>IF(OR(O6&gt;0,R6&gt;0),SUM(COUNTIF(Tabla1[[#This Row],[AÑOS AL INICIO5 CPN]],"&gt;=40"),COUNTIF(AR6,"0"),COUNTIF(AQ6,"SI"),COUNTIF(BW6,"SI"),COUNTIF(BM6,"&gt;119"),COUNTIF(CC6,"&gt;=35")),"")</f>
        <v>#VALUE!</v>
      </c>
      <c r="NO6" t="str">
        <f t="shared" si="88"/>
        <v/>
      </c>
      <c r="NP6">
        <f t="shared" si="89"/>
        <v>0</v>
      </c>
      <c r="NQ6" t="str">
        <f t="shared" si="90"/>
        <v/>
      </c>
      <c r="NR6" t="e">
        <f ca="1">IF(Tabla1[[#This Row],[GESTANTES ACTUALES]]="","SD",IF(Tabla1[[#This Row],[GESTANTES ACTUALES]]="SEGUIMIENTO REPORTE EPS","Y",IF(Tabla1[[#This Row],[GESTANTES ACTUALES]]="SALE SIN INGRESO CPN","X",IF(AND(Tabla1[[#This Row],[CITA PROXIMO CONTROL]]="",Tabla1[[#This Row],[GESTANTES ACTUALES]]="ACTIVA SIN INGRESO CPN",P6="NO"),"Z",IF(AND(Tabla1[[#This Row],[CITA PROXIMO CONTROL]]="CITA MANUAL",Tabla1[[#This Row],[GESTANTES ACTUALES]]="ACTIVA INGRESO A CPN"),"W",IF(AND(Tabla1[[#This Row],[GESTANTES ACTUALES]]="SALIO PROGRAMA",IW6=""),"S",IF(AND(Tabla1[[#This Row],[CITA PROXIMO CONTROL]]&gt;0,IW6=""),(Tabla1[[#This Row],[CITA PROXIMO CONTROL]]-TODAY()),"SD")))))))</f>
        <v>#VALUE!</v>
      </c>
      <c r="NS6" t="e">
        <f>MONTH(Tabla1[[#This Row],[FECHA DE SALIDA  DEL PROGRAMA]])</f>
        <v>#VALUE!</v>
      </c>
      <c r="NT6" t="e">
        <f>YEAR(Tabla1[[#This Row],[FECHA DE SALIDA  DEL PROGRAMA]])</f>
        <v>#VALUE!</v>
      </c>
      <c r="NU6" t="str">
        <f t="shared" si="91"/>
        <v>X</v>
      </c>
      <c r="NV6" t="str">
        <f t="shared" si="92"/>
        <v>SI</v>
      </c>
      <c r="NW6" t="e">
        <f>IF(AND(O6&gt;0,R6=""),"NO CPN",IF(AND(O6="",R6=""),"",IF(AND(R6&gt;0,Tabla1[[#This Row],[SEMANAS DE GESTACION ACTUALIZADAS]]&lt;=12),"NO APLICA",IF(AND(FC6&lt;&gt;"",FI6&lt;&gt;""),"SI","NO"))))</f>
        <v>#VALUE!</v>
      </c>
      <c r="NX6" s="149" t="e">
        <f>IF(AND(O6&gt;0,R6=""),"NO CPN",IF(AND(O6="",R6=""),"",IF(AND(R6&gt;0,Tabla1[[#This Row],[SEMANAS DE GESTACION ACTUALIZADAS]]&lt;=27),"NO APLICA",IF(AND(EO6&lt;&gt;"",FL6&lt;&gt;"",GF6&lt;&gt;""),"SI","NO"))))</f>
        <v>#VALUE!</v>
      </c>
      <c r="NY6" s="147" t="str">
        <f t="shared" si="93"/>
        <v>I TRIM</v>
      </c>
      <c r="NZ6" s="1">
        <f>IF(AND(IY7&gt;0,IY7&lt;37),10,IF(OR(BX7="Transversa",BX7="Oblicua"),9,IF(BW7="SI",8,IF(AND(AS7=0,AV7=0,BW7="NO",BX7="Cefálica",IY7&gt;=37,JC7="INICIO ESPONTÁNEO"),1,IF(AND(AND(AS7=0,AV7=0,BW7="NO",BX7="Cefálica",IY7&gt;=37),OR(JC7="LE HACEN INDUCCIÓN",JC7="LE HACEN CESÁREA SIN INICIO TRABAJO DE PARTO")),2,IF(AND(AS7&gt;=1,AV7=0,BW7="NO",BX7="Cefálica",IY7&gt;=37,JC7="INICIO ESPONTÁNEO"),3,IF(AND(AND(AS7&gt;=1,AV7=0,BW7="NO",BX7="Cefálica",IY7&gt;=37),OR(JC7="LE HACEN INDUCCIÓN",JC7="LE HACEN CESÁREA SIN INICIO TRABAJO DE PARTO")),4,IF(AND(AND(AS7&gt;=1,AV7&gt;=1,BW7="NO",BX7="Cefálica",IY7&gt;=37),OR(JC7="LE HACEN INDUCCIÓN",JC7="LE HACEN CESÁREA SIN INICIO TRABAJO DE PARTO",JC7="INICIO ESPONTÁNEO")),5,IF(AND(AND(AS7=0,AV7=0,BW7="NO",BX7="Podálica",IY7&gt;=1),OR(JC7="LE HACEN INDUCCIÓN",JC7="LE HACEN CESÁREA SIN INICIO TRABAJO DE PARTO",JC7="INICIO ESPONTÁNEO")),6,IF(AND(AND(AS7&gt;=1,BW7="NO",BX7="Podálica",IY7&gt;=1),OR(JC7="LE HACEN INDUCCIÓN",JC7="LE HACEN CESÁREA SIN INICIO TRABAJO DE PARTO",JC7="INICIO ESPONTÁNEO"),OR(AV7=0,AV7&gt;=1)),7,""))))))))))</f>
        <v>2</v>
      </c>
      <c r="OA6" s="1" t="str">
        <f t="shared" ca="1" si="94"/>
        <v>REVISAR FUM O FECHA SALIDA PROGRAMA</v>
      </c>
      <c r="OB6" s="213">
        <f t="shared" ca="1" si="95"/>
        <v>1</v>
      </c>
      <c r="OC6" s="1">
        <f t="shared" ca="1" si="96"/>
        <v>1</v>
      </c>
      <c r="OD6" s="1" t="str">
        <f t="shared" ca="1" si="97"/>
        <v>POR DEFINIR</v>
      </c>
      <c r="OE6" s="1" t="str">
        <f t="shared" ca="1" si="98"/>
        <v>POR DEFINIR</v>
      </c>
      <c r="OF6" s="221" t="e">
        <f>IF(AND(O6="",R6=""),"",IF(OR(AND(Tabla1[[#This Row],[SUMINISTRO DE SULFATO FERROSO ]]="ADECUADO SEGÚN GPC",Tabla1[[#This Row],[SUMINISTRO CALCIO ]]="ADECUADO SEGÚN GPC",Tabla1[[#This Row],[SUMINISTRO DE ACIDO FOLICO ]]="ADECUADO SEGÚN GPC"),AND(Tabla1[[#This Row],[SUMINISTRO DE SULFATO FERROSO ]]="NO APLICA",Tabla1[[#This Row],[SUMINISTRO CALCIO ]]="ADECUADO SEGÚN GPC",Tabla1[[#This Row],[SUMINISTRO DE ACIDO FOLICO ]]="ADECUADO SEGÚN GPC"),AND(Tabla1[[#This Row],[SUMINISTRO DE SULFATO FERROSO ]]="ADECUADO SEGÚN GPC",Tabla1[[#This Row],[SUMINISTRO CALCIO ]]="NO APLICA",Tabla1[[#This Row],[SUMINISTRO DE ACIDO FOLICO ]]="ADECUADO SEGÚN GPC"),AND(Tabla1[[#This Row],[SUMINISTRO DE SULFATO FERROSO ]]="ADECUADO SEGÚN GPC",Tabla1[[#This Row],[SUMINISTRO CALCIO ]]="ADECUADO SEGÚN GPC",Tabla1[[#This Row],[SUMINISTRO DE ACIDO FOLICO ]]="NO APLICA"),AND(Tabla1[[#This Row],[SUMINISTRO DE SULFATO FERROSO ]]="NO APLICA",Tabla1[[#This Row],[SUMINISTRO CALCIO ]]="ADECUADO SEGÚN GPC",Tabla1[[#This Row],[SUMINISTRO DE ACIDO FOLICO ]]="NO APLICA"),AND(Tabla1[[#This Row],[SUMINISTRO DE SULFATO FERROSO ]]="NO APLICA",Tabla1[[#This Row],[SUMINISTRO CALCIO ]]="NO APLICA",Tabla1[[#This Row],[SUMINISTRO DE ACIDO FOLICO ]]="ADECUADO SEGÚN GPC"),AND(Tabla1[[#This Row],[SUMINISTRO DE SULFATO FERROSO ]]="ADECUADO SEGÚN GPC",Tabla1[[#This Row],[SUMINISTRO CALCIO ]]="NO APLICA",Tabla1[[#This Row],[SUMINISTRO DE ACIDO FOLICO ]]="NO APLICA"),AND(Tabla1[[#This Row],[SUMINISTRO DE SULFATO FERROSO ]]="NO APLICA",Tabla1[[#This Row],[SUMINISTRO CALCIO ]]="NO APLICA",Tabla1[[#This Row],[SUMINISTRO DE ACIDO FOLICO ]]="NO APLICA")),"COMPLETO","INCOMPLETO"))</f>
        <v>#VALUE!</v>
      </c>
      <c r="OG6" s="230" t="str">
        <f t="shared" ca="1" si="99"/>
        <v>SIN VACUNAR</v>
      </c>
      <c r="OH6" s="148" t="e">
        <f>ROW(Tabla1[[#This Row],[SEMANAS DE GESTACION II TRIM]])</f>
        <v>#VALUE!</v>
      </c>
      <c r="OI6" t="str">
        <f t="shared" ref="OI6:OI8" si="131">IF(AND(CH6=$OI$1,CG6&gt;10,CG6&lt;20.8),"BAJO PESO",IF(AND(CH6=$OI$1,CG6&gt;20.7,CG6&lt;25.8),"NORMAL",IF(AND(CH6=$OI$1,CG6&gt;25.7,CG6&lt;30.6),"SOBREPESO",IF(AND(CH6=$OI$1,CG6&gt;30.5,CG6&lt;50),"OBESIDAD",""))))</f>
        <v/>
      </c>
      <c r="OJ6" t="str">
        <f t="shared" ref="OJ6:OJ8" si="132">IF(AND(CH6=$OJ$1,CG6&gt;10,CG6&lt;20.9),"BAJO PESO",IF(AND(CH6=$OJ$1,CG6&gt;20.8,CG6&lt;25.9),"NORMAL",IF(AND(CH6=$OJ$1,CG6&gt;25.8,CG6&lt;30.7),"SOBREPESO",IF(AND(CH6=$OJ$1,CG6&gt;30.6,CG6&lt;50),"OBESIDAD",""))))</f>
        <v/>
      </c>
      <c r="OK6" t="str">
        <f t="shared" ref="OK6:OK8" si="133">IF(AND(CH6=$OK$1,CG6&gt;10,CG6&lt;21.1),"BAJO PESO",IF(AND(CH6=$OK$1,CG6&gt;21,CG6&lt;26),"NORMAL",IF(AND(CH6=$OK$1,CG6&gt;25.9,CG6&lt;30.8),"SOBREPESO",IF(AND(CH6=$OK$1,CG6&gt;30.7,CG6&lt;50),"OBESIDAD",""))))</f>
        <v/>
      </c>
      <c r="OL6" t="str">
        <f t="shared" ref="OL6:OL8" si="134">IF(AND(CH6=$OL$1,CG6&gt;10,CG6&lt;21.2),"BAJO PESO",IF(AND(CH6=$OL$1,CG6&gt;21.1,CG6&lt;26.1),"NORMAL",IF(AND(CH6=$OL$1,CG6&gt;26,CG6&lt;31.9),"SOBREPESO",IF(AND(CH6=$OL$1,CG6&gt;30.8,CG6&lt;50),"OBESIDAD",""))))</f>
        <v/>
      </c>
      <c r="OM6" t="str">
        <f t="shared" ref="OM6:OM8" si="135">IF(AND(CH6=$OM$1,CG6&gt;10,CG6&lt;21.3),"BAJO PESO",IF(AND(CH6=$OM$1,CG6&gt;21.2,CG6&lt;26.2),"NORMAL",IF(AND(CH6=$OM$1,CG6&gt;26.1,CG6&lt;31),"SOBREPESO",IF(AND(CH6=$OM$1,CG6&gt;30.9,CG6&lt;50),"OBESIDAD",""))))</f>
        <v/>
      </c>
      <c r="ON6" t="str">
        <f t="shared" ref="ON6:ON8" si="136">IF(AND(CH6=$ON$1,CG6&gt;10,CG6&lt;21.5),"BAJO PESO",IF(AND(CH6=$ON$1,CG6&gt;21.4,CG6&lt;26.3),"NORMAL",IF(AND(CH6=$ON$1,CG6&gt;26.2,CG6&lt;31),"SOBREPESO",IF(AND(CH6=$ON$1,CG6&gt;30.9,CG6&lt;50),"OBESIDAD",""))))</f>
        <v/>
      </c>
      <c r="OO6" t="str">
        <f t="shared" ref="OO6:OO8" si="137">IF(AND(CH6=$OO$1,CG6&gt;10,CG6&lt;21.6),"BAJO PESO",IF(AND(CH6=$OO$1,CG6&gt;21.5,CG6&lt;26.4),"NORMAL",IF(AND(CH6=$OO$1,CG6&gt;26.3,CG6&lt;31.1),"SOBREPESO",IF(AND(CH6=$OO$1,CG6&gt;31,CG6&lt;50),"OBESIDAD",""))))</f>
        <v/>
      </c>
      <c r="OP6" t="str">
        <f t="shared" ref="OP6:OP8" si="138">IF(AND(CH6=$OP$1,CG6&gt;10,CG6&lt;21.8),"BAJO PESO",IF(AND(CH6=$OP$1,CG6&gt;21.7,CG6&lt;26.5),"NORMAL",IF(AND(CH6=$OP$1,CG6&gt;26.4,CG6&lt;31.2),"SOBREPESO",IF(AND(CH6=$OP$1,CG6&gt;31.1,CG6&lt;50),"OBESIDAD",""))))</f>
        <v/>
      </c>
      <c r="OQ6" t="str">
        <f t="shared" ref="OQ6:OQ8" si="139">IF(AND(CH6=$OQ$1,CG6&gt;10,CG6&lt;21.9),"BAJO PESO",IF(AND(CH6=$OQ$1,CG6&gt;21.8,CG6&lt;26.7),"NORMAL",IF(AND(CH6=$OQ$1,CG6&gt;26.6,CG6&lt;31.3),"SOBREPESO",IF(AND(CH6=$OQ$1,CG6&gt;31.2,CG6&lt;50),"OBESIDAD",""))))</f>
        <v/>
      </c>
      <c r="OR6" t="str">
        <f t="shared" ref="OR6:OR8" si="140">IF(AND(CH6=$OR$1,CG6&gt;10,CG6&lt;22.1),"BAJO PESO",IF(AND(CH6=$OR$1,CG6&gt;22,CG6&lt;26.8),"NORMAL",IF(AND(CH6=$OR$1,CG6&gt;26.7,CG6&lt;31.4),"SOBREPESO",IF(AND(CH6=$OR$1,CG6&gt;31.3,CG6&lt;50),"OBESIDAD",""))))</f>
        <v/>
      </c>
      <c r="OS6" t="str">
        <f t="shared" ref="OS6:OS8" si="141">IF(AND(CH6=$OS$1,CG6&gt;10,CG6&lt;22.3),"BAJO PESO",IF(AND(CH6=$OS$1,CG6&gt;22.2,CG6&lt;27),"NORMAL",IF(AND(CH6=$OS$1,CG6&gt;26.9,CG6&lt;31.6),"SOBREPESO",IF(AND(CH6=$OS$1,CG6&gt;31.5,CG6&lt;50),"OBESIDAD",""))))</f>
        <v/>
      </c>
      <c r="OT6" t="str">
        <f t="shared" ref="OT6:OT8" si="142">IF(AND(CH6=$OT$1,$CG6&gt;10,CG6&lt;22.5),"BAJO PESO",IF(AND(CH6=$OT$1,CG6&gt;22.4,CG6&lt;27.1),"NORMAL",IF(AND(CH6=$OT$1,CG6&gt;27,CG6&lt;31.7),"SOBREPESO",IF(AND(CH6=$OT$1,CG6&gt;31.6,CG6&lt;50),"OBESIDAD",""))))</f>
        <v/>
      </c>
      <c r="OU6" t="str">
        <f t="shared" ref="OU6:OU8" si="143">IF(AND(CH6=$OU$1,CG6&gt;10,CG6&lt;22.7),"BAJO PESO",IF(AND(CH6=$OU$1,CG6&gt;22.6,CG6&lt;27.3),"NORMAL",IF(AND(CH6=$OU$1,CG6&gt;27.1,CG6&lt;31.8),"SOBREPESO",IF(AND(CH6=$OU$1,CG6&gt;31.7,CG6&lt;50),"OBESIDAD",""))))</f>
        <v/>
      </c>
      <c r="OV6" t="str">
        <f t="shared" ref="OV6:OV8" si="144">IF(AND(CH6=$OV$1,CG6&gt;10,CG6&lt;22.8),"BAJO PESO",IF(AND(CH6=$OV$1,CG6&gt;22.7,CG6&lt;27.4),"NORMAL",IF(AND(CH6=$OV$1,CG6&gt;27.3,CG6&lt;31.9),"SOBREPESO",IF(AND(CH6=$OV$1,CG6&gt;31.8,CG6&lt;50),"OBESIDAD",""))))</f>
        <v/>
      </c>
      <c r="OW6" t="str">
        <f t="shared" ref="OW6:OW8" si="145">IF(AND(CH6=$OW$1,CG6&gt;10,CG6&lt;23),"BAJO PESO",IF(AND(CH6=$OW$1,CG6&gt;22.9,CG6&lt;27.6),"NORMAL",IF(AND(CH6=$OW$1,CG6&gt;27.5,CG6&lt;32),"SOBREPESO",IF(AND(CH6=$OW$1,CG6&gt;31.9,CG6&lt;50),"OBESIDAD",""))))</f>
        <v/>
      </c>
      <c r="OX6" t="str">
        <f t="shared" ref="OX6:OX8" si="146">IF(AND(CM6=$OX$1,CL6&gt;10,CL6&lt;23.2),"BAJO PESO",IF(AND(CM6=$OX$1,CL6&gt;23.1,CL6&lt;27.7),"NORMAL",IF(AND(CM6=$OX$1,CL6&gt;27.6,CL6&lt;32.1),"SOBREPESO",IF(AND(CM6=$OX$1,CL6&gt;32,CL6&lt;50),"OBESIDAD",""))))</f>
        <v/>
      </c>
      <c r="OY6" t="str">
        <f t="shared" ref="OY6:OY8" si="147">IF(AND(CM6=$OY$1,CL6&gt;10,CL6&lt;23.4),"BAJO PESO",IF(AND(CM6=$OY$1,CL6&gt;23.3,CL6&lt;27.9),"NORMAL",IF(AND(CM6=$OY$1,CL6&gt;27.8,CL6&lt;32.2),"SOBREPESO",IF(AND(CM6=$OY$1,CL6&gt;32.1,CL6&lt;50),"OBESIDAD",""))))</f>
        <v/>
      </c>
      <c r="OZ6" t="str">
        <f t="shared" ref="OZ6:OZ8" si="148">IF(AND(CM6=$OZ$1,CL6&gt;10,CL6&lt;23.5),"BAJO PESO",IF(AND(CM6=$OZ$1,CL6&gt;23.4,CL6&lt;28),"NORMAL",IF(AND(CM6=$OZ$1,CL6&gt;27.9,CL6&lt;32.1),"SOBREPESO",IF(AND(CM6=$OZ$1,CL6&gt;32.2,CL6&lt;50),"OBESIDAD",""))))</f>
        <v/>
      </c>
      <c r="PA6" t="str">
        <f t="shared" ref="PA6:PA8" si="149">IF(AND(CM6=$PA$1,CL6&gt;10,CL6&lt;23.7),"BAJO PESO",IF(AND(CM6=$PA$1,CL6&gt;23.6,CL6&lt;28.1),"NORMAL",IF(AND(CM6=$PA$1,CL6&gt;28,CL6&lt;33.4),"SOBREPESO",IF(AND(CM6=$PA$1,CL6&gt;33.3,CL6&lt;50),"OBESIDAD",""))))</f>
        <v/>
      </c>
      <c r="PB6" t="str">
        <f t="shared" ref="PB6:PB8" si="150">IF(AND(CM6=$PB$1,CL6&gt;10,CL6&lt;23.9),"BAJO PESO",IF(AND(CM6=$PB$1,CL6&gt;23.8,CL6&lt;28.2),"NORMAL",IF(AND(CM6=$PB$1,CL6&gt;28.1,CL6&lt;33.5),"SOBREPESO",IF(AND(CM6=$PB$1,CL6&gt;33.4,CL6&lt;50),"OBESIDAD",""))))</f>
        <v/>
      </c>
      <c r="PC6" t="str">
        <f t="shared" ref="PC6:PC8" si="151">IF(AND(CM6=$PC$1,CL6&gt;10,CL6&lt;24),"BAJO PESO",IF(AND(CM6=$PC$1,CL6&gt;23.9,CL6&lt;28.4),"NORMAL",IF(AND(CM6=$PC$1,CL6&gt;28.3,CL6&lt;33.6),"SOBREPESO",IF(AND(CM6=$PC$1,CL6&gt;33.5,CL6&lt;50),"OBESIDAD",""))))</f>
        <v/>
      </c>
      <c r="PD6" t="str">
        <f t="shared" ref="PD6:PD8" si="152">IF(AND(CM6=$PD$1,CL6&gt;10,CL6&lt;24.2),"BAJO PESO",IF(AND(CM6=$PD$1,CL6&gt;24.1,CL6&lt;28.5),"NORMAL",IF(AND(CM6=$PD$1,CL6&gt;28.4,CL6&lt;33.7),"SOBREPESO",IF(AND(CM6=$PD$1,CL6&gt;33.6,CL6&lt;50),"OBESIDAD",""))))</f>
        <v/>
      </c>
      <c r="PE6" t="str">
        <f t="shared" ref="PE6:PE8" si="153">IF(AND(CM6=$PE$1,CL6&gt;10,CL6&lt;24.3),"BAJO PESO",IF(AND(CM6=$PE$1,CL6&gt;24.2,CL6&lt;28.6),"NORMAL",IF(AND(CM6=$PE$1,CL6&gt;28.5,CL6&lt;33.8),"SOBREPESO",IF(AND(CM6=$PE$1,CL6&gt;33.7,CL6&lt;50),"OBESIDAD",""))))</f>
        <v/>
      </c>
      <c r="PF6" t="str">
        <f t="shared" ref="PF6:PF8" si="154">IF(AND(CM6=$PF$1,CL6&gt;10,CL6&lt;24.5),"BAJO PESO",IF(AND(CM6=$PF$1,CL6&gt;24.4,CL6&lt;28.8),"NORMAL",IF(AND(CM6=$PF$1,CL6&gt;28.7,CL6&lt;32.9),"SOBREPESO",IF(AND(CM6=$PF$1,CL6&gt;32.8,CL6&lt;50),"OBESIDAD",""))))</f>
        <v/>
      </c>
      <c r="PG6" t="str">
        <f t="shared" ref="PG6:PG8" si="155">IF(AND(CM6=$PG$1,CL6&gt;10,CL6&lt;24.6),"BAJO PESO",IF(AND(CM6=$PG$1,CL6&gt;24.5,CL6&lt;28.9),"NORMAL",IF(AND(CM6=$PG$1,CL6&gt;28.8,CL6&lt;33),"SOBREPESO",IF(AND(CM6=$PG$1,CL6&gt;32.9,CL6&lt;50),"OBESIDAD",""))))</f>
        <v/>
      </c>
      <c r="PH6" t="str">
        <f t="shared" ref="PH6:PH8" si="156">IF(AND(CM6=$PH$1,CL6&gt;10,CL6&lt;24.8),"BAJO PESO",IF(AND(CM6=$PH$1,CL6&gt;24.7,CL6&lt;29),"NORMAL",IF(AND(CM6=$PH$1,CL6&gt;28.9,CL6&lt;33.1),"SOBREPESO",IF(AND(CM6=$PH$1,CL6&gt;33,CL6&lt;50),"OBESIDAD",""))))</f>
        <v/>
      </c>
      <c r="PI6" t="str">
        <f t="shared" ref="PI6:PI8" si="157">IF(AND(CM6=$PI$1,CL6&gt;10,CL6&lt;25),"BAJO PESO",IF(AND(CM6=$PI$1,CL6&gt;24.9,CL6&lt;29.2),"NORMAL",IF(AND(CM6=$PI$1,CL6&gt;29.1,CL6&lt;33.2),"SOBREPESO",IF(AND(CM6=$PI$1,CL6&gt;33.1,CL6&lt;50),"OBESIDAD",""))))</f>
        <v/>
      </c>
      <c r="PJ6" t="str">
        <f t="shared" ref="PJ6:PJ8" si="158">IF(AND(CM6=$PJ$1,CL6&gt;10,CL6&lt;25.1),"BAJO PESO",IF(AND(CM6=$PJ$1,CL6&gt;25,CL6&lt;29.3),"NORMAL",IF(AND(CM6=$PJ$1,CL6&gt;29.2,CL6&lt;33.3),"SOBREPESO",IF(AND(CM6=$PJ$1,CL6&gt;33.2,CL6&lt;50),"OBESIDAD",""))))</f>
        <v/>
      </c>
      <c r="PK6" t="str">
        <f t="shared" ref="PK6:PK8" si="159">IF(AND(CM6=$PK$1,CL6&gt;10,CL6&lt;25.1),"BAJO PESO",IF(AND(CM6=$PK$1,CL6&gt;25,CL6&lt;29.4),"NORMAL",IF(AND(CM6=$PK$1,CL6&gt;29.3,CL6&lt;33.3),"SOBREPESO",IF(AND(CM6=$PK$1,CL6&gt;33.2,CL6&lt;50),"OBESIDAD",""))))</f>
        <v/>
      </c>
      <c r="PL6" s="164" t="e">
        <f>IF(Tabla1[[#This Row],[Tipo Biológico Vacuna anti COVID-19 (Disentimiento)]]="Pfizer","a",IF(Tabla1[[#This Row],[Tipo Biológico Vacuna anti COVID-19 (Disentimiento)]]="Janssen","b",IF(Tabla1[[#This Row],[Tipo Biológico Vacuna anti COVID-19 (Disentimiento)]]="Sinovac","c",IF(Tabla1[[#This Row],[Tipo Biológico Vacuna anti COVID-19 (Disentimiento)]]="Jhonson&amp;Jhonson","e",IF(Tabla1[[#This Row],[Tipo Biológico Vacuna anti COVID-19 (Disentimiento)]]="Moderna","f",IF(Tabla1[[#This Row],[Tipo Biológico Vacuna anti COVID-19 (Disentimiento)]]="Firma Disentimiento","x",IF(Tabla1[[#This Row],[Tipo Biológico Vacuna anti COVID-19 (Disentimiento)]]="No Acepta y No Firma Disentimiento","xx",IF(Tabla1[[#This Row],[Tipo Biológico Vacuna anti COVID-19 (Disentimiento)]]="Astrazeneca","d",""))))))))</f>
        <v>#VALUE!</v>
      </c>
      <c r="PM6" s="162" t="str">
        <f t="shared" ref="PM6:PM8" si="160">IF(AND(R6="",O6=""),"",IF(AND(OR(O6&gt;0,R6&gt;0),BK6=""),"SD",IF(AND(OR(O6&gt;0,R6&gt;0),IF6&gt;0),SUM(IF6-BK6)/7,"")))</f>
        <v/>
      </c>
      <c r="PN6" s="161" t="e">
        <f t="shared" ref="PN6:PN8" si="161">IF(AND(PL6="x",IF6="",IH6=""),"Firma",IF(AND(PL6="x",IF6&gt;0,IH6=""),"Firma2",IF(AND(PL6="x",IF6&gt;0,IH6&gt;0),"Firma2",IF(AND(PL6&lt;&gt;"b",IF6&gt;0,IH6=""),"Falta dosis",IF(AND(PL6="b",IF6&gt;0,IH6=""),"Completo",IF(AND(PL6="b",IF6&gt;0,IH6&gt;0),"Error Jansen X Fecha Segunda Dosis",IF(AND(PL6&lt;&gt;"b",IF6&gt;0,IH6&gt;0),"Completo","")))))))</f>
        <v>#VALUE!</v>
      </c>
      <c r="PO6" s="163" t="e">
        <f>IF(Tabla1[[#This Row],[Tipo Biológico Vacuna anti COVID-19 (Disentimiento)]]="Pfizer",Tabla1[[#This Row],[Fecha 1ra Dosis Anti COVID-19]]+21,IF(Tabla1[[#This Row],[Tipo Biológico Vacuna anti COVID-19 (Disentimiento)]]="Janssen","Sin Segunda Dosis",IF(Tabla1[[#This Row],[Tipo Biológico Vacuna anti COVID-19 (Disentimiento)]]="Sinovac",Tabla1[[#This Row],[Fecha 1ra Dosis Anti COVID-19]]+28,IF(Tabla1[[#This Row],[Tipo Biológico Vacuna anti COVID-19 (Disentimiento)]]="Jhonson&amp;Jhonson","e",IF(Tabla1[[#This Row],[Tipo Biológico Vacuna anti COVID-19 (Disentimiento)]]="Moderna","f",IF(Tabla1[[#This Row],[Tipo Biológico Vacuna anti COVID-19 (Disentimiento)]]="Firma Disentimiento","Firma Disentimiento",IF(Tabla1[[#This Row],[Tipo Biológico Vacuna anti COVID-19 (Disentimiento)]]="Astrazeneca",Tabla1[[#This Row],[Fecha 1ra Dosis Anti COVID-19]]+84,"")))))))</f>
        <v>#VALUE!</v>
      </c>
      <c r="PP6" s="161" t="e">
        <f ca="1">IF(PO6="","",SUM(TODAY()-Tabla1[[#This Row],[Fecha 1ra Dosis Anti COVID-19]]))</f>
        <v>#VALUE!</v>
      </c>
      <c r="PQ6" s="219" t="str">
        <f>IFERROR(IF(Tabla1[[#This Row],[Fecha 1ra Dosis Anti COVID-19]]="","",IF(OR(AND(Tabla1[[#This Row],[Tipo Biológico Vacuna anti COVID-19 (Disentimiento)]]="Astrazeneca",PP6&lt;84),AND(Tabla1[[#This Row],[Tipo Biológico Vacuna anti COVID-19 (Disentimiento)]]="Pfizer",PP6&lt;21),AND(Tabla1[[#This Row],[Tipo Biológico Vacuna anti COVID-19 (Disentimiento)]]="Moderna",PP6&lt;21),AND(Tabla1[[#This Row],[Tipo Biológico Vacuna anti COVID-19 (Disentimiento)]]="Sinovac",PP6&lt;28)),"Pendiente Segunda Dosis",IF(OR(AND(Tabla1[[#This Row],[Tipo Biológico Vacuna anti COVID-19 (Disentimiento)]]="Astrazeneca",PP6&gt;=85),AND(Tabla1[[#This Row],[Tipo Biológico Vacuna anti COVID-19 (Disentimiento)]]="Pfizer",PP6&gt;=22),AND(Tabla1[[#This Row],[Tipo Biológico Vacuna anti COVID-19 (Disentimiento)]]="Moderna",PP6&gt;=22),AND(Tabla1[[#This Row],[Tipo Biológico Vacuna anti COVID-19 (Disentimiento)]]="Sinovac",PP6&gt;=29)),"inasistente",IF(OR(AND(Tabla1[[#This Row],[Tipo Biológico Vacuna anti COVID-19 (Disentimiento)]],"Astrazeneca",PP6=84),AND(Tabla1[[#This Row],[Tipo Biológico Vacuna anti COVID-19 (Disentimiento)]],"Pfizer",PP6=21),AND(Tabla1[[#This Row],[Tipo Biológico Vacuna anti COVID-19 (Disentimiento)]],"Moderna",PP6=21),AND(Tabla1[[#This Row],[Tipo Biológico Vacuna anti COVID-19 (Disentimiento)]],"Sinovac",PP6=28)),"Día vacunación1","")))),"Día de Vacunación")</f>
        <v>Día de Vacunación</v>
      </c>
    </row>
    <row r="7" spans="1:433" ht="39.950000000000003" customHeight="1" x14ac:dyDescent="0.25">
      <c r="A7" s="145"/>
      <c r="B7" s="68" t="s">
        <v>854</v>
      </c>
      <c r="C7" s="68" t="s">
        <v>855</v>
      </c>
      <c r="D7" s="187" t="s">
        <v>863</v>
      </c>
      <c r="E7" s="68" t="s">
        <v>864</v>
      </c>
      <c r="F7" s="68" t="s">
        <v>865</v>
      </c>
      <c r="G7" s="68" t="s">
        <v>866</v>
      </c>
      <c r="H7" s="68"/>
      <c r="I7" s="145" t="s">
        <v>867</v>
      </c>
      <c r="J7" s="146">
        <v>1058546619</v>
      </c>
      <c r="K7" s="68" t="s">
        <v>861</v>
      </c>
      <c r="L7" s="68" t="s">
        <v>868</v>
      </c>
      <c r="M7" s="35">
        <v>38125</v>
      </c>
      <c r="N7" s="38">
        <f t="shared" ca="1" si="0"/>
        <v>19.465753424657535</v>
      </c>
      <c r="O7" s="35">
        <v>44734</v>
      </c>
      <c r="P7" s="39" t="str">
        <f t="shared" si="1"/>
        <v>SI</v>
      </c>
      <c r="Q7" s="40" t="s">
        <v>876</v>
      </c>
      <c r="R7" s="35">
        <v>44734</v>
      </c>
      <c r="S7" s="31" t="s">
        <v>877</v>
      </c>
      <c r="T7" s="37" t="s">
        <v>800</v>
      </c>
      <c r="U7" s="31" t="s">
        <v>878</v>
      </c>
      <c r="V7" s="31" t="s">
        <v>879</v>
      </c>
      <c r="W7" s="31" t="s">
        <v>888</v>
      </c>
      <c r="X7" s="31" t="s">
        <v>888</v>
      </c>
      <c r="Y7" s="31" t="s">
        <v>888</v>
      </c>
      <c r="Z7" s="31">
        <v>3175892519</v>
      </c>
      <c r="AA7" s="31" t="s">
        <v>882</v>
      </c>
      <c r="AB7" s="41" t="s">
        <v>883</v>
      </c>
      <c r="AC7" s="40" t="s">
        <v>889</v>
      </c>
      <c r="AD7" s="55" t="s">
        <v>890</v>
      </c>
      <c r="AE7" s="40" t="s">
        <v>875</v>
      </c>
      <c r="AF7" s="40" t="s">
        <v>875</v>
      </c>
      <c r="AG7" s="36" t="s">
        <v>886</v>
      </c>
      <c r="AH7" s="36" t="s">
        <v>886</v>
      </c>
      <c r="AI7" s="37" t="s">
        <v>885</v>
      </c>
      <c r="AJ7" s="36" t="s">
        <v>886</v>
      </c>
      <c r="AK7" s="42" t="str">
        <f>IF(AND(AE7="",AF7="",AG7="",AH7="",AI7="",AJ7=""),"",IF(AND(OR(O7&gt;0,R7&gt;0),NP7&gt;=0,NP7&lt;2),"SIN RIESGO",IF(AND(OR(O7&gt;0,R7&gt;0),NP7&gt;=2),"CON RIESGO",IF(AND(O7="",R7=""),"",IF(OR(Tabla1[[#This Row],[EMBARAZO ACEPTADO Y/O  DESEADO]]="SIN DATO",Tabla1[[#This Row],[APOYO FAMILIAR]]="SIN DATO",Tabla1[[#This Row],[ANSIEDAD (Tensión emocional, Humor depresivo y sx angustia).]]="SIN DATO",Tabla1[[#This Row],[GRUPO DE POBLACION ESPECIAL]]="SIN DATO",Tabla1[[#This Row],[HA SIDO VICTIMA DE VIOLENCIA BASADA EN GENERO]]="SIN DATO"),"COMPLETAR EVALUACIÓN","")))))</f>
        <v>SIN RIESGO</v>
      </c>
      <c r="AL7" s="36" t="s">
        <v>886</v>
      </c>
      <c r="AM7" s="40" t="s">
        <v>886</v>
      </c>
      <c r="AN7" s="40" t="s">
        <v>886</v>
      </c>
      <c r="AO7" s="40" t="s">
        <v>886</v>
      </c>
      <c r="AP7" s="40" t="s">
        <v>886</v>
      </c>
      <c r="AQ7" s="40" t="s">
        <v>886</v>
      </c>
      <c r="AR7" s="31">
        <v>0</v>
      </c>
      <c r="AS7" s="31">
        <v>0</v>
      </c>
      <c r="AT7" s="31">
        <v>0</v>
      </c>
      <c r="AU7" s="40" t="s">
        <v>886</v>
      </c>
      <c r="AV7" s="31">
        <v>0</v>
      </c>
      <c r="AW7" s="40" t="s">
        <v>886</v>
      </c>
      <c r="AX7" s="40" t="s">
        <v>886</v>
      </c>
      <c r="AY7" s="40" t="s">
        <v>886</v>
      </c>
      <c r="AZ7" s="40" t="s">
        <v>886</v>
      </c>
      <c r="BA7" s="40" t="s">
        <v>886</v>
      </c>
      <c r="BB7" s="40" t="s">
        <v>886</v>
      </c>
      <c r="BC7" s="40" t="s">
        <v>886</v>
      </c>
      <c r="BD7" s="40" t="s">
        <v>886</v>
      </c>
      <c r="BE7" s="40" t="s">
        <v>886</v>
      </c>
      <c r="BF7" s="40" t="s">
        <v>886</v>
      </c>
      <c r="BG7" s="40" t="s">
        <v>886</v>
      </c>
      <c r="BH7" s="40" t="s">
        <v>886</v>
      </c>
      <c r="BI7" s="40" t="s">
        <v>886</v>
      </c>
      <c r="BJ7" s="35"/>
      <c r="BK7" s="35">
        <v>44664</v>
      </c>
      <c r="BL7" s="31" t="s">
        <v>875</v>
      </c>
      <c r="BM7" s="43">
        <f t="shared" si="2"/>
        <v>0</v>
      </c>
      <c r="BN7" s="57">
        <f t="shared" si="3"/>
        <v>44669</v>
      </c>
      <c r="BO7" s="44">
        <f t="shared" si="4"/>
        <v>10</v>
      </c>
      <c r="BP7" s="31" t="str">
        <f t="shared" si="5"/>
        <v>I TRIM</v>
      </c>
      <c r="BQ7" s="39" t="str">
        <f t="shared" ca="1" si="6"/>
        <v/>
      </c>
      <c r="BR7" s="35">
        <v>44767</v>
      </c>
      <c r="BS7" s="43">
        <v>14</v>
      </c>
      <c r="BT7" s="35">
        <v>44823</v>
      </c>
      <c r="BU7" s="31">
        <v>22</v>
      </c>
      <c r="BV7" s="40" t="s">
        <v>886</v>
      </c>
      <c r="BW7" s="40" t="s">
        <v>886</v>
      </c>
      <c r="BX7" s="40" t="s">
        <v>891</v>
      </c>
      <c r="BY7" s="40" t="s">
        <v>886</v>
      </c>
      <c r="BZ7" s="35">
        <v>44734</v>
      </c>
      <c r="CA7" s="31">
        <v>1.6</v>
      </c>
      <c r="CB7" s="31">
        <v>59</v>
      </c>
      <c r="CC7" s="39">
        <f t="shared" si="7"/>
        <v>23.046874999999996</v>
      </c>
      <c r="CD7" s="45" t="str">
        <f t="shared" si="8"/>
        <v>NORMAL</v>
      </c>
      <c r="CE7" s="35">
        <v>44792</v>
      </c>
      <c r="CF7" s="31">
        <v>54</v>
      </c>
      <c r="CG7" s="39">
        <f t="shared" si="9"/>
        <v>21.093749999999996</v>
      </c>
      <c r="CH7" s="31">
        <f t="shared" si="10"/>
        <v>18</v>
      </c>
      <c r="CI7" s="31" t="e">
        <f>IF(OR(CH7="",CH7="NA"),"",IF(AND(CH7&gt;=29,CH7&lt;=42),"REGISTRAR EN III TRIM",IF(AND(CH7&gt;0,CH7&lt;=13),"REGISTRAR EN I TRIM",IF(CH7="REVISAR FUM O FECHA PESO","REVISAR",IF(CH7&gt;0,HLOOKUP(CH7,$OI$1:PK7,OH7),"")))))</f>
        <v>#REF!</v>
      </c>
      <c r="CJ7" s="35">
        <v>44883</v>
      </c>
      <c r="CK7" s="31">
        <v>60</v>
      </c>
      <c r="CL7" s="39">
        <f t="shared" si="11"/>
        <v>23.437499999999996</v>
      </c>
      <c r="CM7" s="31">
        <f t="shared" si="12"/>
        <v>31</v>
      </c>
      <c r="CN7" s="31" t="e">
        <f>IF(OR(CM7="",CM7="NA"),"",IF(AND(CM7&gt;0,CM7&lt;=28),"REGISTRAR EN  TRIM RESPECTIVO",IF(CM7&gt;0,HLOOKUP(CM7,$OI$1:PK7,OH7),"")))</f>
        <v>#REF!</v>
      </c>
      <c r="CO7" s="31" t="e">
        <f t="shared" si="13"/>
        <v>#REF!</v>
      </c>
      <c r="CP7" s="31">
        <v>110</v>
      </c>
      <c r="CQ7" s="31">
        <v>70</v>
      </c>
      <c r="CR7" s="37" t="str">
        <f t="shared" si="14"/>
        <v>APARENTEMENTE NORMAL</v>
      </c>
      <c r="CS7" s="31">
        <v>100</v>
      </c>
      <c r="CT7" s="31">
        <v>70</v>
      </c>
      <c r="CU7" s="37" t="str">
        <f t="shared" si="15"/>
        <v>VIGILAR CIFRAS PRESION ARTERIAL</v>
      </c>
      <c r="CV7" s="31">
        <v>100</v>
      </c>
      <c r="CW7" s="31">
        <v>70</v>
      </c>
      <c r="CX7" s="31">
        <v>110</v>
      </c>
      <c r="CY7" s="31">
        <v>70</v>
      </c>
      <c r="CZ7" s="37" t="str">
        <f t="shared" si="16"/>
        <v>APARENTEMENTE NORMAL</v>
      </c>
      <c r="DA7" s="35">
        <v>44734</v>
      </c>
      <c r="DB7" s="35">
        <v>44734</v>
      </c>
      <c r="DC7" s="35">
        <v>44792</v>
      </c>
      <c r="DD7" s="35">
        <v>44820</v>
      </c>
      <c r="DE7" s="35">
        <v>44848</v>
      </c>
      <c r="DF7" s="35">
        <v>44883</v>
      </c>
      <c r="DG7" s="35">
        <v>44923</v>
      </c>
      <c r="DH7" s="35"/>
      <c r="DI7" s="35"/>
      <c r="DJ7" s="35"/>
      <c r="DK7" s="35"/>
      <c r="DL7" s="35"/>
      <c r="DM7" s="35"/>
      <c r="DN7" s="35"/>
      <c r="DO7" s="43"/>
      <c r="DP7" s="35"/>
      <c r="DQ7" s="31" t="str">
        <f t="shared" ca="1" si="17"/>
        <v>SALE SIN PLAN DE PARTO</v>
      </c>
      <c r="DR7" s="46" t="str">
        <f t="shared" si="18"/>
        <v>SALIO PROGRAMA</v>
      </c>
      <c r="DS7" s="35" t="e">
        <f>IF(Tabla1[[#This Row],[EDAD GESTACIONAL ÚLTIMO CPN]]="SD","CITA MANUAL",IF(Tabla1[[#This Row],[GESTANTES ACTUALES]]="SALIO PROGRAMA","NO APLICA",IF(AND(Tabla1[[#This Row],[EDAD GESTACIONAL ÚLTIMO CPN]]&gt;0,Tabla1[[#This Row],[EDAD GESTACIONAL ÚLTIMO CPN]]&lt;=35),WORKDAY(SUM(Tabla1[[#This Row],[FECHA ULTIMO CPN]]+30),1,#REF!),IF(AND(Tabla1[[#This Row],[EDAD GESTACIONAL ÚLTIMO CPN]]&gt;=36,Tabla1[[#This Row],[EDAD GESTACIONAL ÚLTIMO CPN]]&lt;=42),WORKDAY(SUM(Tabla1[[#This Row],[FECHA ULTIMO CPN]]+14)-3,1,#REF!),""))))</f>
        <v>#VALUE!</v>
      </c>
      <c r="DT7" s="31" t="e">
        <f t="shared" ca="1" si="19"/>
        <v>#VALUE!</v>
      </c>
      <c r="DU7" s="35" t="e">
        <f>IF(R7="","",IF(R7&gt;0,MAX(Tabla1[[#This Row],[FECHA C2]:[FECHA C13]],Tabla1[[#This Row],[FECHA CONSULTA PRIMERA VEZ PROGRAMA CPN ]])))</f>
        <v>#VALUE!</v>
      </c>
      <c r="DV7" s="31" t="e">
        <f t="shared" si="20"/>
        <v>#VALUE!</v>
      </c>
      <c r="DW7" s="43">
        <f>IF(R7&gt;0,SUM(COUNTA(DC7:DN7)+COUNTA(Tabla1[[#This Row],[FECHA CONSULTA PRIMERA VEZ PROGRAMA CPN ]])),"")</f>
        <v>6</v>
      </c>
      <c r="DX7" s="43" t="str">
        <f t="shared" si="21"/>
        <v>SI</v>
      </c>
      <c r="DY7" s="39">
        <f t="shared" si="22"/>
        <v>9</v>
      </c>
      <c r="DZ7" s="47">
        <f t="shared" si="23"/>
        <v>0.66666666666666663</v>
      </c>
      <c r="EA7" s="35">
        <v>44734</v>
      </c>
      <c r="EB7" s="35">
        <v>44734</v>
      </c>
      <c r="EC7" s="35">
        <v>44734</v>
      </c>
      <c r="ED7" s="35">
        <v>44761</v>
      </c>
      <c r="EE7" s="35">
        <v>44734</v>
      </c>
      <c r="EF7" s="35">
        <v>44767</v>
      </c>
      <c r="EG7" s="35">
        <v>44823</v>
      </c>
      <c r="EH7" s="31">
        <v>2</v>
      </c>
      <c r="EI7" s="31">
        <v>13</v>
      </c>
      <c r="EJ7" s="35">
        <v>44734</v>
      </c>
      <c r="EK7" s="43">
        <f t="shared" si="24"/>
        <v>10</v>
      </c>
      <c r="EL7" s="39" t="str">
        <f t="shared" si="25"/>
        <v>NORMAL- SUMINISTRAR SULFATO FERROSO</v>
      </c>
      <c r="EM7" s="31" t="str">
        <f t="shared" si="26"/>
        <v>I TRIM</v>
      </c>
      <c r="EN7" s="37">
        <v>15</v>
      </c>
      <c r="EO7" s="35">
        <v>44883</v>
      </c>
      <c r="EP7" s="44">
        <f t="shared" si="27"/>
        <v>31.285714285714285</v>
      </c>
      <c r="EQ7" s="39" t="str">
        <f t="shared" si="28"/>
        <v>NO DAR SULFATO FERROSO</v>
      </c>
      <c r="ER7" s="37" t="s">
        <v>893</v>
      </c>
      <c r="ES7" s="35">
        <v>44734</v>
      </c>
      <c r="ET7" s="44">
        <f t="shared" si="29"/>
        <v>10</v>
      </c>
      <c r="EU7" s="39" t="str">
        <f t="shared" si="30"/>
        <v>NO HAY RIESGO POR RH</v>
      </c>
      <c r="EV7" s="31">
        <v>95</v>
      </c>
      <c r="EW7" s="35">
        <v>44734</v>
      </c>
      <c r="EX7" s="44">
        <f t="shared" si="31"/>
        <v>10</v>
      </c>
      <c r="EY7" s="44">
        <v>75</v>
      </c>
      <c r="EZ7" s="44">
        <v>85</v>
      </c>
      <c r="FA7" s="44">
        <v>110</v>
      </c>
      <c r="FB7" s="31" t="str">
        <f t="shared" ca="1" si="32"/>
        <v>NORMAL</v>
      </c>
      <c r="FC7" s="48">
        <v>44848</v>
      </c>
      <c r="FD7" s="44">
        <f t="shared" si="33"/>
        <v>26.285714285714285</v>
      </c>
      <c r="FE7" s="35" t="s">
        <v>894</v>
      </c>
      <c r="FF7" s="35">
        <v>44734</v>
      </c>
      <c r="FG7" s="44">
        <f t="shared" ca="1" si="34"/>
        <v>10</v>
      </c>
      <c r="FH7" s="35" t="s">
        <v>894</v>
      </c>
      <c r="FI7" s="49">
        <v>44820</v>
      </c>
      <c r="FJ7" s="44">
        <f t="shared" ca="1" si="35"/>
        <v>22.285714285714285</v>
      </c>
      <c r="FK7" s="35" t="s">
        <v>894</v>
      </c>
      <c r="FL7" s="49">
        <v>44883</v>
      </c>
      <c r="FM7" s="44">
        <f t="shared" ca="1" si="36"/>
        <v>31.285714285714285</v>
      </c>
      <c r="FN7" s="35"/>
      <c r="FO7" s="49"/>
      <c r="FP7" s="44" t="e">
        <f>IF(AND(FE7="",FH7="",FK7="",FN7=""),"",IF(OR(OR(Tabla1[[#This Row],[TAMIZAJE  PARA SIFILIS  SEGÚN GPC SIFILIS I TRIMESTRE]]="P. R POSITIVA CASO SIFILIS",Tabla1[[#This Row],[TAMIZAJE  PARA SIFILIS  SEGÚN GPC SIFILIS II TRIMESTRE]]="P. R POSITIVA CASO SIFILIS",Tabla1[[#This Row],[TAMIZAJE  PARA SIFILIS  SEGÚN GPC SIFILIS III TRIMESTRE]]="P. R POSITIVA CASO SIFILIS",Tabla1[[#This Row],[TAMIZAJE  PARA SIFILIS  SEGÚN GPC SIFILIS INTRAPARTO]]="P. R POSITIVA CASO SIFILIS"),OR(Tabla1[[#This Row],[TAMIZAJE  PARA SIFILIS  SEGÚN GPC SIFILIS I TRIMESTRE]]="REINFECCIÓN-DILUCIONES AUMENTAN",Tabla1[[#This Row],[TAMIZAJE  PARA SIFILIS  SEGÚN GPC SIFILIS II TRIMESTRE]]="REINFECCIÓN-DILUCIONES AUMENTAN",Tabla1[[#This Row],[TAMIZAJE  PARA SIFILIS  SEGÚN GPC SIFILIS III TRIMESTRE]]="REINFECCIÓN-DILUCIONES AUMENTAN",Tabla1[[#This Row],[TAMIZAJE  PARA SIFILIS  SEGÚN GPC SIFILIS INTRAPARTO]]="REINFECCIÓN-DILUCIONES AUMENTAN")),"SIFILIS GESTACIONAL",""))</f>
        <v>#VALUE!</v>
      </c>
      <c r="FQ7" s="31" t="s">
        <v>801</v>
      </c>
      <c r="FR7" s="35">
        <v>44734</v>
      </c>
      <c r="FS7" s="44">
        <f t="shared" si="37"/>
        <v>10</v>
      </c>
      <c r="FT7" s="43" t="s">
        <v>895</v>
      </c>
      <c r="FU7" s="35">
        <v>44734</v>
      </c>
      <c r="FV7" s="44">
        <f t="shared" si="38"/>
        <v>10</v>
      </c>
      <c r="FW7" s="35">
        <v>44734</v>
      </c>
      <c r="FX7" s="35">
        <v>44734</v>
      </c>
      <c r="FY7" s="35" t="s">
        <v>896</v>
      </c>
      <c r="FZ7" s="35">
        <v>44734</v>
      </c>
      <c r="GA7" s="44">
        <f t="shared" ca="1" si="39"/>
        <v>10</v>
      </c>
      <c r="GB7" s="35" t="s">
        <v>896</v>
      </c>
      <c r="GC7" s="35">
        <v>44820</v>
      </c>
      <c r="GD7" s="44">
        <f t="shared" ca="1" si="40"/>
        <v>22.285714285714285</v>
      </c>
      <c r="GE7" s="35" t="s">
        <v>896</v>
      </c>
      <c r="GF7" s="35">
        <v>44883</v>
      </c>
      <c r="GG7" s="44">
        <f t="shared" ca="1" si="41"/>
        <v>31.285714285714285</v>
      </c>
      <c r="GH7" s="35"/>
      <c r="GI7" s="44"/>
      <c r="GJ7" s="35" t="s">
        <v>883</v>
      </c>
      <c r="GK7" s="35"/>
      <c r="GL7" s="35" t="s">
        <v>883</v>
      </c>
      <c r="GM7" s="35"/>
      <c r="GN7" s="43" t="s">
        <v>895</v>
      </c>
      <c r="GO7" s="35">
        <v>44734</v>
      </c>
      <c r="GP7" s="44">
        <f t="shared" si="42"/>
        <v>10</v>
      </c>
      <c r="GQ7" s="43" t="s">
        <v>895</v>
      </c>
      <c r="GR7" s="43" t="s">
        <v>895</v>
      </c>
      <c r="GS7" s="35" t="str">
        <f t="shared" si="43"/>
        <v>CONTROL Igm</v>
      </c>
      <c r="GT7" s="35">
        <v>44734</v>
      </c>
      <c r="GU7" s="44">
        <f t="shared" si="44"/>
        <v>10</v>
      </c>
      <c r="GV7" s="31" t="str">
        <f t="shared" si="45"/>
        <v>I TRIM</v>
      </c>
      <c r="GW7" s="43" t="s">
        <v>895</v>
      </c>
      <c r="GX7" s="46">
        <v>5</v>
      </c>
      <c r="GY7" s="31"/>
      <c r="GZ7" s="35"/>
      <c r="HA7" s="43" t="str">
        <f t="shared" si="46"/>
        <v/>
      </c>
      <c r="HB7" s="31" t="str">
        <f t="shared" si="47"/>
        <v/>
      </c>
      <c r="HC7" s="31" t="str">
        <f t="shared" si="48"/>
        <v/>
      </c>
      <c r="HD7" s="31" t="s">
        <v>897</v>
      </c>
      <c r="HE7" s="31"/>
      <c r="HF7" s="31" t="s">
        <v>898</v>
      </c>
      <c r="HG7" s="31"/>
      <c r="HH7" s="31" t="s">
        <v>899</v>
      </c>
      <c r="HI7" s="31">
        <v>0</v>
      </c>
      <c r="HJ7" s="35" t="s">
        <v>900</v>
      </c>
      <c r="HK7" s="35" t="e">
        <f>IF(OR(O7&gt;0,R7&gt;0),CONCATENATE(IF(Tabla1[[#This Row],[NECESIDAD O DESARMONIA DESDE LO PROPIO 1]]&lt;&gt;"",Tabla1[[#This Row],[NECESIDAD O DESARMONIA DESDE LO PROPIO 1]],""),"*",CONCATENATE(IF(Tabla1[[#This Row],[NECESIDAD O DESARMONIA DESDE LO PROPIO 12]]&lt;&gt;"",Tabla1[[#This Row],[NECESIDAD O DESARMONIA DESDE LO PROPIO 12]],""),"*",CONCATENATE(IF(Tabla1[[#This Row],[NECESIDAD O DESARMONIA DESDE LO PROPIO 13]]&lt;&gt;"",Tabla1[[#This Row],[NECESIDAD O DESARMONIA DESDE LO PROPIO 13]],""),"*",CONCATENATE(IF(Tabla1[[#This Row],[NECESIDAD O DESARMONIA DESDE LO PROPIO 14]]&lt;&gt;"",Tabla1[[#This Row],[NECESIDAD O DESARMONIA DESDE LO PROPIO 14]],""),"*",CONCATENATE(IF(Tabla1[[#This Row],[NECESIDAD O DESARMONIA DESDE LO PROPIO 15]]&lt;&gt;"",Tabla1[[#This Row],[NECESIDAD O DESARMONIA DESDE LO PROPIO 15]],""),"*",CONCATENATE(IF(Tabla1[[#This Row],[NECESIDAD O DESARMONIA DESDE LO PROPIO 16]]&lt;&gt;"",Tabla1[[#This Row],[NECESIDAD O DESARMONIA DESDE LO PROPIO 16]],""),"*",CONCATENATE(IF(Tabla1[[#This Row],[NECESIDAD O DESARMONIA DESDE LO PROPIO 17444]]&lt;&gt;"",Tabla1[[#This Row],[NECESIDAD O DESARMONIA DESDE LO PROPIO 17444]],"")))))))),"")</f>
        <v>#VALUE!</v>
      </c>
      <c r="HL7" s="35" t="e">
        <f t="shared" si="49"/>
        <v>#REF!</v>
      </c>
      <c r="HM7" s="35" t="e">
        <f t="shared" si="50"/>
        <v>#VALUE!</v>
      </c>
      <c r="HN7" s="31" t="e">
        <f t="shared" ca="1" si="51"/>
        <v>#VALUE!</v>
      </c>
      <c r="HO7" s="31" t="e">
        <f t="shared" si="52"/>
        <v>#VALUE!</v>
      </c>
      <c r="HP7" s="37" t="str">
        <f t="shared" si="53"/>
        <v>APARENTEMENTE NORMAL</v>
      </c>
      <c r="HQ7" s="31" t="e">
        <f t="shared" ca="1" si="54"/>
        <v>#VALUE!</v>
      </c>
      <c r="HR7" s="46" t="str">
        <f t="shared" si="55"/>
        <v>SALIO PROGRAMA</v>
      </c>
      <c r="HS7" s="31" t="s">
        <v>875</v>
      </c>
      <c r="HT7" s="31" t="s">
        <v>883</v>
      </c>
      <c r="HU7" s="35">
        <v>44848</v>
      </c>
      <c r="HV7" s="35" t="s">
        <v>901</v>
      </c>
      <c r="HW7" s="35">
        <v>44848</v>
      </c>
      <c r="HX7" s="35" t="s">
        <v>901</v>
      </c>
      <c r="HY7" s="35">
        <v>44734</v>
      </c>
      <c r="HZ7" s="35" t="s">
        <v>901</v>
      </c>
      <c r="IA7" s="40" t="s">
        <v>887</v>
      </c>
      <c r="IB7" s="35">
        <v>44734</v>
      </c>
      <c r="IC7" s="43">
        <f t="shared" si="56"/>
        <v>10</v>
      </c>
      <c r="ID7" s="40" t="s">
        <v>875</v>
      </c>
      <c r="IE7" s="40" t="s">
        <v>902</v>
      </c>
      <c r="IF7" s="35"/>
      <c r="IG7" s="35"/>
      <c r="IH7" s="171"/>
      <c r="II7" s="171"/>
      <c r="IJ7" s="171"/>
      <c r="IK7" s="37" t="e">
        <f>IF(AND(BK7="",PM7="SD"),"SIN DATO EDAD GESTACIONAL",IF(AND(BK7="",PN7=""),"",IF(AND(AND(BQ7&gt;0,BQ7&lt;12),PN7=""),"MENOR 12 SEMANAS",IF(AND(BQ7&gt;11.6,PN7="",HJ7="BAJO RIESGO O SE DESCARTA INFECCIÓN POR SARS-CoV2"),"PROGRAMAR APLICACION DE VACUNA",IF(OR(AND(BQ7&gt;11.6,PN7=""),HJ7="FACTOR DE RIESGO PARA COVID19",HJ7="COVID19 PRIMER TRIMESTRE",HJ7="COVID19 SEGUNDO TRIMESTRE",HJ7="COVID19 TERCER TRIMESTRE",HJ7="COVID19 PUERPERIO"),"DIFERIR FECHA DE VACUNACION SEGÚN LINEAMIENTOS",IF(AND(BQ7&gt;11.6,PN7="Error Jansen X Fecha Segunda Dosis"),"Error Jansen X Fecha Segunda Dosis",IF(AND(BQ7&gt;11.6,PN7="Firma"),"FIRMA DISENTIMIENTO",IF(AND(BQ7&gt;11.6,PN7="Firma3"),"NO ACEPTA VACUNA Y NO FIRMA DISCENTIMIENTO",IF(AND(BQ7&gt;11.6,PN7="Firma2"),"Error en Fecha x Firma Disentimiento",IF(AND(BQ7&gt;11.6,PN7="Firma4"),"Error en Fecha x No Acepta no Firma",IF(AND(BQ7&gt;11.6,PN7="Completo",Tabla1[[#This Row],[Fecha Refuerzo Anti COVID-20]]=""),"PENDIENTE REFUERZO",IF(AND(BQ7&gt;11.6,PN7="Completo",Tabla1[[#This Row],[Fecha Refuerzo Anti COVID-20]]&lt;&gt;""),"CON REFUERZO",IF(AND(BQ7&gt;11.6,PN7="Falta Dosis"),PQ7,IF(OR(AND(BQ7&gt;11.6,PN7=""),HJ7="",HJ7="NO SE EVALUA RIESGO INFECCIÓN COVID19"),"DEFINIR RIESGO CONTAGIO SARS-CoV2, columna GZ",""))))))))))))))</f>
        <v>#VALUE!</v>
      </c>
      <c r="IL7" s="171">
        <v>44792</v>
      </c>
      <c r="IM7" s="35">
        <v>44820</v>
      </c>
      <c r="IN7" s="35" t="str">
        <f t="shared" ca="1" si="57"/>
        <v>VACUNA APLICADA ENTRE SEMANA 20 Y SEMANA 26</v>
      </c>
      <c r="IO7" s="35"/>
      <c r="IP7" s="35">
        <f t="shared" si="58"/>
        <v>44944</v>
      </c>
      <c r="IQ7" s="44">
        <f t="shared" ca="1" si="59"/>
        <v>-286</v>
      </c>
      <c r="IR7" s="35" t="str">
        <f t="shared" ca="1" si="60"/>
        <v>POSIBLEMENTE NACIO</v>
      </c>
      <c r="IS7" s="35"/>
      <c r="IT7" s="31" t="s">
        <v>904</v>
      </c>
      <c r="IU7" s="31" t="s">
        <v>905</v>
      </c>
      <c r="IV7" s="51" t="s">
        <v>906</v>
      </c>
      <c r="IW7" s="35">
        <v>44945</v>
      </c>
      <c r="IX7" s="31" t="s">
        <v>907</v>
      </c>
      <c r="IY7" s="44">
        <f t="shared" si="61"/>
        <v>40.142857142857146</v>
      </c>
      <c r="IZ7" s="52" t="s">
        <v>908</v>
      </c>
      <c r="JA7" s="31" t="s">
        <v>909</v>
      </c>
      <c r="JB7" s="31" t="s">
        <v>910</v>
      </c>
      <c r="JC7" s="31" t="s">
        <v>911</v>
      </c>
      <c r="JD7" s="31" t="s">
        <v>887</v>
      </c>
      <c r="JE7" s="31" t="s">
        <v>887</v>
      </c>
      <c r="JF7" s="31" t="s">
        <v>887</v>
      </c>
      <c r="JG7" s="31" t="s">
        <v>887</v>
      </c>
      <c r="JH7" s="31" t="s">
        <v>887</v>
      </c>
      <c r="JI7" s="31" t="s">
        <v>887</v>
      </c>
      <c r="JJ7" s="31" t="s">
        <v>912</v>
      </c>
      <c r="JK7" s="46">
        <v>1</v>
      </c>
      <c r="JL7" s="31" t="s">
        <v>913</v>
      </c>
      <c r="JM7" s="53">
        <v>2970</v>
      </c>
      <c r="JN7" s="31" t="str">
        <f t="shared" si="62"/>
        <v>PESO ADECUADO EDAD GESTACIONAL</v>
      </c>
      <c r="JO7" s="236">
        <v>44945</v>
      </c>
      <c r="JP7" s="31"/>
      <c r="JQ7" s="31"/>
      <c r="JR7" s="31"/>
      <c r="JS7" s="46" t="s">
        <v>893</v>
      </c>
      <c r="JT7" s="35">
        <v>44945</v>
      </c>
      <c r="JU7" s="35">
        <v>44945</v>
      </c>
      <c r="JV7" s="31"/>
      <c r="JW7" s="53"/>
      <c r="JX7" s="31" t="str">
        <f t="shared" si="63"/>
        <v/>
      </c>
      <c r="JY7" s="35"/>
      <c r="JZ7" s="31"/>
      <c r="KA7" s="31"/>
      <c r="KB7" s="31"/>
      <c r="KC7" s="46"/>
      <c r="KD7" s="35"/>
      <c r="KE7" s="35"/>
      <c r="KF7" s="50">
        <v>44953</v>
      </c>
      <c r="KG7" s="43">
        <f t="shared" si="64"/>
        <v>8</v>
      </c>
      <c r="KH7" s="50">
        <v>44953</v>
      </c>
      <c r="KI7" s="43">
        <f t="shared" si="65"/>
        <v>8</v>
      </c>
      <c r="KJ7" s="31" t="s">
        <v>875</v>
      </c>
      <c r="KK7" s="31" t="s">
        <v>875</v>
      </c>
      <c r="KL7" s="31" t="s">
        <v>875</v>
      </c>
      <c r="KM7" s="54">
        <v>44945</v>
      </c>
      <c r="KN7" s="43" t="s">
        <v>914</v>
      </c>
      <c r="KO7" s="43"/>
      <c r="KP7" s="43"/>
      <c r="KQ7" s="56"/>
      <c r="KR7" s="56"/>
      <c r="KS7" s="99"/>
      <c r="KT7" s="56"/>
      <c r="KU7" s="56"/>
      <c r="KV7" s="99"/>
      <c r="KW7" s="56"/>
      <c r="KX7" s="56"/>
      <c r="KY7" s="56"/>
      <c r="KZ7" s="56"/>
      <c r="LA7" s="56"/>
      <c r="LB7" s="56"/>
      <c r="LC7" s="56"/>
      <c r="LD7" s="55"/>
      <c r="LE7" s="55"/>
      <c r="LF7" s="55"/>
      <c r="LG7" s="55"/>
      <c r="LH7" s="55"/>
      <c r="LI7" s="55"/>
      <c r="LJ7" s="55"/>
      <c r="LK7" s="55"/>
      <c r="LL7" s="55"/>
      <c r="LM7" s="55"/>
      <c r="LN7" s="55"/>
      <c r="LO7" s="55"/>
      <c r="LP7" s="55"/>
      <c r="LQ7" s="55"/>
      <c r="LR7" s="55"/>
      <c r="LS7" s="55"/>
      <c r="LT7" s="55"/>
      <c r="LU7" s="55"/>
      <c r="LV7" s="55"/>
      <c r="LW7" s="55"/>
      <c r="LX7" s="55"/>
      <c r="LY7" s="55"/>
      <c r="LZ7" s="55"/>
      <c r="MA7" s="55"/>
      <c r="MB7" s="55"/>
      <c r="MC7" s="55"/>
      <c r="MD7" s="55"/>
      <c r="ME7" s="55"/>
      <c r="MF7" s="55"/>
      <c r="MG7" s="55"/>
      <c r="MH7" s="55"/>
      <c r="MI7" s="55"/>
      <c r="MJ7" s="55"/>
      <c r="MK7" s="55"/>
      <c r="ML7" s="55"/>
      <c r="MM7" s="55"/>
      <c r="MN7" s="55"/>
      <c r="MO7" s="55"/>
      <c r="MP7" s="153"/>
      <c r="MQ7" s="148">
        <f t="shared" si="66"/>
        <v>0</v>
      </c>
      <c r="MR7" t="str">
        <f t="shared" si="67"/>
        <v/>
      </c>
      <c r="MS7" t="str">
        <f t="shared" si="68"/>
        <v/>
      </c>
      <c r="MT7">
        <f t="shared" si="69"/>
        <v>0</v>
      </c>
      <c r="MU7" t="e">
        <f>IF(AND(Tabla1[[#This Row],[FECHA DE IDENTIFICACION DE LA GESTANTE]]="",Tabla1[[#This Row],[FECHA CONSULTA PRIMERA VEZ PROGRAMA CPN ]]=""),"",IF(AND(Tabla1[[#This Row],[FECHA DE IDENTIFICACION DE LA GESTANTE]]&gt;0,Tabla1[[#This Row],[FECHA CONSULTA PRIMERA VEZ PROGRAMA CPN ]]=""),"SIN INGRESO CPN",IF(AND(Tabla1[[#This Row],[FECHA DE IDENTIFICACION DE LA GESTANTE]]="",Tabla1[[#This Row],[FECHA CONSULTA PRIMERA VEZ PROGRAMA CPN ]]&gt;0),"NO APLICA",SUM(Tabla1[[#This Row],[FECHA CONSULTA PRIMERA VEZ PROGRAMA CPN ]]-Tabla1[[#This Row],[FECHA DE IDENTIFICACION DE LA GESTANTE]]))))</f>
        <v>#VALUE!</v>
      </c>
      <c r="MV7">
        <f t="shared" si="70"/>
        <v>10</v>
      </c>
      <c r="MW7">
        <f t="shared" si="71"/>
        <v>6</v>
      </c>
      <c r="MX7">
        <f t="shared" si="72"/>
        <v>2022</v>
      </c>
      <c r="MY7" t="str">
        <f t="shared" si="73"/>
        <v>II TRIMESTRE AÑO</v>
      </c>
      <c r="MZ7">
        <f t="shared" si="74"/>
        <v>17.832895313184405</v>
      </c>
      <c r="NA7">
        <f t="shared" si="75"/>
        <v>0</v>
      </c>
      <c r="NB7" t="str">
        <f t="shared" si="76"/>
        <v>DE 14 A 19AÑOS</v>
      </c>
      <c r="NC7">
        <f t="shared" si="77"/>
        <v>0</v>
      </c>
      <c r="ND7">
        <f t="shared" si="78"/>
        <v>1</v>
      </c>
      <c r="NE7">
        <f t="shared" si="79"/>
        <v>0</v>
      </c>
      <c r="NF7">
        <f t="shared" si="80"/>
        <v>0</v>
      </c>
      <c r="NG7" t="str">
        <f t="shared" si="81"/>
        <v/>
      </c>
      <c r="NH7" t="str">
        <f t="shared" ca="1" si="82"/>
        <v/>
      </c>
      <c r="NI7" t="str">
        <f t="shared" si="83"/>
        <v/>
      </c>
      <c r="NJ7">
        <f t="shared" si="84"/>
        <v>0</v>
      </c>
      <c r="NK7" t="str">
        <f t="shared" si="85"/>
        <v>0</v>
      </c>
      <c r="NL7">
        <f t="shared" si="86"/>
        <v>0</v>
      </c>
      <c r="NM7">
        <f t="shared" ca="1" si="87"/>
        <v>1</v>
      </c>
      <c r="NN7" t="e">
        <f>IF(OR(O7&gt;0,R7&gt;0),SUM(COUNTIF(Tabla1[[#This Row],[AÑOS AL INICIO5 CPN]],"&gt;=40"),COUNTIF(AR7,"0"),COUNTIF(AQ7,"SI"),COUNTIF(BW7,"SI"),COUNTIF(BM7,"&gt;119"),COUNTIF(CC7,"&gt;=35")),"")</f>
        <v>#VALUE!</v>
      </c>
      <c r="NO7">
        <f t="shared" si="88"/>
        <v>22.285714285714285</v>
      </c>
      <c r="NP7">
        <f t="shared" si="89"/>
        <v>0</v>
      </c>
      <c r="NQ7">
        <f t="shared" si="90"/>
        <v>98</v>
      </c>
      <c r="NR7" t="e">
        <f ca="1">IF(Tabla1[[#This Row],[GESTANTES ACTUALES]]="","SD",IF(Tabla1[[#This Row],[GESTANTES ACTUALES]]="SEGUIMIENTO REPORTE EPS","Y",IF(Tabla1[[#This Row],[GESTANTES ACTUALES]]="SALE SIN INGRESO CPN","X",IF(AND(Tabla1[[#This Row],[CITA PROXIMO CONTROL]]="",Tabla1[[#This Row],[GESTANTES ACTUALES]]="ACTIVA SIN INGRESO CPN",P7="NO"),"Z",IF(AND(Tabla1[[#This Row],[CITA PROXIMO CONTROL]]="CITA MANUAL",Tabla1[[#This Row],[GESTANTES ACTUALES]]="ACTIVA INGRESO A CPN"),"W",IF(AND(Tabla1[[#This Row],[GESTANTES ACTUALES]]="SALIO PROGRAMA",IW7=""),"S",IF(AND(Tabla1[[#This Row],[CITA PROXIMO CONTROL]]&gt;0,IW7=""),(Tabla1[[#This Row],[CITA PROXIMO CONTROL]]-TODAY()),"SD")))))))</f>
        <v>#VALUE!</v>
      </c>
      <c r="NS7" t="e">
        <f>MONTH(Tabla1[[#This Row],[FECHA DE SALIDA  DEL PROGRAMA]])</f>
        <v>#VALUE!</v>
      </c>
      <c r="NT7" t="e">
        <f>YEAR(Tabla1[[#This Row],[FECHA DE SALIDA  DEL PROGRAMA]])</f>
        <v>#VALUE!</v>
      </c>
      <c r="NU7">
        <f t="shared" si="91"/>
        <v>33</v>
      </c>
      <c r="NV7" t="str">
        <f t="shared" si="92"/>
        <v>SI</v>
      </c>
      <c r="NW7" t="e">
        <f>IF(AND(O7&gt;0,R7=""),"NO CPN",IF(AND(O7="",R7=""),"",IF(AND(R7&gt;0,Tabla1[[#This Row],[SEMANAS DE GESTACION ACTUALIZADAS]]&lt;=12),"NO APLICA",IF(AND(FC7&lt;&gt;"",FI7&lt;&gt;""),"SI","NO"))))</f>
        <v>#VALUE!</v>
      </c>
      <c r="NX7" s="149" t="e">
        <f>IF(AND(O7&gt;0,R7=""),"NO CPN",IF(AND(O7="",R7=""),"",IF(AND(R7&gt;0,Tabla1[[#This Row],[SEMANAS DE GESTACION ACTUALIZADAS]]&lt;=27),"NO APLICA",IF(AND(EO7&lt;&gt;"",FL7&lt;&gt;"",GF7&lt;&gt;""),"SI","NO"))))</f>
        <v>#VALUE!</v>
      </c>
      <c r="NY7" s="147" t="str">
        <f t="shared" si="93"/>
        <v>II TRIM</v>
      </c>
      <c r="NZ7" s="1" t="str">
        <f>IF(AND(IY8&gt;0,IY8&lt;37),10,IF(OR(BX8="Transversa",BX8="Oblicua"),9,IF(BW8="SI",8,IF(AND(AS8=0,AV8=0,BW8="NO",BX8="Cefálica",IY8&gt;=37,JC8="INICIO ESPONTÁNEO"),1,IF(AND(AND(AS8=0,AV8=0,BW8="NO",BX8="Cefálica",IY8&gt;=37),OR(JC8="LE HACEN INDUCCIÓN",JC8="LE HACEN CESÁREA SIN INICIO TRABAJO DE PARTO")),2,IF(AND(AS8&gt;=1,AV8=0,BW8="NO",BX8="Cefálica",IY8&gt;=37,JC8="INICIO ESPONTÁNEO"),3,IF(AND(AND(AS8&gt;=1,AV8=0,BW8="NO",BX8="Cefálica",IY8&gt;=37),OR(JC8="LE HACEN INDUCCIÓN",JC8="LE HACEN CESÁREA SIN INICIO TRABAJO DE PARTO")),4,IF(AND(AND(AS8&gt;=1,AV8&gt;=1,BW8="NO",BX8="Cefálica",IY8&gt;=37),OR(JC8="LE HACEN INDUCCIÓN",JC8="LE HACEN CESÁREA SIN INICIO TRABAJO DE PARTO",JC8="INICIO ESPONTÁNEO")),5,IF(AND(AND(AS8=0,AV8=0,BW8="NO",BX8="Podálica",IY8&gt;=1),OR(JC8="LE HACEN INDUCCIÓN",JC8="LE HACEN CESÁREA SIN INICIO TRABAJO DE PARTO",JC8="INICIO ESPONTÁNEO")),6,IF(AND(AND(AS8&gt;=1,BW8="NO",BX8="Podálica",IY8&gt;=1),OR(JC8="LE HACEN INDUCCIÓN",JC8="LE HACEN CESÁREA SIN INICIO TRABAJO DE PARTO",JC8="INICIO ESPONTÁNEO"),OR(AV8=0,AV8&gt;=1)),7,""))))))))))</f>
        <v/>
      </c>
      <c r="OA7" s="1">
        <f t="shared" si="94"/>
        <v>3</v>
      </c>
      <c r="OB7" s="213">
        <f t="shared" ca="1" si="95"/>
        <v>3</v>
      </c>
      <c r="OC7" s="1">
        <f t="shared" ca="1" si="96"/>
        <v>3</v>
      </c>
      <c r="OD7" s="1" t="str">
        <f t="shared" ca="1" si="97"/>
        <v>COMPLETO</v>
      </c>
      <c r="OE7" s="1" t="str">
        <f t="shared" ca="1" si="98"/>
        <v>COMPLETO</v>
      </c>
      <c r="OF7" s="221" t="e">
        <f>IF(AND(O7="",R7=""),"",IF(OR(AND(Tabla1[[#This Row],[SUMINISTRO DE SULFATO FERROSO ]]="ADECUADO SEGÚN GPC",Tabla1[[#This Row],[SUMINISTRO CALCIO ]]="ADECUADO SEGÚN GPC",Tabla1[[#This Row],[SUMINISTRO DE ACIDO FOLICO ]]="ADECUADO SEGÚN GPC"),AND(Tabla1[[#This Row],[SUMINISTRO DE SULFATO FERROSO ]]="NO APLICA",Tabla1[[#This Row],[SUMINISTRO CALCIO ]]="ADECUADO SEGÚN GPC",Tabla1[[#This Row],[SUMINISTRO DE ACIDO FOLICO ]]="ADECUADO SEGÚN GPC"),AND(Tabla1[[#This Row],[SUMINISTRO DE SULFATO FERROSO ]]="ADECUADO SEGÚN GPC",Tabla1[[#This Row],[SUMINISTRO CALCIO ]]="NO APLICA",Tabla1[[#This Row],[SUMINISTRO DE ACIDO FOLICO ]]="ADECUADO SEGÚN GPC"),AND(Tabla1[[#This Row],[SUMINISTRO DE SULFATO FERROSO ]]="ADECUADO SEGÚN GPC",Tabla1[[#This Row],[SUMINISTRO CALCIO ]]="ADECUADO SEGÚN GPC",Tabla1[[#This Row],[SUMINISTRO DE ACIDO FOLICO ]]="NO APLICA"),AND(Tabla1[[#This Row],[SUMINISTRO DE SULFATO FERROSO ]]="NO APLICA",Tabla1[[#This Row],[SUMINISTRO CALCIO ]]="ADECUADO SEGÚN GPC",Tabla1[[#This Row],[SUMINISTRO DE ACIDO FOLICO ]]="NO APLICA"),AND(Tabla1[[#This Row],[SUMINISTRO DE SULFATO FERROSO ]]="NO APLICA",Tabla1[[#This Row],[SUMINISTRO CALCIO ]]="NO APLICA",Tabla1[[#This Row],[SUMINISTRO DE ACIDO FOLICO ]]="ADECUADO SEGÚN GPC"),AND(Tabla1[[#This Row],[SUMINISTRO DE SULFATO FERROSO ]]="ADECUADO SEGÚN GPC",Tabla1[[#This Row],[SUMINISTRO CALCIO ]]="NO APLICA",Tabla1[[#This Row],[SUMINISTRO DE ACIDO FOLICO ]]="NO APLICA"),AND(Tabla1[[#This Row],[SUMINISTRO DE SULFATO FERROSO ]]="NO APLICA",Tabla1[[#This Row],[SUMINISTRO CALCIO ]]="NO APLICA",Tabla1[[#This Row],[SUMINISTRO DE ACIDO FOLICO ]]="NO APLICA")),"COMPLETO","INCOMPLETO"))</f>
        <v>#VALUE!</v>
      </c>
      <c r="OG7" s="230" t="str">
        <f t="shared" ca="1" si="99"/>
        <v>VACUNADA</v>
      </c>
      <c r="OH7" s="148" t="e">
        <f>ROW(Tabla1[[#This Row],[SEMANAS DE GESTACION II TRIM]])</f>
        <v>#VALUE!</v>
      </c>
      <c r="OI7" t="str">
        <f t="shared" si="131"/>
        <v/>
      </c>
      <c r="OJ7" t="str">
        <f t="shared" si="132"/>
        <v/>
      </c>
      <c r="OK7" t="str">
        <f t="shared" si="133"/>
        <v/>
      </c>
      <c r="OL7" t="str">
        <f t="shared" si="134"/>
        <v/>
      </c>
      <c r="OM7" t="str">
        <f t="shared" si="135"/>
        <v>BAJO PESO</v>
      </c>
      <c r="ON7" t="str">
        <f t="shared" si="136"/>
        <v/>
      </c>
      <c r="OO7" t="str">
        <f t="shared" si="137"/>
        <v/>
      </c>
      <c r="OP7" t="str">
        <f t="shared" si="138"/>
        <v/>
      </c>
      <c r="OQ7" t="str">
        <f t="shared" si="139"/>
        <v/>
      </c>
      <c r="OR7" t="str">
        <f t="shared" si="140"/>
        <v/>
      </c>
      <c r="OS7" t="str">
        <f t="shared" si="141"/>
        <v/>
      </c>
      <c r="OT7" t="str">
        <f t="shared" si="142"/>
        <v/>
      </c>
      <c r="OU7" t="str">
        <f t="shared" si="143"/>
        <v/>
      </c>
      <c r="OV7" t="str">
        <f t="shared" si="144"/>
        <v/>
      </c>
      <c r="OW7" t="str">
        <f t="shared" si="145"/>
        <v/>
      </c>
      <c r="OX7" t="str">
        <f t="shared" si="146"/>
        <v/>
      </c>
      <c r="OY7" t="str">
        <f t="shared" si="147"/>
        <v/>
      </c>
      <c r="OZ7" t="str">
        <f t="shared" si="148"/>
        <v>BAJO PESO</v>
      </c>
      <c r="PA7" t="str">
        <f t="shared" si="149"/>
        <v/>
      </c>
      <c r="PB7" t="str">
        <f t="shared" si="150"/>
        <v/>
      </c>
      <c r="PC7" t="str">
        <f t="shared" si="151"/>
        <v/>
      </c>
      <c r="PD7" t="str">
        <f t="shared" si="152"/>
        <v/>
      </c>
      <c r="PE7" t="str">
        <f t="shared" si="153"/>
        <v/>
      </c>
      <c r="PF7" t="str">
        <f t="shared" si="154"/>
        <v/>
      </c>
      <c r="PG7" t="str">
        <f t="shared" si="155"/>
        <v/>
      </c>
      <c r="PH7" t="str">
        <f t="shared" si="156"/>
        <v/>
      </c>
      <c r="PI7" t="str">
        <f t="shared" si="157"/>
        <v/>
      </c>
      <c r="PJ7" t="str">
        <f t="shared" si="158"/>
        <v/>
      </c>
      <c r="PK7" t="str">
        <f t="shared" si="159"/>
        <v/>
      </c>
      <c r="PL7" s="164" t="e">
        <f>IF(Tabla1[[#This Row],[Tipo Biológico Vacuna anti COVID-19 (Disentimiento)]]="Pfizer","a",IF(Tabla1[[#This Row],[Tipo Biológico Vacuna anti COVID-19 (Disentimiento)]]="Janssen","b",IF(Tabla1[[#This Row],[Tipo Biológico Vacuna anti COVID-19 (Disentimiento)]]="Sinovac","c",IF(Tabla1[[#This Row],[Tipo Biológico Vacuna anti COVID-19 (Disentimiento)]]="Jhonson&amp;Jhonson","e",IF(Tabla1[[#This Row],[Tipo Biológico Vacuna anti COVID-19 (Disentimiento)]]="Moderna","f",IF(Tabla1[[#This Row],[Tipo Biológico Vacuna anti COVID-19 (Disentimiento)]]="Firma Disentimiento","x",IF(Tabla1[[#This Row],[Tipo Biológico Vacuna anti COVID-19 (Disentimiento)]]="No Acepta y No Firma Disentimiento","xx",IF(Tabla1[[#This Row],[Tipo Biológico Vacuna anti COVID-19 (Disentimiento)]]="Astrazeneca","d",""))))))))</f>
        <v>#VALUE!</v>
      </c>
      <c r="PM7" s="162" t="str">
        <f t="shared" si="160"/>
        <v/>
      </c>
      <c r="PN7" s="161" t="e">
        <f t="shared" si="161"/>
        <v>#VALUE!</v>
      </c>
      <c r="PO7" s="163" t="e">
        <f>IF(Tabla1[[#This Row],[Tipo Biológico Vacuna anti COVID-19 (Disentimiento)]]="Pfizer",Tabla1[[#This Row],[Fecha 1ra Dosis Anti COVID-19]]+21,IF(Tabla1[[#This Row],[Tipo Biológico Vacuna anti COVID-19 (Disentimiento)]]="Janssen","Sin Segunda Dosis",IF(Tabla1[[#This Row],[Tipo Biológico Vacuna anti COVID-19 (Disentimiento)]]="Sinovac",Tabla1[[#This Row],[Fecha 1ra Dosis Anti COVID-19]]+28,IF(Tabla1[[#This Row],[Tipo Biológico Vacuna anti COVID-19 (Disentimiento)]]="Jhonson&amp;Jhonson","e",IF(Tabla1[[#This Row],[Tipo Biológico Vacuna anti COVID-19 (Disentimiento)]]="Moderna","f",IF(Tabla1[[#This Row],[Tipo Biológico Vacuna anti COVID-19 (Disentimiento)]]="Firma Disentimiento","Firma Disentimiento",IF(Tabla1[[#This Row],[Tipo Biológico Vacuna anti COVID-19 (Disentimiento)]]="Astrazeneca",Tabla1[[#This Row],[Fecha 1ra Dosis Anti COVID-19]]+84,"")))))))</f>
        <v>#VALUE!</v>
      </c>
      <c r="PP7" s="161" t="e">
        <f ca="1">IF(PO7="","",SUM(TODAY()-Tabla1[[#This Row],[Fecha 1ra Dosis Anti COVID-19]]))</f>
        <v>#VALUE!</v>
      </c>
      <c r="PQ7" s="219" t="str">
        <f>IFERROR(IF(Tabla1[[#This Row],[Fecha 1ra Dosis Anti COVID-19]]="","",IF(OR(AND(Tabla1[[#This Row],[Tipo Biológico Vacuna anti COVID-19 (Disentimiento)]]="Astrazeneca",PP7&lt;84),AND(Tabla1[[#This Row],[Tipo Biológico Vacuna anti COVID-19 (Disentimiento)]]="Pfizer",PP7&lt;21),AND(Tabla1[[#This Row],[Tipo Biológico Vacuna anti COVID-19 (Disentimiento)]]="Moderna",PP7&lt;21),AND(Tabla1[[#This Row],[Tipo Biológico Vacuna anti COVID-19 (Disentimiento)]]="Sinovac",PP7&lt;28)),"Pendiente Segunda Dosis",IF(OR(AND(Tabla1[[#This Row],[Tipo Biológico Vacuna anti COVID-19 (Disentimiento)]]="Astrazeneca",PP7&gt;=85),AND(Tabla1[[#This Row],[Tipo Biológico Vacuna anti COVID-19 (Disentimiento)]]="Pfizer",PP7&gt;=22),AND(Tabla1[[#This Row],[Tipo Biológico Vacuna anti COVID-19 (Disentimiento)]]="Moderna",PP7&gt;=22),AND(Tabla1[[#This Row],[Tipo Biológico Vacuna anti COVID-19 (Disentimiento)]]="Sinovac",PP7&gt;=29)),"inasistente",IF(OR(AND(Tabla1[[#This Row],[Tipo Biológico Vacuna anti COVID-19 (Disentimiento)]],"Astrazeneca",PP7=84),AND(Tabla1[[#This Row],[Tipo Biológico Vacuna anti COVID-19 (Disentimiento)]],"Pfizer",PP7=21),AND(Tabla1[[#This Row],[Tipo Biológico Vacuna anti COVID-19 (Disentimiento)]],"Moderna",PP7=21),AND(Tabla1[[#This Row],[Tipo Biológico Vacuna anti COVID-19 (Disentimiento)]],"Sinovac",PP7=28)),"Día vacunación1","")))),"Día de Vacunación")</f>
        <v>Día de Vacunación</v>
      </c>
    </row>
    <row r="8" spans="1:433" ht="39.950000000000003" customHeight="1" x14ac:dyDescent="0.25">
      <c r="A8" s="145" t="s">
        <v>869</v>
      </c>
      <c r="B8" s="68" t="s">
        <v>854</v>
      </c>
      <c r="C8" s="68" t="s">
        <v>855</v>
      </c>
      <c r="D8" s="187" t="s">
        <v>863</v>
      </c>
      <c r="E8" s="68" t="s">
        <v>870</v>
      </c>
      <c r="F8" s="68" t="s">
        <v>871</v>
      </c>
      <c r="G8" s="68" t="s">
        <v>872</v>
      </c>
      <c r="H8" s="68" t="s">
        <v>873</v>
      </c>
      <c r="I8" s="145" t="s">
        <v>867</v>
      </c>
      <c r="J8" s="146">
        <v>1061719887</v>
      </c>
      <c r="K8" s="68" t="s">
        <v>874</v>
      </c>
      <c r="L8" s="68" t="s">
        <v>868</v>
      </c>
      <c r="M8" s="35">
        <v>39245</v>
      </c>
      <c r="N8" s="38">
        <f t="shared" ca="1" si="0"/>
        <v>16.397260273972602</v>
      </c>
      <c r="O8" s="35">
        <v>44737</v>
      </c>
      <c r="P8" s="39" t="str">
        <f t="shared" si="1"/>
        <v>SI</v>
      </c>
      <c r="Q8" s="40" t="s">
        <v>876</v>
      </c>
      <c r="R8" s="35">
        <v>44737</v>
      </c>
      <c r="S8" s="31" t="s">
        <v>877</v>
      </c>
      <c r="T8" s="37" t="s">
        <v>800</v>
      </c>
      <c r="U8" s="31" t="s">
        <v>878</v>
      </c>
      <c r="V8" s="31" t="s">
        <v>879</v>
      </c>
      <c r="W8" s="31" t="s">
        <v>892</v>
      </c>
      <c r="X8" s="31" t="s">
        <v>892</v>
      </c>
      <c r="Y8" s="31" t="s">
        <v>888</v>
      </c>
      <c r="Z8" s="31">
        <v>3148325692</v>
      </c>
      <c r="AA8" s="31" t="s">
        <v>882</v>
      </c>
      <c r="AB8" s="41" t="s">
        <v>883</v>
      </c>
      <c r="AC8" s="40" t="s">
        <v>889</v>
      </c>
      <c r="AD8" s="55" t="s">
        <v>885</v>
      </c>
      <c r="AE8" s="40" t="s">
        <v>875</v>
      </c>
      <c r="AF8" s="40" t="s">
        <v>875</v>
      </c>
      <c r="AG8" s="36" t="s">
        <v>886</v>
      </c>
      <c r="AH8" s="36" t="s">
        <v>886</v>
      </c>
      <c r="AI8" s="37" t="s">
        <v>885</v>
      </c>
      <c r="AJ8" s="36" t="s">
        <v>886</v>
      </c>
      <c r="AK8" s="42" t="str">
        <f>IF(AND(AE8="",AF8="",AG8="",AH8="",AI8="",AJ8=""),"",IF(AND(OR(O8&gt;0,R8&gt;0),NP8&gt;=0,NP8&lt;2),"SIN RIESGO",IF(AND(OR(O8&gt;0,R8&gt;0),NP8&gt;=2),"CON RIESGO",IF(AND(O8="",R8=""),"",IF(OR(Tabla1[[#This Row],[EMBARAZO ACEPTADO Y/O  DESEADO]]="SIN DATO",Tabla1[[#This Row],[APOYO FAMILIAR]]="SIN DATO",Tabla1[[#This Row],[ANSIEDAD (Tensión emocional, Humor depresivo y sx angustia).]]="SIN DATO",Tabla1[[#This Row],[GRUPO DE POBLACION ESPECIAL]]="SIN DATO",Tabla1[[#This Row],[HA SIDO VICTIMA DE VIOLENCIA BASADA EN GENERO]]="SIN DATO"),"COMPLETAR EVALUACIÓN","")))))</f>
        <v>SIN RIESGO</v>
      </c>
      <c r="AL8" s="36" t="s">
        <v>886</v>
      </c>
      <c r="AM8" s="40" t="s">
        <v>886</v>
      </c>
      <c r="AN8" s="40" t="s">
        <v>886</v>
      </c>
      <c r="AO8" s="40" t="s">
        <v>886</v>
      </c>
      <c r="AP8" s="40" t="s">
        <v>886</v>
      </c>
      <c r="AQ8" s="40" t="s">
        <v>886</v>
      </c>
      <c r="AR8" s="31">
        <v>1</v>
      </c>
      <c r="AS8" s="31">
        <v>0</v>
      </c>
      <c r="AT8" s="31">
        <v>0</v>
      </c>
      <c r="AU8" s="40" t="s">
        <v>886</v>
      </c>
      <c r="AV8" s="31">
        <v>0</v>
      </c>
      <c r="AW8" s="40" t="s">
        <v>886</v>
      </c>
      <c r="AX8" s="40" t="s">
        <v>886</v>
      </c>
      <c r="AY8" s="40" t="s">
        <v>886</v>
      </c>
      <c r="AZ8" s="40" t="s">
        <v>886</v>
      </c>
      <c r="BA8" s="40" t="s">
        <v>886</v>
      </c>
      <c r="BB8" s="40" t="s">
        <v>886</v>
      </c>
      <c r="BC8" s="40" t="s">
        <v>886</v>
      </c>
      <c r="BD8" s="40" t="s">
        <v>886</v>
      </c>
      <c r="BE8" s="40" t="s">
        <v>886</v>
      </c>
      <c r="BF8" s="40" t="s">
        <v>886</v>
      </c>
      <c r="BG8" s="40" t="s">
        <v>886</v>
      </c>
      <c r="BH8" s="40" t="s">
        <v>886</v>
      </c>
      <c r="BI8" s="40" t="s">
        <v>886</v>
      </c>
      <c r="BJ8" s="35"/>
      <c r="BK8" s="35">
        <v>44667</v>
      </c>
      <c r="BL8" s="31" t="s">
        <v>875</v>
      </c>
      <c r="BM8" s="43">
        <f t="shared" si="2"/>
        <v>0</v>
      </c>
      <c r="BN8" s="57">
        <f t="shared" si="3"/>
        <v>44660.6</v>
      </c>
      <c r="BO8" s="44">
        <f t="shared" si="4"/>
        <v>10</v>
      </c>
      <c r="BP8" s="31" t="str">
        <f t="shared" si="5"/>
        <v>I TRIM</v>
      </c>
      <c r="BQ8" s="39" t="str">
        <f t="shared" ca="1" si="6"/>
        <v/>
      </c>
      <c r="BR8" s="35">
        <v>44774</v>
      </c>
      <c r="BS8" s="43">
        <v>16.2</v>
      </c>
      <c r="BT8" s="35"/>
      <c r="BU8" s="31"/>
      <c r="BV8" s="40" t="s">
        <v>886</v>
      </c>
      <c r="BW8" s="40" t="s">
        <v>886</v>
      </c>
      <c r="BX8" s="40" t="s">
        <v>887</v>
      </c>
      <c r="BY8" s="40" t="s">
        <v>887</v>
      </c>
      <c r="BZ8" s="35">
        <v>44737</v>
      </c>
      <c r="CA8" s="31">
        <v>1.53</v>
      </c>
      <c r="CB8" s="31">
        <v>58</v>
      </c>
      <c r="CC8" s="39">
        <f t="shared" si="7"/>
        <v>24.776795249690291</v>
      </c>
      <c r="CD8" s="45" t="str">
        <f t="shared" si="8"/>
        <v>NORMAL</v>
      </c>
      <c r="CE8" s="35">
        <v>44803</v>
      </c>
      <c r="CF8" s="31">
        <v>51</v>
      </c>
      <c r="CG8" s="39">
        <f t="shared" si="9"/>
        <v>21.786492374727668</v>
      </c>
      <c r="CH8" s="31">
        <f t="shared" si="10"/>
        <v>19</v>
      </c>
      <c r="CI8" s="31" t="e">
        <f>IF(OR(CH8="",CH8="NA"),"",IF(AND(CH8&gt;=29,CH8&lt;=42),"REGISTRAR EN III TRIM",IF(AND(CH8&gt;0,CH8&lt;=13),"REGISTRAR EN I TRIM",IF(CH8="REVISAR FUM O FECHA PESO","REVISAR",IF(CH8&gt;0,HLOOKUP(CH8,$OI$1:PK8,OH8),"")))))</f>
        <v>#REF!</v>
      </c>
      <c r="CJ8" s="35">
        <v>44897</v>
      </c>
      <c r="CK8" s="31">
        <v>58</v>
      </c>
      <c r="CL8" s="39">
        <f t="shared" si="11"/>
        <v>24.776795249690291</v>
      </c>
      <c r="CM8" s="31">
        <f t="shared" si="12"/>
        <v>32</v>
      </c>
      <c r="CN8" s="31" t="e">
        <f>IF(OR(CM8="",CM8="NA"),"",IF(AND(CM8&gt;0,CM8&lt;=28),"REGISTRAR EN  TRIM RESPECTIVO",IF(CM8&gt;0,HLOOKUP(CM8,$OI$1:PK8,OH8),"")))</f>
        <v>#REF!</v>
      </c>
      <c r="CO8" s="31" t="e">
        <f t="shared" si="13"/>
        <v>#REF!</v>
      </c>
      <c r="CP8" s="31">
        <v>110</v>
      </c>
      <c r="CQ8" s="31">
        <v>70</v>
      </c>
      <c r="CR8" s="37" t="str">
        <f t="shared" si="14"/>
        <v>APARENTEMENTE NORMAL</v>
      </c>
      <c r="CS8" s="31">
        <v>100</v>
      </c>
      <c r="CT8" s="31">
        <v>70</v>
      </c>
      <c r="CU8" s="37" t="str">
        <f t="shared" si="15"/>
        <v>VIGILAR CIFRAS PRESION ARTERIAL</v>
      </c>
      <c r="CV8" s="31">
        <v>110</v>
      </c>
      <c r="CW8" s="31">
        <v>70</v>
      </c>
      <c r="CX8" s="31">
        <v>110</v>
      </c>
      <c r="CY8" s="31">
        <v>60</v>
      </c>
      <c r="CZ8" s="37" t="str">
        <f t="shared" si="16"/>
        <v>APARENTEMENTE NORMAL</v>
      </c>
      <c r="DA8" s="35">
        <v>44737</v>
      </c>
      <c r="DB8" s="35">
        <v>44737</v>
      </c>
      <c r="DC8" s="35">
        <v>44770</v>
      </c>
      <c r="DD8" s="35">
        <v>44803</v>
      </c>
      <c r="DE8" s="35">
        <v>44835</v>
      </c>
      <c r="DF8" s="35">
        <v>44866</v>
      </c>
      <c r="DG8" s="35">
        <v>44897</v>
      </c>
      <c r="DH8" s="35">
        <v>44930</v>
      </c>
      <c r="DI8" s="35"/>
      <c r="DJ8" s="35"/>
      <c r="DK8" s="35"/>
      <c r="DL8" s="35"/>
      <c r="DM8" s="35"/>
      <c r="DN8" s="35"/>
      <c r="DO8" s="43"/>
      <c r="DP8" s="35"/>
      <c r="DQ8" s="31" t="str">
        <f t="shared" ca="1" si="17"/>
        <v>SALE SIN PLAN DE PARTO</v>
      </c>
      <c r="DR8" s="46" t="str">
        <f t="shared" si="18"/>
        <v>SALIO PROGRAMA</v>
      </c>
      <c r="DS8" s="35" t="e">
        <f>IF(Tabla1[[#This Row],[EDAD GESTACIONAL ÚLTIMO CPN]]="SD","CITA MANUAL",IF(Tabla1[[#This Row],[GESTANTES ACTUALES]]="SALIO PROGRAMA","NO APLICA",IF(AND(Tabla1[[#This Row],[EDAD GESTACIONAL ÚLTIMO CPN]]&gt;0,Tabla1[[#This Row],[EDAD GESTACIONAL ÚLTIMO CPN]]&lt;=35),WORKDAY(SUM(Tabla1[[#This Row],[FECHA ULTIMO CPN]]+30),1,#REF!),IF(AND(Tabla1[[#This Row],[EDAD GESTACIONAL ÚLTIMO CPN]]&gt;=36,Tabla1[[#This Row],[EDAD GESTACIONAL ÚLTIMO CPN]]&lt;=42),WORKDAY(SUM(Tabla1[[#This Row],[FECHA ULTIMO CPN]]+14)-3,1,#REF!),""))))</f>
        <v>#VALUE!</v>
      </c>
      <c r="DT8" s="31" t="e">
        <f t="shared" ca="1" si="19"/>
        <v>#VALUE!</v>
      </c>
      <c r="DU8" s="35" t="e">
        <f>IF(R8="","",IF(R8&gt;0,MAX(Tabla1[[#This Row],[FECHA C2]:[FECHA C13]],Tabla1[[#This Row],[FECHA CONSULTA PRIMERA VEZ PROGRAMA CPN ]])))</f>
        <v>#VALUE!</v>
      </c>
      <c r="DV8" s="31" t="e">
        <f t="shared" si="20"/>
        <v>#VALUE!</v>
      </c>
      <c r="DW8" s="43">
        <f>IF(R8&gt;0,SUM(COUNTA(DC8:DN8)+COUNTA(Tabla1[[#This Row],[FECHA CONSULTA PRIMERA VEZ PROGRAMA CPN ]])),"")</f>
        <v>7</v>
      </c>
      <c r="DX8" s="43" t="str">
        <f t="shared" si="21"/>
        <v>SI</v>
      </c>
      <c r="DY8" s="39">
        <f t="shared" si="22"/>
        <v>9</v>
      </c>
      <c r="DZ8" s="47">
        <f t="shared" si="23"/>
        <v>0.77777777777777779</v>
      </c>
      <c r="EA8" s="35">
        <v>44737</v>
      </c>
      <c r="EB8" s="35">
        <v>44737</v>
      </c>
      <c r="EC8" s="35">
        <v>44737</v>
      </c>
      <c r="ED8" s="35">
        <v>44765</v>
      </c>
      <c r="EE8" s="35">
        <v>44737</v>
      </c>
      <c r="EF8" s="35">
        <v>44774</v>
      </c>
      <c r="EG8" s="35"/>
      <c r="EH8" s="31">
        <v>1</v>
      </c>
      <c r="EI8" s="31">
        <v>13</v>
      </c>
      <c r="EJ8" s="35">
        <v>44737</v>
      </c>
      <c r="EK8" s="43">
        <f t="shared" si="24"/>
        <v>10</v>
      </c>
      <c r="EL8" s="39" t="str">
        <f t="shared" si="25"/>
        <v>NORMAL- SUMINISTRAR SULFATO FERROSO</v>
      </c>
      <c r="EM8" s="31" t="str">
        <f t="shared" si="26"/>
        <v>I TRIM</v>
      </c>
      <c r="EN8" s="37">
        <v>14</v>
      </c>
      <c r="EO8" s="35">
        <v>44866</v>
      </c>
      <c r="EP8" s="44">
        <f t="shared" si="27"/>
        <v>28.428571428571427</v>
      </c>
      <c r="EQ8" s="39" t="str">
        <f t="shared" si="28"/>
        <v>NO DAR SULFATO FERROSO</v>
      </c>
      <c r="ER8" s="37" t="s">
        <v>893</v>
      </c>
      <c r="ES8" s="35">
        <v>44737</v>
      </c>
      <c r="ET8" s="44">
        <f t="shared" si="29"/>
        <v>10</v>
      </c>
      <c r="EU8" s="39" t="str">
        <f t="shared" si="30"/>
        <v>NO HAY RIESGO POR RH</v>
      </c>
      <c r="EV8" s="31">
        <v>94</v>
      </c>
      <c r="EW8" s="35">
        <v>44737</v>
      </c>
      <c r="EX8" s="44">
        <f t="shared" si="31"/>
        <v>10</v>
      </c>
      <c r="EY8" s="44">
        <v>69</v>
      </c>
      <c r="EZ8" s="44">
        <v>110</v>
      </c>
      <c r="FA8" s="44">
        <v>70</v>
      </c>
      <c r="FB8" s="31" t="str">
        <f t="shared" ca="1" si="32"/>
        <v>NORMAL</v>
      </c>
      <c r="FC8" s="48">
        <v>44835</v>
      </c>
      <c r="FD8" s="44">
        <f t="shared" si="33"/>
        <v>24</v>
      </c>
      <c r="FE8" s="35" t="s">
        <v>894</v>
      </c>
      <c r="FF8" s="35">
        <v>44737</v>
      </c>
      <c r="FG8" s="44">
        <f t="shared" ca="1" si="34"/>
        <v>10</v>
      </c>
      <c r="FH8" s="35" t="s">
        <v>894</v>
      </c>
      <c r="FI8" s="49">
        <v>44803</v>
      </c>
      <c r="FJ8" s="44">
        <f t="shared" ca="1" si="35"/>
        <v>19.428571428571427</v>
      </c>
      <c r="FK8" s="35"/>
      <c r="FL8" s="49"/>
      <c r="FM8" s="44" t="str">
        <f t="shared" ca="1" si="36"/>
        <v>PIERDE TOMA DE TAMIZAJE</v>
      </c>
      <c r="FN8" s="35"/>
      <c r="FO8" s="49"/>
      <c r="FP8" s="44" t="e">
        <f>IF(AND(FE8="",FH8="",FK8="",FN8=""),"",IF(OR(OR(Tabla1[[#This Row],[TAMIZAJE  PARA SIFILIS  SEGÚN GPC SIFILIS I TRIMESTRE]]="P. R POSITIVA CASO SIFILIS",Tabla1[[#This Row],[TAMIZAJE  PARA SIFILIS  SEGÚN GPC SIFILIS II TRIMESTRE]]="P. R POSITIVA CASO SIFILIS",Tabla1[[#This Row],[TAMIZAJE  PARA SIFILIS  SEGÚN GPC SIFILIS III TRIMESTRE]]="P. R POSITIVA CASO SIFILIS",Tabla1[[#This Row],[TAMIZAJE  PARA SIFILIS  SEGÚN GPC SIFILIS INTRAPARTO]]="P. R POSITIVA CASO SIFILIS"),OR(Tabla1[[#This Row],[TAMIZAJE  PARA SIFILIS  SEGÚN GPC SIFILIS I TRIMESTRE]]="REINFECCIÓN-DILUCIONES AUMENTAN",Tabla1[[#This Row],[TAMIZAJE  PARA SIFILIS  SEGÚN GPC SIFILIS II TRIMESTRE]]="REINFECCIÓN-DILUCIONES AUMENTAN",Tabla1[[#This Row],[TAMIZAJE  PARA SIFILIS  SEGÚN GPC SIFILIS III TRIMESTRE]]="REINFECCIÓN-DILUCIONES AUMENTAN",Tabla1[[#This Row],[TAMIZAJE  PARA SIFILIS  SEGÚN GPC SIFILIS INTRAPARTO]]="REINFECCIÓN-DILUCIONES AUMENTAN")),"SIFILIS GESTACIONAL",""))</f>
        <v>#VALUE!</v>
      </c>
      <c r="FQ8" s="31" t="s">
        <v>801</v>
      </c>
      <c r="FR8" s="35">
        <v>44737</v>
      </c>
      <c r="FS8" s="44">
        <f t="shared" si="37"/>
        <v>10</v>
      </c>
      <c r="FT8" s="43" t="s">
        <v>895</v>
      </c>
      <c r="FU8" s="35">
        <v>44737</v>
      </c>
      <c r="FV8" s="44">
        <f t="shared" si="38"/>
        <v>10</v>
      </c>
      <c r="FW8" s="35">
        <v>44737</v>
      </c>
      <c r="FX8" s="35">
        <v>44737</v>
      </c>
      <c r="FY8" s="35" t="s">
        <v>896</v>
      </c>
      <c r="FZ8" s="35">
        <v>44737</v>
      </c>
      <c r="GA8" s="44">
        <f t="shared" ca="1" si="39"/>
        <v>10</v>
      </c>
      <c r="GB8" s="35" t="s">
        <v>896</v>
      </c>
      <c r="GC8" s="35">
        <v>44803</v>
      </c>
      <c r="GD8" s="44">
        <f t="shared" ca="1" si="40"/>
        <v>19.428571428571427</v>
      </c>
      <c r="GE8" s="35"/>
      <c r="GF8" s="35"/>
      <c r="GG8" s="44" t="str">
        <f t="shared" ca="1" si="41"/>
        <v>PIERDE TOMA DE TAMIZAJE</v>
      </c>
      <c r="GH8" s="35"/>
      <c r="GI8" s="44"/>
      <c r="GJ8" s="35" t="s">
        <v>883</v>
      </c>
      <c r="GK8" s="35"/>
      <c r="GL8" s="35" t="s">
        <v>883</v>
      </c>
      <c r="GM8" s="35"/>
      <c r="GN8" s="43" t="s">
        <v>895</v>
      </c>
      <c r="GO8" s="35">
        <v>44737</v>
      </c>
      <c r="GP8" s="44">
        <f t="shared" si="42"/>
        <v>10</v>
      </c>
      <c r="GQ8" s="43" t="s">
        <v>895</v>
      </c>
      <c r="GR8" s="43" t="s">
        <v>895</v>
      </c>
      <c r="GS8" s="35" t="str">
        <f t="shared" si="43"/>
        <v>CONTROL Igm</v>
      </c>
      <c r="GT8" s="35">
        <v>44737</v>
      </c>
      <c r="GU8" s="44">
        <f t="shared" si="44"/>
        <v>10</v>
      </c>
      <c r="GV8" s="31" t="str">
        <f t="shared" si="45"/>
        <v>I TRIM</v>
      </c>
      <c r="GW8" s="43" t="s">
        <v>895</v>
      </c>
      <c r="GX8" s="46">
        <v>5</v>
      </c>
      <c r="GY8" s="31"/>
      <c r="GZ8" s="35"/>
      <c r="HA8" s="43" t="str">
        <f t="shared" si="46"/>
        <v/>
      </c>
      <c r="HB8" s="31" t="str">
        <f t="shared" si="47"/>
        <v/>
      </c>
      <c r="HC8" s="31" t="str">
        <f t="shared" si="48"/>
        <v/>
      </c>
      <c r="HD8" s="31" t="s">
        <v>897</v>
      </c>
      <c r="HE8" s="31"/>
      <c r="HF8" s="31" t="s">
        <v>898</v>
      </c>
      <c r="HG8" s="31"/>
      <c r="HH8" s="31" t="s">
        <v>899</v>
      </c>
      <c r="HI8" s="31">
        <v>0</v>
      </c>
      <c r="HJ8" s="35" t="s">
        <v>900</v>
      </c>
      <c r="HK8" s="35" t="e">
        <f>IF(OR(O8&gt;0,R8&gt;0),CONCATENATE(IF(Tabla1[[#This Row],[NECESIDAD O DESARMONIA DESDE LO PROPIO 1]]&lt;&gt;"",Tabla1[[#This Row],[NECESIDAD O DESARMONIA DESDE LO PROPIO 1]],""),"*",CONCATENATE(IF(Tabla1[[#This Row],[NECESIDAD O DESARMONIA DESDE LO PROPIO 12]]&lt;&gt;"",Tabla1[[#This Row],[NECESIDAD O DESARMONIA DESDE LO PROPIO 12]],""),"*",CONCATENATE(IF(Tabla1[[#This Row],[NECESIDAD O DESARMONIA DESDE LO PROPIO 13]]&lt;&gt;"",Tabla1[[#This Row],[NECESIDAD O DESARMONIA DESDE LO PROPIO 13]],""),"*",CONCATENATE(IF(Tabla1[[#This Row],[NECESIDAD O DESARMONIA DESDE LO PROPIO 14]]&lt;&gt;"",Tabla1[[#This Row],[NECESIDAD O DESARMONIA DESDE LO PROPIO 14]],""),"*",CONCATENATE(IF(Tabla1[[#This Row],[NECESIDAD O DESARMONIA DESDE LO PROPIO 15]]&lt;&gt;"",Tabla1[[#This Row],[NECESIDAD O DESARMONIA DESDE LO PROPIO 15]],""),"*",CONCATENATE(IF(Tabla1[[#This Row],[NECESIDAD O DESARMONIA DESDE LO PROPIO 16]]&lt;&gt;"",Tabla1[[#This Row],[NECESIDAD O DESARMONIA DESDE LO PROPIO 16]],""),"*",CONCATENATE(IF(Tabla1[[#This Row],[NECESIDAD O DESARMONIA DESDE LO PROPIO 17444]]&lt;&gt;"",Tabla1[[#This Row],[NECESIDAD O DESARMONIA DESDE LO PROPIO 17444]],"")))))))),"")</f>
        <v>#VALUE!</v>
      </c>
      <c r="HL8" s="35" t="e">
        <f t="shared" si="49"/>
        <v>#REF!</v>
      </c>
      <c r="HM8" s="35" t="e">
        <f t="shared" si="50"/>
        <v>#VALUE!</v>
      </c>
      <c r="HN8" s="31" t="e">
        <f t="shared" ca="1" si="51"/>
        <v>#VALUE!</v>
      </c>
      <c r="HO8" s="31" t="e">
        <f t="shared" si="52"/>
        <v>#VALUE!</v>
      </c>
      <c r="HP8" s="37" t="str">
        <f t="shared" si="53"/>
        <v>APARENTEMENTE NORMAL</v>
      </c>
      <c r="HQ8" s="31" t="e">
        <f t="shared" ca="1" si="54"/>
        <v>#VALUE!</v>
      </c>
      <c r="HR8" s="46" t="str">
        <f t="shared" si="55"/>
        <v>SALIO PROGRAMA</v>
      </c>
      <c r="HS8" s="31" t="s">
        <v>875</v>
      </c>
      <c r="HT8" s="31" t="s">
        <v>883</v>
      </c>
      <c r="HU8" s="35">
        <v>44866</v>
      </c>
      <c r="HV8" s="35" t="s">
        <v>901</v>
      </c>
      <c r="HW8" s="35">
        <v>44835</v>
      </c>
      <c r="HX8" s="35" t="s">
        <v>901</v>
      </c>
      <c r="HY8" s="35">
        <v>44866</v>
      </c>
      <c r="HZ8" s="35" t="s">
        <v>901</v>
      </c>
      <c r="IA8" s="40" t="s">
        <v>887</v>
      </c>
      <c r="IB8" s="35">
        <v>44737</v>
      </c>
      <c r="IC8" s="43">
        <f t="shared" si="56"/>
        <v>10</v>
      </c>
      <c r="ID8" s="40" t="s">
        <v>875</v>
      </c>
      <c r="IE8" s="40" t="s">
        <v>902</v>
      </c>
      <c r="IF8" s="35"/>
      <c r="IG8" s="35"/>
      <c r="IH8" s="171"/>
      <c r="II8" s="171"/>
      <c r="IJ8" s="171"/>
      <c r="IK8" s="37" t="e">
        <f>IF(AND(BK8="",PM8="SD"),"SIN DATO EDAD GESTACIONAL",IF(AND(BK8="",PN8=""),"",IF(AND(AND(BQ8&gt;0,BQ8&lt;12),PN8=""),"MENOR 12 SEMANAS",IF(AND(BQ8&gt;11.6,PN8="",HJ8="BAJO RIESGO O SE DESCARTA INFECCIÓN POR SARS-CoV2"),"PROGRAMAR APLICACION DE VACUNA",IF(OR(AND(BQ8&gt;11.6,PN8=""),HJ8="FACTOR DE RIESGO PARA COVID19",HJ8="COVID19 PRIMER TRIMESTRE",HJ8="COVID19 SEGUNDO TRIMESTRE",HJ8="COVID19 TERCER TRIMESTRE",HJ8="COVID19 PUERPERIO"),"DIFERIR FECHA DE VACUNACION SEGÚN LINEAMIENTOS",IF(AND(BQ8&gt;11.6,PN8="Error Jansen X Fecha Segunda Dosis"),"Error Jansen X Fecha Segunda Dosis",IF(AND(BQ8&gt;11.6,PN8="Firma"),"FIRMA DISENTIMIENTO",IF(AND(BQ8&gt;11.6,PN8="Firma3"),"NO ACEPTA VACUNA Y NO FIRMA DISCENTIMIENTO",IF(AND(BQ8&gt;11.6,PN8="Firma2"),"Error en Fecha x Firma Disentimiento",IF(AND(BQ8&gt;11.6,PN8="Firma4"),"Error en Fecha x No Acepta no Firma",IF(AND(BQ8&gt;11.6,PN8="Completo",Tabla1[[#This Row],[Fecha Refuerzo Anti COVID-20]]=""),"PENDIENTE REFUERZO",IF(AND(BQ8&gt;11.6,PN8="Completo",Tabla1[[#This Row],[Fecha Refuerzo Anti COVID-20]]&lt;&gt;""),"CON REFUERZO",IF(AND(BQ8&gt;11.6,PN8="Falta Dosis"),PQ8,IF(OR(AND(BQ8&gt;11.6,PN8=""),HJ8="",HJ8="NO SE EVALUA RIESGO INFECCIÓN COVID19"),"DEFINIR RIESGO CONTAGIO SARS-CoV2, columna GZ",""))))))))))))))</f>
        <v>#VALUE!</v>
      </c>
      <c r="IL8" s="171">
        <v>44803</v>
      </c>
      <c r="IM8" s="35">
        <v>44803</v>
      </c>
      <c r="IN8" s="35" t="str">
        <f t="shared" ca="1" si="57"/>
        <v>VACUNA APLICADA ENTRE SEMANA 20 Y SEMANA 26</v>
      </c>
      <c r="IO8" s="35"/>
      <c r="IP8" s="35">
        <f t="shared" si="58"/>
        <v>44947</v>
      </c>
      <c r="IQ8" s="44">
        <f t="shared" ca="1" si="59"/>
        <v>-283</v>
      </c>
      <c r="IR8" s="35" t="str">
        <f t="shared" ca="1" si="60"/>
        <v>POSIBLEMENTE NACIO</v>
      </c>
      <c r="IS8" s="35"/>
      <c r="IT8" s="31" t="s">
        <v>915</v>
      </c>
      <c r="IU8" s="31" t="s">
        <v>905</v>
      </c>
      <c r="IV8" s="51" t="s">
        <v>916</v>
      </c>
      <c r="IW8" s="35">
        <v>44935</v>
      </c>
      <c r="IX8" s="31" t="s">
        <v>907</v>
      </c>
      <c r="IY8" s="44">
        <f t="shared" si="61"/>
        <v>38.285714285714285</v>
      </c>
      <c r="IZ8" s="52" t="s">
        <v>908</v>
      </c>
      <c r="JA8" s="31" t="s">
        <v>909</v>
      </c>
      <c r="JB8" s="31" t="s">
        <v>910</v>
      </c>
      <c r="JC8" s="31" t="s">
        <v>917</v>
      </c>
      <c r="JD8" s="31" t="s">
        <v>875</v>
      </c>
      <c r="JE8" s="31" t="s">
        <v>875</v>
      </c>
      <c r="JF8" s="31"/>
      <c r="JG8" s="31" t="s">
        <v>875</v>
      </c>
      <c r="JH8" s="31" t="s">
        <v>875</v>
      </c>
      <c r="JI8" s="31"/>
      <c r="JJ8" s="31" t="s">
        <v>918</v>
      </c>
      <c r="JK8" s="46">
        <v>1</v>
      </c>
      <c r="JL8" s="31" t="s">
        <v>919</v>
      </c>
      <c r="JM8" s="53">
        <v>2564</v>
      </c>
      <c r="JN8" s="31" t="str">
        <f t="shared" si="62"/>
        <v>PESO ADECUADO EDAD GESTACIONAL</v>
      </c>
      <c r="JO8" s="236">
        <v>44935</v>
      </c>
      <c r="JP8" s="31"/>
      <c r="JQ8" s="31"/>
      <c r="JR8" s="31"/>
      <c r="JS8" s="46" t="s">
        <v>893</v>
      </c>
      <c r="JT8" s="35">
        <v>44935</v>
      </c>
      <c r="JU8" s="35">
        <v>44935</v>
      </c>
      <c r="JV8" s="31"/>
      <c r="JW8" s="53"/>
      <c r="JX8" s="31" t="str">
        <f t="shared" si="63"/>
        <v/>
      </c>
      <c r="JY8" s="35"/>
      <c r="JZ8" s="31"/>
      <c r="KA8" s="31"/>
      <c r="KB8" s="31"/>
      <c r="KC8" s="46"/>
      <c r="KD8" s="35"/>
      <c r="KE8" s="35"/>
      <c r="KF8" s="50">
        <v>44942</v>
      </c>
      <c r="KG8" s="43">
        <f t="shared" si="64"/>
        <v>7</v>
      </c>
      <c r="KH8" s="50">
        <v>44942</v>
      </c>
      <c r="KI8" s="43">
        <f t="shared" si="65"/>
        <v>7</v>
      </c>
      <c r="KJ8" s="31" t="s">
        <v>875</v>
      </c>
      <c r="KK8" s="31" t="s">
        <v>875</v>
      </c>
      <c r="KL8" s="31" t="s">
        <v>875</v>
      </c>
      <c r="KM8" s="54">
        <v>44935</v>
      </c>
      <c r="KN8" s="43" t="s">
        <v>914</v>
      </c>
      <c r="KO8" s="43"/>
      <c r="KP8" s="43"/>
      <c r="KQ8" s="56"/>
      <c r="KR8" s="56"/>
      <c r="KS8" s="99"/>
      <c r="KT8" s="56"/>
      <c r="KU8" s="56"/>
      <c r="KV8" s="99"/>
      <c r="KW8" s="56"/>
      <c r="KX8" s="56"/>
      <c r="KY8" s="56"/>
      <c r="KZ8" s="56"/>
      <c r="LA8" s="56"/>
      <c r="LB8" s="56"/>
      <c r="LC8" s="56"/>
      <c r="LD8" s="55"/>
      <c r="LE8" s="55"/>
      <c r="LF8" s="55"/>
      <c r="LG8" s="55"/>
      <c r="LH8" s="55"/>
      <c r="LI8" s="55"/>
      <c r="LJ8" s="55"/>
      <c r="LK8" s="55"/>
      <c r="LL8" s="55"/>
      <c r="LM8" s="55"/>
      <c r="LN8" s="55"/>
      <c r="LO8" s="55"/>
      <c r="LP8" s="55"/>
      <c r="LQ8" s="55"/>
      <c r="LR8" s="55"/>
      <c r="LS8" s="55"/>
      <c r="LT8" s="55"/>
      <c r="LU8" s="55"/>
      <c r="LV8" s="55"/>
      <c r="LW8" s="55"/>
      <c r="LX8" s="55"/>
      <c r="LY8" s="55"/>
      <c r="LZ8" s="55"/>
      <c r="MA8" s="55"/>
      <c r="MB8" s="55"/>
      <c r="MC8" s="55"/>
      <c r="MD8" s="55"/>
      <c r="ME8" s="55"/>
      <c r="MF8" s="55"/>
      <c r="MG8" s="55"/>
      <c r="MH8" s="55"/>
      <c r="MI8" s="55"/>
      <c r="MJ8" s="55"/>
      <c r="MK8" s="55"/>
      <c r="ML8" s="55"/>
      <c r="MM8" s="55"/>
      <c r="MN8" s="55"/>
      <c r="MO8" s="55"/>
      <c r="MP8" s="153"/>
      <c r="MQ8" s="148">
        <f t="shared" si="66"/>
        <v>0</v>
      </c>
      <c r="MR8" t="str">
        <f t="shared" si="67"/>
        <v/>
      </c>
      <c r="MS8" t="str">
        <f t="shared" si="68"/>
        <v/>
      </c>
      <c r="MT8">
        <f t="shared" si="69"/>
        <v>0</v>
      </c>
      <c r="MU8" t="e">
        <f>IF(AND(Tabla1[[#This Row],[FECHA DE IDENTIFICACION DE LA GESTANTE]]="",Tabla1[[#This Row],[FECHA CONSULTA PRIMERA VEZ PROGRAMA CPN ]]=""),"",IF(AND(Tabla1[[#This Row],[FECHA DE IDENTIFICACION DE LA GESTANTE]]&gt;0,Tabla1[[#This Row],[FECHA CONSULTA PRIMERA VEZ PROGRAMA CPN ]]=""),"SIN INGRESO CPN",IF(AND(Tabla1[[#This Row],[FECHA DE IDENTIFICACION DE LA GESTANTE]]="",Tabla1[[#This Row],[FECHA CONSULTA PRIMERA VEZ PROGRAMA CPN ]]&gt;0),"NO APLICA",SUM(Tabla1[[#This Row],[FECHA CONSULTA PRIMERA VEZ PROGRAMA CPN ]]-Tabla1[[#This Row],[FECHA DE IDENTIFICACION DE LA GESTANTE]]))))</f>
        <v>#VALUE!</v>
      </c>
      <c r="MV8">
        <f t="shared" si="70"/>
        <v>10</v>
      </c>
      <c r="MW8">
        <f t="shared" si="71"/>
        <v>6</v>
      </c>
      <c r="MX8">
        <f t="shared" si="72"/>
        <v>2022</v>
      </c>
      <c r="MY8" t="str">
        <f t="shared" si="73"/>
        <v>II TRIMESTRE AÑO</v>
      </c>
      <c r="MZ8">
        <f t="shared" si="74"/>
        <v>14.818769163381516</v>
      </c>
      <c r="NA8">
        <f t="shared" si="75"/>
        <v>1</v>
      </c>
      <c r="NB8" t="str">
        <f t="shared" si="76"/>
        <v>DE 14 A 19AÑOS</v>
      </c>
      <c r="NC8">
        <f t="shared" si="77"/>
        <v>0</v>
      </c>
      <c r="ND8">
        <f t="shared" si="78"/>
        <v>1</v>
      </c>
      <c r="NE8">
        <f t="shared" si="79"/>
        <v>0</v>
      </c>
      <c r="NF8">
        <f t="shared" si="80"/>
        <v>0</v>
      </c>
      <c r="NG8" t="str">
        <f t="shared" si="81"/>
        <v/>
      </c>
      <c r="NH8" t="str">
        <f t="shared" ca="1" si="82"/>
        <v/>
      </c>
      <c r="NI8" t="str">
        <f t="shared" si="83"/>
        <v/>
      </c>
      <c r="NJ8">
        <f t="shared" si="84"/>
        <v>0</v>
      </c>
      <c r="NK8" t="str">
        <f t="shared" si="85"/>
        <v>0</v>
      </c>
      <c r="NL8">
        <f t="shared" si="86"/>
        <v>0</v>
      </c>
      <c r="NM8">
        <f t="shared" ca="1" si="87"/>
        <v>2</v>
      </c>
      <c r="NN8" t="e">
        <f>IF(OR(O8&gt;0,R8&gt;0),SUM(COUNTIF(Tabla1[[#This Row],[AÑOS AL INICIO5 CPN]],"&gt;=40"),COUNTIF(AR8,"0"),COUNTIF(AQ8,"SI"),COUNTIF(BW8,"SI"),COUNTIF(BM8,"&gt;119"),COUNTIF(CC8,"&gt;=35")),"")</f>
        <v>#VALUE!</v>
      </c>
      <c r="NO8">
        <f t="shared" si="88"/>
        <v>19.428571428571427</v>
      </c>
      <c r="NP8">
        <f t="shared" si="89"/>
        <v>0</v>
      </c>
      <c r="NQ8">
        <f t="shared" si="90"/>
        <v>113.39999999999999</v>
      </c>
      <c r="NR8" t="e">
        <f ca="1">IF(Tabla1[[#This Row],[GESTANTES ACTUALES]]="","SD",IF(Tabla1[[#This Row],[GESTANTES ACTUALES]]="SEGUIMIENTO REPORTE EPS","Y",IF(Tabla1[[#This Row],[GESTANTES ACTUALES]]="SALE SIN INGRESO CPN","X",IF(AND(Tabla1[[#This Row],[CITA PROXIMO CONTROL]]="",Tabla1[[#This Row],[GESTANTES ACTUALES]]="ACTIVA SIN INGRESO CPN",P8="NO"),"Z",IF(AND(Tabla1[[#This Row],[CITA PROXIMO CONTROL]]="CITA MANUAL",Tabla1[[#This Row],[GESTANTES ACTUALES]]="ACTIVA INGRESO A CPN"),"W",IF(AND(Tabla1[[#This Row],[GESTANTES ACTUALES]]="SALIO PROGRAMA",IW8=""),"S",IF(AND(Tabla1[[#This Row],[CITA PROXIMO CONTROL]]&gt;0,IW8=""),(Tabla1[[#This Row],[CITA PROXIMO CONTROL]]-TODAY()),"SD")))))))</f>
        <v>#VALUE!</v>
      </c>
      <c r="NS8" t="e">
        <f>MONTH(Tabla1[[#This Row],[FECHA DE SALIDA  DEL PROGRAMA]])</f>
        <v>#VALUE!</v>
      </c>
      <c r="NT8" t="e">
        <f>YEAR(Tabla1[[#This Row],[FECHA DE SALIDA  DEL PROGRAMA]])</f>
        <v>#VALUE!</v>
      </c>
      <c r="NU8">
        <f t="shared" si="91"/>
        <v>37</v>
      </c>
      <c r="NV8" t="str">
        <f t="shared" si="92"/>
        <v>SI</v>
      </c>
      <c r="NW8" t="e">
        <f>IF(AND(O8&gt;0,R8=""),"NO CPN",IF(AND(O8="",R8=""),"",IF(AND(R8&gt;0,Tabla1[[#This Row],[SEMANAS DE GESTACION ACTUALIZADAS]]&lt;=12),"NO APLICA",IF(AND(FC8&lt;&gt;"",FI8&lt;&gt;""),"SI","NO"))))</f>
        <v>#VALUE!</v>
      </c>
      <c r="NX8" s="149" t="e">
        <f>IF(AND(O8&gt;0,R8=""),"NO CPN",IF(AND(O8="",R8=""),"",IF(AND(R8&gt;0,Tabla1[[#This Row],[SEMANAS DE GESTACION ACTUALIZADAS]]&lt;=27),"NO APLICA",IF(AND(EO8&lt;&gt;"",FL8&lt;&gt;"",GF8&lt;&gt;""),"SI","NO"))))</f>
        <v>#VALUE!</v>
      </c>
      <c r="NY8" s="147" t="str">
        <f t="shared" si="93"/>
        <v>II TRIM</v>
      </c>
      <c r="NZ8" s="1" t="e">
        <f>IF(AND(#REF!&gt;0,#REF!&lt;37),10,IF(OR(#REF!="Transversa",#REF!="Oblicua"),9,IF(#REF!="SI",8,IF(AND(#REF!=0,#REF!=0,#REF!="NO",#REF!="Cefálica",#REF!&gt;=37,#REF!="INICIO ESPONTÁNEO"),1,IF(AND(AND(#REF!=0,#REF!=0,#REF!="NO",#REF!="Cefálica",#REF!&gt;=37),OR(#REF!="LE HACEN INDUCCIÓN",#REF!="LE HACEN CESÁREA SIN INICIO TRABAJO DE PARTO")),2,IF(AND(#REF!&gt;=1,#REF!=0,#REF!="NO",#REF!="Cefálica",#REF!&gt;=37,#REF!="INICIO ESPONTÁNEO"),3,IF(AND(AND(#REF!&gt;=1,#REF!=0,#REF!="NO",#REF!="Cefálica",#REF!&gt;=37),OR(#REF!="LE HACEN INDUCCIÓN",#REF!="LE HACEN CESÁREA SIN INICIO TRABAJO DE PARTO")),4,IF(AND(AND(#REF!&gt;=1,#REF!&gt;=1,#REF!="NO",#REF!="Cefálica",#REF!&gt;=37),OR(#REF!="LE HACEN INDUCCIÓN",#REF!="LE HACEN CESÁREA SIN INICIO TRABAJO DE PARTO",#REF!="INICIO ESPONTÁNEO")),5,IF(AND(AND(#REF!=0,#REF!=0,#REF!="NO",#REF!="Podálica",#REF!&gt;=1),OR(#REF!="LE HACEN INDUCCIÓN",#REF!="LE HACEN CESÁREA SIN INICIO TRABAJO DE PARTO",#REF!="INICIO ESPONTÁNEO")),6,IF(AND(AND(#REF!&gt;=1,#REF!="NO",#REF!="Podálica",#REF!&gt;=1),OR(#REF!="LE HACEN INDUCCIÓN",#REF!="LE HACEN CESÁREA SIN INICIO TRABAJO DE PARTO",#REF!="INICIO ESPONTÁNEO"),OR(#REF!=0,#REF!&gt;=1)),7,""))))))))))</f>
        <v>#REF!</v>
      </c>
      <c r="OA8" s="1">
        <f t="shared" si="94"/>
        <v>3</v>
      </c>
      <c r="OB8" s="213">
        <f t="shared" ca="1" si="95"/>
        <v>2</v>
      </c>
      <c r="OC8" s="1">
        <f t="shared" ca="1" si="96"/>
        <v>2</v>
      </c>
      <c r="OD8" s="1" t="str">
        <f t="shared" ca="1" si="97"/>
        <v>INCOMPLETO</v>
      </c>
      <c r="OE8" s="1" t="str">
        <f t="shared" ca="1" si="98"/>
        <v>INCOMPLETO</v>
      </c>
      <c r="OF8" s="221" t="e">
        <f>IF(AND(O8="",R8=""),"",IF(OR(AND(Tabla1[[#This Row],[SUMINISTRO DE SULFATO FERROSO ]]="ADECUADO SEGÚN GPC",Tabla1[[#This Row],[SUMINISTRO CALCIO ]]="ADECUADO SEGÚN GPC",Tabla1[[#This Row],[SUMINISTRO DE ACIDO FOLICO ]]="ADECUADO SEGÚN GPC"),AND(Tabla1[[#This Row],[SUMINISTRO DE SULFATO FERROSO ]]="NO APLICA",Tabla1[[#This Row],[SUMINISTRO CALCIO ]]="ADECUADO SEGÚN GPC",Tabla1[[#This Row],[SUMINISTRO DE ACIDO FOLICO ]]="ADECUADO SEGÚN GPC"),AND(Tabla1[[#This Row],[SUMINISTRO DE SULFATO FERROSO ]]="ADECUADO SEGÚN GPC",Tabla1[[#This Row],[SUMINISTRO CALCIO ]]="NO APLICA",Tabla1[[#This Row],[SUMINISTRO DE ACIDO FOLICO ]]="ADECUADO SEGÚN GPC"),AND(Tabla1[[#This Row],[SUMINISTRO DE SULFATO FERROSO ]]="ADECUADO SEGÚN GPC",Tabla1[[#This Row],[SUMINISTRO CALCIO ]]="ADECUADO SEGÚN GPC",Tabla1[[#This Row],[SUMINISTRO DE ACIDO FOLICO ]]="NO APLICA"),AND(Tabla1[[#This Row],[SUMINISTRO DE SULFATO FERROSO ]]="NO APLICA",Tabla1[[#This Row],[SUMINISTRO CALCIO ]]="ADECUADO SEGÚN GPC",Tabla1[[#This Row],[SUMINISTRO DE ACIDO FOLICO ]]="NO APLICA"),AND(Tabla1[[#This Row],[SUMINISTRO DE SULFATO FERROSO ]]="NO APLICA",Tabla1[[#This Row],[SUMINISTRO CALCIO ]]="NO APLICA",Tabla1[[#This Row],[SUMINISTRO DE ACIDO FOLICO ]]="ADECUADO SEGÚN GPC"),AND(Tabla1[[#This Row],[SUMINISTRO DE SULFATO FERROSO ]]="ADECUADO SEGÚN GPC",Tabla1[[#This Row],[SUMINISTRO CALCIO ]]="NO APLICA",Tabla1[[#This Row],[SUMINISTRO DE ACIDO FOLICO ]]="NO APLICA"),AND(Tabla1[[#This Row],[SUMINISTRO DE SULFATO FERROSO ]]="NO APLICA",Tabla1[[#This Row],[SUMINISTRO CALCIO ]]="NO APLICA",Tabla1[[#This Row],[SUMINISTRO DE ACIDO FOLICO ]]="NO APLICA")),"COMPLETO","INCOMPLETO"))</f>
        <v>#VALUE!</v>
      </c>
      <c r="OG8" s="230" t="str">
        <f t="shared" ca="1" si="99"/>
        <v>VACUNADA</v>
      </c>
      <c r="OH8" s="148" t="e">
        <f>ROW(Tabla1[[#This Row],[SEMANAS DE GESTACION II TRIM]])</f>
        <v>#VALUE!</v>
      </c>
      <c r="OI8" t="str">
        <f t="shared" si="131"/>
        <v/>
      </c>
      <c r="OJ8" t="str">
        <f t="shared" si="132"/>
        <v/>
      </c>
      <c r="OK8" t="str">
        <f t="shared" si="133"/>
        <v/>
      </c>
      <c r="OL8" t="str">
        <f t="shared" si="134"/>
        <v/>
      </c>
      <c r="OM8" t="str">
        <f t="shared" si="135"/>
        <v/>
      </c>
      <c r="ON8" t="str">
        <f t="shared" si="136"/>
        <v>NORMAL</v>
      </c>
      <c r="OO8" t="str">
        <f t="shared" si="137"/>
        <v/>
      </c>
      <c r="OP8" t="str">
        <f t="shared" si="138"/>
        <v/>
      </c>
      <c r="OQ8" t="str">
        <f t="shared" si="139"/>
        <v/>
      </c>
      <c r="OR8" t="str">
        <f t="shared" si="140"/>
        <v/>
      </c>
      <c r="OS8" t="str">
        <f t="shared" si="141"/>
        <v/>
      </c>
      <c r="OT8" t="str">
        <f t="shared" si="142"/>
        <v/>
      </c>
      <c r="OU8" t="str">
        <f t="shared" si="143"/>
        <v/>
      </c>
      <c r="OV8" t="str">
        <f t="shared" si="144"/>
        <v/>
      </c>
      <c r="OW8" t="str">
        <f t="shared" si="145"/>
        <v/>
      </c>
      <c r="OX8" t="str">
        <f t="shared" si="146"/>
        <v/>
      </c>
      <c r="OY8" t="str">
        <f t="shared" si="147"/>
        <v/>
      </c>
      <c r="OZ8" t="str">
        <f t="shared" si="148"/>
        <v/>
      </c>
      <c r="PA8" t="str">
        <f t="shared" si="149"/>
        <v>NORMAL</v>
      </c>
      <c r="PB8" t="str">
        <f t="shared" si="150"/>
        <v/>
      </c>
      <c r="PC8" t="str">
        <f t="shared" si="151"/>
        <v/>
      </c>
      <c r="PD8" t="str">
        <f t="shared" si="152"/>
        <v/>
      </c>
      <c r="PE8" t="str">
        <f t="shared" si="153"/>
        <v/>
      </c>
      <c r="PF8" t="str">
        <f t="shared" si="154"/>
        <v/>
      </c>
      <c r="PG8" t="str">
        <f t="shared" si="155"/>
        <v/>
      </c>
      <c r="PH8" t="str">
        <f t="shared" si="156"/>
        <v/>
      </c>
      <c r="PI8" t="str">
        <f t="shared" si="157"/>
        <v/>
      </c>
      <c r="PJ8" t="str">
        <f t="shared" si="158"/>
        <v/>
      </c>
      <c r="PK8" t="str">
        <f t="shared" si="159"/>
        <v/>
      </c>
      <c r="PL8" s="164" t="e">
        <f>IF(Tabla1[[#This Row],[Tipo Biológico Vacuna anti COVID-19 (Disentimiento)]]="Pfizer","a",IF(Tabla1[[#This Row],[Tipo Biológico Vacuna anti COVID-19 (Disentimiento)]]="Janssen","b",IF(Tabla1[[#This Row],[Tipo Biológico Vacuna anti COVID-19 (Disentimiento)]]="Sinovac","c",IF(Tabla1[[#This Row],[Tipo Biológico Vacuna anti COVID-19 (Disentimiento)]]="Jhonson&amp;Jhonson","e",IF(Tabla1[[#This Row],[Tipo Biológico Vacuna anti COVID-19 (Disentimiento)]]="Moderna","f",IF(Tabla1[[#This Row],[Tipo Biológico Vacuna anti COVID-19 (Disentimiento)]]="Firma Disentimiento","x",IF(Tabla1[[#This Row],[Tipo Biológico Vacuna anti COVID-19 (Disentimiento)]]="No Acepta y No Firma Disentimiento","xx",IF(Tabla1[[#This Row],[Tipo Biológico Vacuna anti COVID-19 (Disentimiento)]]="Astrazeneca","d",""))))))))</f>
        <v>#VALUE!</v>
      </c>
      <c r="PM8" s="162" t="str">
        <f t="shared" si="160"/>
        <v/>
      </c>
      <c r="PN8" s="161" t="e">
        <f t="shared" si="161"/>
        <v>#VALUE!</v>
      </c>
      <c r="PO8" s="163" t="e">
        <f>IF(Tabla1[[#This Row],[Tipo Biológico Vacuna anti COVID-19 (Disentimiento)]]="Pfizer",Tabla1[[#This Row],[Fecha 1ra Dosis Anti COVID-19]]+21,IF(Tabla1[[#This Row],[Tipo Biológico Vacuna anti COVID-19 (Disentimiento)]]="Janssen","Sin Segunda Dosis",IF(Tabla1[[#This Row],[Tipo Biológico Vacuna anti COVID-19 (Disentimiento)]]="Sinovac",Tabla1[[#This Row],[Fecha 1ra Dosis Anti COVID-19]]+28,IF(Tabla1[[#This Row],[Tipo Biológico Vacuna anti COVID-19 (Disentimiento)]]="Jhonson&amp;Jhonson","e",IF(Tabla1[[#This Row],[Tipo Biológico Vacuna anti COVID-19 (Disentimiento)]]="Moderna","f",IF(Tabla1[[#This Row],[Tipo Biológico Vacuna anti COVID-19 (Disentimiento)]]="Firma Disentimiento","Firma Disentimiento",IF(Tabla1[[#This Row],[Tipo Biológico Vacuna anti COVID-19 (Disentimiento)]]="Astrazeneca",Tabla1[[#This Row],[Fecha 1ra Dosis Anti COVID-19]]+84,"")))))))</f>
        <v>#VALUE!</v>
      </c>
      <c r="PP8" s="161" t="e">
        <f ca="1">IF(PO8="","",SUM(TODAY()-Tabla1[[#This Row],[Fecha 1ra Dosis Anti COVID-19]]))</f>
        <v>#VALUE!</v>
      </c>
      <c r="PQ8" s="168" t="str">
        <f>IFERROR(IF(Tabla1[[#This Row],[Fecha 1ra Dosis Anti COVID-19]]="","",IF(OR(AND(Tabla1[[#This Row],[Tipo Biológico Vacuna anti COVID-19 (Disentimiento)]]="Astrazeneca",PP8&lt;84),AND(Tabla1[[#This Row],[Tipo Biológico Vacuna anti COVID-19 (Disentimiento)]]="Pfizer",PP8&lt;21),AND(Tabla1[[#This Row],[Tipo Biológico Vacuna anti COVID-19 (Disentimiento)]]="Moderna",PP8&lt;21),AND(Tabla1[[#This Row],[Tipo Biológico Vacuna anti COVID-19 (Disentimiento)]]="Sinovac",PP8&lt;28)),"Pendiente Segunda Dosis",IF(OR(AND(Tabla1[[#This Row],[Tipo Biológico Vacuna anti COVID-19 (Disentimiento)]]="Astrazeneca",PP8&gt;=85),AND(Tabla1[[#This Row],[Tipo Biológico Vacuna anti COVID-19 (Disentimiento)]]="Pfizer",PP8&gt;=22),AND(Tabla1[[#This Row],[Tipo Biológico Vacuna anti COVID-19 (Disentimiento)]]="Moderna",PP8&gt;=22),AND(Tabla1[[#This Row],[Tipo Biológico Vacuna anti COVID-19 (Disentimiento)]]="Sinovac",PP8&gt;=29)),"inasistente",IF(OR(AND(Tabla1[[#This Row],[Tipo Biológico Vacuna anti COVID-19 (Disentimiento)]],"Astrazeneca",PP8=84),AND(Tabla1[[#This Row],[Tipo Biológico Vacuna anti COVID-19 (Disentimiento)]],"Pfizer",PP8=21),AND(Tabla1[[#This Row],[Tipo Biológico Vacuna anti COVID-19 (Disentimiento)]],"Moderna",PP8=21),AND(Tabla1[[#This Row],[Tipo Biológico Vacuna anti COVID-19 (Disentimiento)]],"Sinovac",PP8=28)),"Día vacunación1","")))),"Día de Vacunación")</f>
        <v>Día de Vacunación</v>
      </c>
    </row>
  </sheetData>
  <protectedRanges>
    <protectedRange algorithmName="SHA-512" hashValue="+u8ETP7RnmTFzwP1xRwajJa0k8e4nLv8tEoGW4GVn+3uAiDu7IjPSpc8eJAORlZW6vPJAWwmGRugW8VCG8sO4g==" saltValue="npbfSwlEiEyOodcwZD1w4Q==" spinCount="100000" sqref="DP1" name="Rango2_78_1"/>
    <protectedRange algorithmName="SHA-512" hashValue="9+DNppQbWrLYYUMoJ+lyQctV2bX3Vq9kZnegLbpjTLP49It2ovUbcartuoQTeXgP+TGpY//7mDH/UQlFCKDGiA==" saltValue="KUnni6YEm00anzSSvyLqQA==" spinCount="100000" sqref="NZ1:OC1 OF1:OG1" name="Rango2_23"/>
    <protectedRange algorithmName="SHA-512" hashValue="9+DNppQbWrLYYUMoJ+lyQctV2bX3Vq9kZnegLbpjTLP49It2ovUbcartuoQTeXgP+TGpY//7mDH/UQlFCKDGiA==" saltValue="KUnni6YEm00anzSSvyLqQA==" spinCount="100000" sqref="JC1:JC2" name="Rango2_21"/>
    <protectedRange algorithmName="SHA-512" hashValue="9+DNppQbWrLYYUMoJ+lyQctV2bX3Vq9kZnegLbpjTLP49It2ovUbcartuoQTeXgP+TGpY//7mDH/UQlFCKDGiA==" saltValue="KUnni6YEm00anzSSvyLqQA==" spinCount="100000" sqref="FN2" name="Rango2_20"/>
    <protectedRange algorithmName="SHA-512" hashValue="9+DNppQbWrLYYUMoJ+lyQctV2bX3Vq9kZnegLbpjTLP49It2ovUbcartuoQTeXgP+TGpY//7mDH/UQlFCKDGiA==" saltValue="KUnni6YEm00anzSSvyLqQA==" spinCount="100000" sqref="FK2" name="Rango2_19"/>
    <protectedRange algorithmName="SHA-512" hashValue="9+DNppQbWrLYYUMoJ+lyQctV2bX3Vq9kZnegLbpjTLP49It2ovUbcartuoQTeXgP+TGpY//7mDH/UQlFCKDGiA==" saltValue="KUnni6YEm00anzSSvyLqQA==" spinCount="100000" sqref="FH2" name="Rango2_18"/>
    <protectedRange algorithmName="SHA-512" hashValue="9+DNppQbWrLYYUMoJ+lyQctV2bX3Vq9kZnegLbpjTLP49It2ovUbcartuoQTeXgP+TGpY//7mDH/UQlFCKDGiA==" saltValue="KUnni6YEm00anzSSvyLqQA==" spinCount="100000" sqref="FE2" name="Rango2_17"/>
    <protectedRange algorithmName="SHA-512" hashValue="9+DNppQbWrLYYUMoJ+lyQctV2bX3Vq9kZnegLbpjTLP49It2ovUbcartuoQTeXgP+TGpY//7mDH/UQlFCKDGiA==" saltValue="KUnni6YEm00anzSSvyLqQA==" spinCount="100000" sqref="HD2:HI2" name="Rango2_15"/>
    <protectedRange algorithmName="SHA-512" hashValue="9+DNppQbWrLYYUMoJ+lyQctV2bX3Vq9kZnegLbpjTLP49It2ovUbcartuoQTeXgP+TGpY//7mDH/UQlFCKDGiA==" saltValue="KUnni6YEm00anzSSvyLqQA==" spinCount="100000" sqref="HD1:HI1" name="Rango2_14"/>
    <protectedRange algorithmName="SHA-512" hashValue="9+DNppQbWrLYYUMoJ+lyQctV2bX3Vq9kZnegLbpjTLP49It2ovUbcartuoQTeXgP+TGpY//7mDH/UQlFCKDGiA==" saltValue="KUnni6YEm00anzSSvyLqQA==" spinCount="100000" sqref="GG1" name="Rango2_13"/>
    <protectedRange algorithmName="SHA-512" hashValue="9+DNppQbWrLYYUMoJ+lyQctV2bX3Vq9kZnegLbpjTLP49It2ovUbcartuoQTeXgP+TGpY//7mDH/UQlFCKDGiA==" saltValue="KUnni6YEm00anzSSvyLqQA==" spinCount="100000" sqref="GD1" name="Rango2_12"/>
    <protectedRange algorithmName="SHA-512" hashValue="9+DNppQbWrLYYUMoJ+lyQctV2bX3Vq9kZnegLbpjTLP49It2ovUbcartuoQTeXgP+TGpY//7mDH/UQlFCKDGiA==" saltValue="KUnni6YEm00anzSSvyLqQA==" spinCount="100000" sqref="GA1" name="Rango2_11"/>
    <protectedRange algorithmName="SHA-512" hashValue="9+DNppQbWrLYYUMoJ+lyQctV2bX3Vq9kZnegLbpjTLP49It2ovUbcartuoQTeXgP+TGpY//7mDH/UQlFCKDGiA==" saltValue="KUnni6YEm00anzSSvyLqQA==" spinCount="100000" sqref="FP1" name="Rango2_8"/>
    <protectedRange algorithmName="SHA-512" hashValue="9+DNppQbWrLYYUMoJ+lyQctV2bX3Vq9kZnegLbpjTLP49It2ovUbcartuoQTeXgP+TGpY//7mDH/UQlFCKDGiA==" saltValue="KUnni6YEm00anzSSvyLqQA==" spinCount="100000" sqref="FM1" name="Rango2_3"/>
    <protectedRange algorithmName="SHA-512" hashValue="9+DNppQbWrLYYUMoJ+lyQctV2bX3Vq9kZnegLbpjTLP49It2ovUbcartuoQTeXgP+TGpY//7mDH/UQlFCKDGiA==" saltValue="KUnni6YEm00anzSSvyLqQA==" spinCount="100000" sqref="FJ1" name="Rango2_2"/>
    <protectedRange algorithmName="SHA-512" hashValue="9+DNppQbWrLYYUMoJ+lyQctV2bX3Vq9kZnegLbpjTLP49It2ovUbcartuoQTeXgP+TGpY//7mDH/UQlFCKDGiA==" saltValue="KUnni6YEm00anzSSvyLqQA==" spinCount="100000" sqref="FG1" name="Rango2_1"/>
    <protectedRange algorithmName="SHA-512" hashValue="pQ6vInBI7jDXfrmgGnBjneiSUgubKo9e3UhSr5pntFxC4lQ1L2R7W9mWn9K/xCr9KtD58PriWM0QPl5YbrSUiw==" saltValue="L8IhfO9AhXeu6nkwX8uk8g==" spinCount="100000" sqref="MU1:MV1 NP1 NU1:NY1 MU2:OG1499" name="Rango2_28"/>
    <protectedRange algorithmName="SHA-512" hashValue="2gOcTv8KhhbatWH2J4ld+83e9uojIkSnFb/vPHIX4VEVy4wxI/E7XMqIA+G/US6qZvoaS/ShHA0kq75uL35u7Q==" saltValue="lGxNNsLHiq6QaaaiDiz4eg==" spinCount="100000" sqref="EV1:EW1" name="Rango2_97"/>
    <protectedRange algorithmName="SHA-512" hashValue="cjB0/89+phf70Vhq9PW8mqFIBSi0NBIwb6Nu68c2KHw5qNJONhOzx/CkyH9AcA1QkhnV2r8TzORgeQ70DsWEuQ==" saltValue="HzeP5EzY+7kwoprfNZQSZw==" spinCount="100000" sqref="ER1:ES1" name="Rango2_96"/>
    <protectedRange algorithmName="SHA-512" hashValue="JwKj3a/zHcB6OOxORC1rYfgpKP/CMRF35vaDwtzTtmBZNFABo9rl+UzICIiMUvVtXhbFZVhylar0BVBIrqUYYA==" saltValue="pPGeTouPdUhW9uae14eM0w==" spinCount="100000" sqref="EN1:EO1" name="Rango2_89"/>
    <protectedRange algorithmName="SHA-512" hashValue="aFc1WXUOJlOo+G2n8ZMY7F5piiLTFVnl4myPipBDWxoC1s3J8AWOGcIhveE/wNCm1zt7bC0JDSax037/ZOICnA==" saltValue="Q4P5E34bqyzrOFTtjh+sIg==" spinCount="100000" sqref="EA1:EJ1" name="Rango2_79"/>
    <protectedRange algorithmName="SHA-512" hashValue="+u8ETP7RnmTFzwP1xRwajJa0k8e4nLv8tEoGW4GVn+3uAiDu7IjPSpc8eJAORlZW6vPJAWwmGRugW8VCG8sO4g==" saltValue="npbfSwlEiEyOodcwZD1w4Q==" spinCount="100000" sqref="DC1:DO1 DU1:DV1 DQ1" name="Rango2_78"/>
    <protectedRange algorithmName="SHA-512" hashValue="AmShRyS+16Qs2BAZ2jEJmR8q4zwuR3AjsYFWdb6c6aytHxbFJLulrvObDr2kyHHRhPg6fzAQPYzu7q9IrbOxkA==" saltValue="0EK3h3EL96Rl36tD7x/AxA==" spinCount="100000" sqref="DS1" name="Rango2_77"/>
    <protectedRange algorithmName="SHA-512" hashValue="8gRCTdt0CNtAO2dLV7Ct38/1JJKSzBiwhK4l2Em6CDpHvIllFdFzx1YNg/kImKvJJhopgl5OzaGCDGoQ3Seiug==" saltValue="p/Nnn3bmS6wapzp//VS6xw==" spinCount="100000" sqref="DA1:DB1" name="Rango2_75"/>
    <protectedRange algorithmName="SHA-512" hashValue="SWHd6qxoLe+bNriEbglZF1YJHrgjbzfRYXYEkAC/lNyLPenLVZ5nZzJ4kqugo93eLe7TsjNhpscveFFzvhDeXg==" saltValue="0midFXnAtyNshnWzg7j43A==" spinCount="100000" sqref="CV1:CY1" name="Rango2_63"/>
    <protectedRange algorithmName="SHA-512" hashValue="vkhPwR+4/byQ/qzcvxgTSwv0zZqkaSroRDhGyI+YhTtMvE0/DSbTvjZN9ZhHZktdTC4DmOgN5qa0D1ikp49lEg==" saltValue="d3jpjbPieahmRekiMD/SSw==" spinCount="100000" sqref="CS1:CT1" name="Rango2_60"/>
    <protectedRange algorithmName="SHA-512" hashValue="t1p36nz9q9KMBzmJFqdunMEiSg1ifvyleFLlXiI3n35hD4pvmEvEyQ0aLv/sFsnuoJI5iTPhALzxlnAUOqMorA==" saltValue="/ans6lUxqRcCPhXNR86ZmQ==" spinCount="100000" sqref="CP1:CQ1" name="Rango2_59"/>
    <protectedRange algorithmName="SHA-512" hashValue="a12pJC7sywDpBhhBFqNclpXnG0kDSF+2teaYUx/IkA50kIDDwWTi3ROx6eSgo00jHouMrSxeYC6zq2M3cVX1rA==" saltValue="JxWAHhMbnJFgFI/3ZoTuwA==" spinCount="100000" sqref="CM1" name="Rango2_58"/>
    <protectedRange algorithmName="SHA-512" hashValue="zChlKA2QHLoNazmxQG0BPQVppql2992TAH/DfI7y2lj+Ho95p5JOqiNXfpbO0YhlW/TCDpaEIEyVrS/kQbnQlA==" saltValue="in8Bma4955Tm/LjJCuSDog==" spinCount="100000" sqref="CK1" name="Rango2_57"/>
    <protectedRange algorithmName="SHA-512" hashValue="kWgY2hoF4KcIxdFPxQipujL/Tey4N4aNp7Z1M/Kh7vAUiOnfu8rofah+OZuthxnoikdOBEOB2ozj6nZk5hNzAg==" saltValue="irDz92D4scIQlSA43H+0Hg==" spinCount="100000" sqref="CJ1" name="Rango2_56"/>
    <protectedRange algorithmName="SHA-512" hashValue="AXvv/V//DfM+bbvWvoxeFEI1vXFA5vzrodKwPl3zCMphC3yQXkFTkeL9RvNUYXDiG7qgJqQUYIgDj3x0NohIyA==" saltValue="FoLAWQ0wZuM4/QLW8M1NnA==" spinCount="100000" sqref="CH1" name="Rango2_55"/>
    <protectedRange algorithmName="SHA-512" hashValue="S2IF2XuHip3btzfhr9DBbvfFEwG8DFDi+Opajm/J2IJR+mTIOxcKZebVC5eV0HQ4k9qdTcgeLqK4SdBEkxwO/g==" saltValue="eTA4o7il0cBcu0QmBuVjWg==" spinCount="100000" sqref="CF1" name="Rango2_54"/>
    <protectedRange algorithmName="SHA-512" hashValue="3NidbGkt11ha6IN1y/HCzpX7cM4wtAOUp85PKhWpDss75KMfcvgvVA4eKyildEDIwDNVOVYpCb36wKWqNFOQ2Q==" saltValue="V7aZMcZRdSQd0/GZPHjwHw==" spinCount="100000" sqref="CE1" name="Rango2_53"/>
    <protectedRange algorithmName="SHA-512" hashValue="5InfS2vnDalKnufFiqFUvr4P4JViu8X2tHBM9Y1eg5Bzc96fjwSxrumO4AJMDdb6F+n7/iptghai6C6flopOnw==" saltValue="43IKR18eirSZT50xvmea9Q==" spinCount="100000" sqref="BT1:BU1 BZ1:CB1" name="Rango2_51"/>
    <protectedRange algorithmName="SHA-512" hashValue="vFJvjG+iQrj8vDWVDifD5qDOHBOSB9V8wt0/5OJVoxWwruwuccUmaqzIh5JUODzpDmxUROk2xJzyAFtKXgcHQg==" saltValue="lgDVsS9IWXRoh0tXSdkS+g==" spinCount="100000" sqref="BR1:BS1" name="Rango2_31"/>
    <protectedRange algorithmName="SHA-512" hashValue="RZ02o6S0Mo4cSN0uwEzcJ/558fbGU6fLMxQojIuecIts7rJg6uw6+43q9f9okZ7VyKkFm2ilAAYEIZzdX+QIyg==" saltValue="XuWkTez3QIGAk7pe3zpNmw==" spinCount="100000" sqref="BK1:BL1" name="Rango2_29"/>
    <protectedRange algorithmName="SHA-512" hashValue="WNZU3jjEATib8ybpiFObhOTRkdEQuE8Jup1V/OYC6qXzSYkXKP/HDDhIGNlcclthkWG9WF2246GAKTIu+PwOyQ==" saltValue="D9mkQ7CIj7KAkiw7OWU/8g==" spinCount="100000" sqref="BJ1" name="Rango2_27"/>
    <protectedRange algorithmName="SHA-512" hashValue="YRHPUqMmepU5uJeUadNBpjTbnssMrleyPZ1FIcyRUHikknEWIOuqFlUpFYanUAt+RrR6WdIxfmY53S47/UJA2g==" saltValue="H2y28rMTiCh6/OyAqBW4cA==" spinCount="100000" sqref="BV1:BY1 BA1:BI1" name="Rango2_9"/>
    <protectedRange algorithmName="SHA-512" hashValue="cAqnPN+UCIZzte8I1PR0A+E1NnkaKA1uIlTKaL2Ooq+bsEVoZy+3rFiHfZ83amseg3KrfSyT3g0I28v4fEOZZA==" saltValue="8U9Hp6LW9UleuWFcK7+zGw==" spinCount="100000" sqref="C1 AL1:AZ1" name="Rango2_6"/>
    <protectedRange algorithmName="SHA-512" hashValue="sMY+pHLlO5KJvSN2d2UyDF9UqaYlI9+bYSZVe6vzz5hc8EF5TJqLns5LNTZaakwfC7zWg4d61TtgmLrIuw1rJQ==" saltValue="kY3lBDcBh4szOfiRKeVn3w==" spinCount="100000" sqref="S1:AC1 AE1:AJ1" name="Rango2_5"/>
    <protectedRange algorithmName="SHA-512" hashValue="leWdZjnXA1ZUAjY4P4D99in2DAqSbdhZWN2583ktIGRcveG4iPy27xRGLZrv61dceCUHijEcH27zWZkj599aPA==" saltValue="u3ztF6NvYJB1BmfbV7Xk8g==" spinCount="100000" sqref="Q1:R1" name="Rango2_4"/>
    <protectedRange algorithmName="SHA-512" hashValue="6a5oYwZw9WJcgjqXpleUXH8uaqNEuymPPpeOb7lKBc1WoM6IG/DNyDLWmj2lYwxnZO2yhl+B61kwrxD9m9AdhQ==" saltValue="tdNQPzLQd+n9Ww064QJIaQ==" spinCount="100000" sqref="I126:I142 I235:I318 I513:I552 I563:I670 I684:I707 I724:I738 I741:I742 I795:I968 I1824:I1831 I1833:I1996 I2108:I2151 I2183:I2305 I2320:I2379 I2381:I2384 M3143 I2386:I2752 I970:I1810 I2755:I3450 I2:I55" name="Rango2_61"/>
    <protectedRange algorithmName="SHA-512" hashValue="h3K6ZlV1kJk13sWYl35oSQZzT5o0Ch3dXlvl+Mk1LsOF2bMT94N0w0RZivBVwc8HUlb7YhU3cTwFBGFbeyep5A==" saltValue="UBfBVB1eUJlUmHazaNLJxg==" spinCount="100000" sqref="CI2:CI3450" name="Rango2_7"/>
    <protectedRange algorithmName="SHA-512" hashValue="Gqwr8n5jYbCESAqCFk8dpOzViQICBV+k0xoqBoQaZ5lHaRlvT9TZDB4yXtm+qC6OhD064ZDBOFWkwo+LHXu1sg==" saltValue="gEL9PCN2ekF2IxW9yqAGYA==" spinCount="100000" sqref="IS207:IS318 IS513:IS552 IS563:IS738 IS741:IS742 IS762:IS767 IS769 IS782:IS787 IS795:IS811 IS813:IS821 IS823:IS826 IS828:IS851 IS853:IS968 IS1886:IS1996 IS2108:IS2151 IW2234 IS2183:IS2305 IS2320:IS2379 IS2381:IS2384 IS2386:IS2752 IS970:IS1880 IS2755:IS3450 IS2:IS29" name="Rango2_40_2"/>
    <protectedRange algorithmName="SHA-512" hashValue="EEHzbvEYwO1eufllBljOz0uf9BJ2ENtvOScQ7IsS321QhYbwKn7qhHKKP8cKj02rTDvVRMWvwQ1ZP0mZWsBprQ==" saltValue="CjXqBRFbKezlWOFV37MnDQ==" spinCount="100000" sqref="GQ174:GR318 GW174:GW318 GN174:GN318 GN513:GN552 GW513:GW552 GQ513:GR552 GQ563:GR670 GW563:GW670 GN563:GN670 GN684:GN707 GQ684:GR707 GW684:GW707 GW724:GW738 GN724:GN738 GQ724:GR738 GQ741:GR742 GN741:GN742 GW741:GW742 GW757:GW760 GW767 GW769 GQ795:GR968 GW795:GW968 GN795:GN968 GQ1811:GR1835 GQ1810 GR1836:GR1838 GQ1839:GR1996 GW2108:GW2155 GN2108:GN2155 GQ2108:GR2155 GW2183:GW2305 GN2183:GN2305 GQ2183:GR2305 GQ2320:GR2379 GW2320:GW2379 GN2320:GN2379 GQ2381:GR2384 GW2381:GW2384 GN2381:GN2384 GN2386:GN2753 GQ2386:GR2753 GW2386:GW2752 GQ2755:GR3418 GW2755:GW3418 GN2755:GN3418 GN970:GN1996 GW970:GW1996 GQ970:GR1809 GQ2:GR29 GW2:GW29 GN2:GN29" name="Rango2_30_2"/>
    <protectedRange algorithmName="SHA-512" hashValue="Rgskw+AQdeJ5qbJdarzTa3SCkJfDGziy0Uan5N0F3IWn/H3Z/e+VcB56R7Nes7MPxNHewNP1sSSucVjz3iTLeA==" saltValue="qKZH3DnwaZHBzy3cBZo1qQ==" spinCount="100000" sqref="GF208:GF288 GF293:GF307 GF309:GF318 GF513:GF552 GF563:GF644 GF646:GF670 GF684:GF707 GF722:GF738 GF741:GF742 GF761:GF762 GF766:GF769 GF804 GF802 GF796:GF799 GF806:GF811 GF813:GF823 GC837 GF825:GF833 GF835:GF838 GF840:GF846 GF849 GF853:GF854 GF851 GF856 GF858:GF861 GF863:GF871 GC884 GC888 GC944 GC901 GF873:GF940 GF942:GF968 GC1528 GC1799 GE1811 GF1776:GF1810 GF1812:GF1996 GF2108:GF2155 GF2183:GF2257 GF2259:GF2289 GF2291:GF2298 GF2300:GF2305 GF2320:GF2379 GF2381:GF2384 GF2386:GF2752 GF2755:GF3418 GF970:GF1774 GF2:GF29" name="Rango2_31_28"/>
    <protectedRange algorithmName="SHA-512" hashValue="Umj9+5Ys20VQPxBFtc6qE5LtKKSgPKwit+B8dd4XnEUaLfBM2ozpkEC4YxwK0SbBiAHDDex+pY+LomQ0lyuamQ==" saltValue="N2/MCRws+mmA+NXw0axolg==" spinCount="100000" sqref="GJ165:GJ231 GH165:GH231 GI232:GJ235 GH236:GH318 GE165:GE318 FY165:FY318 GL165:GL318 GJ236:GJ318 GL513:GL552 GH513:GH552 GJ513:GJ552 FY513:FY552 GE513:GE552 GH563:GH670 GE563:GE670 FY563:FY670 FY684:FY707 GE684:GE707 GH684:GH738 GE722:GE738 GL563:GL738 FY724:FY738 GJ563:GJ738 GJ741:GJ742 FY741:FY742 GL741:GL742 GE741:GE742 GH741:GH742 GJ761:GJ762 GH761:GH762 GL761:GL762 GE761:GE762 FY767 GE766:GE769 GJ766:GJ769 GH766:GH769 GL766:GL769 GJ795:GJ968 GH795:GH968 GE795:GE968 GL795:GL968 FY795:FY968 FY1817:FY1996 GE1812:GE1996 FY2108:FY2155 GJ2108:GJ2155 GH2108:GH2155 GE2108:GE2155 GL2108:GL2155 FY2183:FY2188 FY2190:FY2197 GH2183:GH2256 GB36:GB41 GB43:GB44 GB49 GB53:GB54 GB56 GB58 GB60:GB66 GB69 GB71 GB73:GB81 GB83:GB86 GB89:GB107 GB110 GB112 GB114:GB116 GB118 GB120:GB122 GB127:GB129 GB134:GB136 GB138:GB139 GB144 GB147 GB149:GB150 GB153:GB154 GB156 GB158:GB161 GB163 GB165:GB318 GB320:GB322 GB330 GB332 GB335:GB337 GB341 GB347 GB349 GB357:GB358 GB365 GB367 GB373:GB402 GB404:GB411 GB413:GB418 GB421 GB423:GB433 GB435:GB438 GB440:GB443 GB445 GB447 GB450 GB453 GB455 GB474:GB476 GB478:GB479 GB487:GB490 GB493 GB497 GB501:GB502 GB504:GB507 GB510 GB513:GB552 GB557:GB559 GB563:GB673 GB675 GB677 GB680:GB681 GB683:GB739 GB741:GB742 GB745 GB747:GB749 GB761:GB762 GB767:GB769 GB774 GB780 GB790:GB792 GB1748:GB1999 GB2001 GB2004:GB2007 GB2009 GB2012:GB2017 GB2021:GB2024 GB2026 GB2029:GB2032 GB2034 GB2036:GB2037 GB2039 GB2041 GB2044:GB2048 GB2050:GB2052 GB2054 GB2057 GB2059:GB2062 GB2064 GB2066 GB2070:GB2071 GB2073 GB2076:GB2078 GB2081:GB2084 GB2086:GB2087 GB2094:GB2095 GB2098:GB2099 GB2102:GB2105 GB2108:GB2159 GB2161:GB2163 GB2165 GB2167:GB2171 GB2175 GE2183:GE2257 GH2258:GH2259 GH2264 GH2268:GH2278 GB2183:GB2286 FY2199:FY2288 GB2288:GB2292 FE2291:FE2292 FY2290:FY2292 GE2259:GE2298 FY2295:FY2298 FY2301 GJ2183:GJ2305 GL2183:GL2305 GB2294:GB2305 GH2280:GH2305 GE2300:GE2305 FY2304:FY2305 GJ2366:GJ2379 GH2366:GH2379 GE2366:GE2379 GB2366:GB2379 GL2366:GL2379 FY2366:FY2379 GJ2381:GJ2384 GH2381:GH2384 GE2381:GE2384 GB2381:GB2384 GL2381:GL2384 FY2381:FY2384 FY2386:FY2753 GJ2386:GJ2752 GH2386:GH2752 GB2386:GB2752 GE2386:GE2752 GL2386:GL3418 GH2755:GH3418 GE2755:GE3418 GB2755:GB3418 FY2755:FY3418 GJ2755:GJ3418 GB794:GB1746 GL970:GL1996 GH970:GH1996 GJ970:GJ1996 GE970:GE1810 FY970:FY1815 GJ2:GJ29 GH2:GH29 GE2:GE29 GL2:GL29 FY2:FY29 GB2:GB34" name="Rango2_31_2"/>
    <protectedRange algorithmName="SHA-512" hashValue="GQxmOzaTuMFsDZHCl1ODFaXPPghrRZcRpa/1VH3algTqDX4GRiaFFj6Q2wDsqOuE7x55/FLHiiv9LV1tbOzWGQ==" saltValue="cUsFM4zNMtXa1it2k0Up7Q==" spinCount="100000" sqref="CM2:CM3450" name="Rango2_20_3"/>
    <protectedRange algorithmName="SHA-512" hashValue="RQ91b7oAw60DVtcgB2vRpial2kSdzJx5guGCTYUwXYkKrtrUHfiYnLf9R+SNpYXlJDYpyEJLhcWwP0EqNN86dQ==" saltValue="W3RbH3zrcY9sy39xNwXNxg==" spinCount="100000" sqref="BA203:BI270 BA272:BI318 BV203:BY318 BA513:BI552 BV513:BY552 BV563:BY670 BA563:BI670 BA684:BI707 BV684:BY707 BV724:BY738 BA724:BI738 BA741:BI742 BV741:BY742 BA795:BI968 BV795:BY968 BW1765:BY1765 BA1821:BG1822 BA1823:BI1846 BA1849:BI1861 BA1863:BI1864 BA1873:BI1996 BV1766:BY1996 BA2108:BI2155 BV2108:BY2155 BA2183:BI2305 BV2183:BY2305 BA2320:BI2353 BV2320:BY2379 BA2360:BI2379 BV2381:BY2384 BA2381:BI2384 BV2753:BW2753 BY2753 BA3320:BI3399 BA2386:BI2753 BV2386:BY2752 BA2755:BI3318 BA970:BI1810 BV970:BY1764 BV2755:BY3450 BA3401:BI3450 BA2:BI29 BV2:BY29" name="Rango2_88_99"/>
    <protectedRange algorithmName="SHA-512" hashValue="fMbmUM1DQ7FuAPRNvFL5mPdHUYjQnlLFhkuaxvHguaqR7aWyDxcmJs0jLYQfQKY+oyhsMb4Lew4VL6i7um3/ew==" saltValue="ydaTm0CeH8+/cYqoL/AMaQ==" spinCount="100000" sqref="AU208:AU270 AW208:AZ270 AU271:BI271 AW272:AZ318 AU272:AU318 AU513:AU552 AW513:AZ552 AU563:AU670 AW563:AZ670 AW684:AZ707 AU684:AU707 AW724:AZ738 AU724:AU738 AU741:AU742 AW741:AZ742 AU795:AU968 AW795:AZ968 AW1820:AX1820 AW1821:AZ1846 AW1847:BI1848 AW1849:AZ1864 BA1862:BI1862 AW1865:BI1872 AU1814:AU1996 AW1873:AZ1996 AU2108:AU2155 AW2108:AZ2155 AU2183:AU2305 AW2183:AZ2305 BA2354:BI2354 AW2355:BI2359 AW2320:AZ2354 AU2320:AU2379 AW2360:AZ2379 AU2381:AU2384 AW2381:AZ2384 AW3319:BI3319 AW3320:AZ3399 AW3400:BI3400 AW2386:AZ2753 AU2386:AU2753 AW2755:AZ3318 AU970:AU1810 AW970:AZ1810 AU2755:AU3450 AW3401:AZ3450 AU2:AU29 AW2:AZ29" name="Rango2_88_91"/>
    <protectedRange algorithmName="SHA-512" hashValue="CHipOQaT63FWw628cQcXXJRZlrbNZ7OgmnEbDx38UmmH7z19GRYEzXFiVOzHAy1OAaAbST7g2bHZHDKQp2qm3w==" saltValue="iRVuL+373yLHv0ZHzS9qog==" spinCount="100000" sqref="AG203:AH318 AL203:AL318 AJ203:AJ318 AL513:AL552 AJ513:AJ552 AG513:AH552 AG563:AH670 AJ563:AJ670 AL563:AL670 AJ684:AJ707 AG684:AH707 AL684:AL707 AJ724:AJ738 AG724:AH738 AL724:AL738 AG741:AH742 AL741:AL742 AJ741:AJ742 AG795:AH968 AJ795:AJ968 AL795:AL968 AL1798:AL1810 AL1822:AL1844 AM1843:AN1844 AO1844:AQ1844 AL1845:AQ1848 AL1785:AQ1797 AJ1822:AJ1864 AG1823:AH1864 AL1849:AL1863 AL1864:AQ1872 AG1866:AJ1872 AG1873:AH1996 AJ1873:AJ1996 AL1873:AL1996 AG2108:AH2155 AJ2108:AJ2155 AL2108:AL2155 AG2183:AH2305 AJ2183:AJ2305 AL2183:AL2305 AM2357:AQ2359 AG2320:AH2379 AJ2320:AJ2379 AL2320:AL2379 AG2381:AH2384 AJ2381:AJ2384 AL2381:AL2384 AL2386:AL2753 AG970:AH1810 AJ970:AJ1810 AL970:AL1784 AL2755:AL3450 AG2386:AH3450 AJ2386:AJ3450 AG2:AH29 AJ2:AJ29 AL2:AL29" name="Rango2_88_7_5"/>
    <protectedRange algorithmName="SHA-512" hashValue="NkG6oHuDGvGBEiLAAq8MEJHEfLQUMyjihfH+DBXhT+eQW0r1yri7tOJEFRM9nbOejjjXiviq9RFo7KB7wF+xJA==" saltValue="bpjB0AAANu2X/PeR3eiFkA==" spinCount="100000" sqref="AM207:AS318 AM513:AS552 AM563:AS670 AM684:AS707 AM724:AS738 AM741:AS742 AM795:AS968 AR1813:AS1821 AM1822:AS1842 AO1843:AS1843 AR1844:AS1848 AM1798:AS1810 AR1785:AS1797 AM1849:AS1863 AR1864:AS1872 AM1873:AS1996 AM2108:AS2155 AM2183:AS2305 AR2357:AS2359 AM2320:AS2356 AM2360:AS2379 AM2381:AS2384 AM2386:AS2418 AM2419:AT2419 AM2753:AQ2753 AM2420:AS2752 AM970:AS1784 AM2755:AS3450 AM2:AS29" name="Rango2_88_65"/>
    <protectedRange algorithmName="SHA-512" hashValue="fPHvtIAf3pQeZUoAI9C2/vdXMHBpqqEq+67P5Ypyu4+9IWqs3yc9TZcMWQ0THLxUwqseQPyVvakuYFtCwJHsxA==" saltValue="QHIogSs2PrwAfdqa9PAOFQ==" spinCount="100000" sqref="AC207:AC318 AC513:AC552 AC563:AC670 AC684:AC707 AC724:AC738 AC741:AC742 AC795:AC968 AD1847:AD1854 AD1856:AD1859 AC1815:AC1996 AC2108:AC2155 AC2183:AC2305 AC2320:AC2379 AC2381:AC2384 AC2386:AC2753 AC970:AC1810 AC2755:AC3450 AC2:AC29" name="Rango2_88_5_5"/>
    <protectedRange algorithmName="SHA-512" hashValue="LEEeiU6pKqm7TAP46VGlz0q+evvFwpT/0iLpRuWuQ7MacbP0OGL1/FSmrIEOg2rb6M+Jla2bPbVWiGag27j87w==" saltValue="HEVt+pS5OloNDlqSnzGLLw==" spinCount="100000" sqref="AI207:AI318 AI513:AI552 AI563:AI670 AI684:AI707 AI724:AI738 AI741:AI742 AI795:AI968 AI1823:AI1865 AI1873:AI1996 AI2108:AI2155 AI2183:AI2305 AI2320:AI2379 AI2381:AI2384 AI970:AI1810 AI2386:AI3450 AI2:AI29" name="Rango2_8_7"/>
    <protectedRange algorithmName="SHA-512" hashValue="q2z5hEFmXS0v2chiPTC/VCoDWNlnhp+Xe6Ybfxe48vIsnB/KTJQxJv+pFUnCXfZ9T6vyJopuqFFNROfQTW/JUw==" saltValue="IctfdGJb5tOTpq+KPi9vww==" spinCount="100000" sqref="ID9:IJ29 ID126:IJ142 ID143:IE145 IH143:IJ145 AE133:AF318 ID146:IJ318 IA126:IA318 AE513:AF552 ID513:IJ552 IA513:IA552 AE563:AF670 ID563:IJ670 IA563:IA670 AE684:AF707 IG671:IJ685 ID684:IF685 ID671:ID683 ID686:IJ707 IH708:IJ708 IG709:IJ723 ID724:IJ730 AE724:AF738 AE741:AF742 ID731:IE738 IH731:IJ738 IA684:IA738 IA741:IA742 IH741:IJ742 ID741:IE742 ID761:IJ762 IF767:IJ769 IA767:IA769 ID816:IF816 ID824:IF824 IH816 IH824 ID825:IH829 IH820 ID831:IH832 IH830 ID820:IF820 ID830:IF830 ID817:IH819 ID821:IH823 ID795:IJ811 ID812:IH815 IH833 ID833:IF833 ID834:IH837 II812:IJ837 ID838:IJ844 ID845:IF845 IH845 ID846:IH846 II845:IJ846 ID847:IJ857 ID859:IF859 IH859 ID858:IH858 II858:IJ859 AE795:AF968 IA795:IA968 ID860:IJ968 ID970:IJ1000 ID1001:IE1003 IH1001:IJ1003 AE1823:AF1864 AE1865:AH1865 AJ1865 IH1738:IJ1738 ID1738:IE1738 ID1739:IJ1872 ID1873:IE1875 ID1876:IJ1879 IH1873:IJ1875 ID1880:IE1883 IH1880:IJ1883 AE1866:AF1996 ID1884:IJ1996 ID2108:IJ2151 AE2108:AF2155 IA2108:IA2153 ID2152:ID2155 IA2155 ID2183:ID2229 ID2230:IF2256 AE2183:AF2305 ID2257:IE2257 IH2257:IJ2257 IA2183:IA2305 ID2258:IJ2305 AE2320:AF2379 AE2381:AF2384 IA2320:IA2379 ID2320:IJ2379 IA2381:IA2384 ID2381:IJ2384 ID2386:IJ2390 ID2391:IH2393 ID2394:IF2394 IH2394 II2391:IJ2394 ID2395:IJ2395 ID2396:IH2397 ID2399:IH2399 ID2398:IF2398 IH2398 II2396:IJ2399 ID2756:IJ2758 IE2755:IJ2755 ID2753:ID2755 ID2759:IE2759 IH2759:IJ2759 ID2760:IJ2813 ID2814:IE2814 IH2814:IJ2814 ID2815:IJ3418 IA2386:IA3418 ID2400:IJ2752 IA970:IA1996 AE970:AF1810 ID1004:IJ1737 AE2386:AF3450 IH2:IK8 IK9:IK3450 IA2:IA29 AE2:AF29 ID2:IE8" name="Rango2_88_39"/>
    <protectedRange algorithmName="SHA-512" hashValue="AYYX88LSDB6RDNMvSqt0KPGWPjBqTk56tMxTOlv5QD61MGTKAAQnSnudvNDWPN0Bbllh2qRQC+P5uq7goxjdrw==" saltValue="i/iPMewnks1FoXYOjKMEVg==" spinCount="100000" sqref="AB207:AB318 AB513:AB552 AB563:AB670 AB684:AB707 AB724:AB738 AB741:AB742 AB795:AB968 AB2108 AB2110:AB2113 AB2116 AB2119:AB2120 AB2122:AB2155 AB2183:AB2305 AB2320:AB2324 AB2326:AB2379 AB2381:AB2384 AB2386:AB2752 AB970:AB1996 AB2755:AB3450 AB2:AB29" name="Rango2_87_6"/>
    <protectedRange algorithmName="SHA-512" hashValue="NUll9P9xh7KbSfMYpMxsRZLfDw/y/AzW2LSWlpXVscBDqiAxmzo71xjs+a2lh+jRa7pceOC849slke4+ZKx8LA==" saltValue="8qbkKpQ+CiQuLnqgShNvXA==" spinCount="100000" sqref="T207:T318 T513:T552 T563:T670 T684:T707 T724:T738 T741:T742 T795:T968 T1824:T1996 T2108:T2155 T2183:T2305 T2320:T2379 T2381:T2384 T2386:T2752 T970:T1810 T2755:T3450 T2:T29" name="Rango2_88_6"/>
    <protectedRange algorithmName="SHA-512" hashValue="KHhv3JU/LRdRrRTxxkgFceEHPZ5UzadmpZRZR3zmQRnPvkUJZuanRafIJ+qde0IWwLZSvFIQDyUAHq6v6k7XIg==" saltValue="2GKG1kCzVNNcn+vbOPuhJA==" spinCount="100000" sqref="Q207:Q318 Q513:Q552 Q563:Q670 Q684:Q707 Q724:Q738 Q741:Q742 Q795 Q1004 Q2201 Q803 Q805 Q811 Q816:Q817 Q858 Q860 Q887 Q1011 Q1036 Q1059 Q1061 Q1075 Q1111 Q1146 Q1177 Q1388 Q1396 Q1412 Q1475 Q1587 Q1648 Q1674 Q1680 Q1706 Q1889:Q1906 Q1909 Q1912 Q1917 Q1921 Q1924 Q1932 Q1936 Q1943 Q1945:Q1946 Q1948 Q1956 Q1958:Q1960 Q1963 Q1971 Q1974:Q1977 Q1982 Q1985 Q1991:Q1993 Q2208 Q2213 Q2218 Q2223 Q2257:Q2305 Q2320:Q2379 Q2381:Q2384 Q2386:Q2753 Q2755:Q3450 Q2:Q29" name="Rango2_2_5"/>
    <protectedRange algorithmName="SHA-512" hashValue="XZw03RosI/l0z9FxmTtF29EdZ7P+4+ybhqoaAAUmURojSR5XbGfjC4f2i8gMqfY+RI9JvfdCA6PSh9TduXfUxA==" saltValue="5TPtLq2WoiRSae/yaDPnTw==" spinCount="100000" sqref="DO30:DP91 DA92:DP164 DH165:DP166 DF166:DG166 DE165:DG165 DA165:DD166 GC161 FL163 GC167:GC168 GC171 GC174 GC179 FZ89:FZ178 FL181 FF89:FF245 FF247 AV92:AV270 FI89:FI287 GC288 FL290:FL291 GF290:GF291 EA89:EJ291 FI291:FI292 EA292 EC292:EJ292 DA167:DP318 CJ92:CK318 U92:AA318 CS92:CT318 CP92:CQ318 BR92:BU318 BZ92:CB318 CV92:CY318 AT92:AT318 AV272:AV318 CE92:CF318 R92:S318 IL89:IM318 GC307 FL308 GF308 GC312 FQ89:FR318 IB89:IB318 FU89:FU318 EO89:EO318 GM89:GM318 GK89:GK318 GY89:GZ318 HJ89:HJ318 ER89:ES318 FF249:FF318 FW89:FX318 EV89:EW318 GT89:GT318 FI296:FI318 FZ180:FZ318 HU89:HZ318 GO89:GO318 EA293:EJ318 CE513:CF552 CV513:CY552 CP513:CQ552 CS513:CT552 CJ513:CK552 AV513:AV552 AT513:AT552 U513:AA552 O513:O552 R513:S552 BZ513:CB552 BR513:BU552 DA513:DN552 DO319:DP562 FI513:FI525 GY513:GZ552 GK513:GK552 GM513:GM552 EO513:EO552 FU513:FU552 GT513:GT552 FQ513:FR552 FI527:FI552 EV513:EW552 ER513:ES552 FF513:FF552 FZ513:FZ552 GO513:GO552 IL513:IM552 EA513:EJ552 FW513:FX552 HJ513:HJ552 IB513:IB552 HU513:HZ552 DA563:DP670 CS563:CT670 CP563:CQ670 BR563:BU670 CV563:CY670 O563:O670 AT563:AT670 AV563:AV670 CJ563:CK670 BZ563:CB670 R563:S670 U563:AA670 CE563:CF670 IL563:IM670 GC650 GC655 FQ563:FR670 GT563:GT670 IB563:IB670 FU563:FU670 EO563:EO670 GY563:GZ670 HJ563:HJ670 FZ563:FZ670 FF563:FF670 FW563:FX670 GO563:GO670 FI563:FI670 ER563:ES670 EV563:EW670 EA563:EJ670 HU563:HZ670 DO671:DP685 DA684:DN685 O684:O707 R684:S707 AV684:AV707 AT684:AT707 BZ684:CB707 CE684:CF707 CJ684:CK707 CP684:CQ707 CS684:CT707 CV684:CY707 DA686:DP707 U684:AA707 BR684:BU707 BJ684:BK707 EA684:EJ707 ER684:ES707 EV684:EW707 FF684:FF707 FI684:FI707 FQ684:FR707 FU684:FU707 FW684:FX707 FZ684:FZ707 GO684:GO707 GT684:GT707 GY684:GZ707 HU684:HZ707 IB684:IB707 IL684:IM707 DI708:DP723 DA724:DP730 HV708:HV722 HX708:HX722 HZ708:HZ722 HU723:HV723 HX723:HZ723 EA724:EJ730 AV724:AV738 CS723:CT738 CP724:CQ738 CV722:CY738 BR724:BU738 BZ724:CB738 O724:O738 R724:S738 BJ724:BK738 AT724:AT738 DA731:DN738 U724:AA738 CJ738 CE724:CF738 CJ722:CK737 U741:AA742 CJ741:CK742 DA741:DN742 AT741:AT742 BJ741:BK742 R741:S742 O741:O742 CE741:CF742 BZ741:CB742 BR741:BU742 CV741:CY742 CP741:CQ742 CS741:CT742 AV741:AV742 DM746:DN753 GC733:GC736 FQ724:FR738 ER724:ES738 EV724:EW738 FF724:FF738 GO724:GO738 GT724:GT738 FZ724:FZ738 IB723:IB738 FU723:FU738 EO684:EO738 GM563:GM738 GK563:GK738 GY724:GZ738 HU724:HZ738 FI723:FI738 HJ686:HJ738 FW724:FX738 IL722:IM738 EJ731:EJ738 EA731:EH738 HJ742 EA742:EH742 EJ741:EJ742 EA741:EG741 IL741:IM742 FW741:FX742 FI741:FI742 HU741:HZ742 GY741:GZ742 GK741:GK742 GM741:GM742 EO741:EO742 FU741:FU742 IB741:IB742 FZ741:FZ742 GT741:GT742 GO741:GO742 FF741:FF742 EV741:EW742 ER741:ES742 FQ741:FR742 DM756:DN760 CX761:CY762 DH761:DN761 DI762:DN762 CV767:CY767 BR768:BU768 DH766:DN766 DF768:DN768 CX766:CY766 BT766:BU767 DG767:DN767 CS769:CT769 CX769:CY769 DG769:DN769 BT769:BU769 FU757:FU760 HJ757:HJ760 FQ761:FR762 GM761:GM762 GK761:GK762 IB761:IB762 IL761:IM761 EF761:EH762 EB762 ED761:ED762 FU762 EO762 FI762 FW767:FX767 FF767 FZ767:FZ768 IL767:IM767 FR766 FW766 GM766:GM769 GK766:GK769 FU766:FU769 HJ766:HJ769 FF769 FI769 FW769:FX769 GY766:GZ769 HU767:HZ769 IO766:IO769 DO731:DP794 GF795 GC796 FI796 FL795:FL796 GC798 FL801 GF801 FC798 FI801 EA795:EJ802 FI798 EB803 ED803 EF803:EJ803 FL803 GF803 FI803 GC805 FL805 GF805 ER795:ES806 FF795:FF806 FQ795:FR806 EO795:EO806 FI805:FI806 ER807 GC809 EV795:EW810 DA795:DP838 BR795:BU848 EV831:EW831 EV814:EW814 EV819:EW819 EV815:EV818 EV826:EW826 GC825 EV824:EV825 GF812 EV829:EW829 EV827:EV828 EV821:EW823 EV820 EV832 GC830:GC832 GC820:GC821 GC811:GC812 EV811:EV813 EV830 FL812:FL813 FL817 FL824 FL826 FZ795:FZ812 FL830:FL831 GC817:GC818 EV835:EW835 EV834 GC835:GC836 EV836:EV837 EV833:EW833 FL834 FI808:FI836 EV839:EV840 EV838:EW838 EV841:EW841 FI838 GC838 FI840:FI841 EV842 EV843:EW844 EV845:EV846 EA804:EJ845 EA846:EH846 EJ846 EV854:EW855 EV849:EW850 EV848 EV847:EW847 EV852:EW852 FL850 FL846:FL848 EV853 FU795:FU848 EA849:EE849 EH849:EJ849 EA847:EJ848 GC853 FI843:FI851 EV851 FQ808:FR848 FR850 FQ849:FQ850 EV856 FL855:FL856 EV857:EW857 FL859 EV858:EV861 FF808:FF862 EV869:EV870 FL866 EV862:EW864 EV865 EV866:EW868 EV871:EW874 FL872 FI853:FI874 FZ814:FZ872 EV875 FL879 GC881 FL881 FF864:FF882 GC887 FL894 FI893:FI894 FI876:FI891 EO808:EO894 GC906:GC907 FZ901:FZ926 FL908 FZ874:FZ898 EN895:EO895 FL931 GC935 FL944 GO795:GO917 DA951:DN953 DB954:DN954 DO951:DP971 DA970:DN971 AT795:AT968 AV795:AV968 CJ795:CK968 CS795:CT968 CP795:CQ968 CV795:CY968 BR850:BU968 BZ795:CB968 CE795:CF968 U795:AA968 DA955:DN968 GC957 FQ851:FR968 ER808:ES968 EV876:EW968 FF884:FF968 GO919:GO968 GT795:GT968 FZ928:FZ968 IB795:IB968 FU850:FU968 EO896:EO968 GM795:GM968 GK795:GK968 GY795:GZ968 IL795:IM968 EA850:EJ968 HU795:HZ968 HJ795:HJ968 FI896:FI968 EI969 DA972:DP1089 U1231:Y1231 AA1231 U970:AA1230 DO1386:DP1499 GC1651 BR1765:BV1765 DC1811:DN1812 W1813:X1822 V1823:X1823 DE1760 DE1759:DF1759 CK1794:CK1806 X1837 W1824:X1836 BZ1813:CA1837 BZ1839:BZ1840 CA1838:CA1840 U1824:V1841 W1838:X1841 S1811:S1850 U1842:X1850 Y1811:Y1850 AA1811:AA1850 R1813:R1850 CB1813:CB1859 CP1813:CQ1843 Z1813:Z1850 CX1768:CY1768 O1801:O1810 DE1761:DF1810 DA1759:DD1810 DC1859:DN1859 DG1759:DN1810 DA1386:DN1758 CJ1794:CJ1859 CK1808:CK1859 BZ1841:CA1859 DA1813:DN1858 GB1747:GC1747 EE1771:EE1772 GC1765 GC1774 ED1766:EE1770 GC1786 EA1800:EB1810 GC1800 GC1783 EC1805 EC1806:ED1810 EC1800:ED1804 EE1800:EE1810 FL1810 IM1794:IM1796 FU1801:FU1836 GC1838 GQ1836:GQ1838 GC1843 GC1854 GC1816 FI1777:FI1785 FL1768 FF1811:FF1815 FL1757:FL1759 IL1794:IL1859 IM1798:IM1859 FI1787:FI1854 FF1778:FF1809 FW2123:FX2155 ED1773:EE1799 EA1766:EC1799 FI1759:FI1775 FF1744:FF1776 GC1738:GC1740 FL1738 FI1529:FI1757 FZ1469:FZ1815 EF1766:EJ1810 FZ1817:FZ1853 DA1884:DE1884 DG1884:DN1884 DA1860:DN1881 FZ1855:FZ1882 CJ1860:CK1996 CP1845:CQ1996 CV1769:CY1996 BR1766:BU1996 O1813:O1996 U1851:AA1996 AT1813:AT1996 AV1813:AV1996 BZ1860:CB1996 R1851:S1996 CE1812:CF1996 DA1885:DN1996 FQ1812:FR1996 ER1812:ES1996 EV1812:EW1996 FF1817:FF1996 GO1824:GO1996 GT1824:GT1996 FZ1884:FZ1996 FU1838:FU1996 FI1857:FI1996 IL1860:IM1996 BR2123:BU2151 FI2123:FI2136 EA2123:EJ2151 IL2123:IM2151 FI2138:FI2141 BS2152:BU2153 CP2123:CQ2155 CS2123:CT2155 O2123:O2155 CJ2123:CK2155 CV2123:CY2155 BJ2152:BJ2154 AV2123:AV2155 AT2123:AT2155 BZ2123:CB2155 CE2123:CF2155 BR2154:BU2155 R2123:S2155 U2123:AA2155 DA2123:DN2133 EB2152 ED2152 EF2152:EJ2152 EV2123:EW2152 EW2153 EY2153 FC2153 FR2143 FU2123:FU2155 FI2143:FI2155 FF2123:FF2155 FZ2123:FZ2155 ER2123:ES2155 EN2139 EA2153:EJ2155 EV2154:EW2155 GM2123:GM2155 GK2123:GK2155 GY2123:GZ2155 GO2123:GO2155 GT2123:GT2155 HJ2123:HJ2155 HU2123:HZ2153 HU2154:HX2154 HZ2154:IA2154 IB2123:IB2155 HU2155:HZ2155 DA2183:DN2186 DC2188:DD2189 DE2187:DN2189 DA2187:DB2189 DA2190:DN2191 DE2198 DF2192:DN2198 DE2192:DE2196 DA2192:DD2198 FY2189 EO2183:EO2191 FY2198 U2183:AA2237 U2238:Y2238 AA2238 BJ513:BK552 DA840:DP851 DA839:DG839 DI839:DP839 DA853:DP858 DA852:DG852 DI852:DP852 DA860:DP950 DA859:DG859 DI859:DP859 DA1091:DP1091 DA1090:DG1090 DI1090:DP1090 DA1093:DP1118 DA1092:DG1092 DI1092:DP1092 DA1119:DG1119 DI1119:DP1119 DA1883:DN1883 DA1882:DG1882 DI1882:DN1882 DA2135:DN2155 DA2134:DG2134 DI2134:DN2134 EA1813:EJ1996 EO2123:EO2138 EO2140:EO2155 FQ2123:FR2142 FQ2144:FR2155 FW795:FX968 FW2005 FW2021 GT1776:GT1822 O92:O318 O795:O963 R795:S968 AT2183:AT2305 AV2183:AV2305 CS2183:CT2305 CP2183:CQ2305 CV2183:CY2305 CE2183:CF2305 O2183:O2305 U2239:AA2305 CJ2183:CK2305 BZ2183:CB2305 BJ2299:BL2300 R2183:S2305 BR2183:BU2305 DA2199:DN2305 FI2183:FI2286 GC2287 GF2290 GC2293 FU2183:FU2305 EO2193:EO2305 GM2183:GM2305 GK2183:GK2305 GY2183:GZ2305 FQ2183:FR2305 HJ2257:HJ2305 FI2288:FI2305 IL2230:IM2305 GO2183:GO2305 GT2183:GT2305 IB2183:IB2305 ER2183:ES2305 EV2183:EW2305 FF2183:FF2305 EA2183:EJ2305 FZ2183:FZ2305 FW2183:FX2305 HU2183:HZ2305 V2325:AB2325 V2323:AA2324 V2326:AA2327 CP2320:CQ2325 U2320:AA2322 U2323:U2327 EW2339 EO2320:EO2329 EV2320:EW2338 CS2320:CT2379 CP2327:CQ2379 CV2320:CY2379 CE2320:CF2379 O2320:O2379 BR2320:BU2379 R2320:S2379 CJ2320:CK2379 U2328:AA2379 AT2320:AT2379 AV2320:AV2379 BZ2320:CB2379 CS2381:CT2384 CP2381:CQ2384 CV2381:CY2384 CE2381:CF2384 O2381:O2384 BR2381:BU2384 DA2381:DN2384 CJ2381:CK2384 BJ2381:BK2384 U2381:AA2384 AT2381:AT2384 AV2381:AV2384 BZ2381:CB2384 DA2320:DN2379 FQ2320:FR2379 ER2320:ES2379 EV2340:EW2379 FF2320:FF2379 GO2320:GO2379 GT2320:GT2379 FZ2320:FZ2379 IB2320:IB2379 FU2320:FU2379 EO2339:EO2379 GM2320:GM2379 GK2320:GK2379 GY2320:GZ2379 FI2320:FI2379 HJ2320:HJ2379 IL2320:IM2379 HU2320:HZ2379 FW2320:FX2379 EA2320:EJ2379 FQ2381:FR2384 ER2381:ES2384 EV2381:EW2384 FF2381:FF2384 GO2381:GO2384 GT2381:GT2384 FZ2381:FZ2384 IB2381:IB2384 FU2381:FU2384 EO2381:EO2384 GM2381:GM2384 GK2381:GK2384 GY2381:GZ2384 FI2381:FI2384 HJ2381:HJ2384 IL2381:IM2384 HU2381:HZ2384 FW2381:FX2384 EA2381:EJ2384 AT2386:AT2418 EA2386:EJ2462 EA2490 GC2470 EC2490 EE2463:EJ2514 EA2463:ED2489 EA2491:ED2514 FH2548 BK2753:BL2754 EA2715:EH2715 EJ2715 EA2716:EJ2752 ES2755 ER2753:ER2755 HX2753 HZ2753 GY2753 FL3054 BS3421:BU3421 BR3422:BU3450 R2381:S2384 R2386:S2752 IL2386:IM2752 HJ2386:HJ2752 FI2386:FI2752 HU2386:HZ2752 GY2386:GZ2752 GK2386:GK2752 GM2386:GM2752 EO2386:EO2752 FU2386:FU2752 IB2386:IB2752 FW2386:FX2752 FZ2386:FZ2752 GT2386:GT2752 GO2386:GO2752 FF2386:FF2752 EV2386:EW2752 ER2386:ES2752 FQ2386:FR2752 DA2386:DN2752 O2386:O2752 CE2386:CF2752 BZ2386:CB2752 BR2386:BU2752 CV2386:CY2752 CP2386:CQ2752 CS2386:CT2752 CJ2386:CK2752 U2386:AA2752 AV2386:AV2752 AT2420:AT2752 EA2515:EJ2714 FQ2755:FR3418 ER2756:ES3418 FF2755:FF3418 GO2755:GO3418 GT2755:GT3418 FZ2755:FZ3418 IB2755:IB3418 FU2755:FU3418 EO2755:EO3418 GM2755:GM3418 GY2755:GZ3418 FI2755:FI3418 IL2755:IM3418 GK2755:GK3418 HJ2755:HJ3418 EA2755:EJ3418 FW2755:FX3418 HU2755:HZ3418 R970:S1810 O965:O1799 FW970:FX1996 DA1120:DP1385 HJ970:HJ1996 HU970:HZ1996 IB970:IB1996 GY970:GZ1996 GK970:GK1996 GM970:GM1996 EO970:EO1996 CS970:CT1996 ER970:ES1810 FU970:FU1799 GO970:GO1822 FQ970:FR1810 GT970:GT1774 EA970:EJ1765 EV970:EW1810 FF970:FF1742 AV970:AV1810 CP970:CQ1811 CE970:CF1810 BZ970:CB1810 CJ970:CK1793 CV970:CY1767 BR970:BU1764 U1232:AA1810 AT970:AT1810 FI970:FI1527 FZ970:FZ1467 IL970:IM1793 BR2755:BU3420 O2755:O3450 U2755:AA3450 AV2755:AV3450 AT2755:AT3450 CE2756:CF3450 BZ2755:CB3450 CV2755:CY3450 CP2755:CQ3450 CS2755:CT3450 CJ2755:CK3450 DA2755:DN3450 R2755:S3450 DA2:DV8 EO2331:EO2337 EV2755:EW3418 HJ2:HL8 IO89:IO318 IO513:IO552 IO563:IO670 IO684:IO707 IO724:IO738 IO741:IO742 IO761:IO762 IO795:IO968 IO2123:IO2151 IO2230:IO2305 IO2320:IO2379 IO2381:IO2384 IO2386:IO2752 IO2755:IO3418 IO970:IO1996 IL2:IR8 BJ2:BN8 BL33 BL36:BL37 BL40 BL43:BL45 BL49 BL52:BL55 BL57:BL59 BL61:BL65 BL68:BL69 BL72:BL73 BL78:BL79 BL83 BL85 BL87:BL88 BL90 BJ92:BL276 BJ277:BK318 BL277:BL558 BJ563:BK568 BL561:BL568 BJ569:BL665 BJ666:BK670 BL666:BL719 BL721 BJ795:BK796 BL723:BL796 BJ797:BL968 BJ970:BL1808 BJ1809:BK1810 BL1809:BL1812 BJ1813:BL1996 BL2000 BL2002 BL2006 BL2008 BL2011:BL2012 BL2018 BL2020:BL2021 BL2023 BL2026:BL2027 BL2029:BL2030 BL2033 BL2035:BL2036 BL2038:BL2041 BL2043:BL2044 BL2046:BL2047 BL2049:BL2050 BL2053 BL2057 BL2061 BL2063:BL2064 BL2067:BL2069 BL2072:BL2075 BL2077:BL2085 BL2088:BL2090 BL2093 BL2095:BL2097 BJ2123:BK2130 BL2099:BL2130 BJ2131:BL2150 BJ2183:BK2251 BJ2151:BK2151 BL2151:BL2251 BJ2252:BL2297 BK2298:BL2298 BJ2301:BK2305 BL2301:BL2306 BL2309 BL2313 BL2316:BL2318 BJ2320:BL2379 BL2381:BL2385 BJ2386:BL2752 BJ2755:BL3450 BM9:BN3450 DA9:DP29 DS9:DS1499 DQ9:DR3450 DT9:DV3450 HJ9:HJ29 HK9:HL3450 IL9:IM29 IO9:IO29 IN9:IN3450 IP9:IR3450 BJ9:BL29 AT2:AT29 AV2:AV29 FQ2:FR29 ER2:ES29 EV2:EW29 FF2:FF29 GO2:GO29 GT2:GT29 FZ2:FZ29 EA2:EJ29 U2:AA29 FW2:FX29 CJ2:CK29 IB2:IB29 FU2:FU29 EO2:EO29 GM2:GM29 GK2:GK29 CS2:CT29 CP2:CQ29 GY2:GZ29 CV2:CY29 BR2:BU29 BZ2:CB29 CE2:CF29 O2:O29 R2:S29 HU2:HZ29 FI2:FI29 CH2:CH3450" name="Rango2_99"/>
    <protectedRange algorithmName="SHA-512" hashValue="XM8+0Jh5zLWw02PI0Lt8dLqjTcW5ulySion19FAnruDN6QRp4UwcVqdfQxnOQAItgpWG7rNsELzjwy0iXOonxw==" saltValue="Sd4WFUedDfLKoMQTDrxJuQ==" spinCount="100000" sqref="K126:K142 K235:K318 K513:K552 K563:K670 K684:K707 K724:K738 K741:K742 K795:K968 K1873:K1996 K2108:K2155 K2183:K2305 K2320:K2379 K2381:K2384 K2386:K2752 K970:K1737 K2755:K3450 K2:K55" name="Rango2_88_4_4"/>
    <protectedRange algorithmName="SHA-512" hashValue="EMMPgE8t/az1rHHzaZAQIhz+GQV0k2O/tQGA96sJqEEMzz1efIRa4CcLzC7iY9CCscto3g7dwz41haOE28iXYg==" saltValue="CVzFsG4X4LXUMo7796PiDQ==" spinCount="100000" sqref="L126:M142 J126:J142 B126:H142 J235 B235:B250 H257 B252:B264 D235:H256 D257:F257 D258:H264 B265:H318 L235:M318 J237:J318 B513:H513 J513:J552 L513:M552 B514:B552 D514:H552 C514:C562 J563:J670 L563:M670 B563:H670 E684:H684 J684:J700 L684:M700 B684:B707 J702:J707 L702:M707 L701 D685:H707 B724:B730 D724:H730 C731:H731 J724:J738 L724:M738 D741:H742 L741:M742 J741:J742 D732:H738 C732:C756 EA803 EC803 EE803 FF863 B795:H951 J795:J968 E965:H968 L795:M968 B952:C1000 DA954 D952:H964 D965:D969 D970:H1000 K1777 M1813:M1821 H1824 G1813:H1823 G1825:H1831 L1822:M1831 J1813:J1831 D1811:D1812 D1813:F1831 J1783:J1810 J1755:J1781 B1739:C1872 D1739:H1810 D1833:H1872 J1833:J1887 B1873:H1889 B1905 B1890:B1903 C1890:H1905 L1833:M1996 J1889:J1996 B1906:H1996 B2108:B2122 D2108:H2122 B2156:B2229 J2108:J2152 J2154:J2155 L2108:M2155 B2123:H2155 J2183:J2213 D2183:H2229 B2230:H2230 F2232:H2232 J2215:J2240 B2231:C2256 D2231:H2231 D2232:D2233 D2234:H2256 J2242:J2305 L2183:M2305 B2257:H2305 BJ2298 E2322:G2322 B2320:H2320 H2321:H2322 E2323:H2327 B2321:C2361 D2321:G2321 D2322:D2327 D2328:H2361 B2362:H2362 J2320:J2379 L2320:M2379 B2363:B2379 J2381:J2384 L2381:M2384 B2381:B2384 B2386:B2389 D2363:H2379 D2381:H2384 D2386:H2389 C2363:C2389 B2390:H2390 B2391:B2422 B2424:B2514 C2391:H2514 J2386:J2571 A2715:H2715 B2755:B2758 B2716:B2752 D2753 EI2715 D2755:H2758 D2716:H2752 C2716:C2758 L3143 G3426:H3426 E3423:H3425 J3419:J3450 L3144:M3450 D3428:D3450 B3419:B3443 H3428:H3450 E3428:G3443 E3445:G3450 F3444:G3444 L970:M1810 D3419:H3422 D3423:D3426 D3427:H3427 J2573:J2752 L2386:M2752 B2515:H2714 J2755:J3417 B2759:H3418 L2755:M3142 B1001:H1738 J970:J1753 B3445:B3450 L2:M55 J2:J55 B2:H55" name="Rango2_10"/>
    <protectedRange algorithmName="SHA-512" hashValue="G+iZEOxoI/CKLu0V8qsKD8cCdR7Dbjppkbkg/PsMRK1gAAPryNNi/JjhB0c9rHofUpnvlUUTwrtuZjU4RQXvuQ==" saltValue="DFH7xDlsGCxpx8zAvbZJEQ==" spinCount="100000" sqref="FC906 FB2:FB3450" name="Rango2_84"/>
    <protectedRange algorithmName="SHA-512" hashValue="YXHanhqXL0e4jPrzkCF8r/22WmlCviFUW909WKuG1JOcU0mp0/Huh0aP3EaGYxV2ep0WGu48HsShAy4Ka2uOiw==" saltValue="h/7U5iwJm7DLR4tRVfwZYw==" spinCount="100000" sqref="GI199:GI231 GC199:GC287 GC291:GC294 GC296:GC306 GC308:GC311 GC313:GC318 GI236:GI318 GC513:GC552 GI513:GI552 GC563:GC649 GC651:GC654 GI563:GI670 GC656:GC670 GC684:GC707 GC723:GC732 GC737:GC738 GI684:GI738 GI741:GI742 GC741:GC742 GC746:GC747 GI761:GI762 GC762 GC768 GI766:GI769 GC801 GC803 GC806 GC808 GC810 GC819 GC826:GC829 GC813:GC816 GC822:GC824 FZ813 GF824 GF834 GC833:GC834 GF839 GF855 GF847:GF848 GF850 GF852 GC839:GC852 GF857 GF862 FZ873 GF872 GC854:GC880 GC882:GC883 GC885:GC886 GC908:GC934 GC889:GC900 GC902:GC905 FZ927 FZ899:FZ900 GF941 GC936:GC943 GC945:GC956 GI795:GI968 GC958:GC968 FZ1468 GC1529:GC1650 GC1652:GC1737 GO1823 GT1823 GC1784:GC1785 GC1839:GC1842 GC1844:GC1853 GC1817:GC1837 GC1801:GC1815 GC1787:GC1798 GC1775:GC1782 GC1766:GC1773 GC1748:GC1764 GC1741:GC1746 FZ1883 GC1855:GC1996 GC2108:GC2155 GI2108:GI2155 GI2183:GI2256 GI2258 GI2260:GI2265 GC2183:GC2286 GC2288:GC2292 GI2267:GI2305 GC2294:GC2305 GC2320:GC2340 GI2320:GI2379 GC2362:GC2379 GI2381:GI2384 GC2381:GC2384 GC2386:GC2469 GC2471:GC2752 GI2386:GI2752 GI2755:GI3418 GC2755:GC3418 GI970:GI1996 GC970:GC1527 GC2:GD8 GC9:GC29 GD9:GD3450 GI2:GI29 EK2:EK3450 ET2:ET3450 EX2:EX3450 FD2:FD3450 FG2:FG3450 FJ2:FJ3450 FM2:FM3450 FS2:FS3450 FV2:FV3450 GA2:GA3450 GG2:GG3450 GP2:GP3450 GU2:GU3450" name="Rango2_33"/>
    <protectedRange algorithmName="SHA-512" hashValue="D8TacORwT7iz0mF9GEucchnMHfB5er2FFjQsxyeWWyeJkM6Bt3gYQ3LbcHPxZXFpVAYtFOuTrzYOCJrlZDx16g==" saltValue="QtCzIBktdS4NZkOEGcLTRQ==" spinCount="100000" sqref="IW207:IW318 IW513:IW552 IW563:IW670 IW684:IW730 IW739 IW762:IW767 IW769 IW782:IW787 IS827 IS812 IS822 JO822 JQ822 JO837:JO838 JQ837:JQ838 IS852 IW795:IW968 JO1740 IS1881 IS1883:IS1885 JO1883 JO1885 JT1924:JU1924 JT1953:JU1953 IW2108:IW2151 IW2183:IW2233 IW2235:IW2305 IW2320:IW2379 IW2381:IW2384 IW2386:IW2752 IW970:IW1996 IW2755:IW3450 IW2:IW29" name="Rango2_41"/>
    <protectedRange algorithmName="SHA-512" hashValue="pL4tgTKqwEsWSIEGFTBd+4pvEhE7d5Q99Eijs+L/Y1rhA0saQGGRJw5Pv2HLOP0quglztFwB6WVnQ1YGxd4AiQ==" saltValue="IF5mhk2RcoEjrcYppes1VA==" spinCount="100000" sqref="FT205:FT318 FT513:FT552 FT563:FT670 FT684:FT707 FT723:FT738 FT741:FT742 FT762 FT757:FT759 FT766:FT769 FT795:FT968 FU1800 FT2108:FT2155 FT2183:FT2305 FT2320:FT2379 FT2381:FT2384 FT2386:FT2753 FT2755:FT3418 FT970:FT1996 FT2:FT29" name="Rango2_30"/>
    <protectedRange algorithmName="SHA-512" hashValue="62ha4X/QVW9175kB83jpH9hzZy6uWEX3g6Szv+9mbhChlN3r4yygsbXLVarY0QFL+r7x2V9KtdkRVxMDuiXMGw==" saltValue="X2NRImaa8nLHcduAG1+DVw==" spinCount="100000" sqref="AK2:AK3450" name="Rango2_88"/>
    <protectedRange algorithmName="SHA-512" hashValue="9+DNppQbWrLYYUMoJ+lyQctV2bX3Vq9kZnegLbpjTLP49It2ovUbcartuoQTeXgP+TGpY//7mDH/UQlFCKDGiA==" saltValue="KUnni6YEm00anzSSvyLqQA==" spinCount="100000" sqref="AK1 CI1 EK1:EM1 ET1:EU1 BM1:BN1 NQ1:NT1 MR1:MS1 B1 DT1 DR1 E1:P1 HQ1:HR1 HV1 MW1:NI1 EX1:FF1 KY1:LB1 HX1 OH1500:OH1501 B3469 B3451:C3468 FH1:FI1 FK1:FL1 FN1:FO1 FQ1:FZ1 GB1:GC1 GE1:GF1 GH1:HC1 HJ1:HN1 FL2 FO2:FP2 JD1:KW1 IX2:JB2 JD2:MT2 NM1 OD1:OE1 HZ1:JB1 OH1:XFC1 HD3:HI5 MQ30:MT55 AD58:AD62 FE56:FE60 FH56:FH60 FK56:FL60 FN56:FO60 HD56:HI60 FL61 FO61 FE62 FK62:FL62 FC56:FC62 EY56:FA62 GX56:GX62 EN56:EN62 FN62:FO62 HD62:HI62 HS56:HT62 FH62 JD61:JM61 IT56:IV62 IX56:IX62 HE63:HI82 MQ63:MT84 KJ83:MP84 FE83:FE142 FH83:FH142 FK83:FL142 FN83:FO142 HD83:HI142 FL143 FO143 FK144:FL162 FK163 GF165 FK164:FL180 FK181 JD143:JM143 KR146:MT146 FN144:FO231 FO232:FO235 FH144:FH287 FK182:FL289 GF289 FH288:FI290 GC289:GC290 FK290:FK291 FH291:FH292 GF292 FH293:FI295 GC295 AD83:AD318 FK292:FL307 FK308 FK309:FL318 HD144:HI318 FH296:FH318 FN236:FO318 FE144:FE318 HS83:HT318 EN83:EN318 FC83:FC318 EY83:FA318 GX83:GX318 IX83:IX318 IT83:IV318 AD513:AD552 FH513:FH525 FH526:FI526 HS513:HT552 FN513:FO552 FC513:FC552 EY513:FA552 GX513:GX552 EN513:EN552 FH527:FH552 FE513:FE552 FK513:FL552 HD513:HI552 IT513:IV552 IX513:IX552 MQ319:MT557 AD563:AD670 GF645 GX563:GX670 EY563:FA670 FC563:FC670 FH563:FH670 EN563:EN670 FN563:FO670 FE563:FE670 FK563:FL670 HS558:HT670 IX558:IX670 IT558:IV670 AD684:AD707 EY684:FA707 FC684:FC707 FE684:FE707 FH684:FH707 FK684:FL707 GX684:GX707 JC671:JC685 MQ671:MT685 JD684:JM685 JY671:KE683 KO671:MP683 FE724:FE730 FH723:FH730 FK722:FL730 FN684:FO730 HD563:HI730 IX684:IX730 IT684:IV730 AD724:AD738 AD741:AD742 GX724:GX738 EY722:FA738 FC722:FC738 FL731:FL738 FO731:FO738 HS684:HT738 EN684:EN738 EN741:EN742 FO741:FO742 FL741:FL742 FC741:FC742 EY741:FA742 GX741:GX742 HS741:HT742 HD746:HI746 HS748 HD748:HI750 HD753:HI753 LK739:MP739 KU731:MP738 KU740:MP742 JY747:KE748 LO746:MP748 LX749:MP749 ML750:MP750 JY751:KE753 LO751:MP753 MQ731:MT754 JY756:KE756 LO755:MT756 GX757:GX760 FK761:FL762 FN761:FO762 EN761:EN762 HD756:HI762 FH762 EY761:FA762 FC761:FC762 FK766:FL768 EY767:FA767 FC767 FE767 FN766:FO769 GX767:GX769 FE769 FH769 EY769:FA769 FC769 HS767:HT769 HD766:HI769 JS757 JS759 JV760:JW761 IX762:IX767 IT762:IV767 JV768:JW768 IX769 IT769:IV769 IT782:IV787 IX782:IX787 MQ757:MT794 GC795 FH795:FI795 FH796 FK795:FK796 FC795:FC797 FH797:FI797 GC797 FK797:FL797 FL802 FI799:FI800 GC799:GC800 GF800 FI802 GC802 FL798:FL800 FH798:FH803 FK798:FK803 FH804:FI804 GC804 FK804:FL804 FK805 FE795:FE806 FH805:FH806 EN795:EN806 FH807:FI807 GC807 EN807:EO807 FK806:FL811 FK814:FL816 FK812:FK813 FK818:FL823 FK817 FK825:FL825 FK824 FK827:FL829 FK826 FK830:FK831 FK832:FL833 FK834 FH837:FI837 FH808:FH836 FH838 FH840:FH841 FH839:FI839 FH842:FI842 FK835:FL845 EI846 FK849:FL849 FK850 FK846:FK848 FH852:FI852 FH843:FH851 FK851:FL854 FK855:FK856 FK857:FL858 FK859 FK866 FK860:FL865 FK867:FL871 FK872 FH853:FH874 FH875:FI875 FK873:FL878 FK879 FK881 FK880:FL880 FE808:FE882 FE883:FF883 FK894 FH893:FH894 FH892:FI892 FH876:FH890 EN808:EN894 FK882:FL893 FK895:FL907 FK909:FL930 FK908 FK931 FH895:FI895 FK932:FL943 FK944 FC799:FC905 JP827 JP813 JP822 JR822:JW822 JR813:JW813 JR827:JW827 LG824:MP824 JP837:JP838 JR837:JW838 LG844:MP844 LW843:MP843 LO848:MP848 LK848:LL848 LK847:MP847 LG847:LJ848 LG849:MP849 LS862:MP862 LK862:LP862 LK861:MP861 JP864 LO864:MP864 JR864:JW864 LD879 LD878:MP878 LG879:MP879 LE948 LE949:LF950 LG920:LL920 LO920:MP920 LE895:LF947 LG921:MP950 LG895:MP919 AD795:AD968 FE884:FE968 GX795:GX968 EY795:FA968 FC907:FC968 EN896:EN968 FN795:FO968 HS795:HT968 FK945:FL968 FH896:FH968 HD795:HI968 HD969 HF969 LG953:MP953 IT795:IV958 IT961:IU961 IT960:IV960 IT959:IU959 MQ811:MT971 IT970:IV971 IX795:IX968 JB969 IT967:IU968 IT962:IV966 IT972:IU972 IT973:IV974 IT975:IU975 IT976:IV978 IT979:IU979 FI1528 FH1331:FH1658 FH1660:FH1737 MQ1386:MT1499 A1793 AD1817:AD1846 AD1855 FE1739:FE1776 FK1739:FL1744 FH1739:FH1775 FH1786:FI1786 GF1775 GT1775 FH1776:FI1776 FK1774:FL1777 FL1769:FL1773 FK1778:FK1810 FH1787:FH1854 FL1778:FL1809 FH1777:FH1785 FL1760:FL1767 FK1745:FK1773 FL1745:FL1756 FO1738 JP1740:JW1740 JD1738:JM1738 FE1778:FE1879 FH1857:FH1879 FK1812:FL1879 FN1739:FO1879 HD1739:HI1879 FL1880 FO1880 JD1880:JM1880 KR1882:KV1882 KU1885:KV1885 KK1882:KP1882 KK1883 KL1883:KV1884 KX1885:LB1885 KX1883:MP1884 KX1881:LB1882 LO1885:MP1885 JO1884:JW1884 JP1881:JW1883 JP1885:JW1885 AD1860:AD1996 FH1881:FH1996 FK1881:FL1996 FE1881:FE1996 HD1881:HI1996 JV1924:JW1924 IZ1886:JM1996 LD1954:MP1996 KQ1990:LC1996 KQ1989:LB1989 KQ1954:KQ1988 KY1954:LC1988 KR1954:KX1970 KR1972:KX1988 KS1971:KX1971 JV1953:JW1953 HD2108:HI2151 FI2137 FI2142 IT2108:IV2151 IX2108:IX2151 AD2108:AD2155 FC2108:FC2152 EY2108:FA2152 EZ2153:FA2153 FK2108:FL2155 FN1881:FO2155 JD2230:JM2256 FC2154:FC2155 EY2154:FA2155 FE2108:FE2155 FH2108:FH2155 GX2108:GX2155 HS2108:HT2155 EN2108:EN2138 EN2140:EN2155 AD2230:AD2305 GH2257:GI2257 GE2258:GF2258 GI2259 GH2260:GH2263 GH2265 GH2266:GI2266 GH2267 GH2279 FH2230:FH2286 GB2287 FH2287:FI2287 FY2289 FE2230:FE2290 GB2293 FY2293:FY2294 GE2299:GF2299 FY2299:FY2300 FY2302:FY2303 GX2230:GX2305 EY2230:FA2305 FC2230:FC2305 HD2257:HI2305 FK2230:FL2305 EN2230:EN2305 FN2230:FO2305 FH2288:FH2305 FE2293:FE2305 HS2230:HT2305 IT2230:IV2305 IX2230:IX2305 CP2326:CQ2326 EO2338 EN2320:EN2337 AD2320:AD2379 AD2381:AD2384 FE2320:FE2379 GX2320:GX2379 EY2320:FA2379 FC2320:FC2379 FH2320:FH2379 FK2320:FL2379 EN2339:EN2379 FN2320:FO2379 HD2320:HI2379 HS2320:HT2379 FE2381:FE2384 GX2381:GX2384 EY2381:FA2384 FC2381:FC2384 FH2381:FH2384 FK2381:FL2384 EN2381:EN2384 FN2381:FO2384 HD2381:HI2384 HS2381:HT2384 IX2320:IX2379 IT2320:IV2379 IX2381:IX2384 IT2381:IV2384 LG2440:MP2440 FH2386:FH2547 KQ2595:MP2595 FO2755 FN2753:FN2755 HS2386:HT3418 KJ2755:KS2755 KU2755:MP2755 FK3054 FK3055:FL3418 KU3419:MP3420 JD3419:JM3450 IX2386:IX2752 IT2386:IV2752 FE2386:FE2753 FN2386:FO2752 HD2386:HI2752 EN2386:EN2752 FK2386:FL2752 FH2549:FH2752 FC2386:FC2752 EY2386:FA2752 GX2386:GX2752 AD2386:AD2752 IX2755:IX3450 FE2755:FE3418 GX2755:GX3418 EY2755:FA3418 FC2755:FC3418 FH2755:FH3418 EN2755:EN3418 FN2756:FO3418 HD2755:HI3418 FK2755:FL3053 IT980:IV1996 HS970:HT1996 EN970:EN1996 FC970:FC1996 EY970:FA1996 GX970:GX1996 AD970:AD1810 FE970:FE1737 HD970:HI1737 FK970:FL1737 IX970:IX1996 FH970:FH1329 FN970:FO1385 AD2755:AD3450 IT2755:IV3450 EL2:EN8 EO2330 FN3:FP8 HA2:HC5 HM2:HT8 IZ56:JM60 IZ61:JB61 IZ62:JM62 IZ83:JM142 IZ143:JB143 IZ144:JM318 IZ513:JM552 IZ558:JM670 IZ684:JB685 IZ686:JM730 IZ762:JM767 IZ769:JM769 IZ782:JM787 IZ795:JM968 IZ1738:JB1738 IZ1739:JM1879 IZ1880:JB1880 IZ1881:JL1885 IZ2097:JM2151 IZ2230:JB2256 IZ2257:JM2305 IZ2320:JM2379 IZ2381:JM2384 IZ3419:JB3450 IZ2386:JM2752 IZ2755:JM3418 IZ970:JM1737 JO1924:JS1924 JO56:JW62 JO83:JW318 JO513:JW552 JO558:JW670 JO684:JW730 JO762:JW767 JO769:JW769 JO782:JW787 JO795:JW812 JO814:JW821 JO823:JW826 JO828:JW836 JO839:JW863 JO865:JW968 JO1741:JW1880 JO1886:JW1923 JO1925:JW1952 JO1953:JS1953 JO1954:JW1996 JO2108:JW2151 JO2230:JW2305 JO2320:JW2379 JO2381:JW2384 JO2386:JW2752 JO2755:JW3450 JO970:JW1739 JY56:KF62 JY83:KF318 JY513:KF552 JY558:KF670 JY684:KF730 JY757:KF769 JY782:KF787 JY795:KF968 JY2108:KF2151 JY2230:KF2305 JY2320:KF2379 JY2381:KF2384 JY2386:KF2752 JY2755:KF3450 JY970:KF1996 KH56:KH62 KH83:KH318 KH513:KH552 KH558:KH670 KH684:KH730 KH760:KH769 KH782:KH787 KH795:KH968 KH2108:KH2151 KH2230:KH2305 KH2320:KH2379 KH2381:KH2384 KH2386:KH2752 KH2755:KH3450 KH970:KH1996 KJ864:LL864 KJ1884:KK1884 KJ1881:KV1881 KJ1882:KJ1883 KJ1885:KS1885 KJ684:MP685 KJ1886:MP1953 KJ3419:KS3420 KJ3421:MP3450 KJ56:MT62 KJ85:MT145 KJ146:KP146 KJ147:MT318 KJ513:MP552 KJ558:MT670 KJ686:MT730 KJ757:MP769 KJ782:MP787 KJ795:MT810 KJ824:LD824 KJ811:MP823 KJ825:MP842 KJ844:LD844 KJ843:LT843 KJ845:MP846 KJ847:LF849 KJ850:MP860 KJ861:LJ862 KJ863:MP863 KJ865:MP877 KJ878:LC879 KJ880:MP894 KJ895:LD950 KJ951:MP952 KJ953:LE953 KJ954:MP968 KJ970:MP971 KJ1386:MP1880 KJ1954:KP1996 KJ2108:MP2151 KJ2230:MP2305 KJ2320:MP2379 KJ2381:MP2384 KJ2386:MP2439 KJ2440:LE2440 KJ2595:KO2595 KJ2441:MP2594 KJ2596:MP2752 KJ2756:MP3418 KJ972:MT1385 IX3:MT8 FN9:FO29 HD9:HI29 IX9:IX29 EN9:EN29 EL9:EM3450 FP9:FP3450 HA9:HC3450 HS9:HT29 HM9:HR3450 IZ9:JM29 IY9:IY3450 JO9:JW29 JN9:JN3450 JY9:KF29 JX9:JX3450 KH9:KH29 KG9:KG3450 KJ9:MT29 KI9:KI3450 AD1:AD29 FE3:FE29 GX2:GX29 EY2:FA29 FC2:FC29 IT2:IV29 FH3:FH29 FK3:FL29 OH2:PK1499 N2:N3450 P2:P3450 BO1:BQ3450 CC1:CD3450 CG1:CG3450 CL1:CL3450 CN1:CO3450 CR1:CR3450 CU1:CU3450 CZ1:CZ3450 DW1:DZ3450 EP1:EQ3450 EU2:EU3450 GS2:GS3450 GV2:GV3450 HA6:HI8 IC2:IC3450" name="Rango2"/>
    <protectedRange algorithmName="SHA-512" hashValue="RQ91b7oAw60DVtcgB2vRpial2kSdzJx5guGCTYUwXYkKrtrUHfiYnLf9R+SNpYXlJDYpyEJLhcWwP0EqNN86dQ==" saltValue="W3RbH3zrcY9sy39xNwXNxg==" spinCount="100000" sqref="BA30:BI30 BV30:BY30" name="Rango2_88_99_1"/>
    <protectedRange algorithmName="SHA-512" hashValue="fMbmUM1DQ7FuAPRNvFL5mPdHUYjQnlLFhkuaxvHguaqR7aWyDxcmJs0jLYQfQKY+oyhsMb4Lew4VL6i7um3/ew==" saltValue="ydaTm0CeH8+/cYqoL/AMaQ==" spinCount="100000" sqref="AU30 AW30:AZ30" name="Rango2_88_91_1"/>
    <protectedRange algorithmName="SHA-512" hashValue="CHipOQaT63FWw628cQcXXJRZlrbNZ7OgmnEbDx38UmmH7z19GRYEzXFiVOzHAy1OAaAbST7g2bHZHDKQp2qm3w==" saltValue="iRVuL+373yLHv0ZHzS9qog==" spinCount="100000" sqref="AJ30 AG30:AH30 AL30" name="Rango2_88_7_5_1"/>
    <protectedRange algorithmName="SHA-512" hashValue="NkG6oHuDGvGBEiLAAq8MEJHEfLQUMyjihfH+DBXhT+eQW0r1yri7tOJEFRM9nbOejjjXiviq9RFo7KB7wF+xJA==" saltValue="bpjB0AAANu2X/PeR3eiFkA==" spinCount="100000" sqref="AM30:AS30" name="Rango2_88_65_1"/>
    <protectedRange algorithmName="SHA-512" hashValue="fPHvtIAf3pQeZUoAI9C2/vdXMHBpqqEq+67P5Ypyu4+9IWqs3yc9TZcMWQ0THLxUwqseQPyVvakuYFtCwJHsxA==" saltValue="QHIogSs2PrwAfdqa9PAOFQ==" spinCount="100000" sqref="AC30" name="Rango2_88_5_5_1"/>
    <protectedRange algorithmName="SHA-512" hashValue="LEEeiU6pKqm7TAP46VGlz0q+evvFwpT/0iLpRuWuQ7MacbP0OGL1/FSmrIEOg2rb6M+Jla2bPbVWiGag27j87w==" saltValue="HEVt+pS5OloNDlqSnzGLLw==" spinCount="100000" sqref="AI30" name="Rango2_8_7_1"/>
    <protectedRange algorithmName="SHA-512" hashValue="q2z5hEFmXS0v2chiPTC/VCoDWNlnhp+Xe6Ybfxe48vIsnB/KTJQxJv+pFUnCXfZ9T6vyJopuqFFNROfQTW/JUw==" saltValue="IctfdGJb5tOTpq+KPi9vww==" spinCount="100000" sqref="AE30:AF30" name="Rango2_88_39_1"/>
    <protectedRange algorithmName="SHA-512" hashValue="AYYX88LSDB6RDNMvSqt0KPGWPjBqTk56tMxTOlv5QD61MGTKAAQnSnudvNDWPN0Bbllh2qRQC+P5uq7goxjdrw==" saltValue="i/iPMewnks1FoXYOjKMEVg==" spinCount="100000" sqref="AB30" name="Rango2_87_6_1"/>
    <protectedRange algorithmName="SHA-512" hashValue="NUll9P9xh7KbSfMYpMxsRZLfDw/y/AzW2LSWlpXVscBDqiAxmzo71xjs+a2lh+jRa7pceOC849slke4+ZKx8LA==" saltValue="8qbkKpQ+CiQuLnqgShNvXA==" spinCount="100000" sqref="T30" name="Rango2_88_6_1"/>
    <protectedRange algorithmName="SHA-512" hashValue="KHhv3JU/LRdRrRTxxkgFceEHPZ5UzadmpZRZR3zmQRnPvkUJZuanRafIJ+qde0IWwLZSvFIQDyUAHq6v6k7XIg==" saltValue="2GKG1kCzVNNcn+vbOPuhJA==" spinCount="100000" sqref="Q30" name="Rango2_2_5_1"/>
    <protectedRange algorithmName="SHA-512" hashValue="XZw03RosI/l0z9FxmTtF29EdZ7P+4+ybhqoaAAUmURojSR5XbGfjC4f2i8gMqfY+RI9JvfdCA6PSh9TduXfUxA==" saltValue="5TPtLq2WoiRSae/yaDPnTw==" spinCount="100000" sqref="CJ30:CK30 CS30:CT30 CP30:CQ30 BZ30:CB30 O30 BJ30:BL30 R30:S30 AV30 DA30:DN30 CV30:CY30 BR30:BU30 U30:AA30 AT30 CE30:CF30" name="Rango2_99_1"/>
    <protectedRange algorithmName="SHA-512" hashValue="9+DNppQbWrLYYUMoJ+lyQctV2bX3Vq9kZnegLbpjTLP49It2ovUbcartuoQTeXgP+TGpY//7mDH/UQlFCKDGiA==" saltValue="KUnni6YEm00anzSSvyLqQA==" spinCount="100000" sqref="AD30" name="Rango2_16"/>
    <protectedRange algorithmName="SHA-512" hashValue="RQ91b7oAw60DVtcgB2vRpial2kSdzJx5guGCTYUwXYkKrtrUHfiYnLf9R+SNpYXlJDYpyEJLhcWwP0EqNN86dQ==" saltValue="W3RbH3zrcY9sy39xNwXNxg==" spinCount="100000" sqref="BA31:BI31 BV31:BY31" name="Rango2_88_99_2"/>
    <protectedRange algorithmName="SHA-512" hashValue="fMbmUM1DQ7FuAPRNvFL5mPdHUYjQnlLFhkuaxvHguaqR7aWyDxcmJs0jLYQfQKY+oyhsMb4Lew4VL6i7um3/ew==" saltValue="ydaTm0CeH8+/cYqoL/AMaQ==" spinCount="100000" sqref="AU31 AW31:AZ31" name="Rango2_88_91_2"/>
    <protectedRange algorithmName="SHA-512" hashValue="CHipOQaT63FWw628cQcXXJRZlrbNZ7OgmnEbDx38UmmH7z19GRYEzXFiVOzHAy1OAaAbST7g2bHZHDKQp2qm3w==" saltValue="iRVuL+373yLHv0ZHzS9qog==" spinCount="100000" sqref="AJ31 AG31:AH31 AL31" name="Rango2_88_7_5_2"/>
    <protectedRange algorithmName="SHA-512" hashValue="NkG6oHuDGvGBEiLAAq8MEJHEfLQUMyjihfH+DBXhT+eQW0r1yri7tOJEFRM9nbOejjjXiviq9RFo7KB7wF+xJA==" saltValue="bpjB0AAANu2X/PeR3eiFkA==" spinCount="100000" sqref="AM31:AS31" name="Rango2_88_65_2"/>
    <protectedRange algorithmName="SHA-512" hashValue="fPHvtIAf3pQeZUoAI9C2/vdXMHBpqqEq+67P5Ypyu4+9IWqs3yc9TZcMWQ0THLxUwqseQPyVvakuYFtCwJHsxA==" saltValue="QHIogSs2PrwAfdqa9PAOFQ==" spinCount="100000" sqref="AC31" name="Rango2_88_5_5_2"/>
    <protectedRange algorithmName="SHA-512" hashValue="LEEeiU6pKqm7TAP46VGlz0q+evvFwpT/0iLpRuWuQ7MacbP0OGL1/FSmrIEOg2rb6M+Jla2bPbVWiGag27j87w==" saltValue="HEVt+pS5OloNDlqSnzGLLw==" spinCount="100000" sqref="AI31" name="Rango2_8_7_2"/>
    <protectedRange algorithmName="SHA-512" hashValue="q2z5hEFmXS0v2chiPTC/VCoDWNlnhp+Xe6Ybfxe48vIsnB/KTJQxJv+pFUnCXfZ9T6vyJopuqFFNROfQTW/JUw==" saltValue="IctfdGJb5tOTpq+KPi9vww==" spinCount="100000" sqref="AE31:AF31" name="Rango2_88_39_2"/>
    <protectedRange algorithmName="SHA-512" hashValue="AYYX88LSDB6RDNMvSqt0KPGWPjBqTk56tMxTOlv5QD61MGTKAAQnSnudvNDWPN0Bbllh2qRQC+P5uq7goxjdrw==" saltValue="i/iPMewnks1FoXYOjKMEVg==" spinCount="100000" sqref="AB31" name="Rango2_87_6_2"/>
    <protectedRange algorithmName="SHA-512" hashValue="NUll9P9xh7KbSfMYpMxsRZLfDw/y/AzW2LSWlpXVscBDqiAxmzo71xjs+a2lh+jRa7pceOC849slke4+ZKx8LA==" saltValue="8qbkKpQ+CiQuLnqgShNvXA==" spinCount="100000" sqref="T31" name="Rango2_88_6_2"/>
    <protectedRange algorithmName="SHA-512" hashValue="KHhv3JU/LRdRrRTxxkgFceEHPZ5UzadmpZRZR3zmQRnPvkUJZuanRafIJ+qde0IWwLZSvFIQDyUAHq6v6k7XIg==" saltValue="2GKG1kCzVNNcn+vbOPuhJA==" spinCount="100000" sqref="Q31" name="Rango2_2_5_2"/>
    <protectedRange algorithmName="SHA-512" hashValue="XZw03RosI/l0z9FxmTtF29EdZ7P+4+ybhqoaAAUmURojSR5XbGfjC4f2i8gMqfY+RI9JvfdCA6PSh9TduXfUxA==" saltValue="5TPtLq2WoiRSae/yaDPnTw==" spinCount="100000" sqref="CJ31:CK31 CS31:CT31 CP31:CQ31 BZ31:CB31 O31 BJ31:BL31 R31:S31 AV31 DA31:DN31 CV31:CY31 BR31:BU31 U31:AA31 AT31 CE31:CF31" name="Rango2_99_2"/>
    <protectedRange algorithmName="SHA-512" hashValue="9+DNppQbWrLYYUMoJ+lyQctV2bX3Vq9kZnegLbpjTLP49It2ovUbcartuoQTeXgP+TGpY//7mDH/UQlFCKDGiA==" saltValue="KUnni6YEm00anzSSvyLqQA==" spinCount="100000" sqref="AD31" name="Rango2_22"/>
    <protectedRange algorithmName="SHA-512" hashValue="RQ91b7oAw60DVtcgB2vRpial2kSdzJx5guGCTYUwXYkKrtrUHfiYnLf9R+SNpYXlJDYpyEJLhcWwP0EqNN86dQ==" saltValue="W3RbH3zrcY9sy39xNwXNxg==" spinCount="100000" sqref="BA32:BI32 BV32:BY32" name="Rango2_88_99_3"/>
    <protectedRange algorithmName="SHA-512" hashValue="fMbmUM1DQ7FuAPRNvFL5mPdHUYjQnlLFhkuaxvHguaqR7aWyDxcmJs0jLYQfQKY+oyhsMb4Lew4VL6i7um3/ew==" saltValue="ydaTm0CeH8+/cYqoL/AMaQ==" spinCount="100000" sqref="AU32 AW32:AZ32" name="Rango2_88_91_3"/>
    <protectedRange algorithmName="SHA-512" hashValue="CHipOQaT63FWw628cQcXXJRZlrbNZ7OgmnEbDx38UmmH7z19GRYEzXFiVOzHAy1OAaAbST7g2bHZHDKQp2qm3w==" saltValue="iRVuL+373yLHv0ZHzS9qog==" spinCount="100000" sqref="AJ32 AG32:AH32 AL32" name="Rango2_88_7_5_3"/>
    <protectedRange algorithmName="SHA-512" hashValue="NkG6oHuDGvGBEiLAAq8MEJHEfLQUMyjihfH+DBXhT+eQW0r1yri7tOJEFRM9nbOejjjXiviq9RFo7KB7wF+xJA==" saltValue="bpjB0AAANu2X/PeR3eiFkA==" spinCount="100000" sqref="AM32:AS32" name="Rango2_88_65_3"/>
    <protectedRange algorithmName="SHA-512" hashValue="fPHvtIAf3pQeZUoAI9C2/vdXMHBpqqEq+67P5Ypyu4+9IWqs3yc9TZcMWQ0THLxUwqseQPyVvakuYFtCwJHsxA==" saltValue="QHIogSs2PrwAfdqa9PAOFQ==" spinCount="100000" sqref="AC32" name="Rango2_88_5_5_3"/>
    <protectedRange algorithmName="SHA-512" hashValue="LEEeiU6pKqm7TAP46VGlz0q+evvFwpT/0iLpRuWuQ7MacbP0OGL1/FSmrIEOg2rb6M+Jla2bPbVWiGag27j87w==" saltValue="HEVt+pS5OloNDlqSnzGLLw==" spinCount="100000" sqref="AI32" name="Rango2_8_7_3"/>
    <protectedRange algorithmName="SHA-512" hashValue="q2z5hEFmXS0v2chiPTC/VCoDWNlnhp+Xe6Ybfxe48vIsnB/KTJQxJv+pFUnCXfZ9T6vyJopuqFFNROfQTW/JUw==" saltValue="IctfdGJb5tOTpq+KPi9vww==" spinCount="100000" sqref="AE32:AF32" name="Rango2_88_39_3"/>
    <protectedRange algorithmName="SHA-512" hashValue="AYYX88LSDB6RDNMvSqt0KPGWPjBqTk56tMxTOlv5QD61MGTKAAQnSnudvNDWPN0Bbllh2qRQC+P5uq7goxjdrw==" saltValue="i/iPMewnks1FoXYOjKMEVg==" spinCount="100000" sqref="AB32" name="Rango2_87_6_3"/>
    <protectedRange algorithmName="SHA-512" hashValue="NUll9P9xh7KbSfMYpMxsRZLfDw/y/AzW2LSWlpXVscBDqiAxmzo71xjs+a2lh+jRa7pceOC849slke4+ZKx8LA==" saltValue="8qbkKpQ+CiQuLnqgShNvXA==" spinCount="100000" sqref="T32" name="Rango2_88_6_3"/>
    <protectedRange algorithmName="SHA-512" hashValue="KHhv3JU/LRdRrRTxxkgFceEHPZ5UzadmpZRZR3zmQRnPvkUJZuanRafIJ+qde0IWwLZSvFIQDyUAHq6v6k7XIg==" saltValue="2GKG1kCzVNNcn+vbOPuhJA==" spinCount="100000" sqref="Q32" name="Rango2_2_5_3"/>
    <protectedRange algorithmName="SHA-512" hashValue="XZw03RosI/l0z9FxmTtF29EdZ7P+4+ybhqoaAAUmURojSR5XbGfjC4f2i8gMqfY+RI9JvfdCA6PSh9TduXfUxA==" saltValue="5TPtLq2WoiRSae/yaDPnTw==" spinCount="100000" sqref="CJ32:CK32 CS32:CT32 CP32:CQ32 BZ32:CB32 O32 BJ32:BL32 R32:S32 AV32 DA32:DN32 CV32:CY32 BR32:BU32 U32:AA32 AT32 CE32:CF32" name="Rango2_99_3"/>
    <protectedRange algorithmName="SHA-512" hashValue="9+DNppQbWrLYYUMoJ+lyQctV2bX3Vq9kZnegLbpjTLP49It2ovUbcartuoQTeXgP+TGpY//7mDH/UQlFCKDGiA==" saltValue="KUnni6YEm00anzSSvyLqQA==" spinCount="100000" sqref="AD32" name="Rango2_24"/>
    <protectedRange algorithmName="SHA-512" hashValue="RQ91b7oAw60DVtcgB2vRpial2kSdzJx5guGCTYUwXYkKrtrUHfiYnLf9R+SNpYXlJDYpyEJLhcWwP0EqNN86dQ==" saltValue="W3RbH3zrcY9sy39xNwXNxg==" spinCount="100000" sqref="BA33:BI33 BV33:BY33" name="Rango2_88_99_4"/>
    <protectedRange algorithmName="SHA-512" hashValue="fMbmUM1DQ7FuAPRNvFL5mPdHUYjQnlLFhkuaxvHguaqR7aWyDxcmJs0jLYQfQKY+oyhsMb4Lew4VL6i7um3/ew==" saltValue="ydaTm0CeH8+/cYqoL/AMaQ==" spinCount="100000" sqref="AU33 AW33:AZ33" name="Rango2_88_91_4"/>
    <protectedRange algorithmName="SHA-512" hashValue="CHipOQaT63FWw628cQcXXJRZlrbNZ7OgmnEbDx38UmmH7z19GRYEzXFiVOzHAy1OAaAbST7g2bHZHDKQp2qm3w==" saltValue="iRVuL+373yLHv0ZHzS9qog==" spinCount="100000" sqref="AJ33 AG33:AH33 AL33" name="Rango2_88_7_5_4"/>
    <protectedRange algorithmName="SHA-512" hashValue="NkG6oHuDGvGBEiLAAq8MEJHEfLQUMyjihfH+DBXhT+eQW0r1yri7tOJEFRM9nbOejjjXiviq9RFo7KB7wF+xJA==" saltValue="bpjB0AAANu2X/PeR3eiFkA==" spinCount="100000" sqref="AM33:AS33" name="Rango2_88_65_4"/>
    <protectedRange algorithmName="SHA-512" hashValue="fPHvtIAf3pQeZUoAI9C2/vdXMHBpqqEq+67P5Ypyu4+9IWqs3yc9TZcMWQ0THLxUwqseQPyVvakuYFtCwJHsxA==" saltValue="QHIogSs2PrwAfdqa9PAOFQ==" spinCount="100000" sqref="AC33" name="Rango2_88_5_5_4"/>
    <protectedRange algorithmName="SHA-512" hashValue="LEEeiU6pKqm7TAP46VGlz0q+evvFwpT/0iLpRuWuQ7MacbP0OGL1/FSmrIEOg2rb6M+Jla2bPbVWiGag27j87w==" saltValue="HEVt+pS5OloNDlqSnzGLLw==" spinCount="100000" sqref="AI33" name="Rango2_8_7_4"/>
    <protectedRange algorithmName="SHA-512" hashValue="q2z5hEFmXS0v2chiPTC/VCoDWNlnhp+Xe6Ybfxe48vIsnB/KTJQxJv+pFUnCXfZ9T6vyJopuqFFNROfQTW/JUw==" saltValue="IctfdGJb5tOTpq+KPi9vww==" spinCount="100000" sqref="AE33:AF33" name="Rango2_88_39_4"/>
    <protectedRange algorithmName="SHA-512" hashValue="AYYX88LSDB6RDNMvSqt0KPGWPjBqTk56tMxTOlv5QD61MGTKAAQnSnudvNDWPN0Bbllh2qRQC+P5uq7goxjdrw==" saltValue="i/iPMewnks1FoXYOjKMEVg==" spinCount="100000" sqref="AB33" name="Rango2_87_6_4"/>
    <protectedRange algorithmName="SHA-512" hashValue="NUll9P9xh7KbSfMYpMxsRZLfDw/y/AzW2LSWlpXVscBDqiAxmzo71xjs+a2lh+jRa7pceOC849slke4+ZKx8LA==" saltValue="8qbkKpQ+CiQuLnqgShNvXA==" spinCount="100000" sqref="T33" name="Rango2_88_6_4"/>
    <protectedRange algorithmName="SHA-512" hashValue="KHhv3JU/LRdRrRTxxkgFceEHPZ5UzadmpZRZR3zmQRnPvkUJZuanRafIJ+qde0IWwLZSvFIQDyUAHq6v6k7XIg==" saltValue="2GKG1kCzVNNcn+vbOPuhJA==" spinCount="100000" sqref="Q33" name="Rango2_2_5_4"/>
    <protectedRange algorithmName="SHA-512" hashValue="XZw03RosI/l0z9FxmTtF29EdZ7P+4+ybhqoaAAUmURojSR5XbGfjC4f2i8gMqfY+RI9JvfdCA6PSh9TduXfUxA==" saltValue="5TPtLq2WoiRSae/yaDPnTw==" spinCount="100000" sqref="CJ33:CK33 CS33:CT33 CP33:CQ33 BZ33:CB33 O33 BJ33:BK33 R33:S33 AV33 DA33:DN33 CV33:CY33 BR33:BU33 U33:AA33 AT33 CE33:CF33" name="Rango2_99_4"/>
    <protectedRange algorithmName="SHA-512" hashValue="9+DNppQbWrLYYUMoJ+lyQctV2bX3Vq9kZnegLbpjTLP49It2ovUbcartuoQTeXgP+TGpY//7mDH/UQlFCKDGiA==" saltValue="KUnni6YEm00anzSSvyLqQA==" spinCount="100000" sqref="AD33" name="Rango2_25"/>
    <protectedRange algorithmName="SHA-512" hashValue="RQ91b7oAw60DVtcgB2vRpial2kSdzJx5guGCTYUwXYkKrtrUHfiYnLf9R+SNpYXlJDYpyEJLhcWwP0EqNN86dQ==" saltValue="W3RbH3zrcY9sy39xNwXNxg==" spinCount="100000" sqref="BA34:BI34 BV34:BY34" name="Rango2_88_99_5"/>
    <protectedRange algorithmName="SHA-512" hashValue="fMbmUM1DQ7FuAPRNvFL5mPdHUYjQnlLFhkuaxvHguaqR7aWyDxcmJs0jLYQfQKY+oyhsMb4Lew4VL6i7um3/ew==" saltValue="ydaTm0CeH8+/cYqoL/AMaQ==" spinCount="100000" sqref="AU34 AW34:AZ34" name="Rango2_88_91_5"/>
    <protectedRange algorithmName="SHA-512" hashValue="CHipOQaT63FWw628cQcXXJRZlrbNZ7OgmnEbDx38UmmH7z19GRYEzXFiVOzHAy1OAaAbST7g2bHZHDKQp2qm3w==" saltValue="iRVuL+373yLHv0ZHzS9qog==" spinCount="100000" sqref="AJ34 AG34:AH34 AL34" name="Rango2_88_7_5_5"/>
    <protectedRange algorithmName="SHA-512" hashValue="NkG6oHuDGvGBEiLAAq8MEJHEfLQUMyjihfH+DBXhT+eQW0r1yri7tOJEFRM9nbOejjjXiviq9RFo7KB7wF+xJA==" saltValue="bpjB0AAANu2X/PeR3eiFkA==" spinCount="100000" sqref="AM34:AS34" name="Rango2_88_65_5"/>
    <protectedRange algorithmName="SHA-512" hashValue="fPHvtIAf3pQeZUoAI9C2/vdXMHBpqqEq+67P5Ypyu4+9IWqs3yc9TZcMWQ0THLxUwqseQPyVvakuYFtCwJHsxA==" saltValue="QHIogSs2PrwAfdqa9PAOFQ==" spinCount="100000" sqref="AC34" name="Rango2_88_5_5_5"/>
    <protectedRange algorithmName="SHA-512" hashValue="LEEeiU6pKqm7TAP46VGlz0q+evvFwpT/0iLpRuWuQ7MacbP0OGL1/FSmrIEOg2rb6M+Jla2bPbVWiGag27j87w==" saltValue="HEVt+pS5OloNDlqSnzGLLw==" spinCount="100000" sqref="AI34" name="Rango2_8_7_5"/>
    <protectedRange algorithmName="SHA-512" hashValue="q2z5hEFmXS0v2chiPTC/VCoDWNlnhp+Xe6Ybfxe48vIsnB/KTJQxJv+pFUnCXfZ9T6vyJopuqFFNROfQTW/JUw==" saltValue="IctfdGJb5tOTpq+KPi9vww==" spinCount="100000" sqref="AE34:AF34" name="Rango2_88_39_5"/>
    <protectedRange algorithmName="SHA-512" hashValue="AYYX88LSDB6RDNMvSqt0KPGWPjBqTk56tMxTOlv5QD61MGTKAAQnSnudvNDWPN0Bbllh2qRQC+P5uq7goxjdrw==" saltValue="i/iPMewnks1FoXYOjKMEVg==" spinCount="100000" sqref="AB34" name="Rango2_87_6_5"/>
    <protectedRange algorithmName="SHA-512" hashValue="NUll9P9xh7KbSfMYpMxsRZLfDw/y/AzW2LSWlpXVscBDqiAxmzo71xjs+a2lh+jRa7pceOC849slke4+ZKx8LA==" saltValue="8qbkKpQ+CiQuLnqgShNvXA==" spinCount="100000" sqref="T34" name="Rango2_88_6_5"/>
    <protectedRange algorithmName="SHA-512" hashValue="KHhv3JU/LRdRrRTxxkgFceEHPZ5UzadmpZRZR3zmQRnPvkUJZuanRafIJ+qde0IWwLZSvFIQDyUAHq6v6k7XIg==" saltValue="2GKG1kCzVNNcn+vbOPuhJA==" spinCount="100000" sqref="Q34" name="Rango2_2_5_5"/>
    <protectedRange algorithmName="SHA-512" hashValue="XZw03RosI/l0z9FxmTtF29EdZ7P+4+ybhqoaAAUmURojSR5XbGfjC4f2i8gMqfY+RI9JvfdCA6PSh9TduXfUxA==" saltValue="5TPtLq2WoiRSae/yaDPnTw==" spinCount="100000" sqref="CJ34:CK34 CS34:CT34 CP34:CQ34 BZ34:CB34 O34 BJ34:BL34 R34:S34 AV34 DA34:DN34 CV34:CY34 BR34:BU34 U34:AA34 AT34 CE34:CF34" name="Rango2_99_5"/>
    <protectedRange algorithmName="SHA-512" hashValue="9+DNppQbWrLYYUMoJ+lyQctV2bX3Vq9kZnegLbpjTLP49It2ovUbcartuoQTeXgP+TGpY//7mDH/UQlFCKDGiA==" saltValue="KUnni6YEm00anzSSvyLqQA==" spinCount="100000" sqref="AD34" name="Rango2_26"/>
    <protectedRange algorithmName="SHA-512" hashValue="RQ91b7oAw60DVtcgB2vRpial2kSdzJx5guGCTYUwXYkKrtrUHfiYnLf9R+SNpYXlJDYpyEJLhcWwP0EqNN86dQ==" saltValue="W3RbH3zrcY9sy39xNwXNxg==" spinCount="100000" sqref="BA35:BI36 BV35:BY36" name="Rango2_88_99_6"/>
    <protectedRange algorithmName="SHA-512" hashValue="fMbmUM1DQ7FuAPRNvFL5mPdHUYjQnlLFhkuaxvHguaqR7aWyDxcmJs0jLYQfQKY+oyhsMb4Lew4VL6i7um3/ew==" saltValue="ydaTm0CeH8+/cYqoL/AMaQ==" spinCount="100000" sqref="AU35:AU36 AW35:AZ36" name="Rango2_88_91_6"/>
    <protectedRange algorithmName="SHA-512" hashValue="CHipOQaT63FWw628cQcXXJRZlrbNZ7OgmnEbDx38UmmH7z19GRYEzXFiVOzHAy1OAaAbST7g2bHZHDKQp2qm3w==" saltValue="iRVuL+373yLHv0ZHzS9qog==" spinCount="100000" sqref="AJ35:AJ36 AG35:AH36 AL35:AL36" name="Rango2_88_7_5_6"/>
    <protectedRange algorithmName="SHA-512" hashValue="NkG6oHuDGvGBEiLAAq8MEJHEfLQUMyjihfH+DBXhT+eQW0r1yri7tOJEFRM9nbOejjjXiviq9RFo7KB7wF+xJA==" saltValue="bpjB0AAANu2X/PeR3eiFkA==" spinCount="100000" sqref="AM35:AS36" name="Rango2_88_65_6"/>
    <protectedRange algorithmName="SHA-512" hashValue="fPHvtIAf3pQeZUoAI9C2/vdXMHBpqqEq+67P5Ypyu4+9IWqs3yc9TZcMWQ0THLxUwqseQPyVvakuYFtCwJHsxA==" saltValue="QHIogSs2PrwAfdqa9PAOFQ==" spinCount="100000" sqref="AC35:AC36" name="Rango2_88_5_5_6"/>
    <protectedRange algorithmName="SHA-512" hashValue="LEEeiU6pKqm7TAP46VGlz0q+evvFwpT/0iLpRuWuQ7MacbP0OGL1/FSmrIEOg2rb6M+Jla2bPbVWiGag27j87w==" saltValue="HEVt+pS5OloNDlqSnzGLLw==" spinCount="100000" sqref="AI35:AI36" name="Rango2_8_7_6"/>
    <protectedRange algorithmName="SHA-512" hashValue="q2z5hEFmXS0v2chiPTC/VCoDWNlnhp+Xe6Ybfxe48vIsnB/KTJQxJv+pFUnCXfZ9T6vyJopuqFFNROfQTW/JUw==" saltValue="IctfdGJb5tOTpq+KPi9vww==" spinCount="100000" sqref="AE35:AF36" name="Rango2_88_39_6"/>
    <protectedRange algorithmName="SHA-512" hashValue="AYYX88LSDB6RDNMvSqt0KPGWPjBqTk56tMxTOlv5QD61MGTKAAQnSnudvNDWPN0Bbllh2qRQC+P5uq7goxjdrw==" saltValue="i/iPMewnks1FoXYOjKMEVg==" spinCount="100000" sqref="AB35:AB36" name="Rango2_87_6_6"/>
    <protectedRange algorithmName="SHA-512" hashValue="NUll9P9xh7KbSfMYpMxsRZLfDw/y/AzW2LSWlpXVscBDqiAxmzo71xjs+a2lh+jRa7pceOC849slke4+ZKx8LA==" saltValue="8qbkKpQ+CiQuLnqgShNvXA==" spinCount="100000" sqref="T35:T36" name="Rango2_88_6_6"/>
    <protectedRange algorithmName="SHA-512" hashValue="KHhv3JU/LRdRrRTxxkgFceEHPZ5UzadmpZRZR3zmQRnPvkUJZuanRafIJ+qde0IWwLZSvFIQDyUAHq6v6k7XIg==" saltValue="2GKG1kCzVNNcn+vbOPuhJA==" spinCount="100000" sqref="Q35:Q36" name="Rango2_2_5_6"/>
    <protectedRange algorithmName="SHA-512" hashValue="XZw03RosI/l0z9FxmTtF29EdZ7P+4+ybhqoaAAUmURojSR5XbGfjC4f2i8gMqfY+RI9JvfdCA6PSh9TduXfUxA==" saltValue="5TPtLq2WoiRSae/yaDPnTw==" spinCount="100000" sqref="CJ35:CK36 CS35:CT36 CP35:CQ36 BZ35:CB36 O35:O36 BJ35:BL35 R35:S36 AV35:AV36 DA35:DN36 CV35:CY36 BR35:BU36 U35:AA36 AT35:AT36 CE35:CF36 BJ36:BK36" name="Rango2_99_6"/>
    <protectedRange algorithmName="SHA-512" hashValue="9+DNppQbWrLYYUMoJ+lyQctV2bX3Vq9kZnegLbpjTLP49It2ovUbcartuoQTeXgP+TGpY//7mDH/UQlFCKDGiA==" saltValue="KUnni6YEm00anzSSvyLqQA==" spinCount="100000" sqref="AD35:AD36" name="Rango2_32"/>
    <protectedRange algorithmName="SHA-512" hashValue="RQ91b7oAw60DVtcgB2vRpial2kSdzJx5guGCTYUwXYkKrtrUHfiYnLf9R+SNpYXlJDYpyEJLhcWwP0EqNN86dQ==" saltValue="W3RbH3zrcY9sy39xNwXNxg==" spinCount="100000" sqref="BA37:BI37 BV37:BY37" name="Rango2_88_99_7"/>
    <protectedRange algorithmName="SHA-512" hashValue="fMbmUM1DQ7FuAPRNvFL5mPdHUYjQnlLFhkuaxvHguaqR7aWyDxcmJs0jLYQfQKY+oyhsMb4Lew4VL6i7um3/ew==" saltValue="ydaTm0CeH8+/cYqoL/AMaQ==" spinCount="100000" sqref="AU37 AW37:AZ37" name="Rango2_88_91_7"/>
    <protectedRange algorithmName="SHA-512" hashValue="CHipOQaT63FWw628cQcXXJRZlrbNZ7OgmnEbDx38UmmH7z19GRYEzXFiVOzHAy1OAaAbST7g2bHZHDKQp2qm3w==" saltValue="iRVuL+373yLHv0ZHzS9qog==" spinCount="100000" sqref="AJ37 AG37:AH37 AL37" name="Rango2_88_7_5_7"/>
    <protectedRange algorithmName="SHA-512" hashValue="NkG6oHuDGvGBEiLAAq8MEJHEfLQUMyjihfH+DBXhT+eQW0r1yri7tOJEFRM9nbOejjjXiviq9RFo7KB7wF+xJA==" saltValue="bpjB0AAANu2X/PeR3eiFkA==" spinCount="100000" sqref="AM37:AS37" name="Rango2_88_65_7"/>
    <protectedRange algorithmName="SHA-512" hashValue="fPHvtIAf3pQeZUoAI9C2/vdXMHBpqqEq+67P5Ypyu4+9IWqs3yc9TZcMWQ0THLxUwqseQPyVvakuYFtCwJHsxA==" saltValue="QHIogSs2PrwAfdqa9PAOFQ==" spinCount="100000" sqref="AC37" name="Rango2_88_5_5_7"/>
    <protectedRange algorithmName="SHA-512" hashValue="LEEeiU6pKqm7TAP46VGlz0q+evvFwpT/0iLpRuWuQ7MacbP0OGL1/FSmrIEOg2rb6M+Jla2bPbVWiGag27j87w==" saltValue="HEVt+pS5OloNDlqSnzGLLw==" spinCount="100000" sqref="AI37" name="Rango2_8_7_7"/>
    <protectedRange algorithmName="SHA-512" hashValue="q2z5hEFmXS0v2chiPTC/VCoDWNlnhp+Xe6Ybfxe48vIsnB/KTJQxJv+pFUnCXfZ9T6vyJopuqFFNROfQTW/JUw==" saltValue="IctfdGJb5tOTpq+KPi9vww==" spinCount="100000" sqref="AE37:AF37" name="Rango2_88_39_7"/>
    <protectedRange algorithmName="SHA-512" hashValue="AYYX88LSDB6RDNMvSqt0KPGWPjBqTk56tMxTOlv5QD61MGTKAAQnSnudvNDWPN0Bbllh2qRQC+P5uq7goxjdrw==" saltValue="i/iPMewnks1FoXYOjKMEVg==" spinCount="100000" sqref="AB37" name="Rango2_87_6_7"/>
    <protectedRange algorithmName="SHA-512" hashValue="NUll9P9xh7KbSfMYpMxsRZLfDw/y/AzW2LSWlpXVscBDqiAxmzo71xjs+a2lh+jRa7pceOC849slke4+ZKx8LA==" saltValue="8qbkKpQ+CiQuLnqgShNvXA==" spinCount="100000" sqref="T37" name="Rango2_88_6_7"/>
    <protectedRange algorithmName="SHA-512" hashValue="KHhv3JU/LRdRrRTxxkgFceEHPZ5UzadmpZRZR3zmQRnPvkUJZuanRafIJ+qde0IWwLZSvFIQDyUAHq6v6k7XIg==" saltValue="2GKG1kCzVNNcn+vbOPuhJA==" spinCount="100000" sqref="Q37" name="Rango2_2_5_7"/>
    <protectedRange algorithmName="SHA-512" hashValue="XZw03RosI/l0z9FxmTtF29EdZ7P+4+ybhqoaAAUmURojSR5XbGfjC4f2i8gMqfY+RI9JvfdCA6PSh9TduXfUxA==" saltValue="5TPtLq2WoiRSae/yaDPnTw==" spinCount="100000" sqref="CJ37:CK37 CS37:CT37 CP37:CQ37 BZ37:CB37 O37 BJ37:BK37 R37:S37 AV37 DA37:DN37 CV37:CY37 BR37:BU37 U37:AA37 AT37 CE37:CF37" name="Rango2_99_7"/>
    <protectedRange algorithmName="SHA-512" hashValue="9+DNppQbWrLYYUMoJ+lyQctV2bX3Vq9kZnegLbpjTLP49It2ovUbcartuoQTeXgP+TGpY//7mDH/UQlFCKDGiA==" saltValue="KUnni6YEm00anzSSvyLqQA==" spinCount="100000" sqref="AD37" name="Rango2_34"/>
    <protectedRange algorithmName="SHA-512" hashValue="RQ91b7oAw60DVtcgB2vRpial2kSdzJx5guGCTYUwXYkKrtrUHfiYnLf9R+SNpYXlJDYpyEJLhcWwP0EqNN86dQ==" saltValue="W3RbH3zrcY9sy39xNwXNxg==" spinCount="100000" sqref="BA38:BI39 BV38:BY39" name="Rango2_88_99_8"/>
    <protectedRange algorithmName="SHA-512" hashValue="fMbmUM1DQ7FuAPRNvFL5mPdHUYjQnlLFhkuaxvHguaqR7aWyDxcmJs0jLYQfQKY+oyhsMb4Lew4VL6i7um3/ew==" saltValue="ydaTm0CeH8+/cYqoL/AMaQ==" spinCount="100000" sqref="AU38:AU39 AW38:AZ39" name="Rango2_88_91_8"/>
    <protectedRange algorithmName="SHA-512" hashValue="CHipOQaT63FWw628cQcXXJRZlrbNZ7OgmnEbDx38UmmH7z19GRYEzXFiVOzHAy1OAaAbST7g2bHZHDKQp2qm3w==" saltValue="iRVuL+373yLHv0ZHzS9qog==" spinCount="100000" sqref="AJ38:AJ39 AG38:AH39 AL38:AL39" name="Rango2_88_7_5_8"/>
    <protectedRange algorithmName="SHA-512" hashValue="NkG6oHuDGvGBEiLAAq8MEJHEfLQUMyjihfH+DBXhT+eQW0r1yri7tOJEFRM9nbOejjjXiviq9RFo7KB7wF+xJA==" saltValue="bpjB0AAANu2X/PeR3eiFkA==" spinCount="100000" sqref="AM38:AS39" name="Rango2_88_65_8"/>
    <protectedRange algorithmName="SHA-512" hashValue="fPHvtIAf3pQeZUoAI9C2/vdXMHBpqqEq+67P5Ypyu4+9IWqs3yc9TZcMWQ0THLxUwqseQPyVvakuYFtCwJHsxA==" saltValue="QHIogSs2PrwAfdqa9PAOFQ==" spinCount="100000" sqref="AC38:AC39" name="Rango2_88_5_5_8"/>
    <protectedRange algorithmName="SHA-512" hashValue="LEEeiU6pKqm7TAP46VGlz0q+evvFwpT/0iLpRuWuQ7MacbP0OGL1/FSmrIEOg2rb6M+Jla2bPbVWiGag27j87w==" saltValue="HEVt+pS5OloNDlqSnzGLLw==" spinCount="100000" sqref="AI38:AI39" name="Rango2_8_7_8"/>
    <protectedRange algorithmName="SHA-512" hashValue="q2z5hEFmXS0v2chiPTC/VCoDWNlnhp+Xe6Ybfxe48vIsnB/KTJQxJv+pFUnCXfZ9T6vyJopuqFFNROfQTW/JUw==" saltValue="IctfdGJb5tOTpq+KPi9vww==" spinCount="100000" sqref="AE38:AF39" name="Rango2_88_39_8"/>
    <protectedRange algorithmName="SHA-512" hashValue="AYYX88LSDB6RDNMvSqt0KPGWPjBqTk56tMxTOlv5QD61MGTKAAQnSnudvNDWPN0Bbllh2qRQC+P5uq7goxjdrw==" saltValue="i/iPMewnks1FoXYOjKMEVg==" spinCount="100000" sqref="AB38:AB39" name="Rango2_87_6_8"/>
    <protectedRange algorithmName="SHA-512" hashValue="NUll9P9xh7KbSfMYpMxsRZLfDw/y/AzW2LSWlpXVscBDqiAxmzo71xjs+a2lh+jRa7pceOC849slke4+ZKx8LA==" saltValue="8qbkKpQ+CiQuLnqgShNvXA==" spinCount="100000" sqref="T38:T39" name="Rango2_88_6_8"/>
    <protectedRange algorithmName="SHA-512" hashValue="KHhv3JU/LRdRrRTxxkgFceEHPZ5UzadmpZRZR3zmQRnPvkUJZuanRafIJ+qde0IWwLZSvFIQDyUAHq6v6k7XIg==" saltValue="2GKG1kCzVNNcn+vbOPuhJA==" spinCount="100000" sqref="Q38:Q39" name="Rango2_2_5_8"/>
    <protectedRange algorithmName="SHA-512" hashValue="XZw03RosI/l0z9FxmTtF29EdZ7P+4+ybhqoaAAUmURojSR5XbGfjC4f2i8gMqfY+RI9JvfdCA6PSh9TduXfUxA==" saltValue="5TPtLq2WoiRSae/yaDPnTw==" spinCount="100000" sqref="CJ38:CK39 CS38:CT39 CP38:CQ39 BZ38:CB39 O38:O39 BJ38:BL39 R38:S39 AV38:AV39 DA38:DN39 CV38:CY39 BR38:BU39 U38:AA39 AT38:AT39 CE38:CF39" name="Rango2_99_8"/>
    <protectedRange algorithmName="SHA-512" hashValue="9+DNppQbWrLYYUMoJ+lyQctV2bX3Vq9kZnegLbpjTLP49It2ovUbcartuoQTeXgP+TGpY//7mDH/UQlFCKDGiA==" saltValue="KUnni6YEm00anzSSvyLqQA==" spinCount="100000" sqref="AD38:AD39" name="Rango2_35"/>
    <protectedRange algorithmName="SHA-512" hashValue="RQ91b7oAw60DVtcgB2vRpial2kSdzJx5guGCTYUwXYkKrtrUHfiYnLf9R+SNpYXlJDYpyEJLhcWwP0EqNN86dQ==" saltValue="W3RbH3zrcY9sy39xNwXNxg==" spinCount="100000" sqref="BA40:BI41 BV40:BY41" name="Rango2_88_99_9"/>
    <protectedRange algorithmName="SHA-512" hashValue="fMbmUM1DQ7FuAPRNvFL5mPdHUYjQnlLFhkuaxvHguaqR7aWyDxcmJs0jLYQfQKY+oyhsMb4Lew4VL6i7um3/ew==" saltValue="ydaTm0CeH8+/cYqoL/AMaQ==" spinCount="100000" sqref="AU40:AU41 AW40:AZ41" name="Rango2_88_91_9"/>
    <protectedRange algorithmName="SHA-512" hashValue="CHipOQaT63FWw628cQcXXJRZlrbNZ7OgmnEbDx38UmmH7z19GRYEzXFiVOzHAy1OAaAbST7g2bHZHDKQp2qm3w==" saltValue="iRVuL+373yLHv0ZHzS9qog==" spinCount="100000" sqref="AJ40:AJ41 AG40:AH41 AL40:AL41" name="Rango2_88_7_5_9"/>
    <protectedRange algorithmName="SHA-512" hashValue="NkG6oHuDGvGBEiLAAq8MEJHEfLQUMyjihfH+DBXhT+eQW0r1yri7tOJEFRM9nbOejjjXiviq9RFo7KB7wF+xJA==" saltValue="bpjB0AAANu2X/PeR3eiFkA==" spinCount="100000" sqref="AM40:AS41" name="Rango2_88_65_9"/>
    <protectedRange algorithmName="SHA-512" hashValue="fPHvtIAf3pQeZUoAI9C2/vdXMHBpqqEq+67P5Ypyu4+9IWqs3yc9TZcMWQ0THLxUwqseQPyVvakuYFtCwJHsxA==" saltValue="QHIogSs2PrwAfdqa9PAOFQ==" spinCount="100000" sqref="AC40:AC41" name="Rango2_88_5_5_9"/>
    <protectedRange algorithmName="SHA-512" hashValue="LEEeiU6pKqm7TAP46VGlz0q+evvFwpT/0iLpRuWuQ7MacbP0OGL1/FSmrIEOg2rb6M+Jla2bPbVWiGag27j87w==" saltValue="HEVt+pS5OloNDlqSnzGLLw==" spinCount="100000" sqref="AI40:AI41" name="Rango2_8_7_9"/>
    <protectedRange algorithmName="SHA-512" hashValue="q2z5hEFmXS0v2chiPTC/VCoDWNlnhp+Xe6Ybfxe48vIsnB/KTJQxJv+pFUnCXfZ9T6vyJopuqFFNROfQTW/JUw==" saltValue="IctfdGJb5tOTpq+KPi9vww==" spinCount="100000" sqref="AE40:AF41" name="Rango2_88_39_9"/>
    <protectedRange algorithmName="SHA-512" hashValue="AYYX88LSDB6RDNMvSqt0KPGWPjBqTk56tMxTOlv5QD61MGTKAAQnSnudvNDWPN0Bbllh2qRQC+P5uq7goxjdrw==" saltValue="i/iPMewnks1FoXYOjKMEVg==" spinCount="100000" sqref="AB40:AB41" name="Rango2_87_6_9"/>
    <protectedRange algorithmName="SHA-512" hashValue="NUll9P9xh7KbSfMYpMxsRZLfDw/y/AzW2LSWlpXVscBDqiAxmzo71xjs+a2lh+jRa7pceOC849slke4+ZKx8LA==" saltValue="8qbkKpQ+CiQuLnqgShNvXA==" spinCount="100000" sqref="T40:T41" name="Rango2_88_6_9"/>
    <protectedRange algorithmName="SHA-512" hashValue="KHhv3JU/LRdRrRTxxkgFceEHPZ5UzadmpZRZR3zmQRnPvkUJZuanRafIJ+qde0IWwLZSvFIQDyUAHq6v6k7XIg==" saltValue="2GKG1kCzVNNcn+vbOPuhJA==" spinCount="100000" sqref="Q40:Q41" name="Rango2_2_5_9"/>
    <protectedRange algorithmName="SHA-512" hashValue="XZw03RosI/l0z9FxmTtF29EdZ7P+4+ybhqoaAAUmURojSR5XbGfjC4f2i8gMqfY+RI9JvfdCA6PSh9TduXfUxA==" saltValue="5TPtLq2WoiRSae/yaDPnTw==" spinCount="100000" sqref="CJ40:CK41 CS40:CT41 CP40:CQ41 BZ40:CB41 O40:O41 BJ41:BL41 R40:S41 AV40:AV41 DA40:DN41 CV40:CY41 BR40:BU41 U40:AA41 AT40:AT41 CE40:CF41 BJ40:BK40" name="Rango2_99_9"/>
    <protectedRange algorithmName="SHA-512" hashValue="9+DNppQbWrLYYUMoJ+lyQctV2bX3Vq9kZnegLbpjTLP49It2ovUbcartuoQTeXgP+TGpY//7mDH/UQlFCKDGiA==" saltValue="KUnni6YEm00anzSSvyLqQA==" spinCount="100000" sqref="AD40:AD41" name="Rango2_36"/>
    <protectedRange algorithmName="SHA-512" hashValue="RQ91b7oAw60DVtcgB2vRpial2kSdzJx5guGCTYUwXYkKrtrUHfiYnLf9R+SNpYXlJDYpyEJLhcWwP0EqNN86dQ==" saltValue="W3RbH3zrcY9sy39xNwXNxg==" spinCount="100000" sqref="BA42:BI43 BV42:BY43" name="Rango2_88_99_10"/>
    <protectedRange algorithmName="SHA-512" hashValue="fMbmUM1DQ7FuAPRNvFL5mPdHUYjQnlLFhkuaxvHguaqR7aWyDxcmJs0jLYQfQKY+oyhsMb4Lew4VL6i7um3/ew==" saltValue="ydaTm0CeH8+/cYqoL/AMaQ==" spinCount="100000" sqref="AU42:AU43 AW42:AZ43" name="Rango2_88_91_10"/>
    <protectedRange algorithmName="SHA-512" hashValue="CHipOQaT63FWw628cQcXXJRZlrbNZ7OgmnEbDx38UmmH7z19GRYEzXFiVOzHAy1OAaAbST7g2bHZHDKQp2qm3w==" saltValue="iRVuL+373yLHv0ZHzS9qog==" spinCount="100000" sqref="AJ42:AJ43 AG42:AH43 AL42:AL43" name="Rango2_88_7_5_10"/>
    <protectedRange algorithmName="SHA-512" hashValue="NkG6oHuDGvGBEiLAAq8MEJHEfLQUMyjihfH+DBXhT+eQW0r1yri7tOJEFRM9nbOejjjXiviq9RFo7KB7wF+xJA==" saltValue="bpjB0AAANu2X/PeR3eiFkA==" spinCount="100000" sqref="AM42:AS43" name="Rango2_88_65_10"/>
    <protectedRange algorithmName="SHA-512" hashValue="fPHvtIAf3pQeZUoAI9C2/vdXMHBpqqEq+67P5Ypyu4+9IWqs3yc9TZcMWQ0THLxUwqseQPyVvakuYFtCwJHsxA==" saltValue="QHIogSs2PrwAfdqa9PAOFQ==" spinCount="100000" sqref="AC42:AC43" name="Rango2_88_5_5_10"/>
    <protectedRange algorithmName="SHA-512" hashValue="LEEeiU6pKqm7TAP46VGlz0q+evvFwpT/0iLpRuWuQ7MacbP0OGL1/FSmrIEOg2rb6M+Jla2bPbVWiGag27j87w==" saltValue="HEVt+pS5OloNDlqSnzGLLw==" spinCount="100000" sqref="AI42:AI43" name="Rango2_8_7_10"/>
    <protectedRange algorithmName="SHA-512" hashValue="q2z5hEFmXS0v2chiPTC/VCoDWNlnhp+Xe6Ybfxe48vIsnB/KTJQxJv+pFUnCXfZ9T6vyJopuqFFNROfQTW/JUw==" saltValue="IctfdGJb5tOTpq+KPi9vww==" spinCount="100000" sqref="AE42:AF43" name="Rango2_88_39_10"/>
    <protectedRange algorithmName="SHA-512" hashValue="AYYX88LSDB6RDNMvSqt0KPGWPjBqTk56tMxTOlv5QD61MGTKAAQnSnudvNDWPN0Bbllh2qRQC+P5uq7goxjdrw==" saltValue="i/iPMewnks1FoXYOjKMEVg==" spinCount="100000" sqref="AB42:AB43" name="Rango2_87_6_10"/>
    <protectedRange algorithmName="SHA-512" hashValue="NUll9P9xh7KbSfMYpMxsRZLfDw/y/AzW2LSWlpXVscBDqiAxmzo71xjs+a2lh+jRa7pceOC849slke4+ZKx8LA==" saltValue="8qbkKpQ+CiQuLnqgShNvXA==" spinCount="100000" sqref="T42:T43" name="Rango2_88_6_10"/>
    <protectedRange algorithmName="SHA-512" hashValue="KHhv3JU/LRdRrRTxxkgFceEHPZ5UzadmpZRZR3zmQRnPvkUJZuanRafIJ+qde0IWwLZSvFIQDyUAHq6v6k7XIg==" saltValue="2GKG1kCzVNNcn+vbOPuhJA==" spinCount="100000" sqref="Q42:Q43" name="Rango2_2_5_10"/>
    <protectedRange algorithmName="SHA-512" hashValue="XZw03RosI/l0z9FxmTtF29EdZ7P+4+ybhqoaAAUmURojSR5XbGfjC4f2i8gMqfY+RI9JvfdCA6PSh9TduXfUxA==" saltValue="5TPtLq2WoiRSae/yaDPnTw==" spinCount="100000" sqref="CJ42:CK43 CS42:CT43 CP42:CQ43 BZ42:CB43 O42:O43 BJ42:BL42 R42:S43 AV42:AV43 DA42:DN43 CV42:CY43 BR42:BU43 U42:AA43 AT42:AT43 CE42:CF43 BJ43:BK43" name="Rango2_99_10"/>
    <protectedRange algorithmName="SHA-512" hashValue="9+DNppQbWrLYYUMoJ+lyQctV2bX3Vq9kZnegLbpjTLP49It2ovUbcartuoQTeXgP+TGpY//7mDH/UQlFCKDGiA==" saltValue="KUnni6YEm00anzSSvyLqQA==" spinCount="100000" sqref="AD42:AD43" name="Rango2_37"/>
    <protectedRange algorithmName="SHA-512" hashValue="RQ91b7oAw60DVtcgB2vRpial2kSdzJx5guGCTYUwXYkKrtrUHfiYnLf9R+SNpYXlJDYpyEJLhcWwP0EqNN86dQ==" saltValue="W3RbH3zrcY9sy39xNwXNxg==" spinCount="100000" sqref="BA44:BI44 BV44:BY44" name="Rango2_88_99_11"/>
    <protectedRange algorithmName="SHA-512" hashValue="fMbmUM1DQ7FuAPRNvFL5mPdHUYjQnlLFhkuaxvHguaqR7aWyDxcmJs0jLYQfQKY+oyhsMb4Lew4VL6i7um3/ew==" saltValue="ydaTm0CeH8+/cYqoL/AMaQ==" spinCount="100000" sqref="AU44 AW44:AZ44" name="Rango2_88_91_11"/>
    <protectedRange algorithmName="SHA-512" hashValue="CHipOQaT63FWw628cQcXXJRZlrbNZ7OgmnEbDx38UmmH7z19GRYEzXFiVOzHAy1OAaAbST7g2bHZHDKQp2qm3w==" saltValue="iRVuL+373yLHv0ZHzS9qog==" spinCount="100000" sqref="AJ44 AG44:AH44 AL44" name="Rango2_88_7_5_11"/>
    <protectedRange algorithmName="SHA-512" hashValue="NkG6oHuDGvGBEiLAAq8MEJHEfLQUMyjihfH+DBXhT+eQW0r1yri7tOJEFRM9nbOejjjXiviq9RFo7KB7wF+xJA==" saltValue="bpjB0AAANu2X/PeR3eiFkA==" spinCount="100000" sqref="AM44:AS44" name="Rango2_88_65_11"/>
    <protectedRange algorithmName="SHA-512" hashValue="fPHvtIAf3pQeZUoAI9C2/vdXMHBpqqEq+67P5Ypyu4+9IWqs3yc9TZcMWQ0THLxUwqseQPyVvakuYFtCwJHsxA==" saltValue="QHIogSs2PrwAfdqa9PAOFQ==" spinCount="100000" sqref="AC44" name="Rango2_88_5_5_11"/>
    <protectedRange algorithmName="SHA-512" hashValue="LEEeiU6pKqm7TAP46VGlz0q+evvFwpT/0iLpRuWuQ7MacbP0OGL1/FSmrIEOg2rb6M+Jla2bPbVWiGag27j87w==" saltValue="HEVt+pS5OloNDlqSnzGLLw==" spinCount="100000" sqref="AI44" name="Rango2_8_7_11"/>
    <protectedRange algorithmName="SHA-512" hashValue="q2z5hEFmXS0v2chiPTC/VCoDWNlnhp+Xe6Ybfxe48vIsnB/KTJQxJv+pFUnCXfZ9T6vyJopuqFFNROfQTW/JUw==" saltValue="IctfdGJb5tOTpq+KPi9vww==" spinCount="100000" sqref="AE44:AF44" name="Rango2_88_39_11"/>
    <protectedRange algorithmName="SHA-512" hashValue="AYYX88LSDB6RDNMvSqt0KPGWPjBqTk56tMxTOlv5QD61MGTKAAQnSnudvNDWPN0Bbllh2qRQC+P5uq7goxjdrw==" saltValue="i/iPMewnks1FoXYOjKMEVg==" spinCount="100000" sqref="AB44" name="Rango2_87_6_11"/>
    <protectedRange algorithmName="SHA-512" hashValue="NUll9P9xh7KbSfMYpMxsRZLfDw/y/AzW2LSWlpXVscBDqiAxmzo71xjs+a2lh+jRa7pceOC849slke4+ZKx8LA==" saltValue="8qbkKpQ+CiQuLnqgShNvXA==" spinCount="100000" sqref="T44" name="Rango2_88_6_11"/>
    <protectedRange algorithmName="SHA-512" hashValue="KHhv3JU/LRdRrRTxxkgFceEHPZ5UzadmpZRZR3zmQRnPvkUJZuanRafIJ+qde0IWwLZSvFIQDyUAHq6v6k7XIg==" saltValue="2GKG1kCzVNNcn+vbOPuhJA==" spinCount="100000" sqref="Q44" name="Rango2_2_5_11"/>
    <protectedRange algorithmName="SHA-512" hashValue="XZw03RosI/l0z9FxmTtF29EdZ7P+4+ybhqoaAAUmURojSR5XbGfjC4f2i8gMqfY+RI9JvfdCA6PSh9TduXfUxA==" saltValue="5TPtLq2WoiRSae/yaDPnTw==" spinCount="100000" sqref="CJ44:CK44 CS44:CT44 CP44:CQ44 BZ44:CB44 O44 BJ44:BK44 R44:S44 AV44 DA44:DN44 CV44:CY44 BR44:BU44 U44:AA44 AT44 CE44:CF44" name="Rango2_99_11"/>
    <protectedRange algorithmName="SHA-512" hashValue="9+DNppQbWrLYYUMoJ+lyQctV2bX3Vq9kZnegLbpjTLP49It2ovUbcartuoQTeXgP+TGpY//7mDH/UQlFCKDGiA==" saltValue="KUnni6YEm00anzSSvyLqQA==" spinCount="100000" sqref="AD44" name="Rango2_38"/>
    <protectedRange algorithmName="SHA-512" hashValue="RQ91b7oAw60DVtcgB2vRpial2kSdzJx5guGCTYUwXYkKrtrUHfiYnLf9R+SNpYXlJDYpyEJLhcWwP0EqNN86dQ==" saltValue="W3RbH3zrcY9sy39xNwXNxg==" spinCount="100000" sqref="BA45:BI45 BV45:BY45" name="Rango2_88_99_12"/>
    <protectedRange algorithmName="SHA-512" hashValue="fMbmUM1DQ7FuAPRNvFL5mPdHUYjQnlLFhkuaxvHguaqR7aWyDxcmJs0jLYQfQKY+oyhsMb4Lew4VL6i7um3/ew==" saltValue="ydaTm0CeH8+/cYqoL/AMaQ==" spinCount="100000" sqref="AU45 AW45:AZ45" name="Rango2_88_91_12"/>
    <protectedRange algorithmName="SHA-512" hashValue="CHipOQaT63FWw628cQcXXJRZlrbNZ7OgmnEbDx38UmmH7z19GRYEzXFiVOzHAy1OAaAbST7g2bHZHDKQp2qm3w==" saltValue="iRVuL+373yLHv0ZHzS9qog==" spinCount="100000" sqref="AJ45 AG45:AH45 AL45" name="Rango2_88_7_5_12"/>
    <protectedRange algorithmName="SHA-512" hashValue="NkG6oHuDGvGBEiLAAq8MEJHEfLQUMyjihfH+DBXhT+eQW0r1yri7tOJEFRM9nbOejjjXiviq9RFo7KB7wF+xJA==" saltValue="bpjB0AAANu2X/PeR3eiFkA==" spinCount="100000" sqref="AM45:AS45" name="Rango2_88_65_12"/>
    <protectedRange algorithmName="SHA-512" hashValue="fPHvtIAf3pQeZUoAI9C2/vdXMHBpqqEq+67P5Ypyu4+9IWqs3yc9TZcMWQ0THLxUwqseQPyVvakuYFtCwJHsxA==" saltValue="QHIogSs2PrwAfdqa9PAOFQ==" spinCount="100000" sqref="AC45" name="Rango2_88_5_5_12"/>
    <protectedRange algorithmName="SHA-512" hashValue="LEEeiU6pKqm7TAP46VGlz0q+evvFwpT/0iLpRuWuQ7MacbP0OGL1/FSmrIEOg2rb6M+Jla2bPbVWiGag27j87w==" saltValue="HEVt+pS5OloNDlqSnzGLLw==" spinCount="100000" sqref="AI45" name="Rango2_8_7_12"/>
    <protectedRange algorithmName="SHA-512" hashValue="q2z5hEFmXS0v2chiPTC/VCoDWNlnhp+Xe6Ybfxe48vIsnB/KTJQxJv+pFUnCXfZ9T6vyJopuqFFNROfQTW/JUw==" saltValue="IctfdGJb5tOTpq+KPi9vww==" spinCount="100000" sqref="AE45:AF45" name="Rango2_88_39_12"/>
    <protectedRange algorithmName="SHA-512" hashValue="AYYX88LSDB6RDNMvSqt0KPGWPjBqTk56tMxTOlv5QD61MGTKAAQnSnudvNDWPN0Bbllh2qRQC+P5uq7goxjdrw==" saltValue="i/iPMewnks1FoXYOjKMEVg==" spinCount="100000" sqref="AB45" name="Rango2_87_6_12"/>
    <protectedRange algorithmName="SHA-512" hashValue="NUll9P9xh7KbSfMYpMxsRZLfDw/y/AzW2LSWlpXVscBDqiAxmzo71xjs+a2lh+jRa7pceOC849slke4+ZKx8LA==" saltValue="8qbkKpQ+CiQuLnqgShNvXA==" spinCount="100000" sqref="T45" name="Rango2_88_6_12"/>
    <protectedRange algorithmName="SHA-512" hashValue="KHhv3JU/LRdRrRTxxkgFceEHPZ5UzadmpZRZR3zmQRnPvkUJZuanRafIJ+qde0IWwLZSvFIQDyUAHq6v6k7XIg==" saltValue="2GKG1kCzVNNcn+vbOPuhJA==" spinCount="100000" sqref="Q45" name="Rango2_2_5_12"/>
    <protectedRange algorithmName="SHA-512" hashValue="XZw03RosI/l0z9FxmTtF29EdZ7P+4+ybhqoaAAUmURojSR5XbGfjC4f2i8gMqfY+RI9JvfdCA6PSh9TduXfUxA==" saltValue="5TPtLq2WoiRSae/yaDPnTw==" spinCount="100000" sqref="CJ45:CK45 CS45:CT45 CP45:CQ45 BZ45:CB45 O45 BJ45:BK45 R45:S45 AV45 DA45:DN45 CV45:CY45 BR45:BU45 U45:AA45 AT45 CE45:CF45" name="Rango2_99_12"/>
    <protectedRange algorithmName="SHA-512" hashValue="9+DNppQbWrLYYUMoJ+lyQctV2bX3Vq9kZnegLbpjTLP49It2ovUbcartuoQTeXgP+TGpY//7mDH/UQlFCKDGiA==" saltValue="KUnni6YEm00anzSSvyLqQA==" spinCount="100000" sqref="AD45" name="Rango2_39"/>
    <protectedRange algorithmName="SHA-512" hashValue="RQ91b7oAw60DVtcgB2vRpial2kSdzJx5guGCTYUwXYkKrtrUHfiYnLf9R+SNpYXlJDYpyEJLhcWwP0EqNN86dQ==" saltValue="W3RbH3zrcY9sy39xNwXNxg==" spinCount="100000" sqref="BA46:BI46 BV46:BY46" name="Rango2_88_99_13"/>
    <protectedRange algorithmName="SHA-512" hashValue="fMbmUM1DQ7FuAPRNvFL5mPdHUYjQnlLFhkuaxvHguaqR7aWyDxcmJs0jLYQfQKY+oyhsMb4Lew4VL6i7um3/ew==" saltValue="ydaTm0CeH8+/cYqoL/AMaQ==" spinCount="100000" sqref="AU46 AW46:AZ46" name="Rango2_88_91_13"/>
    <protectedRange algorithmName="SHA-512" hashValue="CHipOQaT63FWw628cQcXXJRZlrbNZ7OgmnEbDx38UmmH7z19GRYEzXFiVOzHAy1OAaAbST7g2bHZHDKQp2qm3w==" saltValue="iRVuL+373yLHv0ZHzS9qog==" spinCount="100000" sqref="AJ46 AG46:AH46 AL46" name="Rango2_88_7_5_13"/>
    <protectedRange algorithmName="SHA-512" hashValue="NkG6oHuDGvGBEiLAAq8MEJHEfLQUMyjihfH+DBXhT+eQW0r1yri7tOJEFRM9nbOejjjXiviq9RFo7KB7wF+xJA==" saltValue="bpjB0AAANu2X/PeR3eiFkA==" spinCount="100000" sqref="AM46:AS46" name="Rango2_88_65_13"/>
    <protectedRange algorithmName="SHA-512" hashValue="fPHvtIAf3pQeZUoAI9C2/vdXMHBpqqEq+67P5Ypyu4+9IWqs3yc9TZcMWQ0THLxUwqseQPyVvakuYFtCwJHsxA==" saltValue="QHIogSs2PrwAfdqa9PAOFQ==" spinCount="100000" sqref="AC46" name="Rango2_88_5_5_13"/>
    <protectedRange algorithmName="SHA-512" hashValue="LEEeiU6pKqm7TAP46VGlz0q+evvFwpT/0iLpRuWuQ7MacbP0OGL1/FSmrIEOg2rb6M+Jla2bPbVWiGag27j87w==" saltValue="HEVt+pS5OloNDlqSnzGLLw==" spinCount="100000" sqref="AI46" name="Rango2_8_7_13"/>
    <protectedRange algorithmName="SHA-512" hashValue="q2z5hEFmXS0v2chiPTC/VCoDWNlnhp+Xe6Ybfxe48vIsnB/KTJQxJv+pFUnCXfZ9T6vyJopuqFFNROfQTW/JUw==" saltValue="IctfdGJb5tOTpq+KPi9vww==" spinCount="100000" sqref="AE46:AF46" name="Rango2_88_39_13"/>
    <protectedRange algorithmName="SHA-512" hashValue="AYYX88LSDB6RDNMvSqt0KPGWPjBqTk56tMxTOlv5QD61MGTKAAQnSnudvNDWPN0Bbllh2qRQC+P5uq7goxjdrw==" saltValue="i/iPMewnks1FoXYOjKMEVg==" spinCount="100000" sqref="AB46" name="Rango2_87_6_13"/>
    <protectedRange algorithmName="SHA-512" hashValue="NUll9P9xh7KbSfMYpMxsRZLfDw/y/AzW2LSWlpXVscBDqiAxmzo71xjs+a2lh+jRa7pceOC849slke4+ZKx8LA==" saltValue="8qbkKpQ+CiQuLnqgShNvXA==" spinCount="100000" sqref="T46" name="Rango2_88_6_13"/>
    <protectedRange algorithmName="SHA-512" hashValue="KHhv3JU/LRdRrRTxxkgFceEHPZ5UzadmpZRZR3zmQRnPvkUJZuanRafIJ+qde0IWwLZSvFIQDyUAHq6v6k7XIg==" saltValue="2GKG1kCzVNNcn+vbOPuhJA==" spinCount="100000" sqref="Q46" name="Rango2_2_5_13"/>
    <protectedRange algorithmName="SHA-512" hashValue="XZw03RosI/l0z9FxmTtF29EdZ7P+4+ybhqoaAAUmURojSR5XbGfjC4f2i8gMqfY+RI9JvfdCA6PSh9TduXfUxA==" saltValue="5TPtLq2WoiRSae/yaDPnTw==" spinCount="100000" sqref="CJ46:CK46 CS46:CT46 CP46:CQ46 BZ46:CB46 O46 BJ46:BL46 R46:S46 AV46 DA46:DN46 CV46:CY46 BR46:BU46 U46:AA46 AT46 CE46:CF46" name="Rango2_99_13"/>
    <protectedRange algorithmName="SHA-512" hashValue="9+DNppQbWrLYYUMoJ+lyQctV2bX3Vq9kZnegLbpjTLP49It2ovUbcartuoQTeXgP+TGpY//7mDH/UQlFCKDGiA==" saltValue="KUnni6YEm00anzSSvyLqQA==" spinCount="100000" sqref="AD46" name="Rango2_40"/>
    <protectedRange algorithmName="SHA-512" hashValue="RQ91b7oAw60DVtcgB2vRpial2kSdzJx5guGCTYUwXYkKrtrUHfiYnLf9R+SNpYXlJDYpyEJLhcWwP0EqNN86dQ==" saltValue="W3RbH3zrcY9sy39xNwXNxg==" spinCount="100000" sqref="BA47:BI47 BV47:BY47" name="Rango2_88_99_14"/>
    <protectedRange algorithmName="SHA-512" hashValue="fMbmUM1DQ7FuAPRNvFL5mPdHUYjQnlLFhkuaxvHguaqR7aWyDxcmJs0jLYQfQKY+oyhsMb4Lew4VL6i7um3/ew==" saltValue="ydaTm0CeH8+/cYqoL/AMaQ==" spinCount="100000" sqref="AU47 AW47:AZ47" name="Rango2_88_91_14"/>
    <protectedRange algorithmName="SHA-512" hashValue="CHipOQaT63FWw628cQcXXJRZlrbNZ7OgmnEbDx38UmmH7z19GRYEzXFiVOzHAy1OAaAbST7g2bHZHDKQp2qm3w==" saltValue="iRVuL+373yLHv0ZHzS9qog==" spinCount="100000" sqref="AJ47 AG47:AH47 AL47" name="Rango2_88_7_5_14"/>
    <protectedRange algorithmName="SHA-512" hashValue="NkG6oHuDGvGBEiLAAq8MEJHEfLQUMyjihfH+DBXhT+eQW0r1yri7tOJEFRM9nbOejjjXiviq9RFo7KB7wF+xJA==" saltValue="bpjB0AAANu2X/PeR3eiFkA==" spinCount="100000" sqref="AM47:AS47" name="Rango2_88_65_14"/>
    <protectedRange algorithmName="SHA-512" hashValue="fPHvtIAf3pQeZUoAI9C2/vdXMHBpqqEq+67P5Ypyu4+9IWqs3yc9TZcMWQ0THLxUwqseQPyVvakuYFtCwJHsxA==" saltValue="QHIogSs2PrwAfdqa9PAOFQ==" spinCount="100000" sqref="AC47" name="Rango2_88_5_5_14"/>
    <protectedRange algorithmName="SHA-512" hashValue="LEEeiU6pKqm7TAP46VGlz0q+evvFwpT/0iLpRuWuQ7MacbP0OGL1/FSmrIEOg2rb6M+Jla2bPbVWiGag27j87w==" saltValue="HEVt+pS5OloNDlqSnzGLLw==" spinCount="100000" sqref="AI47" name="Rango2_8_7_14"/>
    <protectedRange algorithmName="SHA-512" hashValue="q2z5hEFmXS0v2chiPTC/VCoDWNlnhp+Xe6Ybfxe48vIsnB/KTJQxJv+pFUnCXfZ9T6vyJopuqFFNROfQTW/JUw==" saltValue="IctfdGJb5tOTpq+KPi9vww==" spinCount="100000" sqref="AE47:AF47" name="Rango2_88_39_14"/>
    <protectedRange algorithmName="SHA-512" hashValue="AYYX88LSDB6RDNMvSqt0KPGWPjBqTk56tMxTOlv5QD61MGTKAAQnSnudvNDWPN0Bbllh2qRQC+P5uq7goxjdrw==" saltValue="i/iPMewnks1FoXYOjKMEVg==" spinCount="100000" sqref="AB47" name="Rango2_87_6_14"/>
    <protectedRange algorithmName="SHA-512" hashValue="NUll9P9xh7KbSfMYpMxsRZLfDw/y/AzW2LSWlpXVscBDqiAxmzo71xjs+a2lh+jRa7pceOC849slke4+ZKx8LA==" saltValue="8qbkKpQ+CiQuLnqgShNvXA==" spinCount="100000" sqref="T47" name="Rango2_88_6_14"/>
    <protectedRange algorithmName="SHA-512" hashValue="KHhv3JU/LRdRrRTxxkgFceEHPZ5UzadmpZRZR3zmQRnPvkUJZuanRafIJ+qde0IWwLZSvFIQDyUAHq6v6k7XIg==" saltValue="2GKG1kCzVNNcn+vbOPuhJA==" spinCount="100000" sqref="Q47" name="Rango2_2_5_14"/>
    <protectedRange algorithmName="SHA-512" hashValue="XZw03RosI/l0z9FxmTtF29EdZ7P+4+ybhqoaAAUmURojSR5XbGfjC4f2i8gMqfY+RI9JvfdCA6PSh9TduXfUxA==" saltValue="5TPtLq2WoiRSae/yaDPnTw==" spinCount="100000" sqref="CJ47:CK47 CS47:CT47 CP47:CQ47 BZ47:CB47 O47 BJ47:BL47 R47:S47 AV47 DA47:DN47 CV47:CY47 BR47:BU47 U47:AA47 AT47 CE47:CF47" name="Rango2_99_14"/>
    <protectedRange algorithmName="SHA-512" hashValue="9+DNppQbWrLYYUMoJ+lyQctV2bX3Vq9kZnegLbpjTLP49It2ovUbcartuoQTeXgP+TGpY//7mDH/UQlFCKDGiA==" saltValue="KUnni6YEm00anzSSvyLqQA==" spinCount="100000" sqref="AD47" name="Rango2_42"/>
    <protectedRange algorithmName="SHA-512" hashValue="RQ91b7oAw60DVtcgB2vRpial2kSdzJx5guGCTYUwXYkKrtrUHfiYnLf9R+SNpYXlJDYpyEJLhcWwP0EqNN86dQ==" saltValue="W3RbH3zrcY9sy39xNwXNxg==" spinCount="100000" sqref="BA48:BI51 BV48:BY51" name="Rango2_88_99_15"/>
    <protectedRange algorithmName="SHA-512" hashValue="fMbmUM1DQ7FuAPRNvFL5mPdHUYjQnlLFhkuaxvHguaqR7aWyDxcmJs0jLYQfQKY+oyhsMb4Lew4VL6i7um3/ew==" saltValue="ydaTm0CeH8+/cYqoL/AMaQ==" spinCount="100000" sqref="AU48:AU51 AW48:AZ51" name="Rango2_88_91_15"/>
    <protectedRange algorithmName="SHA-512" hashValue="CHipOQaT63FWw628cQcXXJRZlrbNZ7OgmnEbDx38UmmH7z19GRYEzXFiVOzHAy1OAaAbST7g2bHZHDKQp2qm3w==" saltValue="iRVuL+373yLHv0ZHzS9qog==" spinCount="100000" sqref="AJ48:AJ51 AG48:AH51 AL48:AL51" name="Rango2_88_7_5_15"/>
    <protectedRange algorithmName="SHA-512" hashValue="NkG6oHuDGvGBEiLAAq8MEJHEfLQUMyjihfH+DBXhT+eQW0r1yri7tOJEFRM9nbOejjjXiviq9RFo7KB7wF+xJA==" saltValue="bpjB0AAANu2X/PeR3eiFkA==" spinCount="100000" sqref="AM48:AS51" name="Rango2_88_65_15"/>
    <protectedRange algorithmName="SHA-512" hashValue="fPHvtIAf3pQeZUoAI9C2/vdXMHBpqqEq+67P5Ypyu4+9IWqs3yc9TZcMWQ0THLxUwqseQPyVvakuYFtCwJHsxA==" saltValue="QHIogSs2PrwAfdqa9PAOFQ==" spinCount="100000" sqref="AC48:AC51" name="Rango2_88_5_5_15"/>
    <protectedRange algorithmName="SHA-512" hashValue="LEEeiU6pKqm7TAP46VGlz0q+evvFwpT/0iLpRuWuQ7MacbP0OGL1/FSmrIEOg2rb6M+Jla2bPbVWiGag27j87w==" saltValue="HEVt+pS5OloNDlqSnzGLLw==" spinCount="100000" sqref="AI48:AI51" name="Rango2_8_7_15"/>
    <protectedRange algorithmName="SHA-512" hashValue="q2z5hEFmXS0v2chiPTC/VCoDWNlnhp+Xe6Ybfxe48vIsnB/KTJQxJv+pFUnCXfZ9T6vyJopuqFFNROfQTW/JUw==" saltValue="IctfdGJb5tOTpq+KPi9vww==" spinCount="100000" sqref="AE48:AF51" name="Rango2_88_39_15"/>
    <protectedRange algorithmName="SHA-512" hashValue="AYYX88LSDB6RDNMvSqt0KPGWPjBqTk56tMxTOlv5QD61MGTKAAQnSnudvNDWPN0Bbllh2qRQC+P5uq7goxjdrw==" saltValue="i/iPMewnks1FoXYOjKMEVg==" spinCount="100000" sqref="AB48:AB51" name="Rango2_87_6_15"/>
    <protectedRange algorithmName="SHA-512" hashValue="NUll9P9xh7KbSfMYpMxsRZLfDw/y/AzW2LSWlpXVscBDqiAxmzo71xjs+a2lh+jRa7pceOC849slke4+ZKx8LA==" saltValue="8qbkKpQ+CiQuLnqgShNvXA==" spinCount="100000" sqref="T48:T51" name="Rango2_88_6_15"/>
    <protectedRange algorithmName="SHA-512" hashValue="KHhv3JU/LRdRrRTxxkgFceEHPZ5UzadmpZRZR3zmQRnPvkUJZuanRafIJ+qde0IWwLZSvFIQDyUAHq6v6k7XIg==" saltValue="2GKG1kCzVNNcn+vbOPuhJA==" spinCount="100000" sqref="Q48:Q51" name="Rango2_2_5_15"/>
    <protectedRange algorithmName="SHA-512" hashValue="XZw03RosI/l0z9FxmTtF29EdZ7P+4+ybhqoaAAUmURojSR5XbGfjC4f2i8gMqfY+RI9JvfdCA6PSh9TduXfUxA==" saltValue="5TPtLq2WoiRSae/yaDPnTw==" spinCount="100000" sqref="CJ48:CK51 CS48:CT51 CP48:CQ51 BZ48:CB51 O48:O51 BJ48:BL48 R48:S51 AV48:AV51 DA48:DN51 CV48:CY51 BR48:BU51 U48:AA51 AT48:AT51 CE48:CF51 BJ50:BL51 BJ49:BK49" name="Rango2_99_15"/>
    <protectedRange algorithmName="SHA-512" hashValue="9+DNppQbWrLYYUMoJ+lyQctV2bX3Vq9kZnegLbpjTLP49It2ovUbcartuoQTeXgP+TGpY//7mDH/UQlFCKDGiA==" saltValue="KUnni6YEm00anzSSvyLqQA==" spinCount="100000" sqref="AD48:AD51" name="Rango2_43"/>
    <protectedRange algorithmName="SHA-512" hashValue="RQ91b7oAw60DVtcgB2vRpial2kSdzJx5guGCTYUwXYkKrtrUHfiYnLf9R+SNpYXlJDYpyEJLhcWwP0EqNN86dQ==" saltValue="W3RbH3zrcY9sy39xNwXNxg==" spinCount="100000" sqref="BA52:BI55 BV52:BY55" name="Rango2_88_99_16"/>
    <protectedRange algorithmName="SHA-512" hashValue="fMbmUM1DQ7FuAPRNvFL5mPdHUYjQnlLFhkuaxvHguaqR7aWyDxcmJs0jLYQfQKY+oyhsMb4Lew4VL6i7um3/ew==" saltValue="ydaTm0CeH8+/cYqoL/AMaQ==" spinCount="100000" sqref="AU52:AU55 AW52:AZ55" name="Rango2_88_91_16"/>
    <protectedRange algorithmName="SHA-512" hashValue="CHipOQaT63FWw628cQcXXJRZlrbNZ7OgmnEbDx38UmmH7z19GRYEzXFiVOzHAy1OAaAbST7g2bHZHDKQp2qm3w==" saltValue="iRVuL+373yLHv0ZHzS9qog==" spinCount="100000" sqref="AJ52:AJ55 AG52:AH55 AL52:AL55" name="Rango2_88_7_5_16"/>
    <protectedRange algorithmName="SHA-512" hashValue="NkG6oHuDGvGBEiLAAq8MEJHEfLQUMyjihfH+DBXhT+eQW0r1yri7tOJEFRM9nbOejjjXiviq9RFo7KB7wF+xJA==" saltValue="bpjB0AAANu2X/PeR3eiFkA==" spinCount="100000" sqref="AM52:AS55" name="Rango2_88_65_16"/>
    <protectedRange algorithmName="SHA-512" hashValue="fPHvtIAf3pQeZUoAI9C2/vdXMHBpqqEq+67P5Ypyu4+9IWqs3yc9TZcMWQ0THLxUwqseQPyVvakuYFtCwJHsxA==" saltValue="QHIogSs2PrwAfdqa9PAOFQ==" spinCount="100000" sqref="AC52:AC55" name="Rango2_88_5_5_16"/>
    <protectedRange algorithmName="SHA-512" hashValue="LEEeiU6pKqm7TAP46VGlz0q+evvFwpT/0iLpRuWuQ7MacbP0OGL1/FSmrIEOg2rb6M+Jla2bPbVWiGag27j87w==" saltValue="HEVt+pS5OloNDlqSnzGLLw==" spinCount="100000" sqref="AI52:AI55" name="Rango2_8_7_16"/>
    <protectedRange algorithmName="SHA-512" hashValue="q2z5hEFmXS0v2chiPTC/VCoDWNlnhp+Xe6Ybfxe48vIsnB/KTJQxJv+pFUnCXfZ9T6vyJopuqFFNROfQTW/JUw==" saltValue="IctfdGJb5tOTpq+KPi9vww==" spinCount="100000" sqref="AE52:AF55" name="Rango2_88_39_16"/>
    <protectedRange algorithmName="SHA-512" hashValue="AYYX88LSDB6RDNMvSqt0KPGWPjBqTk56tMxTOlv5QD61MGTKAAQnSnudvNDWPN0Bbllh2qRQC+P5uq7goxjdrw==" saltValue="i/iPMewnks1FoXYOjKMEVg==" spinCount="100000" sqref="AB52:AB55" name="Rango2_87_6_16"/>
    <protectedRange algorithmName="SHA-512" hashValue="NUll9P9xh7KbSfMYpMxsRZLfDw/y/AzW2LSWlpXVscBDqiAxmzo71xjs+a2lh+jRa7pceOC849slke4+ZKx8LA==" saltValue="8qbkKpQ+CiQuLnqgShNvXA==" spinCount="100000" sqref="T52:T55" name="Rango2_88_6_16"/>
    <protectedRange algorithmName="SHA-512" hashValue="KHhv3JU/LRdRrRTxxkgFceEHPZ5UzadmpZRZR3zmQRnPvkUJZuanRafIJ+qde0IWwLZSvFIQDyUAHq6v6k7XIg==" saltValue="2GKG1kCzVNNcn+vbOPuhJA==" spinCount="100000" sqref="Q52:Q55" name="Rango2_2_5_16"/>
    <protectedRange algorithmName="SHA-512" hashValue="XZw03RosI/l0z9FxmTtF29EdZ7P+4+ybhqoaAAUmURojSR5XbGfjC4f2i8gMqfY+RI9JvfdCA6PSh9TduXfUxA==" saltValue="5TPtLq2WoiRSae/yaDPnTw==" spinCount="100000" sqref="CJ52:CK55 CS52:CT55 CP52:CQ55 BZ52:CB55 O52:O55 BJ52:BK55 R52:S55 AV52:AV55 DA52:DN55 CV52:CY55 BR52:BU55 U52:AA55 AT52:AT55 CE52:CF55" name="Rango2_99_16"/>
    <protectedRange algorithmName="SHA-512" hashValue="9+DNppQbWrLYYUMoJ+lyQctV2bX3Vq9kZnegLbpjTLP49It2ovUbcartuoQTeXgP+TGpY//7mDH/UQlFCKDGiA==" saltValue="KUnni6YEm00anzSSvyLqQA==" spinCount="100000" sqref="AD52:AD55" name="Rango2_44"/>
    <protectedRange algorithmName="SHA-512" hashValue="EEHzbvEYwO1eufllBljOz0uf9BJ2ENtvOScQ7IsS321QhYbwKn7qhHKKP8cKj02rTDvVRMWvwQ1ZP0mZWsBprQ==" saltValue="CjXqBRFbKezlWOFV37MnDQ==" spinCount="100000" sqref="GQ30:GR30 GW30 GN30" name="Rango2_30_2_1"/>
    <protectedRange algorithmName="SHA-512" hashValue="Umj9+5Ys20VQPxBFtc6qE5LtKKSgPKwit+B8dd4XnEUaLfBM2ozpkEC4YxwK0SbBiAHDDex+pY+LomQ0lyuamQ==" saltValue="N2/MCRws+mmA+NXw0axolg==" spinCount="100000" sqref="GJ30 GH30 GE30 GL30 FY30" name="Rango2_31_2_1"/>
    <protectedRange algorithmName="SHA-512" hashValue="q2z5hEFmXS0v2chiPTC/VCoDWNlnhp+Xe6Ybfxe48vIsnB/KTJQxJv+pFUnCXfZ9T6vyJopuqFFNROfQTW/JUw==" saltValue="IctfdGJb5tOTpq+KPi9vww==" spinCount="100000" sqref="IA30 ID30:IJ30" name="Rango2_88_39_17"/>
    <protectedRange algorithmName="SHA-512" hashValue="XZw03RosI/l0z9FxmTtF29EdZ7P+4+ybhqoaAAUmURojSR5XbGfjC4f2i8gMqfY+RI9JvfdCA6PSh9TduXfUxA==" saltValue="5TPtLq2WoiRSae/yaDPnTw==" spinCount="100000" sqref="FQ30:FR30 ER30:ES30 EV30:EW30 FF30 GO30 GT30 FZ30 FW30:FX30 IB30 FU30 EO30 GM30 GK30 GY30:GZ30 HJ30 IL30:IM30 FI30 HU30:HZ30 EA30:EJ30 IO30" name="Rango2_99_17"/>
    <protectedRange algorithmName="SHA-512" hashValue="YXHanhqXL0e4jPrzkCF8r/22WmlCviFUW909WKuG1JOcU0mp0/Huh0aP3EaGYxV2ep0WGu48HsShAy4Ka2uOiw==" saltValue="h/7U5iwJm7DLR4tRVfwZYw==" spinCount="100000" sqref="GC30" name="Rango2_33_1"/>
    <protectedRange algorithmName="SHA-512" hashValue="pL4tgTKqwEsWSIEGFTBd+4pvEhE7d5Q99Eijs+L/Y1rhA0saQGGRJw5Pv2HLOP0quglztFwB6WVnQ1YGxd4AiQ==" saltValue="IF5mhk2RcoEjrcYppes1VA==" spinCount="100000" sqref="FT30" name="Rango2_30_1"/>
    <protectedRange algorithmName="SHA-512" hashValue="9+DNppQbWrLYYUMoJ+lyQctV2bX3Vq9kZnegLbpjTLP49It2ovUbcartuoQTeXgP+TGpY//7mDH/UQlFCKDGiA==" saltValue="KUnni6YEm00anzSSvyLqQA==" spinCount="100000" sqref="FE30 GX30 EY30:FA30 FC30 FH30 FK30:FL30 EN30 FN30:FO30 HS30:HT30 HD30:HI30 GF30 GI30" name="Rango2_45"/>
    <protectedRange algorithmName="SHA-512" hashValue="EEHzbvEYwO1eufllBljOz0uf9BJ2ENtvOScQ7IsS321QhYbwKn7qhHKKP8cKj02rTDvVRMWvwQ1ZP0mZWsBprQ==" saltValue="CjXqBRFbKezlWOFV37MnDQ==" spinCount="100000" sqref="GQ31:GR31 GW31 GN31" name="Rango2_30_2_2"/>
    <protectedRange algorithmName="SHA-512" hashValue="Rgskw+AQdeJ5qbJdarzTa3SCkJfDGziy0Uan5N0F3IWn/H3Z/e+VcB56R7Nes7MPxNHewNP1sSSucVjz3iTLeA==" saltValue="qKZH3DnwaZHBzy3cBZo1qQ==" spinCount="100000" sqref="GF31" name="Rango2_31_28_1"/>
    <protectedRange algorithmName="SHA-512" hashValue="Umj9+5Ys20VQPxBFtc6qE5LtKKSgPKwit+B8dd4XnEUaLfBM2ozpkEC4YxwK0SbBiAHDDex+pY+LomQ0lyuamQ==" saltValue="N2/MCRws+mmA+NXw0axolg==" spinCount="100000" sqref="GJ31 GH31 GE31 GL31 FY31" name="Rango2_31_2_2"/>
    <protectedRange algorithmName="SHA-512" hashValue="q2z5hEFmXS0v2chiPTC/VCoDWNlnhp+Xe6Ybfxe48vIsnB/KTJQxJv+pFUnCXfZ9T6vyJopuqFFNROfQTW/JUw==" saltValue="IctfdGJb5tOTpq+KPi9vww==" spinCount="100000" sqref="IA31 ID31:IJ31" name="Rango2_88_39_18"/>
    <protectedRange algorithmName="SHA-512" hashValue="XZw03RosI/l0z9FxmTtF29EdZ7P+4+ybhqoaAAUmURojSR5XbGfjC4f2i8gMqfY+RI9JvfdCA6PSh9TduXfUxA==" saltValue="5TPtLq2WoiRSae/yaDPnTw==" spinCount="100000" sqref="FQ31:FR31 ER31:ES31 EV31:EW31 FF31 GO31 GT31 FZ31 FW31:FX31 IB31 FU31 EO31 GM31 GK31 GY31:GZ31 HJ31 IL31:IM31 FI31 HU31:HZ31 EA31:EJ31 IO31" name="Rango2_99_18"/>
    <protectedRange algorithmName="SHA-512" hashValue="YXHanhqXL0e4jPrzkCF8r/22WmlCviFUW909WKuG1JOcU0mp0/Huh0aP3EaGYxV2ep0WGu48HsShAy4Ka2uOiw==" saltValue="h/7U5iwJm7DLR4tRVfwZYw==" spinCount="100000" sqref="GC31 GI31" name="Rango2_33_2"/>
    <protectedRange algorithmName="SHA-512" hashValue="pL4tgTKqwEsWSIEGFTBd+4pvEhE7d5Q99Eijs+L/Y1rhA0saQGGRJw5Pv2HLOP0quglztFwB6WVnQ1YGxd4AiQ==" saltValue="IF5mhk2RcoEjrcYppes1VA==" spinCount="100000" sqref="FT31" name="Rango2_30_3"/>
    <protectedRange algorithmName="SHA-512" hashValue="9+DNppQbWrLYYUMoJ+lyQctV2bX3Vq9kZnegLbpjTLP49It2ovUbcartuoQTeXgP+TGpY//7mDH/UQlFCKDGiA==" saltValue="KUnni6YEm00anzSSvyLqQA==" spinCount="100000" sqref="FE31 GX31 EY31:FA31 FC31 FH31 FK31:FL31 EN31 FN31:FO31 HS31:HT31 HD31:HI31" name="Rango2_46"/>
    <protectedRange algorithmName="SHA-512" hashValue="EEHzbvEYwO1eufllBljOz0uf9BJ2ENtvOScQ7IsS321QhYbwKn7qhHKKP8cKj02rTDvVRMWvwQ1ZP0mZWsBprQ==" saltValue="CjXqBRFbKezlWOFV37MnDQ==" spinCount="100000" sqref="GQ32:GR32 GW32 GN32" name="Rango2_30_2_3"/>
    <protectedRange algorithmName="SHA-512" hashValue="Rgskw+AQdeJ5qbJdarzTa3SCkJfDGziy0Uan5N0F3IWn/H3Z/e+VcB56R7Nes7MPxNHewNP1sSSucVjz3iTLeA==" saltValue="qKZH3DnwaZHBzy3cBZo1qQ==" spinCount="100000" sqref="GF32" name="Rango2_31_28_2"/>
    <protectedRange algorithmName="SHA-512" hashValue="Umj9+5Ys20VQPxBFtc6qE5LtKKSgPKwit+B8dd4XnEUaLfBM2ozpkEC4YxwK0SbBiAHDDex+pY+LomQ0lyuamQ==" saltValue="N2/MCRws+mmA+NXw0axolg==" spinCount="100000" sqref="GJ32 GH32 GE32 GL32 FY32" name="Rango2_31_2_3"/>
    <protectedRange algorithmName="SHA-512" hashValue="q2z5hEFmXS0v2chiPTC/VCoDWNlnhp+Xe6Ybfxe48vIsnB/KTJQxJv+pFUnCXfZ9T6vyJopuqFFNROfQTW/JUw==" saltValue="IctfdGJb5tOTpq+KPi9vww==" spinCount="100000" sqref="IA32 ID32:IJ32" name="Rango2_88_39_19"/>
    <protectedRange algorithmName="SHA-512" hashValue="XZw03RosI/l0z9FxmTtF29EdZ7P+4+ybhqoaAAUmURojSR5XbGfjC4f2i8gMqfY+RI9JvfdCA6PSh9TduXfUxA==" saltValue="5TPtLq2WoiRSae/yaDPnTw==" spinCount="100000" sqref="FQ32:FR32 ER32:ES32 EV32:EW32 FF32 GO32 GT32 FZ32 FW32:FX32 IB32 FU32 EO32 GM32 GK32 GY32:GZ32 HJ32 IL32:IM32 FI32 HU32:HZ32 EA32:EJ32 IO32" name="Rango2_99_19"/>
    <protectedRange algorithmName="SHA-512" hashValue="YXHanhqXL0e4jPrzkCF8r/22WmlCviFUW909WKuG1JOcU0mp0/Huh0aP3EaGYxV2ep0WGu48HsShAy4Ka2uOiw==" saltValue="h/7U5iwJm7DLR4tRVfwZYw==" spinCount="100000" sqref="GC32 GI32" name="Rango2_33_3"/>
    <protectedRange algorithmName="SHA-512" hashValue="pL4tgTKqwEsWSIEGFTBd+4pvEhE7d5Q99Eijs+L/Y1rhA0saQGGRJw5Pv2HLOP0quglztFwB6WVnQ1YGxd4AiQ==" saltValue="IF5mhk2RcoEjrcYppes1VA==" spinCount="100000" sqref="FT32" name="Rango2_30_4"/>
    <protectedRange algorithmName="SHA-512" hashValue="9+DNppQbWrLYYUMoJ+lyQctV2bX3Vq9kZnegLbpjTLP49It2ovUbcartuoQTeXgP+TGpY//7mDH/UQlFCKDGiA==" saltValue="KUnni6YEm00anzSSvyLqQA==" spinCount="100000" sqref="FE32 GX32 EY32:FA32 FC32 FH32 FK32:FL32 EN32 FN32:FO32 HS32:HT32 HD32:HI32" name="Rango2_47"/>
    <protectedRange algorithmName="SHA-512" hashValue="EEHzbvEYwO1eufllBljOz0uf9BJ2ENtvOScQ7IsS321QhYbwKn7qhHKKP8cKj02rTDvVRMWvwQ1ZP0mZWsBprQ==" saltValue="CjXqBRFbKezlWOFV37MnDQ==" spinCount="100000" sqref="GQ33:GR33 GW33 GN33" name="Rango2_30_2_4"/>
    <protectedRange algorithmName="SHA-512" hashValue="Rgskw+AQdeJ5qbJdarzTa3SCkJfDGziy0Uan5N0F3IWn/H3Z/e+VcB56R7Nes7MPxNHewNP1sSSucVjz3iTLeA==" saltValue="qKZH3DnwaZHBzy3cBZo1qQ==" spinCount="100000" sqref="GF33" name="Rango2_31_28_3"/>
    <protectedRange algorithmName="SHA-512" hashValue="Umj9+5Ys20VQPxBFtc6qE5LtKKSgPKwit+B8dd4XnEUaLfBM2ozpkEC4YxwK0SbBiAHDDex+pY+LomQ0lyuamQ==" saltValue="N2/MCRws+mmA+NXw0axolg==" spinCount="100000" sqref="GJ33 GH33 GE33 GL33 FY33" name="Rango2_31_2_4"/>
    <protectedRange algorithmName="SHA-512" hashValue="q2z5hEFmXS0v2chiPTC/VCoDWNlnhp+Xe6Ybfxe48vIsnB/KTJQxJv+pFUnCXfZ9T6vyJopuqFFNROfQTW/JUw==" saltValue="IctfdGJb5tOTpq+KPi9vww==" spinCount="100000" sqref="IA33 ID33:IJ33" name="Rango2_88_39_20"/>
    <protectedRange algorithmName="SHA-512" hashValue="XZw03RosI/l0z9FxmTtF29EdZ7P+4+ybhqoaAAUmURojSR5XbGfjC4f2i8gMqfY+RI9JvfdCA6PSh9TduXfUxA==" saltValue="5TPtLq2WoiRSae/yaDPnTw==" spinCount="100000" sqref="FQ33:FR33 ER33:ES33 EV33:EW33 FF33 GO33 GT33 FZ33 FW33:FX33 IB33 FU33 EO33 GM33 GK33 GY33:GZ33 HJ33 IL33:IM33 FI33 HU33:HZ33 EA33:EJ33 IO33" name="Rango2_99_20"/>
    <protectedRange algorithmName="SHA-512" hashValue="YXHanhqXL0e4jPrzkCF8r/22WmlCviFUW909WKuG1JOcU0mp0/Huh0aP3EaGYxV2ep0WGu48HsShAy4Ka2uOiw==" saltValue="h/7U5iwJm7DLR4tRVfwZYw==" spinCount="100000" sqref="GC33 GI33" name="Rango2_33_4"/>
    <protectedRange algorithmName="SHA-512" hashValue="pL4tgTKqwEsWSIEGFTBd+4pvEhE7d5Q99Eijs+L/Y1rhA0saQGGRJw5Pv2HLOP0quglztFwB6WVnQ1YGxd4AiQ==" saltValue="IF5mhk2RcoEjrcYppes1VA==" spinCount="100000" sqref="FT33" name="Rango2_30_5"/>
    <protectedRange algorithmName="SHA-512" hashValue="9+DNppQbWrLYYUMoJ+lyQctV2bX3Vq9kZnegLbpjTLP49It2ovUbcartuoQTeXgP+TGpY//7mDH/UQlFCKDGiA==" saltValue="KUnni6YEm00anzSSvyLqQA==" spinCount="100000" sqref="FE33 GX33 EY33:FA33 FC33 FH33 FK33:FL33 EN33 FN33:FO33 HS33:HT33 HD33:HI33" name="Rango2_48"/>
    <protectedRange algorithmName="SHA-512" hashValue="EEHzbvEYwO1eufllBljOz0uf9BJ2ENtvOScQ7IsS321QhYbwKn7qhHKKP8cKj02rTDvVRMWvwQ1ZP0mZWsBprQ==" saltValue="CjXqBRFbKezlWOFV37MnDQ==" spinCount="100000" sqref="GQ34:GR34 GW34 GN34" name="Rango2_30_2_5"/>
    <protectedRange algorithmName="SHA-512" hashValue="Rgskw+AQdeJ5qbJdarzTa3SCkJfDGziy0Uan5N0F3IWn/H3Z/e+VcB56R7Nes7MPxNHewNP1sSSucVjz3iTLeA==" saltValue="qKZH3DnwaZHBzy3cBZo1qQ==" spinCount="100000" sqref="GF34" name="Rango2_31_28_4"/>
    <protectedRange algorithmName="SHA-512" hashValue="Umj9+5Ys20VQPxBFtc6qE5LtKKSgPKwit+B8dd4XnEUaLfBM2ozpkEC4YxwK0SbBiAHDDex+pY+LomQ0lyuamQ==" saltValue="N2/MCRws+mmA+NXw0axolg==" spinCount="100000" sqref="GJ34 GH34 GE34 GL34 FY34" name="Rango2_31_2_5"/>
    <protectedRange algorithmName="SHA-512" hashValue="q2z5hEFmXS0v2chiPTC/VCoDWNlnhp+Xe6Ybfxe48vIsnB/KTJQxJv+pFUnCXfZ9T6vyJopuqFFNROfQTW/JUw==" saltValue="IctfdGJb5tOTpq+KPi9vww==" spinCount="100000" sqref="IA34 ID34:IJ34" name="Rango2_88_39_21"/>
    <protectedRange algorithmName="SHA-512" hashValue="XZw03RosI/l0z9FxmTtF29EdZ7P+4+ybhqoaAAUmURojSR5XbGfjC4f2i8gMqfY+RI9JvfdCA6PSh9TduXfUxA==" saltValue="5TPtLq2WoiRSae/yaDPnTw==" spinCount="100000" sqref="FQ34:FR34 ER34:ES34 EV34:EW34 FF34 GO34 GT34 FZ34 FW34:FX34 IB34 FU34 EO34 GM34 GK34 GY34:GZ34 HJ34 IL34:IM34 FI34 HU34:HZ34 EA34:EJ34 IO34" name="Rango2_99_21"/>
    <protectedRange algorithmName="SHA-512" hashValue="YXHanhqXL0e4jPrzkCF8r/22WmlCviFUW909WKuG1JOcU0mp0/Huh0aP3EaGYxV2ep0WGu48HsShAy4Ka2uOiw==" saltValue="h/7U5iwJm7DLR4tRVfwZYw==" spinCount="100000" sqref="GC34 GI34" name="Rango2_33_5"/>
    <protectedRange algorithmName="SHA-512" hashValue="pL4tgTKqwEsWSIEGFTBd+4pvEhE7d5Q99Eijs+L/Y1rhA0saQGGRJw5Pv2HLOP0quglztFwB6WVnQ1YGxd4AiQ==" saltValue="IF5mhk2RcoEjrcYppes1VA==" spinCount="100000" sqref="FT34" name="Rango2_30_6"/>
    <protectedRange algorithmName="SHA-512" hashValue="9+DNppQbWrLYYUMoJ+lyQctV2bX3Vq9kZnegLbpjTLP49It2ovUbcartuoQTeXgP+TGpY//7mDH/UQlFCKDGiA==" saltValue="KUnni6YEm00anzSSvyLqQA==" spinCount="100000" sqref="FE34 GX34 EY34:FA34 FC34 FH34 FK34:FL34 EN34 FN34:FO34 HS34:HT34 HD34:HI34" name="Rango2_49"/>
    <protectedRange algorithmName="SHA-512" hashValue="EEHzbvEYwO1eufllBljOz0uf9BJ2ENtvOScQ7IsS321QhYbwKn7qhHKKP8cKj02rTDvVRMWvwQ1ZP0mZWsBprQ==" saltValue="CjXqBRFbKezlWOFV37MnDQ==" spinCount="100000" sqref="GQ35:GR36 GW35:GW36 GN35:GN36" name="Rango2_30_2_6"/>
    <protectedRange algorithmName="SHA-512" hashValue="Rgskw+AQdeJ5qbJdarzTa3SCkJfDGziy0Uan5N0F3IWn/H3Z/e+VcB56R7Nes7MPxNHewNP1sSSucVjz3iTLeA==" saltValue="qKZH3DnwaZHBzy3cBZo1qQ==" spinCount="100000" sqref="GF35:GF36" name="Rango2_31_28_5"/>
    <protectedRange algorithmName="SHA-512" hashValue="Umj9+5Ys20VQPxBFtc6qE5LtKKSgPKwit+B8dd4XnEUaLfBM2ozpkEC4YxwK0SbBiAHDDex+pY+LomQ0lyuamQ==" saltValue="N2/MCRws+mmA+NXw0axolg==" spinCount="100000" sqref="GJ35:GJ36 GH35:GH36 GE35:GE36 GB35 GL35:GL36 FY35:FY36" name="Rango2_31_2_6"/>
    <protectedRange algorithmName="SHA-512" hashValue="q2z5hEFmXS0v2chiPTC/VCoDWNlnhp+Xe6Ybfxe48vIsnB/KTJQxJv+pFUnCXfZ9T6vyJopuqFFNROfQTW/JUw==" saltValue="IctfdGJb5tOTpq+KPi9vww==" spinCount="100000" sqref="IA35:IA36 ID35:IJ36" name="Rango2_88_39_22"/>
    <protectedRange algorithmName="SHA-512" hashValue="XZw03RosI/l0z9FxmTtF29EdZ7P+4+ybhqoaAAUmURojSR5XbGfjC4f2i8gMqfY+RI9JvfdCA6PSh9TduXfUxA==" saltValue="5TPtLq2WoiRSae/yaDPnTw==" spinCount="100000" sqref="FQ35:FR36 ER35:ES36 EV35:EW36 FF35:FF36 GO35:GO36 GT35:GT36 FZ35:FZ36 FW35:FX36 IB35:IB36 FU35:FU36 EO35:EO36 GM35:GM36 GK35:GK36 GY35:GZ36 HJ35:HJ36 IL35:IM36 FI35:FI36 HU35:HZ36 EA35:EJ36 IO35:IO36" name="Rango2_99_22"/>
    <protectedRange algorithmName="SHA-512" hashValue="YXHanhqXL0e4jPrzkCF8r/22WmlCviFUW909WKuG1JOcU0mp0/Huh0aP3EaGYxV2ep0WGu48HsShAy4Ka2uOiw==" saltValue="h/7U5iwJm7DLR4tRVfwZYw==" spinCount="100000" sqref="GC35:GC36 GI35:GI36" name="Rango2_33_6"/>
    <protectedRange algorithmName="SHA-512" hashValue="pL4tgTKqwEsWSIEGFTBd+4pvEhE7d5Q99Eijs+L/Y1rhA0saQGGRJw5Pv2HLOP0quglztFwB6WVnQ1YGxd4AiQ==" saltValue="IF5mhk2RcoEjrcYppes1VA==" spinCount="100000" sqref="FT35:FT36" name="Rango2_30_7"/>
    <protectedRange algorithmName="SHA-512" hashValue="9+DNppQbWrLYYUMoJ+lyQctV2bX3Vq9kZnegLbpjTLP49It2ovUbcartuoQTeXgP+TGpY//7mDH/UQlFCKDGiA==" saltValue="KUnni6YEm00anzSSvyLqQA==" spinCount="100000" sqref="FE35:FE36 GX35:GX36 EY35:FA36 FC35:FC36 FH35:FH36 FK35:FL36 EN35:EN36 FN35:FO36 HS35:HT36 HD35:HI36" name="Rango2_50"/>
    <protectedRange algorithmName="SHA-512" hashValue="EEHzbvEYwO1eufllBljOz0uf9BJ2ENtvOScQ7IsS321QhYbwKn7qhHKKP8cKj02rTDvVRMWvwQ1ZP0mZWsBprQ==" saltValue="CjXqBRFbKezlWOFV37MnDQ==" spinCount="100000" sqref="GQ37:GR37 GW37 GN37" name="Rango2_30_2_7"/>
    <protectedRange algorithmName="SHA-512" hashValue="Rgskw+AQdeJ5qbJdarzTa3SCkJfDGziy0Uan5N0F3IWn/H3Z/e+VcB56R7Nes7MPxNHewNP1sSSucVjz3iTLeA==" saltValue="qKZH3DnwaZHBzy3cBZo1qQ==" spinCount="100000" sqref="GF37" name="Rango2_31_28_6"/>
    <protectedRange algorithmName="SHA-512" hashValue="Umj9+5Ys20VQPxBFtc6qE5LtKKSgPKwit+B8dd4XnEUaLfBM2ozpkEC4YxwK0SbBiAHDDex+pY+LomQ0lyuamQ==" saltValue="N2/MCRws+mmA+NXw0axolg==" spinCount="100000" sqref="GJ37 GH37 GE37 GL37 FY37" name="Rango2_31_2_7"/>
    <protectedRange algorithmName="SHA-512" hashValue="q2z5hEFmXS0v2chiPTC/VCoDWNlnhp+Xe6Ybfxe48vIsnB/KTJQxJv+pFUnCXfZ9T6vyJopuqFFNROfQTW/JUw==" saltValue="IctfdGJb5tOTpq+KPi9vww==" spinCount="100000" sqref="IA37 ID37:IJ37" name="Rango2_88_39_23"/>
    <protectedRange algorithmName="SHA-512" hashValue="XZw03RosI/l0z9FxmTtF29EdZ7P+4+ybhqoaAAUmURojSR5XbGfjC4f2i8gMqfY+RI9JvfdCA6PSh9TduXfUxA==" saltValue="5TPtLq2WoiRSae/yaDPnTw==" spinCount="100000" sqref="FQ37:FR37 ER37:ES37 EV37:EW37 FF37 GO37 GT37 FZ37 FW37:FX37 IB37 FU37 EO37 GM37 GK37 GY37:GZ37 HJ37 IL37:IM37 FI37 HU37:HZ37 EA37:EJ37 IO37" name="Rango2_99_23"/>
    <protectedRange algorithmName="SHA-512" hashValue="YXHanhqXL0e4jPrzkCF8r/22WmlCviFUW909WKuG1JOcU0mp0/Huh0aP3EaGYxV2ep0WGu48HsShAy4Ka2uOiw==" saltValue="h/7U5iwJm7DLR4tRVfwZYw==" spinCount="100000" sqref="GC37" name="Rango2_33_7"/>
    <protectedRange algorithmName="SHA-512" hashValue="pL4tgTKqwEsWSIEGFTBd+4pvEhE7d5Q99Eijs+L/Y1rhA0saQGGRJw5Pv2HLOP0quglztFwB6WVnQ1YGxd4AiQ==" saltValue="IF5mhk2RcoEjrcYppes1VA==" spinCount="100000" sqref="FT37" name="Rango2_30_8"/>
    <protectedRange algorithmName="SHA-512" hashValue="9+DNppQbWrLYYUMoJ+lyQctV2bX3Vq9kZnegLbpjTLP49It2ovUbcartuoQTeXgP+TGpY//7mDH/UQlFCKDGiA==" saltValue="KUnni6YEm00anzSSvyLqQA==" spinCount="100000" sqref="FE37 GX37 EY37:FA37 FC37 FH37 FK37:FL37 EN37 FN37:FO37 HS37:HT37 HD37:HI37 GI37" name="Rango2_52"/>
    <protectedRange algorithmName="SHA-512" hashValue="EEHzbvEYwO1eufllBljOz0uf9BJ2ENtvOScQ7IsS321QhYbwKn7qhHKKP8cKj02rTDvVRMWvwQ1ZP0mZWsBprQ==" saltValue="CjXqBRFbKezlWOFV37MnDQ==" spinCount="100000" sqref="GQ38:GR39 GW38:GW39 GN38:GN39" name="Rango2_30_2_8"/>
    <protectedRange algorithmName="SHA-512" hashValue="Rgskw+AQdeJ5qbJdarzTa3SCkJfDGziy0Uan5N0F3IWn/H3Z/e+VcB56R7Nes7MPxNHewNP1sSSucVjz3iTLeA==" saltValue="qKZH3DnwaZHBzy3cBZo1qQ==" spinCount="100000" sqref="GF38:GF39" name="Rango2_31_28_7"/>
    <protectedRange algorithmName="SHA-512" hashValue="Umj9+5Ys20VQPxBFtc6qE5LtKKSgPKwit+B8dd4XnEUaLfBM2ozpkEC4YxwK0SbBiAHDDex+pY+LomQ0lyuamQ==" saltValue="N2/MCRws+mmA+NXw0axolg==" spinCount="100000" sqref="GJ38:GJ39 GH38:GH39 GE38:GE39 GL38:GL39 FY38:FY39" name="Rango2_31_2_8"/>
    <protectedRange algorithmName="SHA-512" hashValue="q2z5hEFmXS0v2chiPTC/VCoDWNlnhp+Xe6Ybfxe48vIsnB/KTJQxJv+pFUnCXfZ9T6vyJopuqFFNROfQTW/JUw==" saltValue="IctfdGJb5tOTpq+KPi9vww==" spinCount="100000" sqref="IA38:IA39 ID38:IJ39" name="Rango2_88_39_24"/>
    <protectedRange algorithmName="SHA-512" hashValue="XZw03RosI/l0z9FxmTtF29EdZ7P+4+ybhqoaAAUmURojSR5XbGfjC4f2i8gMqfY+RI9JvfdCA6PSh9TduXfUxA==" saltValue="5TPtLq2WoiRSae/yaDPnTw==" spinCount="100000" sqref="FQ38:FR39 ER38:ES39 EV38:EW39 FF38:FF39 GO38:GO39 GT38:GT39 FZ38:FZ39 FW38:FX39 IB38:IB39 FU38:FU39 EO38:EO39 GM38:GM39 GK38:GK39 GY38:GZ39 HJ38:HJ39 IL38:IM39 FI38:FI39 HU38:HZ39 EA38:EJ39 IO38:IO39" name="Rango2_99_24"/>
    <protectedRange algorithmName="SHA-512" hashValue="YXHanhqXL0e4jPrzkCF8r/22WmlCviFUW909WKuG1JOcU0mp0/Huh0aP3EaGYxV2ep0WGu48HsShAy4Ka2uOiw==" saltValue="h/7U5iwJm7DLR4tRVfwZYw==" spinCount="100000" sqref="GC38:GC39 GI38:GI39" name="Rango2_33_8"/>
    <protectedRange algorithmName="SHA-512" hashValue="pL4tgTKqwEsWSIEGFTBd+4pvEhE7d5Q99Eijs+L/Y1rhA0saQGGRJw5Pv2HLOP0quglztFwB6WVnQ1YGxd4AiQ==" saltValue="IF5mhk2RcoEjrcYppes1VA==" spinCount="100000" sqref="FT38:FT39" name="Rango2_30_9"/>
    <protectedRange algorithmName="SHA-512" hashValue="9+DNppQbWrLYYUMoJ+lyQctV2bX3Vq9kZnegLbpjTLP49It2ovUbcartuoQTeXgP+TGpY//7mDH/UQlFCKDGiA==" saltValue="KUnni6YEm00anzSSvyLqQA==" spinCount="100000" sqref="FE38:FE39 GX38:GX39 EY38:FA39 FC38:FC39 FH38:FH39 FK38:FL39 EN38:EN39 FN38:FO39 HS38:HT39 HD38:HI39" name="Rango2_62"/>
    <protectedRange algorithmName="SHA-512" hashValue="EEHzbvEYwO1eufllBljOz0uf9BJ2ENtvOScQ7IsS321QhYbwKn7qhHKKP8cKj02rTDvVRMWvwQ1ZP0mZWsBprQ==" saltValue="CjXqBRFbKezlWOFV37MnDQ==" spinCount="100000" sqref="GQ40:GR41 GW40:GW41 GN40:GN41" name="Rango2_30_2_9"/>
    <protectedRange algorithmName="SHA-512" hashValue="Rgskw+AQdeJ5qbJdarzTa3SCkJfDGziy0Uan5N0F3IWn/H3Z/e+VcB56R7Nes7MPxNHewNP1sSSucVjz3iTLeA==" saltValue="qKZH3DnwaZHBzy3cBZo1qQ==" spinCount="100000" sqref="GF40:GF41" name="Rango2_31_28_8"/>
    <protectedRange algorithmName="SHA-512" hashValue="Umj9+5Ys20VQPxBFtc6qE5LtKKSgPKwit+B8dd4XnEUaLfBM2ozpkEC4YxwK0SbBiAHDDex+pY+LomQ0lyuamQ==" saltValue="N2/MCRws+mmA+NXw0axolg==" spinCount="100000" sqref="GJ40:GJ41 GH40:GH41 GE40:GE41 GL40:GL41 FY40:FY41" name="Rango2_31_2_9"/>
    <protectedRange algorithmName="SHA-512" hashValue="q2z5hEFmXS0v2chiPTC/VCoDWNlnhp+Xe6Ybfxe48vIsnB/KTJQxJv+pFUnCXfZ9T6vyJopuqFFNROfQTW/JUw==" saltValue="IctfdGJb5tOTpq+KPi9vww==" spinCount="100000" sqref="IA40:IA41 ID40:IJ41" name="Rango2_88_39_25"/>
    <protectedRange algorithmName="SHA-512" hashValue="XZw03RosI/l0z9FxmTtF29EdZ7P+4+ybhqoaAAUmURojSR5XbGfjC4f2i8gMqfY+RI9JvfdCA6PSh9TduXfUxA==" saltValue="5TPtLq2WoiRSae/yaDPnTw==" spinCount="100000" sqref="FQ40:FR41 ER40:ES41 EV40:EW41 FF40:FF41 GO40:GO41 GT40:GT41 FZ40:FZ41 FW40:FX41 IB40:IB41 FU40:FU41 EO40:EO41 GM40:GM41 GK40:GK41 GY40:GZ41 HJ40:HJ41 IL40:IM41 FI40:FI41 HU40:HZ41 EA40:EJ41 IO40:IO41" name="Rango2_99_25"/>
    <protectedRange algorithmName="SHA-512" hashValue="YXHanhqXL0e4jPrzkCF8r/22WmlCviFUW909WKuG1JOcU0mp0/Huh0aP3EaGYxV2ep0WGu48HsShAy4Ka2uOiw==" saltValue="h/7U5iwJm7DLR4tRVfwZYw==" spinCount="100000" sqref="GC40:GC41 GI40:GI41" name="Rango2_33_9"/>
    <protectedRange algorithmName="SHA-512" hashValue="pL4tgTKqwEsWSIEGFTBd+4pvEhE7d5Q99Eijs+L/Y1rhA0saQGGRJw5Pv2HLOP0quglztFwB6WVnQ1YGxd4AiQ==" saltValue="IF5mhk2RcoEjrcYppes1VA==" spinCount="100000" sqref="FT40:FT41" name="Rango2_30_10"/>
    <protectedRange algorithmName="SHA-512" hashValue="9+DNppQbWrLYYUMoJ+lyQctV2bX3Vq9kZnegLbpjTLP49It2ovUbcartuoQTeXgP+TGpY//7mDH/UQlFCKDGiA==" saltValue="KUnni6YEm00anzSSvyLqQA==" spinCount="100000" sqref="FE40:FE41 GX40:GX41 EY40:FA41 FC40:FC41 FH40:FH41 FK40:FL41 EN40:EN41 FN40:FO41 HS40:HT41 HD40:HI41" name="Rango2_64"/>
    <protectedRange algorithmName="SHA-512" hashValue="EEHzbvEYwO1eufllBljOz0uf9BJ2ENtvOScQ7IsS321QhYbwKn7qhHKKP8cKj02rTDvVRMWvwQ1ZP0mZWsBprQ==" saltValue="CjXqBRFbKezlWOFV37MnDQ==" spinCount="100000" sqref="GQ42:GR43 GW42:GW43 GN42:GN43" name="Rango2_30_2_10"/>
    <protectedRange algorithmName="SHA-512" hashValue="Rgskw+AQdeJ5qbJdarzTa3SCkJfDGziy0Uan5N0F3IWn/H3Z/e+VcB56R7Nes7MPxNHewNP1sSSucVjz3iTLeA==" saltValue="qKZH3DnwaZHBzy3cBZo1qQ==" spinCount="100000" sqref="GF42:GF43" name="Rango2_31_28_9"/>
    <protectedRange algorithmName="SHA-512" hashValue="Umj9+5Ys20VQPxBFtc6qE5LtKKSgPKwit+B8dd4XnEUaLfBM2ozpkEC4YxwK0SbBiAHDDex+pY+LomQ0lyuamQ==" saltValue="N2/MCRws+mmA+NXw0axolg==" spinCount="100000" sqref="GJ42:GJ43 GH42:GH43 GE42:GE43 GB42 GL42:GL43 FY42:FY43" name="Rango2_31_2_10"/>
    <protectedRange algorithmName="SHA-512" hashValue="q2z5hEFmXS0v2chiPTC/VCoDWNlnhp+Xe6Ybfxe48vIsnB/KTJQxJv+pFUnCXfZ9T6vyJopuqFFNROfQTW/JUw==" saltValue="IctfdGJb5tOTpq+KPi9vww==" spinCount="100000" sqref="IA42:IA43 ID42:IJ43" name="Rango2_88_39_26"/>
    <protectedRange algorithmName="SHA-512" hashValue="XZw03RosI/l0z9FxmTtF29EdZ7P+4+ybhqoaAAUmURojSR5XbGfjC4f2i8gMqfY+RI9JvfdCA6PSh9TduXfUxA==" saltValue="5TPtLq2WoiRSae/yaDPnTw==" spinCount="100000" sqref="FQ42:FR43 ER42:ES43 EV42:EW43 FF42:FF43 GO42:GO43 GT42:GT43 FZ42:FZ43 FW42:FX43 IB42:IB43 FU42:FU43 EO42:EO43 GM42:GM43 GK42:GK43 GY42:GZ43 HJ42:HJ43 IL42:IM43 FI42:FI43 HU42:HZ43 EA42:EJ43 IO42:IO43" name="Rango2_99_26"/>
    <protectedRange algorithmName="SHA-512" hashValue="YXHanhqXL0e4jPrzkCF8r/22WmlCviFUW909WKuG1JOcU0mp0/Huh0aP3EaGYxV2ep0WGu48HsShAy4Ka2uOiw==" saltValue="h/7U5iwJm7DLR4tRVfwZYw==" spinCount="100000" sqref="GC42:GC43 GI42:GI43" name="Rango2_33_10"/>
    <protectedRange algorithmName="SHA-512" hashValue="pL4tgTKqwEsWSIEGFTBd+4pvEhE7d5Q99Eijs+L/Y1rhA0saQGGRJw5Pv2HLOP0quglztFwB6WVnQ1YGxd4AiQ==" saltValue="IF5mhk2RcoEjrcYppes1VA==" spinCount="100000" sqref="FT42:FT43" name="Rango2_30_11"/>
    <protectedRange algorithmName="SHA-512" hashValue="9+DNppQbWrLYYUMoJ+lyQctV2bX3Vq9kZnegLbpjTLP49It2ovUbcartuoQTeXgP+TGpY//7mDH/UQlFCKDGiA==" saltValue="KUnni6YEm00anzSSvyLqQA==" spinCount="100000" sqref="FE42:FE43 GX42:GX43 EY42:FA43 FC42:FC43 FH42:FH43 FK42:FL43 EN42:EN43 FN42:FO43 HS42:HT43 HD42:HI43" name="Rango2_65"/>
    <protectedRange algorithmName="SHA-512" hashValue="EEHzbvEYwO1eufllBljOz0uf9BJ2ENtvOScQ7IsS321QhYbwKn7qhHKKP8cKj02rTDvVRMWvwQ1ZP0mZWsBprQ==" saltValue="CjXqBRFbKezlWOFV37MnDQ==" spinCount="100000" sqref="GQ44:GR44 GW44 GN44" name="Rango2_30_2_11"/>
    <protectedRange algorithmName="SHA-512" hashValue="Rgskw+AQdeJ5qbJdarzTa3SCkJfDGziy0Uan5N0F3IWn/H3Z/e+VcB56R7Nes7MPxNHewNP1sSSucVjz3iTLeA==" saltValue="qKZH3DnwaZHBzy3cBZo1qQ==" spinCount="100000" sqref="GF44" name="Rango2_31_28_10"/>
    <protectedRange algorithmName="SHA-512" hashValue="Umj9+5Ys20VQPxBFtc6qE5LtKKSgPKwit+B8dd4XnEUaLfBM2ozpkEC4YxwK0SbBiAHDDex+pY+LomQ0lyuamQ==" saltValue="N2/MCRws+mmA+NXw0axolg==" spinCount="100000" sqref="GJ44 GH44 GE44 GL44 FY44" name="Rango2_31_2_11"/>
    <protectedRange algorithmName="SHA-512" hashValue="q2z5hEFmXS0v2chiPTC/VCoDWNlnhp+Xe6Ybfxe48vIsnB/KTJQxJv+pFUnCXfZ9T6vyJopuqFFNROfQTW/JUw==" saltValue="IctfdGJb5tOTpq+KPi9vww==" spinCount="100000" sqref="IA44 ID44:IJ44" name="Rango2_88_39_27"/>
    <protectedRange algorithmName="SHA-512" hashValue="XZw03RosI/l0z9FxmTtF29EdZ7P+4+ybhqoaAAUmURojSR5XbGfjC4f2i8gMqfY+RI9JvfdCA6PSh9TduXfUxA==" saltValue="5TPtLq2WoiRSae/yaDPnTw==" spinCount="100000" sqref="FQ44:FR44 ER44:ES44 EV44:EW44 FF44 GO44 GT44 FZ44 FW44:FX44 IB44 FU44 EO44 GM44 GK44 GY44:GZ44 HJ44 IL44:IM44 FI44 HU44:HZ44 EA44:EJ44 IO44" name="Rango2_99_27"/>
    <protectedRange algorithmName="SHA-512" hashValue="YXHanhqXL0e4jPrzkCF8r/22WmlCviFUW909WKuG1JOcU0mp0/Huh0aP3EaGYxV2ep0WGu48HsShAy4Ka2uOiw==" saltValue="h/7U5iwJm7DLR4tRVfwZYw==" spinCount="100000" sqref="GC44 GI44" name="Rango2_33_11"/>
    <protectedRange algorithmName="SHA-512" hashValue="pL4tgTKqwEsWSIEGFTBd+4pvEhE7d5Q99Eijs+L/Y1rhA0saQGGRJw5Pv2HLOP0quglztFwB6WVnQ1YGxd4AiQ==" saltValue="IF5mhk2RcoEjrcYppes1VA==" spinCount="100000" sqref="FT44" name="Rango2_30_12"/>
    <protectedRange algorithmName="SHA-512" hashValue="9+DNppQbWrLYYUMoJ+lyQctV2bX3Vq9kZnegLbpjTLP49It2ovUbcartuoQTeXgP+TGpY//7mDH/UQlFCKDGiA==" saltValue="KUnni6YEm00anzSSvyLqQA==" spinCount="100000" sqref="FE44 GX44 EY44:FA44 FC44 FH44 FK44:FL44 EN44 FN44:FO44 HS44:HT44 HD44:HI44" name="Rango2_66"/>
    <protectedRange algorithmName="SHA-512" hashValue="EEHzbvEYwO1eufllBljOz0uf9BJ2ENtvOScQ7IsS321QhYbwKn7qhHKKP8cKj02rTDvVRMWvwQ1ZP0mZWsBprQ==" saltValue="CjXqBRFbKezlWOFV37MnDQ==" spinCount="100000" sqref="GQ45:GR45 GW45 GN45" name="Rango2_30_2_12"/>
    <protectedRange algorithmName="SHA-512" hashValue="Rgskw+AQdeJ5qbJdarzTa3SCkJfDGziy0Uan5N0F3IWn/H3Z/e+VcB56R7Nes7MPxNHewNP1sSSucVjz3iTLeA==" saltValue="qKZH3DnwaZHBzy3cBZo1qQ==" spinCount="100000" sqref="GF45" name="Rango2_31_28_11"/>
    <protectedRange algorithmName="SHA-512" hashValue="Umj9+5Ys20VQPxBFtc6qE5LtKKSgPKwit+B8dd4XnEUaLfBM2ozpkEC4YxwK0SbBiAHDDex+pY+LomQ0lyuamQ==" saltValue="N2/MCRws+mmA+NXw0axolg==" spinCount="100000" sqref="GJ45 GH45 GE45 GB45 GL45 FY45" name="Rango2_31_2_12"/>
    <protectedRange algorithmName="SHA-512" hashValue="q2z5hEFmXS0v2chiPTC/VCoDWNlnhp+Xe6Ybfxe48vIsnB/KTJQxJv+pFUnCXfZ9T6vyJopuqFFNROfQTW/JUw==" saltValue="IctfdGJb5tOTpq+KPi9vww==" spinCount="100000" sqref="IA45 ID45:IJ45" name="Rango2_88_39_28"/>
    <protectedRange algorithmName="SHA-512" hashValue="XZw03RosI/l0z9FxmTtF29EdZ7P+4+ybhqoaAAUmURojSR5XbGfjC4f2i8gMqfY+RI9JvfdCA6PSh9TduXfUxA==" saltValue="5TPtLq2WoiRSae/yaDPnTw==" spinCount="100000" sqref="FQ45:FR45 ER45:ES45 EV45:EW45 FF45 GO45 GT45 FZ45 FW45:FX45 IB45 FU45 EO45 GM45 GK45 GY45:GZ45 HJ45 IL45:IM45 FI45 HU45:HZ45 EA45:EJ45 IO45" name="Rango2_99_28"/>
    <protectedRange algorithmName="SHA-512" hashValue="YXHanhqXL0e4jPrzkCF8r/22WmlCviFUW909WKuG1JOcU0mp0/Huh0aP3EaGYxV2ep0WGu48HsShAy4Ka2uOiw==" saltValue="h/7U5iwJm7DLR4tRVfwZYw==" spinCount="100000" sqref="GC45 GI45" name="Rango2_33_12"/>
    <protectedRange algorithmName="SHA-512" hashValue="pL4tgTKqwEsWSIEGFTBd+4pvEhE7d5Q99Eijs+L/Y1rhA0saQGGRJw5Pv2HLOP0quglztFwB6WVnQ1YGxd4AiQ==" saltValue="IF5mhk2RcoEjrcYppes1VA==" spinCount="100000" sqref="FT45" name="Rango2_30_13"/>
    <protectedRange algorithmName="SHA-512" hashValue="9+DNppQbWrLYYUMoJ+lyQctV2bX3Vq9kZnegLbpjTLP49It2ovUbcartuoQTeXgP+TGpY//7mDH/UQlFCKDGiA==" saltValue="KUnni6YEm00anzSSvyLqQA==" spinCount="100000" sqref="FE45 GX45 EY45:FA45 FC45 FH45 FK45:FL45 EN45 FN45:FO45 HS45:HT45 HD45:HI45" name="Rango2_67"/>
    <protectedRange algorithmName="SHA-512" hashValue="EEHzbvEYwO1eufllBljOz0uf9BJ2ENtvOScQ7IsS321QhYbwKn7qhHKKP8cKj02rTDvVRMWvwQ1ZP0mZWsBprQ==" saltValue="CjXqBRFbKezlWOFV37MnDQ==" spinCount="100000" sqref="GQ46:GR46 GW46 GN46" name="Rango2_30_2_13"/>
    <protectedRange algorithmName="SHA-512" hashValue="Rgskw+AQdeJ5qbJdarzTa3SCkJfDGziy0Uan5N0F3IWn/H3Z/e+VcB56R7Nes7MPxNHewNP1sSSucVjz3iTLeA==" saltValue="qKZH3DnwaZHBzy3cBZo1qQ==" spinCount="100000" sqref="GF46" name="Rango2_31_28_12"/>
    <protectedRange algorithmName="SHA-512" hashValue="Umj9+5Ys20VQPxBFtc6qE5LtKKSgPKwit+B8dd4XnEUaLfBM2ozpkEC4YxwK0SbBiAHDDex+pY+LomQ0lyuamQ==" saltValue="N2/MCRws+mmA+NXw0axolg==" spinCount="100000" sqref="GJ46 GH46 GE46 GB46 GL46 FY46" name="Rango2_31_2_13"/>
    <protectedRange algorithmName="SHA-512" hashValue="q2z5hEFmXS0v2chiPTC/VCoDWNlnhp+Xe6Ybfxe48vIsnB/KTJQxJv+pFUnCXfZ9T6vyJopuqFFNROfQTW/JUw==" saltValue="IctfdGJb5tOTpq+KPi9vww==" spinCount="100000" sqref="IA46 ID46:IJ46" name="Rango2_88_39_29"/>
    <protectedRange algorithmName="SHA-512" hashValue="XZw03RosI/l0z9FxmTtF29EdZ7P+4+ybhqoaAAUmURojSR5XbGfjC4f2i8gMqfY+RI9JvfdCA6PSh9TduXfUxA==" saltValue="5TPtLq2WoiRSae/yaDPnTw==" spinCount="100000" sqref="FQ46:FR46 ER46:ES46 EV46:EW46 FF46 GO46 GT46 FZ46 FW46:FX46 IB46 FU46 EO46 GM46 GK46 GY46:GZ46 HJ46 IL46:IM46 FI46 HU46:HZ46 EA46:EJ46 IO46" name="Rango2_99_29"/>
    <protectedRange algorithmName="SHA-512" hashValue="YXHanhqXL0e4jPrzkCF8r/22WmlCviFUW909WKuG1JOcU0mp0/Huh0aP3EaGYxV2ep0WGu48HsShAy4Ka2uOiw==" saltValue="h/7U5iwJm7DLR4tRVfwZYw==" spinCount="100000" sqref="GC46 GI46" name="Rango2_33_13"/>
    <protectedRange algorithmName="SHA-512" hashValue="pL4tgTKqwEsWSIEGFTBd+4pvEhE7d5Q99Eijs+L/Y1rhA0saQGGRJw5Pv2HLOP0quglztFwB6WVnQ1YGxd4AiQ==" saltValue="IF5mhk2RcoEjrcYppes1VA==" spinCount="100000" sqref="FT46" name="Rango2_30_14"/>
    <protectedRange algorithmName="SHA-512" hashValue="9+DNppQbWrLYYUMoJ+lyQctV2bX3Vq9kZnegLbpjTLP49It2ovUbcartuoQTeXgP+TGpY//7mDH/UQlFCKDGiA==" saltValue="KUnni6YEm00anzSSvyLqQA==" spinCount="100000" sqref="FE46 GX46 EY46:FA46 FC46 FH46 FK46:FL46 EN46 FN46:FO46 HS46:HT46 HD46:HI46" name="Rango2_68"/>
    <protectedRange algorithmName="SHA-512" hashValue="EEHzbvEYwO1eufllBljOz0uf9BJ2ENtvOScQ7IsS321QhYbwKn7qhHKKP8cKj02rTDvVRMWvwQ1ZP0mZWsBprQ==" saltValue="CjXqBRFbKezlWOFV37MnDQ==" spinCount="100000" sqref="GQ47:GR47 GW47 GN47" name="Rango2_30_2_14"/>
    <protectedRange algorithmName="SHA-512" hashValue="Rgskw+AQdeJ5qbJdarzTa3SCkJfDGziy0Uan5N0F3IWn/H3Z/e+VcB56R7Nes7MPxNHewNP1sSSucVjz3iTLeA==" saltValue="qKZH3DnwaZHBzy3cBZo1qQ==" spinCount="100000" sqref="GF47" name="Rango2_31_28_13"/>
    <protectedRange algorithmName="SHA-512" hashValue="Umj9+5Ys20VQPxBFtc6qE5LtKKSgPKwit+B8dd4XnEUaLfBM2ozpkEC4YxwK0SbBiAHDDex+pY+LomQ0lyuamQ==" saltValue="N2/MCRws+mmA+NXw0axolg==" spinCount="100000" sqref="GJ47 GH47 GE47 GB47 GL47 FY47" name="Rango2_31_2_14"/>
    <protectedRange algorithmName="SHA-512" hashValue="q2z5hEFmXS0v2chiPTC/VCoDWNlnhp+Xe6Ybfxe48vIsnB/KTJQxJv+pFUnCXfZ9T6vyJopuqFFNROfQTW/JUw==" saltValue="IctfdGJb5tOTpq+KPi9vww==" spinCount="100000" sqref="IA47 ID47:IJ47" name="Rango2_88_39_30"/>
    <protectedRange algorithmName="SHA-512" hashValue="XZw03RosI/l0z9FxmTtF29EdZ7P+4+ybhqoaAAUmURojSR5XbGfjC4f2i8gMqfY+RI9JvfdCA6PSh9TduXfUxA==" saltValue="5TPtLq2WoiRSae/yaDPnTw==" spinCount="100000" sqref="FQ47:FR47 ER47:ES47 EV47:EW47 FF47 GO47 GT47 FZ47 FW47:FX47 IB47 FU47 EO47 GM47 GK47 GY47:GZ47 HJ47 IL47:IM47 FI47 HU47:HZ47 EA47:EJ47 IO47" name="Rango2_99_30"/>
    <protectedRange algorithmName="SHA-512" hashValue="YXHanhqXL0e4jPrzkCF8r/22WmlCviFUW909WKuG1JOcU0mp0/Huh0aP3EaGYxV2ep0WGu48HsShAy4Ka2uOiw==" saltValue="h/7U5iwJm7DLR4tRVfwZYw==" spinCount="100000" sqref="GC47 GI47" name="Rango2_33_14"/>
    <protectedRange algorithmName="SHA-512" hashValue="pL4tgTKqwEsWSIEGFTBd+4pvEhE7d5Q99Eijs+L/Y1rhA0saQGGRJw5Pv2HLOP0quglztFwB6WVnQ1YGxd4AiQ==" saltValue="IF5mhk2RcoEjrcYppes1VA==" spinCount="100000" sqref="FT47" name="Rango2_30_15"/>
    <protectedRange algorithmName="SHA-512" hashValue="9+DNppQbWrLYYUMoJ+lyQctV2bX3Vq9kZnegLbpjTLP49It2ovUbcartuoQTeXgP+TGpY//7mDH/UQlFCKDGiA==" saltValue="KUnni6YEm00anzSSvyLqQA==" spinCount="100000" sqref="FE47 GX47 EY47:FA47 FC47 FH47 FK47:FL47 EN47 FN47:FO47 HS47:HT47 HD47:HI47" name="Rango2_69"/>
    <protectedRange algorithmName="SHA-512" hashValue="EEHzbvEYwO1eufllBljOz0uf9BJ2ENtvOScQ7IsS321QhYbwKn7qhHKKP8cKj02rTDvVRMWvwQ1ZP0mZWsBprQ==" saltValue="CjXqBRFbKezlWOFV37MnDQ==" spinCount="100000" sqref="GQ48:GR51 GW48:GW51 GN48:GN51" name="Rango2_30_2_15"/>
    <protectedRange algorithmName="SHA-512" hashValue="Rgskw+AQdeJ5qbJdarzTa3SCkJfDGziy0Uan5N0F3IWn/H3Z/e+VcB56R7Nes7MPxNHewNP1sSSucVjz3iTLeA==" saltValue="qKZH3DnwaZHBzy3cBZo1qQ==" spinCount="100000" sqref="GF48:GF51" name="Rango2_31_28_14"/>
    <protectedRange algorithmName="SHA-512" hashValue="Umj9+5Ys20VQPxBFtc6qE5LtKKSgPKwit+B8dd4XnEUaLfBM2ozpkEC4YxwK0SbBiAHDDex+pY+LomQ0lyuamQ==" saltValue="N2/MCRws+mmA+NXw0axolg==" spinCount="100000" sqref="GJ48:GJ51 GH48:GH51 GE48:GE51 GB48 GL48:GL51 FY48:FY51 GB50:GB51" name="Rango2_31_2_15"/>
    <protectedRange algorithmName="SHA-512" hashValue="q2z5hEFmXS0v2chiPTC/VCoDWNlnhp+Xe6Ybfxe48vIsnB/KTJQxJv+pFUnCXfZ9T6vyJopuqFFNROfQTW/JUw==" saltValue="IctfdGJb5tOTpq+KPi9vww==" spinCount="100000" sqref="IA48:IA51 ID48:IJ51" name="Rango2_88_39_31"/>
    <protectedRange algorithmName="SHA-512" hashValue="XZw03RosI/l0z9FxmTtF29EdZ7P+4+ybhqoaAAUmURojSR5XbGfjC4f2i8gMqfY+RI9JvfdCA6PSh9TduXfUxA==" saltValue="5TPtLq2WoiRSae/yaDPnTw==" spinCount="100000" sqref="FQ48:FR51 ER48:ES51 EV48:EW51 FF48:FF51 GO48:GO51 GT48:GT51 FZ48:FZ51 FW48:FX51 IB48:IB51 FU48:FU51 EO48:EO51 GM48:GM51 GK48:GK51 GY48:GZ51 HJ48:HJ51 IL48:IM51 FI48:FI51 HU48:HZ51 EA48:EJ51 IO48:IO51" name="Rango2_99_31"/>
    <protectedRange algorithmName="SHA-512" hashValue="YXHanhqXL0e4jPrzkCF8r/22WmlCviFUW909WKuG1JOcU0mp0/Huh0aP3EaGYxV2ep0WGu48HsShAy4Ka2uOiw==" saltValue="h/7U5iwJm7DLR4tRVfwZYw==" spinCount="100000" sqref="GC48:GC51 GI48:GI51" name="Rango2_33_15"/>
    <protectedRange algorithmName="SHA-512" hashValue="pL4tgTKqwEsWSIEGFTBd+4pvEhE7d5Q99Eijs+L/Y1rhA0saQGGRJw5Pv2HLOP0quglztFwB6WVnQ1YGxd4AiQ==" saltValue="IF5mhk2RcoEjrcYppes1VA==" spinCount="100000" sqref="FT48:FT51" name="Rango2_30_16"/>
    <protectedRange algorithmName="SHA-512" hashValue="9+DNppQbWrLYYUMoJ+lyQctV2bX3Vq9kZnegLbpjTLP49It2ovUbcartuoQTeXgP+TGpY//7mDH/UQlFCKDGiA==" saltValue="KUnni6YEm00anzSSvyLqQA==" spinCount="100000" sqref="FE48:FE51 GX48:GX51 EY48:FA51 FC48:FC51 FH48:FH51 FK48:FL51 EN48:EN51 FN48:FO51 HS48:HT51 HD48:HI51" name="Rango2_70"/>
    <protectedRange algorithmName="SHA-512" hashValue="EEHzbvEYwO1eufllBljOz0uf9BJ2ENtvOScQ7IsS321QhYbwKn7qhHKKP8cKj02rTDvVRMWvwQ1ZP0mZWsBprQ==" saltValue="CjXqBRFbKezlWOFV37MnDQ==" spinCount="100000" sqref="GQ52:GR55 GW52:GW55 GN52:GN55" name="Rango2_30_2_16"/>
    <protectedRange algorithmName="SHA-512" hashValue="Rgskw+AQdeJ5qbJdarzTa3SCkJfDGziy0Uan5N0F3IWn/H3Z/e+VcB56R7Nes7MPxNHewNP1sSSucVjz3iTLeA==" saltValue="qKZH3DnwaZHBzy3cBZo1qQ==" spinCount="100000" sqref="GF52:GF55" name="Rango2_31_28_15"/>
    <protectedRange algorithmName="SHA-512" hashValue="Umj9+5Ys20VQPxBFtc6qE5LtKKSgPKwit+B8dd4XnEUaLfBM2ozpkEC4YxwK0SbBiAHDDex+pY+LomQ0lyuamQ==" saltValue="N2/MCRws+mmA+NXw0axolg==" spinCount="100000" sqref="GJ52:GJ55 GH52:GH55 GE52:GE55 GB52 GL52:GL55 FY52:FY55 GB55" name="Rango2_31_2_16"/>
    <protectedRange algorithmName="SHA-512" hashValue="q2z5hEFmXS0v2chiPTC/VCoDWNlnhp+Xe6Ybfxe48vIsnB/KTJQxJv+pFUnCXfZ9T6vyJopuqFFNROfQTW/JUw==" saltValue="IctfdGJb5tOTpq+KPi9vww==" spinCount="100000" sqref="IA52:IA55 ID52:IJ55" name="Rango2_88_39_32"/>
    <protectedRange algorithmName="SHA-512" hashValue="XZw03RosI/l0z9FxmTtF29EdZ7P+4+ybhqoaAAUmURojSR5XbGfjC4f2i8gMqfY+RI9JvfdCA6PSh9TduXfUxA==" saltValue="5TPtLq2WoiRSae/yaDPnTw==" spinCount="100000" sqref="FQ52:FR55 ER52:ES55 EV52:EW55 FF52:FF55 GO52:GO55 GT52:GT55 FZ52:FZ55 FW52:FX55 IB52:IB55 FU52:FU55 EO52:EO55 GM52:GM55 GK52:GK55 GY52:GZ55 HJ52:HJ55 IL52:IM55 FI52:FI55 HU52:HZ55 EA52:EJ55 IO52:IO55" name="Rango2_99_32"/>
    <protectedRange algorithmName="SHA-512" hashValue="YXHanhqXL0e4jPrzkCF8r/22WmlCviFUW909WKuG1JOcU0mp0/Huh0aP3EaGYxV2ep0WGu48HsShAy4Ka2uOiw==" saltValue="h/7U5iwJm7DLR4tRVfwZYw==" spinCount="100000" sqref="GC52:GC55 GI52:GI55" name="Rango2_33_16"/>
    <protectedRange algorithmName="SHA-512" hashValue="pL4tgTKqwEsWSIEGFTBd+4pvEhE7d5Q99Eijs+L/Y1rhA0saQGGRJw5Pv2HLOP0quglztFwB6WVnQ1YGxd4AiQ==" saltValue="IF5mhk2RcoEjrcYppes1VA==" spinCount="100000" sqref="FT52:FT55" name="Rango2_30_17"/>
    <protectedRange algorithmName="SHA-512" hashValue="9+DNppQbWrLYYUMoJ+lyQctV2bX3Vq9kZnegLbpjTLP49It2ovUbcartuoQTeXgP+TGpY//7mDH/UQlFCKDGiA==" saltValue="KUnni6YEm00anzSSvyLqQA==" spinCount="100000" sqref="FE52:FE55 GX52:GX55 EY52:FA55 FC52:FC55 FH52:FH55 FK52:FL55 EN52:EN55 FN52:FO55 HS52:HT55 HD52:HI55" name="Rango2_71"/>
    <protectedRange algorithmName="SHA-512" hashValue="Gqwr8n5jYbCESAqCFk8dpOzViQICBV+k0xoqBoQaZ5lHaRlvT9TZDB4yXtm+qC6OhD064ZDBOFWkwo+LHXu1sg==" saltValue="gEL9PCN2ekF2IxW9yqAGYA==" spinCount="100000" sqref="IS30" name="Rango2_40_2_1"/>
    <protectedRange algorithmName="SHA-512" hashValue="D8TacORwT7iz0mF9GEucchnMHfB5er2FFjQsxyeWWyeJkM6Bt3gYQ3LbcHPxZXFpVAYtFOuTrzYOCJrlZDx16g==" saltValue="QtCzIBktdS4NZkOEGcLTRQ==" spinCount="100000" sqref="IW30" name="Rango2_41_1"/>
    <protectedRange algorithmName="SHA-512" hashValue="9+DNppQbWrLYYUMoJ+lyQctV2bX3Vq9kZnegLbpjTLP49It2ovUbcartuoQTeXgP+TGpY//7mDH/UQlFCKDGiA==" saltValue="KUnni6YEm00anzSSvyLqQA==" spinCount="100000" sqref="IT30:IV30 IX30 IZ30:JM30 JO30:JW30 JY30:KF30 KH30 KJ30:MP30" name="Rango2_72"/>
    <protectedRange algorithmName="SHA-512" hashValue="Gqwr8n5jYbCESAqCFk8dpOzViQICBV+k0xoqBoQaZ5lHaRlvT9TZDB4yXtm+qC6OhD064ZDBOFWkwo+LHXu1sg==" saltValue="gEL9PCN2ekF2IxW9yqAGYA==" spinCount="100000" sqref="IS31" name="Rango2_40_2_2"/>
    <protectedRange algorithmName="SHA-512" hashValue="D8TacORwT7iz0mF9GEucchnMHfB5er2FFjQsxyeWWyeJkM6Bt3gYQ3LbcHPxZXFpVAYtFOuTrzYOCJrlZDx16g==" saltValue="QtCzIBktdS4NZkOEGcLTRQ==" spinCount="100000" sqref="IW31" name="Rango2_41_2"/>
    <protectedRange algorithmName="SHA-512" hashValue="9+DNppQbWrLYYUMoJ+lyQctV2bX3Vq9kZnegLbpjTLP49It2ovUbcartuoQTeXgP+TGpY//7mDH/UQlFCKDGiA==" saltValue="KUnni6YEm00anzSSvyLqQA==" spinCount="100000" sqref="IT31:IV31 IX31 IZ31:JM31 JO31:JW31 JY31:KF31 KH31 KJ31:MP31" name="Rango2_73"/>
    <protectedRange algorithmName="SHA-512" hashValue="Gqwr8n5jYbCESAqCFk8dpOzViQICBV+k0xoqBoQaZ5lHaRlvT9TZDB4yXtm+qC6OhD064ZDBOFWkwo+LHXu1sg==" saltValue="gEL9PCN2ekF2IxW9yqAGYA==" spinCount="100000" sqref="IS32" name="Rango2_40_2_3"/>
    <protectedRange algorithmName="SHA-512" hashValue="D8TacORwT7iz0mF9GEucchnMHfB5er2FFjQsxyeWWyeJkM6Bt3gYQ3LbcHPxZXFpVAYtFOuTrzYOCJrlZDx16g==" saltValue="QtCzIBktdS4NZkOEGcLTRQ==" spinCount="100000" sqref="IW32" name="Rango2_41_3"/>
    <protectedRange algorithmName="SHA-512" hashValue="9+DNppQbWrLYYUMoJ+lyQctV2bX3Vq9kZnegLbpjTLP49It2ovUbcartuoQTeXgP+TGpY//7mDH/UQlFCKDGiA==" saltValue="KUnni6YEm00anzSSvyLqQA==" spinCount="100000" sqref="IT32:IV32 IX32 IZ32:JM32 JO32:JW32 JY32:KF32 KH32 KJ32:MP32" name="Rango2_74"/>
    <protectedRange algorithmName="SHA-512" hashValue="Gqwr8n5jYbCESAqCFk8dpOzViQICBV+k0xoqBoQaZ5lHaRlvT9TZDB4yXtm+qC6OhD064ZDBOFWkwo+LHXu1sg==" saltValue="gEL9PCN2ekF2IxW9yqAGYA==" spinCount="100000" sqref="IS33" name="Rango2_40_2_4"/>
    <protectedRange algorithmName="SHA-512" hashValue="D8TacORwT7iz0mF9GEucchnMHfB5er2FFjQsxyeWWyeJkM6Bt3gYQ3LbcHPxZXFpVAYtFOuTrzYOCJrlZDx16g==" saltValue="QtCzIBktdS4NZkOEGcLTRQ==" spinCount="100000" sqref="IW33" name="Rango2_41_4"/>
    <protectedRange algorithmName="SHA-512" hashValue="9+DNppQbWrLYYUMoJ+lyQctV2bX3Vq9kZnegLbpjTLP49It2ovUbcartuoQTeXgP+TGpY//7mDH/UQlFCKDGiA==" saltValue="KUnni6YEm00anzSSvyLqQA==" spinCount="100000" sqref="IT33:IV33 IX33 IZ33:JM33 JO33:JW33 JY33:KF33 KH33 KJ33:MP33" name="Rango2_76"/>
    <protectedRange algorithmName="SHA-512" hashValue="Gqwr8n5jYbCESAqCFk8dpOzViQICBV+k0xoqBoQaZ5lHaRlvT9TZDB4yXtm+qC6OhD064ZDBOFWkwo+LHXu1sg==" saltValue="gEL9PCN2ekF2IxW9yqAGYA==" spinCount="100000" sqref="IS34" name="Rango2_40_2_5"/>
    <protectedRange algorithmName="SHA-512" hashValue="D8TacORwT7iz0mF9GEucchnMHfB5er2FFjQsxyeWWyeJkM6Bt3gYQ3LbcHPxZXFpVAYtFOuTrzYOCJrlZDx16g==" saltValue="QtCzIBktdS4NZkOEGcLTRQ==" spinCount="100000" sqref="IW34" name="Rango2_41_5"/>
    <protectedRange algorithmName="SHA-512" hashValue="9+DNppQbWrLYYUMoJ+lyQctV2bX3Vq9kZnegLbpjTLP49It2ovUbcartuoQTeXgP+TGpY//7mDH/UQlFCKDGiA==" saltValue="KUnni6YEm00anzSSvyLqQA==" spinCount="100000" sqref="IT34:IV34 IX34 IZ34:JM34 JO34:JW34 JY34:KF34 KH34 KJ34:MP34" name="Rango2_80"/>
    <protectedRange algorithmName="SHA-512" hashValue="Gqwr8n5jYbCESAqCFk8dpOzViQICBV+k0xoqBoQaZ5lHaRlvT9TZDB4yXtm+qC6OhD064ZDBOFWkwo+LHXu1sg==" saltValue="gEL9PCN2ekF2IxW9yqAGYA==" spinCount="100000" sqref="IS35:IS36" name="Rango2_40_2_6"/>
    <protectedRange algorithmName="SHA-512" hashValue="D8TacORwT7iz0mF9GEucchnMHfB5er2FFjQsxyeWWyeJkM6Bt3gYQ3LbcHPxZXFpVAYtFOuTrzYOCJrlZDx16g==" saltValue="QtCzIBktdS4NZkOEGcLTRQ==" spinCount="100000" sqref="IW35:IW36" name="Rango2_41_6"/>
    <protectedRange algorithmName="SHA-512" hashValue="9+DNppQbWrLYYUMoJ+lyQctV2bX3Vq9kZnegLbpjTLP49It2ovUbcartuoQTeXgP+TGpY//7mDH/UQlFCKDGiA==" saltValue="KUnni6YEm00anzSSvyLqQA==" spinCount="100000" sqref="IT35:IV36 IX35:IX36 IZ35:JM36 JO35:JW36 JY35:KF36 KH35:KH36 KJ35:MP36" name="Rango2_81"/>
    <protectedRange algorithmName="SHA-512" hashValue="Gqwr8n5jYbCESAqCFk8dpOzViQICBV+k0xoqBoQaZ5lHaRlvT9TZDB4yXtm+qC6OhD064ZDBOFWkwo+LHXu1sg==" saltValue="gEL9PCN2ekF2IxW9yqAGYA==" spinCount="100000" sqref="IS37" name="Rango2_40_2_7"/>
    <protectedRange algorithmName="SHA-512" hashValue="D8TacORwT7iz0mF9GEucchnMHfB5er2FFjQsxyeWWyeJkM6Bt3gYQ3LbcHPxZXFpVAYtFOuTrzYOCJrlZDx16g==" saltValue="QtCzIBktdS4NZkOEGcLTRQ==" spinCount="100000" sqref="IW37" name="Rango2_41_7"/>
    <protectedRange algorithmName="SHA-512" hashValue="9+DNppQbWrLYYUMoJ+lyQctV2bX3Vq9kZnegLbpjTLP49It2ovUbcartuoQTeXgP+TGpY//7mDH/UQlFCKDGiA==" saltValue="KUnni6YEm00anzSSvyLqQA==" spinCount="100000" sqref="IT37:IV37 IX37 IZ37:JM37 JO37:JW37 JY37:KF37 KH37 KJ37:MP37" name="Rango2_82"/>
    <protectedRange algorithmName="SHA-512" hashValue="Gqwr8n5jYbCESAqCFk8dpOzViQICBV+k0xoqBoQaZ5lHaRlvT9TZDB4yXtm+qC6OhD064ZDBOFWkwo+LHXu1sg==" saltValue="gEL9PCN2ekF2IxW9yqAGYA==" spinCount="100000" sqref="IS38:IS39" name="Rango2_40_2_8"/>
    <protectedRange algorithmName="SHA-512" hashValue="D8TacORwT7iz0mF9GEucchnMHfB5er2FFjQsxyeWWyeJkM6Bt3gYQ3LbcHPxZXFpVAYtFOuTrzYOCJrlZDx16g==" saltValue="QtCzIBktdS4NZkOEGcLTRQ==" spinCount="100000" sqref="IW38:IW39" name="Rango2_41_8"/>
    <protectedRange algorithmName="SHA-512" hashValue="9+DNppQbWrLYYUMoJ+lyQctV2bX3Vq9kZnegLbpjTLP49It2ovUbcartuoQTeXgP+TGpY//7mDH/UQlFCKDGiA==" saltValue="KUnni6YEm00anzSSvyLqQA==" spinCount="100000" sqref="IT38:IV39 IX38:IX39 IZ38:JM39 JO38:JW39 JY38:KF39 KH38:KH39 KJ38:MP39" name="Rango2_83"/>
    <protectedRange algorithmName="SHA-512" hashValue="Gqwr8n5jYbCESAqCFk8dpOzViQICBV+k0xoqBoQaZ5lHaRlvT9TZDB4yXtm+qC6OhD064ZDBOFWkwo+LHXu1sg==" saltValue="gEL9PCN2ekF2IxW9yqAGYA==" spinCount="100000" sqref="IS40:IS41" name="Rango2_40_2_9"/>
    <protectedRange algorithmName="SHA-512" hashValue="D8TacORwT7iz0mF9GEucchnMHfB5er2FFjQsxyeWWyeJkM6Bt3gYQ3LbcHPxZXFpVAYtFOuTrzYOCJrlZDx16g==" saltValue="QtCzIBktdS4NZkOEGcLTRQ==" spinCount="100000" sqref="IW40:IW41" name="Rango2_41_9"/>
    <protectedRange algorithmName="SHA-512" hashValue="9+DNppQbWrLYYUMoJ+lyQctV2bX3Vq9kZnegLbpjTLP49It2ovUbcartuoQTeXgP+TGpY//7mDH/UQlFCKDGiA==" saltValue="KUnni6YEm00anzSSvyLqQA==" spinCount="100000" sqref="IT40:IV41 IX40:IX41 IZ40:JM41 JO40:JW41 JY40:KF41 KH40:KH41 KJ40:MP41" name="Rango2_85"/>
    <protectedRange algorithmName="SHA-512" hashValue="Gqwr8n5jYbCESAqCFk8dpOzViQICBV+k0xoqBoQaZ5lHaRlvT9TZDB4yXtm+qC6OhD064ZDBOFWkwo+LHXu1sg==" saltValue="gEL9PCN2ekF2IxW9yqAGYA==" spinCount="100000" sqref="IS42:IS43" name="Rango2_40_2_10"/>
    <protectedRange algorithmName="SHA-512" hashValue="D8TacORwT7iz0mF9GEucchnMHfB5er2FFjQsxyeWWyeJkM6Bt3gYQ3LbcHPxZXFpVAYtFOuTrzYOCJrlZDx16g==" saltValue="QtCzIBktdS4NZkOEGcLTRQ==" spinCount="100000" sqref="IW42:IW43" name="Rango2_41_10"/>
    <protectedRange algorithmName="SHA-512" hashValue="9+DNppQbWrLYYUMoJ+lyQctV2bX3Vq9kZnegLbpjTLP49It2ovUbcartuoQTeXgP+TGpY//7mDH/UQlFCKDGiA==" saltValue="KUnni6YEm00anzSSvyLqQA==" spinCount="100000" sqref="IT42:IV43 IX42:IX43 IZ42:JM43 JO42:JW43 JY42:KF43 KH42:KH43 KJ42:MP43" name="Rango2_86"/>
    <protectedRange algorithmName="SHA-512" hashValue="Gqwr8n5jYbCESAqCFk8dpOzViQICBV+k0xoqBoQaZ5lHaRlvT9TZDB4yXtm+qC6OhD064ZDBOFWkwo+LHXu1sg==" saltValue="gEL9PCN2ekF2IxW9yqAGYA==" spinCount="100000" sqref="IS44" name="Rango2_40_2_11"/>
    <protectedRange algorithmName="SHA-512" hashValue="D8TacORwT7iz0mF9GEucchnMHfB5er2FFjQsxyeWWyeJkM6Bt3gYQ3LbcHPxZXFpVAYtFOuTrzYOCJrlZDx16g==" saltValue="QtCzIBktdS4NZkOEGcLTRQ==" spinCount="100000" sqref="IW44" name="Rango2_41_11"/>
    <protectedRange algorithmName="SHA-512" hashValue="9+DNppQbWrLYYUMoJ+lyQctV2bX3Vq9kZnegLbpjTLP49It2ovUbcartuoQTeXgP+TGpY//7mDH/UQlFCKDGiA==" saltValue="KUnni6YEm00anzSSvyLqQA==" spinCount="100000" sqref="IT44:IV44 IX44 IZ44:JM44 JO44:JW44 JY44:KF44 KH44 KJ44:MP44" name="Rango2_87"/>
    <protectedRange algorithmName="SHA-512" hashValue="Gqwr8n5jYbCESAqCFk8dpOzViQICBV+k0xoqBoQaZ5lHaRlvT9TZDB4yXtm+qC6OhD064ZDBOFWkwo+LHXu1sg==" saltValue="gEL9PCN2ekF2IxW9yqAGYA==" spinCount="100000" sqref="IS45" name="Rango2_40_2_12"/>
    <protectedRange algorithmName="SHA-512" hashValue="D8TacORwT7iz0mF9GEucchnMHfB5er2FFjQsxyeWWyeJkM6Bt3gYQ3LbcHPxZXFpVAYtFOuTrzYOCJrlZDx16g==" saltValue="QtCzIBktdS4NZkOEGcLTRQ==" spinCount="100000" sqref="IW45" name="Rango2_41_12"/>
    <protectedRange algorithmName="SHA-512" hashValue="9+DNppQbWrLYYUMoJ+lyQctV2bX3Vq9kZnegLbpjTLP49It2ovUbcartuoQTeXgP+TGpY//7mDH/UQlFCKDGiA==" saltValue="KUnni6YEm00anzSSvyLqQA==" spinCount="100000" sqref="IT45:IV45 IX45 IZ45:JM45 JO45:JW45 JY45:KF45 KH45 KJ45:MP45" name="Rango2_90"/>
    <protectedRange algorithmName="SHA-512" hashValue="Gqwr8n5jYbCESAqCFk8dpOzViQICBV+k0xoqBoQaZ5lHaRlvT9TZDB4yXtm+qC6OhD064ZDBOFWkwo+LHXu1sg==" saltValue="gEL9PCN2ekF2IxW9yqAGYA==" spinCount="100000" sqref="IS46" name="Rango2_40_2_13"/>
    <protectedRange algorithmName="SHA-512" hashValue="D8TacORwT7iz0mF9GEucchnMHfB5er2FFjQsxyeWWyeJkM6Bt3gYQ3LbcHPxZXFpVAYtFOuTrzYOCJrlZDx16g==" saltValue="QtCzIBktdS4NZkOEGcLTRQ==" spinCount="100000" sqref="IW46" name="Rango2_41_13"/>
    <protectedRange algorithmName="SHA-512" hashValue="9+DNppQbWrLYYUMoJ+lyQctV2bX3Vq9kZnegLbpjTLP49It2ovUbcartuoQTeXgP+TGpY//7mDH/UQlFCKDGiA==" saltValue="KUnni6YEm00anzSSvyLqQA==" spinCount="100000" sqref="IT46:IV46 IX46 IZ46:JM46 JO46:JW46 JY46:KF46 KH46 KJ46:MP46" name="Rango2_91"/>
    <protectedRange algorithmName="SHA-512" hashValue="Gqwr8n5jYbCESAqCFk8dpOzViQICBV+k0xoqBoQaZ5lHaRlvT9TZDB4yXtm+qC6OhD064ZDBOFWkwo+LHXu1sg==" saltValue="gEL9PCN2ekF2IxW9yqAGYA==" spinCount="100000" sqref="IS47" name="Rango2_40_2_14"/>
    <protectedRange algorithmName="SHA-512" hashValue="D8TacORwT7iz0mF9GEucchnMHfB5er2FFjQsxyeWWyeJkM6Bt3gYQ3LbcHPxZXFpVAYtFOuTrzYOCJrlZDx16g==" saltValue="QtCzIBktdS4NZkOEGcLTRQ==" spinCount="100000" sqref="IW47" name="Rango2_41_14"/>
    <protectedRange algorithmName="SHA-512" hashValue="9+DNppQbWrLYYUMoJ+lyQctV2bX3Vq9kZnegLbpjTLP49It2ovUbcartuoQTeXgP+TGpY//7mDH/UQlFCKDGiA==" saltValue="KUnni6YEm00anzSSvyLqQA==" spinCount="100000" sqref="IT47:IV47 IX47 IZ47:JM47 JO47:JW47 JY47:KF47 KH47 KJ47:MP47" name="Rango2_92"/>
    <protectedRange algorithmName="SHA-512" hashValue="Gqwr8n5jYbCESAqCFk8dpOzViQICBV+k0xoqBoQaZ5lHaRlvT9TZDB4yXtm+qC6OhD064ZDBOFWkwo+LHXu1sg==" saltValue="gEL9PCN2ekF2IxW9yqAGYA==" spinCount="100000" sqref="IS48:IS51" name="Rango2_40_2_15"/>
    <protectedRange algorithmName="SHA-512" hashValue="D8TacORwT7iz0mF9GEucchnMHfB5er2FFjQsxyeWWyeJkM6Bt3gYQ3LbcHPxZXFpVAYtFOuTrzYOCJrlZDx16g==" saltValue="QtCzIBktdS4NZkOEGcLTRQ==" spinCount="100000" sqref="IW48:IW51" name="Rango2_41_15"/>
    <protectedRange algorithmName="SHA-512" hashValue="9+DNppQbWrLYYUMoJ+lyQctV2bX3Vq9kZnegLbpjTLP49It2ovUbcartuoQTeXgP+TGpY//7mDH/UQlFCKDGiA==" saltValue="KUnni6YEm00anzSSvyLqQA==" spinCount="100000" sqref="IT48:IV51 IX48:IX51 IZ48:JM51 JO48:JW51 JY48:KF51 KH48:KH51 KJ48:MP51" name="Rango2_93"/>
    <protectedRange algorithmName="SHA-512" hashValue="Gqwr8n5jYbCESAqCFk8dpOzViQICBV+k0xoqBoQaZ5lHaRlvT9TZDB4yXtm+qC6OhD064ZDBOFWkwo+LHXu1sg==" saltValue="gEL9PCN2ekF2IxW9yqAGYA==" spinCount="100000" sqref="IS52:IS55" name="Rango2_40_2_16"/>
    <protectedRange algorithmName="SHA-512" hashValue="D8TacORwT7iz0mF9GEucchnMHfB5er2FFjQsxyeWWyeJkM6Bt3gYQ3LbcHPxZXFpVAYtFOuTrzYOCJrlZDx16g==" saltValue="QtCzIBktdS4NZkOEGcLTRQ==" spinCount="100000" sqref="IW52:IW55" name="Rango2_41_16"/>
    <protectedRange algorithmName="SHA-512" hashValue="9+DNppQbWrLYYUMoJ+lyQctV2bX3Vq9kZnegLbpjTLP49It2ovUbcartuoQTeXgP+TGpY//7mDH/UQlFCKDGiA==" saltValue="KUnni6YEm00anzSSvyLqQA==" spinCount="100000" sqref="IT52:IV55 IX52:IX55 IZ52:JM55 JO52:JW55 JY52:KF55 KH52:KH55 KJ52:MP55" name="Rango2_94"/>
    <protectedRange algorithmName="SHA-512" hashValue="6a5oYwZw9WJcgjqXpleUXH8uaqNEuymPPpeOb7lKBc1WoM6IG/DNyDLWmj2lYwxnZO2yhl+B61kwrxD9m9AdhQ==" saltValue="tdNQPzLQd+n9Ww064QJIaQ==" spinCount="100000" sqref="I56" name="Rango2_61_1"/>
    <protectedRange algorithmName="SHA-512" hashValue="XM8+0Jh5zLWw02PI0Lt8dLqjTcW5ulySion19FAnruDN6QRp4UwcVqdfQxnOQAItgpWG7rNsELzjwy0iXOonxw==" saltValue="Sd4WFUedDfLKoMQTDrxJuQ==" spinCount="100000" sqref="K56" name="Rango2_88_4_4_1"/>
    <protectedRange algorithmName="SHA-512" hashValue="EMMPgE8t/az1rHHzaZAQIhz+GQV0k2O/tQGA96sJqEEMzz1efIRa4CcLzC7iY9CCscto3g7dwz41haOE28iXYg==" saltValue="CVzFsG4X4LXUMo7796PiDQ==" spinCount="100000" sqref="C56:H56 J56 L56:M56 C57:C62" name="Rango2_10_1"/>
    <protectedRange algorithmName="SHA-512" hashValue="6a5oYwZw9WJcgjqXpleUXH8uaqNEuymPPpeOb7lKBc1WoM6IG/DNyDLWmj2lYwxnZO2yhl+B61kwrxD9m9AdhQ==" saltValue="tdNQPzLQd+n9Ww064QJIaQ==" spinCount="100000" sqref="I57" name="Rango2_61_2"/>
    <protectedRange algorithmName="SHA-512" hashValue="XM8+0Jh5zLWw02PI0Lt8dLqjTcW5ulySion19FAnruDN6QRp4UwcVqdfQxnOQAItgpWG7rNsELzjwy0iXOonxw==" saltValue="Sd4WFUedDfLKoMQTDrxJuQ==" spinCount="100000" sqref="K57" name="Rango2_88_4_4_2"/>
    <protectedRange algorithmName="SHA-512" hashValue="EMMPgE8t/az1rHHzaZAQIhz+GQV0k2O/tQGA96sJqEEMzz1efIRa4CcLzC7iY9CCscto3g7dwz41haOE28iXYg==" saltValue="CVzFsG4X4LXUMo7796PiDQ==" spinCount="100000" sqref="D57:H57 J57 L57:M57" name="Rango2_10_2"/>
    <protectedRange algorithmName="SHA-512" hashValue="6a5oYwZw9WJcgjqXpleUXH8uaqNEuymPPpeOb7lKBc1WoM6IG/DNyDLWmj2lYwxnZO2yhl+B61kwrxD9m9AdhQ==" saltValue="tdNQPzLQd+n9Ww064QJIaQ==" spinCount="100000" sqref="I58" name="Rango2_61_3"/>
    <protectedRange algorithmName="SHA-512" hashValue="XM8+0Jh5zLWw02PI0Lt8dLqjTcW5ulySion19FAnruDN6QRp4UwcVqdfQxnOQAItgpWG7rNsELzjwy0iXOonxw==" saltValue="Sd4WFUedDfLKoMQTDrxJuQ==" spinCount="100000" sqref="K58" name="Rango2_88_4_4_3"/>
    <protectedRange algorithmName="SHA-512" hashValue="EMMPgE8t/az1rHHzaZAQIhz+GQV0k2O/tQGA96sJqEEMzz1efIRa4CcLzC7iY9CCscto3g7dwz41haOE28iXYg==" saltValue="CVzFsG4X4LXUMo7796PiDQ==" spinCount="100000" sqref="D58:H58 J58 L58:M58" name="Rango2_10_3"/>
    <protectedRange algorithmName="SHA-512" hashValue="6a5oYwZw9WJcgjqXpleUXH8uaqNEuymPPpeOb7lKBc1WoM6IG/DNyDLWmj2lYwxnZO2yhl+B61kwrxD9m9AdhQ==" saltValue="tdNQPzLQd+n9Ww064QJIaQ==" spinCount="100000" sqref="I59" name="Rango2_61_4"/>
    <protectedRange algorithmName="SHA-512" hashValue="XM8+0Jh5zLWw02PI0Lt8dLqjTcW5ulySion19FAnruDN6QRp4UwcVqdfQxnOQAItgpWG7rNsELzjwy0iXOonxw==" saltValue="Sd4WFUedDfLKoMQTDrxJuQ==" spinCount="100000" sqref="K59" name="Rango2_88_4_4_4"/>
    <protectedRange algorithmName="SHA-512" hashValue="EMMPgE8t/az1rHHzaZAQIhz+GQV0k2O/tQGA96sJqEEMzz1efIRa4CcLzC7iY9CCscto3g7dwz41haOE28iXYg==" saltValue="CVzFsG4X4LXUMo7796PiDQ==" spinCount="100000" sqref="D59:H59 J59 L59:M59" name="Rango2_10_4"/>
    <protectedRange algorithmName="SHA-512" hashValue="6a5oYwZw9WJcgjqXpleUXH8uaqNEuymPPpeOb7lKBc1WoM6IG/DNyDLWmj2lYwxnZO2yhl+B61kwrxD9m9AdhQ==" saltValue="tdNQPzLQd+n9Ww064QJIaQ==" spinCount="100000" sqref="I60" name="Rango2_61_5"/>
    <protectedRange algorithmName="SHA-512" hashValue="XM8+0Jh5zLWw02PI0Lt8dLqjTcW5ulySion19FAnruDN6QRp4UwcVqdfQxnOQAItgpWG7rNsELzjwy0iXOonxw==" saltValue="Sd4WFUedDfLKoMQTDrxJuQ==" spinCount="100000" sqref="K60" name="Rango2_88_4_4_5"/>
    <protectedRange algorithmName="SHA-512" hashValue="EMMPgE8t/az1rHHzaZAQIhz+GQV0k2O/tQGA96sJqEEMzz1efIRa4CcLzC7iY9CCscto3g7dwz41haOE28iXYg==" saltValue="CVzFsG4X4LXUMo7796PiDQ==" spinCount="100000" sqref="J60 E60:H60 L60:M60" name="Rango2_10_5"/>
    <protectedRange algorithmName="SHA-512" hashValue="6a5oYwZw9WJcgjqXpleUXH8uaqNEuymPPpeOb7lKBc1WoM6IG/DNyDLWmj2lYwxnZO2yhl+B61kwrxD9m9AdhQ==" saltValue="tdNQPzLQd+n9Ww064QJIaQ==" spinCount="100000" sqref="I61" name="Rango2_61_6"/>
    <protectedRange algorithmName="SHA-512" hashValue="XM8+0Jh5zLWw02PI0Lt8dLqjTcW5ulySion19FAnruDN6QRp4UwcVqdfQxnOQAItgpWG7rNsELzjwy0iXOonxw==" saltValue="Sd4WFUedDfLKoMQTDrxJuQ==" spinCount="100000" sqref="K61" name="Rango2_88_4_4_6"/>
    <protectedRange algorithmName="SHA-512" hashValue="EMMPgE8t/az1rHHzaZAQIhz+GQV0k2O/tQGA96sJqEEMzz1efIRa4CcLzC7iY9CCscto3g7dwz41haOE28iXYg==" saltValue="CVzFsG4X4LXUMo7796PiDQ==" spinCount="100000" sqref="L61 E61:H61" name="Rango2_10_6"/>
    <protectedRange algorithmName="SHA-512" hashValue="EMMPgE8t/az1rHHzaZAQIhz+GQV0k2O/tQGA96sJqEEMzz1efIRa4CcLzC7iY9CCscto3g7dwz41haOE28iXYg==" saltValue="CVzFsG4X4LXUMo7796PiDQ==" spinCount="100000" sqref="J61" name="Rango2_10_6_2"/>
    <protectedRange algorithmName="SHA-512" hashValue="EMMPgE8t/az1rHHzaZAQIhz+GQV0k2O/tQGA96sJqEEMzz1efIRa4CcLzC7iY9CCscto3g7dwz41haOE28iXYg==" saltValue="CVzFsG4X4LXUMo7796PiDQ==" spinCount="100000" sqref="M61" name="Rango2_10_7_2"/>
    <protectedRange algorithmName="SHA-512" hashValue="6a5oYwZw9WJcgjqXpleUXH8uaqNEuymPPpeOb7lKBc1WoM6IG/DNyDLWmj2lYwxnZO2yhl+B61kwrxD9m9AdhQ==" saltValue="tdNQPzLQd+n9Ww064QJIaQ==" spinCount="100000" sqref="I62" name="Rango2_61_7"/>
    <protectedRange algorithmName="SHA-512" hashValue="XM8+0Jh5zLWw02PI0Lt8dLqjTcW5ulySion19FAnruDN6QRp4UwcVqdfQxnOQAItgpWG7rNsELzjwy0iXOonxw==" saltValue="Sd4WFUedDfLKoMQTDrxJuQ==" spinCount="100000" sqref="K62" name="Rango2_88_4_4_7"/>
    <protectedRange algorithmName="SHA-512" hashValue="EMMPgE8t/az1rHHzaZAQIhz+GQV0k2O/tQGA96sJqEEMzz1efIRa4CcLzC7iY9CCscto3g7dwz41haOE28iXYg==" saltValue="CVzFsG4X4LXUMo7796PiDQ==" spinCount="100000" sqref="L62:M62 J62 D62:H62" name="Rango2_10_7"/>
    <protectedRange algorithmName="SHA-512" hashValue="RQ91b7oAw60DVtcgB2vRpial2kSdzJx5guGCTYUwXYkKrtrUHfiYnLf9R+SNpYXlJDYpyEJLhcWwP0EqNN86dQ==" saltValue="W3RbH3zrcY9sy39xNwXNxg==" spinCount="100000" sqref="BV56:BY56 BA56:BI56" name="Rango2_88_99_17"/>
    <protectedRange algorithmName="SHA-512" hashValue="fMbmUM1DQ7FuAPRNvFL5mPdHUYjQnlLFhkuaxvHguaqR7aWyDxcmJs0jLYQfQKY+oyhsMb4Lew4VL6i7um3/ew==" saltValue="ydaTm0CeH8+/cYqoL/AMaQ==" spinCount="100000" sqref="AW56:AZ56 AU56" name="Rango2_88_91_17"/>
    <protectedRange algorithmName="SHA-512" hashValue="CHipOQaT63FWw628cQcXXJRZlrbNZ7OgmnEbDx38UmmH7z19GRYEzXFiVOzHAy1OAaAbST7g2bHZHDKQp2qm3w==" saltValue="iRVuL+373yLHv0ZHzS9qog==" spinCount="100000" sqref="AG56:AH56 AJ56 AL56" name="Rango2_88_7_5_17"/>
    <protectedRange algorithmName="SHA-512" hashValue="NkG6oHuDGvGBEiLAAq8MEJHEfLQUMyjihfH+DBXhT+eQW0r1yri7tOJEFRM9nbOejjjXiviq9RFo7KB7wF+xJA==" saltValue="bpjB0AAANu2X/PeR3eiFkA==" spinCount="100000" sqref="AM56:AS56" name="Rango2_88_65_17"/>
    <protectedRange algorithmName="SHA-512" hashValue="fPHvtIAf3pQeZUoAI9C2/vdXMHBpqqEq+67P5Ypyu4+9IWqs3yc9TZcMWQ0THLxUwqseQPyVvakuYFtCwJHsxA==" saltValue="QHIogSs2PrwAfdqa9PAOFQ==" spinCount="100000" sqref="AC56" name="Rango2_88_5_5_17"/>
    <protectedRange algorithmName="SHA-512" hashValue="LEEeiU6pKqm7TAP46VGlz0q+evvFwpT/0iLpRuWuQ7MacbP0OGL1/FSmrIEOg2rb6M+Jla2bPbVWiGag27j87w==" saltValue="HEVt+pS5OloNDlqSnzGLLw==" spinCount="100000" sqref="AI56" name="Rango2_8_7_17"/>
    <protectedRange algorithmName="SHA-512" hashValue="q2z5hEFmXS0v2chiPTC/VCoDWNlnhp+Xe6Ybfxe48vIsnB/KTJQxJv+pFUnCXfZ9T6vyJopuqFFNROfQTW/JUw==" saltValue="IctfdGJb5tOTpq+KPi9vww==" spinCount="100000" sqref="AE56:AF56" name="Rango2_88_39_33"/>
    <protectedRange algorithmName="SHA-512" hashValue="AYYX88LSDB6RDNMvSqt0KPGWPjBqTk56tMxTOlv5QD61MGTKAAQnSnudvNDWPN0Bbllh2qRQC+P5uq7goxjdrw==" saltValue="i/iPMewnks1FoXYOjKMEVg==" spinCount="100000" sqref="AB56" name="Rango2_87_6_17"/>
    <protectedRange algorithmName="SHA-512" hashValue="NUll9P9xh7KbSfMYpMxsRZLfDw/y/AzW2LSWlpXVscBDqiAxmzo71xjs+a2lh+jRa7pceOC849slke4+ZKx8LA==" saltValue="8qbkKpQ+CiQuLnqgShNvXA==" spinCount="100000" sqref="T56" name="Rango2_88_6_17"/>
    <protectedRange algorithmName="SHA-512" hashValue="KHhv3JU/LRdRrRTxxkgFceEHPZ5UzadmpZRZR3zmQRnPvkUJZuanRafIJ+qde0IWwLZSvFIQDyUAHq6v6k7XIg==" saltValue="2GKG1kCzVNNcn+vbOPuhJA==" spinCount="100000" sqref="Q56" name="Rango2_2_5_17"/>
    <protectedRange algorithmName="SHA-512" hashValue="XZw03RosI/l0z9FxmTtF29EdZ7P+4+ybhqoaAAUmURojSR5XbGfjC4f2i8gMqfY+RI9JvfdCA6PSh9TduXfUxA==" saltValue="5TPtLq2WoiRSae/yaDPnTw==" spinCount="100000" sqref="AT56 CV56:CY56 CP56:CQ56 CS56:CT56 BZ56:CB56 CJ56:CK56 AV56 O56 R56:S56 U56:AA56 BR56:BU56 CE56:CF56 DA56:DN56 BJ56:BL56" name="Rango2_99_33"/>
    <protectedRange algorithmName="SHA-512" hashValue="9+DNppQbWrLYYUMoJ+lyQctV2bX3Vq9kZnegLbpjTLP49It2ovUbcartuoQTeXgP+TGpY//7mDH/UQlFCKDGiA==" saltValue="KUnni6YEm00anzSSvyLqQA==" spinCount="100000" sqref="AD56" name="Rango2_95"/>
    <protectedRange algorithmName="SHA-512" hashValue="RQ91b7oAw60DVtcgB2vRpial2kSdzJx5guGCTYUwXYkKrtrUHfiYnLf9R+SNpYXlJDYpyEJLhcWwP0EqNN86dQ==" saltValue="W3RbH3zrcY9sy39xNwXNxg==" spinCount="100000" sqref="BV57:BY57 BA57:BI57" name="Rango2_88_99_18"/>
    <protectedRange algorithmName="SHA-512" hashValue="fMbmUM1DQ7FuAPRNvFL5mPdHUYjQnlLFhkuaxvHguaqR7aWyDxcmJs0jLYQfQKY+oyhsMb4Lew4VL6i7um3/ew==" saltValue="ydaTm0CeH8+/cYqoL/AMaQ==" spinCount="100000" sqref="AW57:AZ57 AU57" name="Rango2_88_91_18"/>
    <protectedRange algorithmName="SHA-512" hashValue="CHipOQaT63FWw628cQcXXJRZlrbNZ7OgmnEbDx38UmmH7z19GRYEzXFiVOzHAy1OAaAbST7g2bHZHDKQp2qm3w==" saltValue="iRVuL+373yLHv0ZHzS9qog==" spinCount="100000" sqref="AG57:AH57 AJ57 AL57" name="Rango2_88_7_5_18"/>
    <protectedRange algorithmName="SHA-512" hashValue="NkG6oHuDGvGBEiLAAq8MEJHEfLQUMyjihfH+DBXhT+eQW0r1yri7tOJEFRM9nbOejjjXiviq9RFo7KB7wF+xJA==" saltValue="bpjB0AAANu2X/PeR3eiFkA==" spinCount="100000" sqref="AM57:AS57" name="Rango2_88_65_18"/>
    <protectedRange algorithmName="SHA-512" hashValue="fPHvtIAf3pQeZUoAI9C2/vdXMHBpqqEq+67P5Ypyu4+9IWqs3yc9TZcMWQ0THLxUwqseQPyVvakuYFtCwJHsxA==" saltValue="QHIogSs2PrwAfdqa9PAOFQ==" spinCount="100000" sqref="AC57" name="Rango2_88_5_5_18"/>
    <protectedRange algorithmName="SHA-512" hashValue="LEEeiU6pKqm7TAP46VGlz0q+evvFwpT/0iLpRuWuQ7MacbP0OGL1/FSmrIEOg2rb6M+Jla2bPbVWiGag27j87w==" saltValue="HEVt+pS5OloNDlqSnzGLLw==" spinCount="100000" sqref="AI57" name="Rango2_8_7_18"/>
    <protectedRange algorithmName="SHA-512" hashValue="q2z5hEFmXS0v2chiPTC/VCoDWNlnhp+Xe6Ybfxe48vIsnB/KTJQxJv+pFUnCXfZ9T6vyJopuqFFNROfQTW/JUw==" saltValue="IctfdGJb5tOTpq+KPi9vww==" spinCount="100000" sqref="AE57:AF57" name="Rango2_88_39_34"/>
    <protectedRange algorithmName="SHA-512" hashValue="AYYX88LSDB6RDNMvSqt0KPGWPjBqTk56tMxTOlv5QD61MGTKAAQnSnudvNDWPN0Bbllh2qRQC+P5uq7goxjdrw==" saltValue="i/iPMewnks1FoXYOjKMEVg==" spinCount="100000" sqref="AB57" name="Rango2_87_6_18"/>
    <protectedRange algorithmName="SHA-512" hashValue="NUll9P9xh7KbSfMYpMxsRZLfDw/y/AzW2LSWlpXVscBDqiAxmzo71xjs+a2lh+jRa7pceOC849slke4+ZKx8LA==" saltValue="8qbkKpQ+CiQuLnqgShNvXA==" spinCount="100000" sqref="T57" name="Rango2_88_6_18"/>
    <protectedRange algorithmName="SHA-512" hashValue="KHhv3JU/LRdRrRTxxkgFceEHPZ5UzadmpZRZR3zmQRnPvkUJZuanRafIJ+qde0IWwLZSvFIQDyUAHq6v6k7XIg==" saltValue="2GKG1kCzVNNcn+vbOPuhJA==" spinCount="100000" sqref="Q57" name="Rango2_2_5_18"/>
    <protectedRange algorithmName="SHA-512" hashValue="XZw03RosI/l0z9FxmTtF29EdZ7P+4+ybhqoaAAUmURojSR5XbGfjC4f2i8gMqfY+RI9JvfdCA6PSh9TduXfUxA==" saltValue="5TPtLq2WoiRSae/yaDPnTw==" spinCount="100000" sqref="AT57 CV57:CY57 CP57:CQ57 CS57:CT57 BZ57:CB57 CJ57:CK57 AV57 O57 R57:S57 U57:AA57 BR57:BU57 CE57:CF57 DA57:DN57 BJ57:BK57" name="Rango2_99_34"/>
    <protectedRange algorithmName="SHA-512" hashValue="9+DNppQbWrLYYUMoJ+lyQctV2bX3Vq9kZnegLbpjTLP49It2ovUbcartuoQTeXgP+TGpY//7mDH/UQlFCKDGiA==" saltValue="KUnni6YEm00anzSSvyLqQA==" spinCount="100000" sqref="AD57" name="Rango2_98"/>
    <protectedRange algorithmName="SHA-512" hashValue="RQ91b7oAw60DVtcgB2vRpial2kSdzJx5guGCTYUwXYkKrtrUHfiYnLf9R+SNpYXlJDYpyEJLhcWwP0EqNN86dQ==" saltValue="W3RbH3zrcY9sy39xNwXNxg==" spinCount="100000" sqref="BV58:BY58 BC58:BI58" name="Rango2_88_99_19"/>
    <protectedRange algorithmName="SHA-512" hashValue="fMbmUM1DQ7FuAPRNvFL5mPdHUYjQnlLFhkuaxvHguaqR7aWyDxcmJs0jLYQfQKY+oyhsMb4Lew4VL6i7um3/ew==" saltValue="ydaTm0CeH8+/cYqoL/AMaQ==" spinCount="100000" sqref="AU58 AW58:BB58" name="Rango2_88_91_19"/>
    <protectedRange algorithmName="SHA-512" hashValue="CHipOQaT63FWw628cQcXXJRZlrbNZ7OgmnEbDx38UmmH7z19GRYEzXFiVOzHAy1OAaAbST7g2bHZHDKQp2qm3w==" saltValue="iRVuL+373yLHv0ZHzS9qog==" spinCount="100000" sqref="AG58:AH58 AJ58 AL58" name="Rango2_88_7_5_19"/>
    <protectedRange algorithmName="SHA-512" hashValue="NkG6oHuDGvGBEiLAAq8MEJHEfLQUMyjihfH+DBXhT+eQW0r1yri7tOJEFRM9nbOejjjXiviq9RFo7KB7wF+xJA==" saltValue="bpjB0AAANu2X/PeR3eiFkA==" spinCount="100000" sqref="AM58:AS58" name="Rango2_88_65_19"/>
    <protectedRange algorithmName="SHA-512" hashValue="fPHvtIAf3pQeZUoAI9C2/vdXMHBpqqEq+67P5Ypyu4+9IWqs3yc9TZcMWQ0THLxUwqseQPyVvakuYFtCwJHsxA==" saltValue="QHIogSs2PrwAfdqa9PAOFQ==" spinCount="100000" sqref="AC58" name="Rango2_88_5_5_19"/>
    <protectedRange algorithmName="SHA-512" hashValue="LEEeiU6pKqm7TAP46VGlz0q+evvFwpT/0iLpRuWuQ7MacbP0OGL1/FSmrIEOg2rb6M+Jla2bPbVWiGag27j87w==" saltValue="HEVt+pS5OloNDlqSnzGLLw==" spinCount="100000" sqref="AI58" name="Rango2_8_7_19"/>
    <protectedRange algorithmName="SHA-512" hashValue="q2z5hEFmXS0v2chiPTC/VCoDWNlnhp+Xe6Ybfxe48vIsnB/KTJQxJv+pFUnCXfZ9T6vyJopuqFFNROfQTW/JUw==" saltValue="IctfdGJb5tOTpq+KPi9vww==" spinCount="100000" sqref="AE58:AF58" name="Rango2_88_39_35"/>
    <protectedRange algorithmName="SHA-512" hashValue="AYYX88LSDB6RDNMvSqt0KPGWPjBqTk56tMxTOlv5QD61MGTKAAQnSnudvNDWPN0Bbllh2qRQC+P5uq7goxjdrw==" saltValue="i/iPMewnks1FoXYOjKMEVg==" spinCount="100000" sqref="AB58" name="Rango2_87_6_19"/>
    <protectedRange algorithmName="SHA-512" hashValue="NUll9P9xh7KbSfMYpMxsRZLfDw/y/AzW2LSWlpXVscBDqiAxmzo71xjs+a2lh+jRa7pceOC849slke4+ZKx8LA==" saltValue="8qbkKpQ+CiQuLnqgShNvXA==" spinCount="100000" sqref="T58" name="Rango2_88_6_19"/>
    <protectedRange algorithmName="SHA-512" hashValue="KHhv3JU/LRdRrRTxxkgFceEHPZ5UzadmpZRZR3zmQRnPvkUJZuanRafIJ+qde0IWwLZSvFIQDyUAHq6v6k7XIg==" saltValue="2GKG1kCzVNNcn+vbOPuhJA==" spinCount="100000" sqref="Q58" name="Rango2_2_5_19"/>
    <protectedRange algorithmName="SHA-512" hashValue="XZw03RosI/l0z9FxmTtF29EdZ7P+4+ybhqoaAAUmURojSR5XbGfjC4f2i8gMqfY+RI9JvfdCA6PSh9TduXfUxA==" saltValue="5TPtLq2WoiRSae/yaDPnTw==" spinCount="100000" sqref="AT58 CV58:CY58 CP58:CQ58 CS58:CT58 BZ58:CB58 CJ58:CK58 AV58 O58 R58:S58 U58:AA58 CE58:CF58 BR58:BU58 DA58:DN58 BJ58:BK58" name="Rango2_99_35"/>
    <protectedRange algorithmName="SHA-512" hashValue="RQ91b7oAw60DVtcgB2vRpial2kSdzJx5guGCTYUwXYkKrtrUHfiYnLf9R+SNpYXlJDYpyEJLhcWwP0EqNN86dQ==" saltValue="W3RbH3zrcY9sy39xNwXNxg==" spinCount="100000" sqref="BV59:BY59 BC59:BI59" name="Rango2_88_99_20"/>
    <protectedRange algorithmName="SHA-512" hashValue="fMbmUM1DQ7FuAPRNvFL5mPdHUYjQnlLFhkuaxvHguaqR7aWyDxcmJs0jLYQfQKY+oyhsMb4Lew4VL6i7um3/ew==" saltValue="ydaTm0CeH8+/cYqoL/AMaQ==" spinCount="100000" sqref="AU59 AW59:BB59" name="Rango2_88_91_20"/>
    <protectedRange algorithmName="SHA-512" hashValue="CHipOQaT63FWw628cQcXXJRZlrbNZ7OgmnEbDx38UmmH7z19GRYEzXFiVOzHAy1OAaAbST7g2bHZHDKQp2qm3w==" saltValue="iRVuL+373yLHv0ZHzS9qog==" spinCount="100000" sqref="AG59:AH59 AJ59 AL59" name="Rango2_88_7_5_20"/>
    <protectedRange algorithmName="SHA-512" hashValue="NkG6oHuDGvGBEiLAAq8MEJHEfLQUMyjihfH+DBXhT+eQW0r1yri7tOJEFRM9nbOejjjXiviq9RFo7KB7wF+xJA==" saltValue="bpjB0AAANu2X/PeR3eiFkA==" spinCount="100000" sqref="AM59:AS59" name="Rango2_88_65_20"/>
    <protectedRange algorithmName="SHA-512" hashValue="fPHvtIAf3pQeZUoAI9C2/vdXMHBpqqEq+67P5Ypyu4+9IWqs3yc9TZcMWQ0THLxUwqseQPyVvakuYFtCwJHsxA==" saltValue="QHIogSs2PrwAfdqa9PAOFQ==" spinCount="100000" sqref="AC59" name="Rango2_88_5_5_20"/>
    <protectedRange algorithmName="SHA-512" hashValue="LEEeiU6pKqm7TAP46VGlz0q+evvFwpT/0iLpRuWuQ7MacbP0OGL1/FSmrIEOg2rb6M+Jla2bPbVWiGag27j87w==" saltValue="HEVt+pS5OloNDlqSnzGLLw==" spinCount="100000" sqref="AI59" name="Rango2_8_7_20"/>
    <protectedRange algorithmName="SHA-512" hashValue="q2z5hEFmXS0v2chiPTC/VCoDWNlnhp+Xe6Ybfxe48vIsnB/KTJQxJv+pFUnCXfZ9T6vyJopuqFFNROfQTW/JUw==" saltValue="IctfdGJb5tOTpq+KPi9vww==" spinCount="100000" sqref="AE59:AF59" name="Rango2_88_39_36"/>
    <protectedRange algorithmName="SHA-512" hashValue="AYYX88LSDB6RDNMvSqt0KPGWPjBqTk56tMxTOlv5QD61MGTKAAQnSnudvNDWPN0Bbllh2qRQC+P5uq7goxjdrw==" saltValue="i/iPMewnks1FoXYOjKMEVg==" spinCount="100000" sqref="AB59" name="Rango2_87_6_20"/>
    <protectedRange algorithmName="SHA-512" hashValue="NUll9P9xh7KbSfMYpMxsRZLfDw/y/AzW2LSWlpXVscBDqiAxmzo71xjs+a2lh+jRa7pceOC849slke4+ZKx8LA==" saltValue="8qbkKpQ+CiQuLnqgShNvXA==" spinCount="100000" sqref="T59" name="Rango2_88_6_20"/>
    <protectedRange algorithmName="SHA-512" hashValue="KHhv3JU/LRdRrRTxxkgFceEHPZ5UzadmpZRZR3zmQRnPvkUJZuanRafIJ+qde0IWwLZSvFIQDyUAHq6v6k7XIg==" saltValue="2GKG1kCzVNNcn+vbOPuhJA==" spinCount="100000" sqref="Q59" name="Rango2_2_5_20"/>
    <protectedRange algorithmName="SHA-512" hashValue="XZw03RosI/l0z9FxmTtF29EdZ7P+4+ybhqoaAAUmURojSR5XbGfjC4f2i8gMqfY+RI9JvfdCA6PSh9TduXfUxA==" saltValue="5TPtLq2WoiRSae/yaDPnTw==" spinCount="100000" sqref="AT59 CV59:CY59 CP59:CQ59 CS59:CT59 BZ59:CB59 CJ59:CK59 AV59 O59 R59:S59 U59:AA59 CE59:CF59 BR59:BU59 DA59:DN59 BJ59:BK59" name="Rango2_99_36"/>
    <protectedRange algorithmName="SHA-512" hashValue="RQ91b7oAw60DVtcgB2vRpial2kSdzJx5guGCTYUwXYkKrtrUHfiYnLf9R+SNpYXlJDYpyEJLhcWwP0EqNN86dQ==" saltValue="W3RbH3zrcY9sy39xNwXNxg==" spinCount="100000" sqref="BA60:BI60 BV60:BY60" name="Rango2_88_99_21"/>
    <protectedRange algorithmName="SHA-512" hashValue="fMbmUM1DQ7FuAPRNvFL5mPdHUYjQnlLFhkuaxvHguaqR7aWyDxcmJs0jLYQfQKY+oyhsMb4Lew4VL6i7um3/ew==" saltValue="ydaTm0CeH8+/cYqoL/AMaQ==" spinCount="100000" sqref="AW60:AZ60 AU60" name="Rango2_88_91_21"/>
    <protectedRange algorithmName="SHA-512" hashValue="CHipOQaT63FWw628cQcXXJRZlrbNZ7OgmnEbDx38UmmH7z19GRYEzXFiVOzHAy1OAaAbST7g2bHZHDKQp2qm3w==" saltValue="iRVuL+373yLHv0ZHzS9qog==" spinCount="100000" sqref="AG60:AH60 AJ60 AL60" name="Rango2_88_7_5_21"/>
    <protectedRange algorithmName="SHA-512" hashValue="NkG6oHuDGvGBEiLAAq8MEJHEfLQUMyjihfH+DBXhT+eQW0r1yri7tOJEFRM9nbOejjjXiviq9RFo7KB7wF+xJA==" saltValue="bpjB0AAANu2X/PeR3eiFkA==" spinCount="100000" sqref="AM60:AS60" name="Rango2_88_65_21"/>
    <protectedRange algorithmName="SHA-512" hashValue="fPHvtIAf3pQeZUoAI9C2/vdXMHBpqqEq+67P5Ypyu4+9IWqs3yc9TZcMWQ0THLxUwqseQPyVvakuYFtCwJHsxA==" saltValue="QHIogSs2PrwAfdqa9PAOFQ==" spinCount="100000" sqref="AC60" name="Rango2_88_5_5_21"/>
    <protectedRange algorithmName="SHA-512" hashValue="LEEeiU6pKqm7TAP46VGlz0q+evvFwpT/0iLpRuWuQ7MacbP0OGL1/FSmrIEOg2rb6M+Jla2bPbVWiGag27j87w==" saltValue="HEVt+pS5OloNDlqSnzGLLw==" spinCount="100000" sqref="AI60" name="Rango2_8_7_21"/>
    <protectedRange algorithmName="SHA-512" hashValue="q2z5hEFmXS0v2chiPTC/VCoDWNlnhp+Xe6Ybfxe48vIsnB/KTJQxJv+pFUnCXfZ9T6vyJopuqFFNROfQTW/JUw==" saltValue="IctfdGJb5tOTpq+KPi9vww==" spinCount="100000" sqref="AE60:AF60" name="Rango2_88_39_37"/>
    <protectedRange algorithmName="SHA-512" hashValue="AYYX88LSDB6RDNMvSqt0KPGWPjBqTk56tMxTOlv5QD61MGTKAAQnSnudvNDWPN0Bbllh2qRQC+P5uq7goxjdrw==" saltValue="i/iPMewnks1FoXYOjKMEVg==" spinCount="100000" sqref="AB60" name="Rango2_87_6_21"/>
    <protectedRange algorithmName="SHA-512" hashValue="NUll9P9xh7KbSfMYpMxsRZLfDw/y/AzW2LSWlpXVscBDqiAxmzo71xjs+a2lh+jRa7pceOC849slke4+ZKx8LA==" saltValue="8qbkKpQ+CiQuLnqgShNvXA==" spinCount="100000" sqref="T60" name="Rango2_88_6_21"/>
    <protectedRange algorithmName="SHA-512" hashValue="KHhv3JU/LRdRrRTxxkgFceEHPZ5UzadmpZRZR3zmQRnPvkUJZuanRafIJ+qde0IWwLZSvFIQDyUAHq6v6k7XIg==" saltValue="2GKG1kCzVNNcn+vbOPuhJA==" spinCount="100000" sqref="Q60" name="Rango2_2_5_21"/>
    <protectedRange algorithmName="SHA-512" hashValue="XZw03RosI/l0z9FxmTtF29EdZ7P+4+ybhqoaAAUmURojSR5XbGfjC4f2i8gMqfY+RI9JvfdCA6PSh9TduXfUxA==" saltValue="5TPtLq2WoiRSae/yaDPnTw==" spinCount="100000" sqref="O60 BZ60:CB60 U60:AA60 R60:S60 DA60:DN60 AT60 AV60 CV60:CY60 CP60:CQ60 CS60:CT60 CJ60:CK60 BR60:BU60 CE60:CF60 BJ60:BL60" name="Rango2_99_37"/>
    <protectedRange algorithmName="SHA-512" hashValue="RQ91b7oAw60DVtcgB2vRpial2kSdzJx5guGCTYUwXYkKrtrUHfiYnLf9R+SNpYXlJDYpyEJLhcWwP0EqNN86dQ==" saltValue="W3RbH3zrcY9sy39xNwXNxg==" spinCount="100000" sqref="BA61:BI61 BV61:BY61" name="Rango2_88_99_22"/>
    <protectedRange algorithmName="SHA-512" hashValue="fMbmUM1DQ7FuAPRNvFL5mPdHUYjQnlLFhkuaxvHguaqR7aWyDxcmJs0jLYQfQKY+oyhsMb4Lew4VL6i7um3/ew==" saltValue="ydaTm0CeH8+/cYqoL/AMaQ==" spinCount="100000" sqref="AW61:AZ61 AU61" name="Rango2_88_91_22"/>
    <protectedRange algorithmName="SHA-512" hashValue="CHipOQaT63FWw628cQcXXJRZlrbNZ7OgmnEbDx38UmmH7z19GRYEzXFiVOzHAy1OAaAbST7g2bHZHDKQp2qm3w==" saltValue="iRVuL+373yLHv0ZHzS9qog==" spinCount="100000" sqref="AG61:AH61 AJ61 AL61" name="Rango2_88_7_5_22"/>
    <protectedRange algorithmName="SHA-512" hashValue="NkG6oHuDGvGBEiLAAq8MEJHEfLQUMyjihfH+DBXhT+eQW0r1yri7tOJEFRM9nbOejjjXiviq9RFo7KB7wF+xJA==" saltValue="bpjB0AAANu2X/PeR3eiFkA==" spinCount="100000" sqref="AM61:AS61" name="Rango2_88_65_22"/>
    <protectedRange algorithmName="SHA-512" hashValue="LEEeiU6pKqm7TAP46VGlz0q+evvFwpT/0iLpRuWuQ7MacbP0OGL1/FSmrIEOg2rb6M+Jla2bPbVWiGag27j87w==" saltValue="HEVt+pS5OloNDlqSnzGLLw==" spinCount="100000" sqref="AI61" name="Rango2_8_7_22"/>
    <protectedRange algorithmName="SHA-512" hashValue="q2z5hEFmXS0v2chiPTC/VCoDWNlnhp+Xe6Ybfxe48vIsnB/KTJQxJv+pFUnCXfZ9T6vyJopuqFFNROfQTW/JUw==" saltValue="IctfdGJb5tOTpq+KPi9vww==" spinCount="100000" sqref="AE61:AF61" name="Rango2_88_39_38"/>
    <protectedRange algorithmName="SHA-512" hashValue="AYYX88LSDB6RDNMvSqt0KPGWPjBqTk56tMxTOlv5QD61MGTKAAQnSnudvNDWPN0Bbllh2qRQC+P5uq7goxjdrw==" saltValue="i/iPMewnks1FoXYOjKMEVg==" spinCount="100000" sqref="AB61" name="Rango2_87_6_22"/>
    <protectedRange algorithmName="SHA-512" hashValue="NUll9P9xh7KbSfMYpMxsRZLfDw/y/AzW2LSWlpXVscBDqiAxmzo71xjs+a2lh+jRa7pceOC849slke4+ZKx8LA==" saltValue="8qbkKpQ+CiQuLnqgShNvXA==" spinCount="100000" sqref="T61" name="Rango2_88_6_22"/>
    <protectedRange algorithmName="SHA-512" hashValue="KHhv3JU/LRdRrRTxxkgFceEHPZ5UzadmpZRZR3zmQRnPvkUJZuanRafIJ+qde0IWwLZSvFIQDyUAHq6v6k7XIg==" saltValue="2GKG1kCzVNNcn+vbOPuhJA==" spinCount="100000" sqref="Q61" name="Rango2_2_5_22"/>
    <protectedRange algorithmName="SHA-512" hashValue="XZw03RosI/l0z9FxmTtF29EdZ7P+4+ybhqoaAAUmURojSR5XbGfjC4f2i8gMqfY+RI9JvfdCA6PSh9TduXfUxA==" saltValue="5TPtLq2WoiRSae/yaDPnTw==" spinCount="100000" sqref="U61:Y61 AA61 O61 R61:S61 AT61 AV61 CV61:CY61 CP61:CQ61 CS61:CT61 BZ61:CB61 CJ61:CK61 BR61:BU61 CE61:CF61 DA61:DN61" name="Rango2_99_38"/>
    <protectedRange algorithmName="SHA-512" hashValue="XZw03RosI/l0z9FxmTtF29EdZ7P+4+ybhqoaAAUmURojSR5XbGfjC4f2i8gMqfY+RI9JvfdCA6PSh9TduXfUxA==" saltValue="5TPtLq2WoiRSae/yaDPnTw==" spinCount="100000" sqref="Z61" name="Rango2_99_7_1"/>
    <protectedRange algorithmName="SHA-512" hashValue="fPHvtIAf3pQeZUoAI9C2/vdXMHBpqqEq+67P5Ypyu4+9IWqs3yc9TZcMWQ0THLxUwqseQPyVvakuYFtCwJHsxA==" saltValue="QHIogSs2PrwAfdqa9PAOFQ==" spinCount="100000" sqref="AC61" name="Rango2_88_5_5_4_1"/>
    <protectedRange algorithmName="SHA-512" hashValue="XZw03RosI/l0z9FxmTtF29EdZ7P+4+ybhqoaAAUmURojSR5XbGfjC4f2i8gMqfY+RI9JvfdCA6PSh9TduXfUxA==" saltValue="5TPtLq2WoiRSae/yaDPnTw==" spinCount="100000" sqref="BJ61" name="Rango2_99_23_1"/>
    <protectedRange algorithmName="SHA-512" hashValue="XZw03RosI/l0z9FxmTtF29EdZ7P+4+ybhqoaAAUmURojSR5XbGfjC4f2i8gMqfY+RI9JvfdCA6PSh9TduXfUxA==" saltValue="5TPtLq2WoiRSae/yaDPnTw==" spinCount="100000" sqref="BK61" name="Rango2_99_24_1"/>
    <protectedRange algorithmName="SHA-512" hashValue="RQ91b7oAw60DVtcgB2vRpial2kSdzJx5guGCTYUwXYkKrtrUHfiYnLf9R+SNpYXlJDYpyEJLhcWwP0EqNN86dQ==" saltValue="W3RbH3zrcY9sy39xNwXNxg==" spinCount="100000" sqref="BV62:BY62 BA62:BI62" name="Rango2_88_99_23"/>
    <protectedRange algorithmName="SHA-512" hashValue="fMbmUM1DQ7FuAPRNvFL5mPdHUYjQnlLFhkuaxvHguaqR7aWyDxcmJs0jLYQfQKY+oyhsMb4Lew4VL6i7um3/ew==" saltValue="ydaTm0CeH8+/cYqoL/AMaQ==" spinCount="100000" sqref="AW62:AZ62 AU62" name="Rango2_88_91_23"/>
    <protectedRange algorithmName="SHA-512" hashValue="CHipOQaT63FWw628cQcXXJRZlrbNZ7OgmnEbDx38UmmH7z19GRYEzXFiVOzHAy1OAaAbST7g2bHZHDKQp2qm3w==" saltValue="iRVuL+373yLHv0ZHzS9qog==" spinCount="100000" sqref="AG62:AH62 AJ62 AL62" name="Rango2_88_7_5_23"/>
    <protectedRange algorithmName="SHA-512" hashValue="NkG6oHuDGvGBEiLAAq8MEJHEfLQUMyjihfH+DBXhT+eQW0r1yri7tOJEFRM9nbOejjjXiviq9RFo7KB7wF+xJA==" saltValue="bpjB0AAANu2X/PeR3eiFkA==" spinCount="100000" sqref="AM62:AS62" name="Rango2_88_65_23"/>
    <protectedRange algorithmName="SHA-512" hashValue="fPHvtIAf3pQeZUoAI9C2/vdXMHBpqqEq+67P5Ypyu4+9IWqs3yc9TZcMWQ0THLxUwqseQPyVvakuYFtCwJHsxA==" saltValue="QHIogSs2PrwAfdqa9PAOFQ==" spinCount="100000" sqref="AC62" name="Rango2_88_5_5_22"/>
    <protectedRange algorithmName="SHA-512" hashValue="LEEeiU6pKqm7TAP46VGlz0q+evvFwpT/0iLpRuWuQ7MacbP0OGL1/FSmrIEOg2rb6M+Jla2bPbVWiGag27j87w==" saltValue="HEVt+pS5OloNDlqSnzGLLw==" spinCount="100000" sqref="AI62" name="Rango2_8_7_23"/>
    <protectedRange algorithmName="SHA-512" hashValue="q2z5hEFmXS0v2chiPTC/VCoDWNlnhp+Xe6Ybfxe48vIsnB/KTJQxJv+pFUnCXfZ9T6vyJopuqFFNROfQTW/JUw==" saltValue="IctfdGJb5tOTpq+KPi9vww==" spinCount="100000" sqref="AE62:AF62" name="Rango2_88_39_39"/>
    <protectedRange algorithmName="SHA-512" hashValue="AYYX88LSDB6RDNMvSqt0KPGWPjBqTk56tMxTOlv5QD61MGTKAAQnSnudvNDWPN0Bbllh2qRQC+P5uq7goxjdrw==" saltValue="i/iPMewnks1FoXYOjKMEVg==" spinCount="100000" sqref="AB62" name="Rango2_87_6_23"/>
    <protectedRange algorithmName="SHA-512" hashValue="NUll9P9xh7KbSfMYpMxsRZLfDw/y/AzW2LSWlpXVscBDqiAxmzo71xjs+a2lh+jRa7pceOC849slke4+ZKx8LA==" saltValue="8qbkKpQ+CiQuLnqgShNvXA==" spinCount="100000" sqref="T62" name="Rango2_88_6_23"/>
    <protectedRange algorithmName="SHA-512" hashValue="KHhv3JU/LRdRrRTxxkgFceEHPZ5UzadmpZRZR3zmQRnPvkUJZuanRafIJ+qde0IWwLZSvFIQDyUAHq6v6k7XIg==" saltValue="2GKG1kCzVNNcn+vbOPuhJA==" spinCount="100000" sqref="Q62" name="Rango2_2_5_23"/>
    <protectedRange algorithmName="SHA-512" hashValue="XZw03RosI/l0z9FxmTtF29EdZ7P+4+ybhqoaAAUmURojSR5XbGfjC4f2i8gMqfY+RI9JvfdCA6PSh9TduXfUxA==" saltValue="5TPtLq2WoiRSae/yaDPnTw==" spinCount="100000" sqref="R62:S62 CV62:CY62 CP62:CQ62 CS62:CT62 BZ62:CB62 CJ62:CK62 BR62:BU62 CE62:CF62 O62 AT62 AV62 U62:AA62 BJ62:BK62 DA62:DN62" name="Rango2_99_39"/>
    <protectedRange algorithmName="SHA-512" hashValue="EEHzbvEYwO1eufllBljOz0uf9BJ2ENtvOScQ7IsS321QhYbwKn7qhHKKP8cKj02rTDvVRMWvwQ1ZP0mZWsBprQ==" saltValue="CjXqBRFbKezlWOFV37MnDQ==" spinCount="100000" sqref="GN56 GW56 GQ56:GR56" name="Rango2_30_2_17"/>
    <protectedRange algorithmName="SHA-512" hashValue="Rgskw+AQdeJ5qbJdarzTa3SCkJfDGziy0Uan5N0F3IWn/H3Z/e+VcB56R7Nes7MPxNHewNP1sSSucVjz3iTLeA==" saltValue="qKZH3DnwaZHBzy3cBZo1qQ==" spinCount="100000" sqref="GF56" name="Rango2_31_28_16"/>
    <protectedRange algorithmName="SHA-512" hashValue="Umj9+5Ys20VQPxBFtc6qE5LtKKSgPKwit+B8dd4XnEUaLfBM2ozpkEC4YxwK0SbBiAHDDex+pY+LomQ0lyuamQ==" saltValue="N2/MCRws+mmA+NXw0axolg==" spinCount="100000" sqref="FY56 GL56 GE56 GH56 GJ56" name="Rango2_31_2_17"/>
    <protectedRange algorithmName="SHA-512" hashValue="q2z5hEFmXS0v2chiPTC/VCoDWNlnhp+Xe6Ybfxe48vIsnB/KTJQxJv+pFUnCXfZ9T6vyJopuqFFNROfQTW/JUw==" saltValue="IctfdGJb5tOTpq+KPi9vww==" spinCount="100000" sqref="IA56 ID56:IJ56" name="Rango2_88_39_40"/>
    <protectedRange algorithmName="SHA-512" hashValue="XZw03RosI/l0z9FxmTtF29EdZ7P+4+ybhqoaAAUmURojSR5XbGfjC4f2i8gMqfY+RI9JvfdCA6PSh9TduXfUxA==" saltValue="5TPtLq2WoiRSae/yaDPnTw==" spinCount="100000" sqref="FI56 EO56 FU56 FF56 EV56:EW56 ER56:ES56 FQ56:FR56 FZ56 GY56:GZ56 GK56 GM56 GO56 GT56 EA56:EJ56 IB56 FW56:FX56 IL56:IM56 HJ56 HU56:HZ56 IO56" name="Rango2_99_40"/>
    <protectedRange algorithmName="SHA-512" hashValue="YXHanhqXL0e4jPrzkCF8r/22WmlCviFUW909WKuG1JOcU0mp0/Huh0aP3EaGYxV2ep0WGu48HsShAy4Ka2uOiw==" saltValue="h/7U5iwJm7DLR4tRVfwZYw==" spinCount="100000" sqref="GI56 GC56" name="Rango2_33_17"/>
    <protectedRange algorithmName="SHA-512" hashValue="pL4tgTKqwEsWSIEGFTBd+4pvEhE7d5Q99Eijs+L/Y1rhA0saQGGRJw5Pv2HLOP0quglztFwB6WVnQ1YGxd4AiQ==" saltValue="IF5mhk2RcoEjrcYppes1VA==" spinCount="100000" sqref="FT56" name="Rango2_30_18"/>
    <protectedRange algorithmName="SHA-512" hashValue="EEHzbvEYwO1eufllBljOz0uf9BJ2ENtvOScQ7IsS321QhYbwKn7qhHKKP8cKj02rTDvVRMWvwQ1ZP0mZWsBprQ==" saltValue="CjXqBRFbKezlWOFV37MnDQ==" spinCount="100000" sqref="GN57 GW57 GQ57:GR57" name="Rango2_30_2_18"/>
    <protectedRange algorithmName="SHA-512" hashValue="Rgskw+AQdeJ5qbJdarzTa3SCkJfDGziy0Uan5N0F3IWn/H3Z/e+VcB56R7Nes7MPxNHewNP1sSSucVjz3iTLeA==" saltValue="qKZH3DnwaZHBzy3cBZo1qQ==" spinCount="100000" sqref="GF57" name="Rango2_31_28_17"/>
    <protectedRange algorithmName="SHA-512" hashValue="Umj9+5Ys20VQPxBFtc6qE5LtKKSgPKwit+B8dd4XnEUaLfBM2ozpkEC4YxwK0SbBiAHDDex+pY+LomQ0lyuamQ==" saltValue="N2/MCRws+mmA+NXw0axolg==" spinCount="100000" sqref="FY57 GL57 GB57 GE57 GH57 GJ57" name="Rango2_31_2_18"/>
    <protectedRange algorithmName="SHA-512" hashValue="q2z5hEFmXS0v2chiPTC/VCoDWNlnhp+Xe6Ybfxe48vIsnB/KTJQxJv+pFUnCXfZ9T6vyJopuqFFNROfQTW/JUw==" saltValue="IctfdGJb5tOTpq+KPi9vww==" spinCount="100000" sqref="IA57 ID57:IJ57" name="Rango2_88_39_41"/>
    <protectedRange algorithmName="SHA-512" hashValue="XZw03RosI/l0z9FxmTtF29EdZ7P+4+ybhqoaAAUmURojSR5XbGfjC4f2i8gMqfY+RI9JvfdCA6PSh9TduXfUxA==" saltValue="5TPtLq2WoiRSae/yaDPnTw==" spinCount="100000" sqref="FI57 EO57 FU57 FF57 EV57:EW57 ER57:ES57 FQ57:FR57 FZ57 GY57:GZ57 GK57 GM57 GO57 GT57 EA57:EJ57 IB57 FW57:FX57 IL57:IM57 HJ57 HU57:HZ57 IO57" name="Rango2_99_41"/>
    <protectedRange algorithmName="SHA-512" hashValue="YXHanhqXL0e4jPrzkCF8r/22WmlCviFUW909WKuG1JOcU0mp0/Huh0aP3EaGYxV2ep0WGu48HsShAy4Ka2uOiw==" saltValue="h/7U5iwJm7DLR4tRVfwZYw==" spinCount="100000" sqref="GI57 GC57" name="Rango2_33_18"/>
    <protectedRange algorithmName="SHA-512" hashValue="pL4tgTKqwEsWSIEGFTBd+4pvEhE7d5Q99Eijs+L/Y1rhA0saQGGRJw5Pv2HLOP0quglztFwB6WVnQ1YGxd4AiQ==" saltValue="IF5mhk2RcoEjrcYppes1VA==" spinCount="100000" sqref="FT57" name="Rango2_30_19"/>
    <protectedRange algorithmName="SHA-512" hashValue="EEHzbvEYwO1eufllBljOz0uf9BJ2ENtvOScQ7IsS321QhYbwKn7qhHKKP8cKj02rTDvVRMWvwQ1ZP0mZWsBprQ==" saltValue="CjXqBRFbKezlWOFV37MnDQ==" spinCount="100000" sqref="GN58 GW58 GQ58:GR58" name="Rango2_30_2_19"/>
    <protectedRange algorithmName="SHA-512" hashValue="Rgskw+AQdeJ5qbJdarzTa3SCkJfDGziy0Uan5N0F3IWn/H3Z/e+VcB56R7Nes7MPxNHewNP1sSSucVjz3iTLeA==" saltValue="qKZH3DnwaZHBzy3cBZo1qQ==" spinCount="100000" sqref="GF58" name="Rango2_31_28_18"/>
    <protectedRange algorithmName="SHA-512" hashValue="Umj9+5Ys20VQPxBFtc6qE5LtKKSgPKwit+B8dd4XnEUaLfBM2ozpkEC4YxwK0SbBiAHDDex+pY+LomQ0lyuamQ==" saltValue="N2/MCRws+mmA+NXw0axolg==" spinCount="100000" sqref="FY58 GL58 GE58 GH58 GJ58" name="Rango2_31_2_19"/>
    <protectedRange algorithmName="SHA-512" hashValue="q2z5hEFmXS0v2chiPTC/VCoDWNlnhp+Xe6Ybfxe48vIsnB/KTJQxJv+pFUnCXfZ9T6vyJopuqFFNROfQTW/JUw==" saltValue="IctfdGJb5tOTpq+KPi9vww==" spinCount="100000" sqref="IA58 ID58:IJ58" name="Rango2_88_39_42"/>
    <protectedRange algorithmName="SHA-512" hashValue="XZw03RosI/l0z9FxmTtF29EdZ7P+4+ybhqoaAAUmURojSR5XbGfjC4f2i8gMqfY+RI9JvfdCA6PSh9TduXfUxA==" saltValue="5TPtLq2WoiRSae/yaDPnTw==" spinCount="100000" sqref="EO58 FI58 FU58 FF58 EV58:EW58 ER58:ES58 FQ58:FR58 FZ58 GY58:GZ58 GK58 GM58 GO58 GT58 EA58:EJ58 IB58 FW58:FX58 IL58:IM58 HJ58 HU58:HZ58 IO58" name="Rango2_99_42"/>
    <protectedRange algorithmName="SHA-512" hashValue="YXHanhqXL0e4jPrzkCF8r/22WmlCviFUW909WKuG1JOcU0mp0/Huh0aP3EaGYxV2ep0WGu48HsShAy4Ka2uOiw==" saltValue="h/7U5iwJm7DLR4tRVfwZYw==" spinCount="100000" sqref="GI58 GC58" name="Rango2_33_19"/>
    <protectedRange algorithmName="SHA-512" hashValue="pL4tgTKqwEsWSIEGFTBd+4pvEhE7d5Q99Eijs+L/Y1rhA0saQGGRJw5Pv2HLOP0quglztFwB6WVnQ1YGxd4AiQ==" saltValue="IF5mhk2RcoEjrcYppes1VA==" spinCount="100000" sqref="FT58" name="Rango2_30_20"/>
    <protectedRange algorithmName="SHA-512" hashValue="EEHzbvEYwO1eufllBljOz0uf9BJ2ENtvOScQ7IsS321QhYbwKn7qhHKKP8cKj02rTDvVRMWvwQ1ZP0mZWsBprQ==" saltValue="CjXqBRFbKezlWOFV37MnDQ==" spinCount="100000" sqref="GN59 GW59 GQ59:GR59" name="Rango2_30_2_20"/>
    <protectedRange algorithmName="SHA-512" hashValue="Rgskw+AQdeJ5qbJdarzTa3SCkJfDGziy0Uan5N0F3IWn/H3Z/e+VcB56R7Nes7MPxNHewNP1sSSucVjz3iTLeA==" saltValue="qKZH3DnwaZHBzy3cBZo1qQ==" spinCount="100000" sqref="GF59" name="Rango2_31_28_19"/>
    <protectedRange algorithmName="SHA-512" hashValue="Umj9+5Ys20VQPxBFtc6qE5LtKKSgPKwit+B8dd4XnEUaLfBM2ozpkEC4YxwK0SbBiAHDDex+pY+LomQ0lyuamQ==" saltValue="N2/MCRws+mmA+NXw0axolg==" spinCount="100000" sqref="FY59 GL59 GB59 GE59 GH59 GJ59" name="Rango2_31_2_20"/>
    <protectedRange algorithmName="SHA-512" hashValue="q2z5hEFmXS0v2chiPTC/VCoDWNlnhp+Xe6Ybfxe48vIsnB/KTJQxJv+pFUnCXfZ9T6vyJopuqFFNROfQTW/JUw==" saltValue="IctfdGJb5tOTpq+KPi9vww==" spinCount="100000" sqref="IA59 ID59:IJ59" name="Rango2_88_39_43"/>
    <protectedRange algorithmName="SHA-512" hashValue="XZw03RosI/l0z9FxmTtF29EdZ7P+4+ybhqoaAAUmURojSR5XbGfjC4f2i8gMqfY+RI9JvfdCA6PSh9TduXfUxA==" saltValue="5TPtLq2WoiRSae/yaDPnTw==" spinCount="100000" sqref="EO59 FI59 FU59 FF59 EV59:EW59 ER59:ES59 FQ59:FR59 FZ59 GY59:GZ59 GK59 GM59 GO59 GT59 EA59:EJ59 IB59 FW59:FX59 IL59:IM59 HJ59 HU59:HZ59 IO59" name="Rango2_99_43"/>
    <protectedRange algorithmName="SHA-512" hashValue="YXHanhqXL0e4jPrzkCF8r/22WmlCviFUW909WKuG1JOcU0mp0/Huh0aP3EaGYxV2ep0WGu48HsShAy4Ka2uOiw==" saltValue="h/7U5iwJm7DLR4tRVfwZYw==" spinCount="100000" sqref="GI59 GC59" name="Rango2_33_20"/>
    <protectedRange algorithmName="SHA-512" hashValue="pL4tgTKqwEsWSIEGFTBd+4pvEhE7d5Q99Eijs+L/Y1rhA0saQGGRJw5Pv2HLOP0quglztFwB6WVnQ1YGxd4AiQ==" saltValue="IF5mhk2RcoEjrcYppes1VA==" spinCount="100000" sqref="FT59" name="Rango2_30_21"/>
    <protectedRange algorithmName="SHA-512" hashValue="EEHzbvEYwO1eufllBljOz0uf9BJ2ENtvOScQ7IsS321QhYbwKn7qhHKKP8cKj02rTDvVRMWvwQ1ZP0mZWsBprQ==" saltValue="CjXqBRFbKezlWOFV37MnDQ==" spinCount="100000" sqref="GN60 GW60 GQ60:GR60" name="Rango2_30_2_21"/>
    <protectedRange algorithmName="SHA-512" hashValue="Rgskw+AQdeJ5qbJdarzTa3SCkJfDGziy0Uan5N0F3IWn/H3Z/e+VcB56R7Nes7MPxNHewNP1sSSucVjz3iTLeA==" saltValue="qKZH3DnwaZHBzy3cBZo1qQ==" spinCount="100000" sqref="GF60" name="Rango2_31_28_20"/>
    <protectedRange algorithmName="SHA-512" hashValue="Umj9+5Ys20VQPxBFtc6qE5LtKKSgPKwit+B8dd4XnEUaLfBM2ozpkEC4YxwK0SbBiAHDDex+pY+LomQ0lyuamQ==" saltValue="N2/MCRws+mmA+NXw0axolg==" spinCount="100000" sqref="FY60 GL60 GE60 GH60 GJ60" name="Rango2_31_2_21"/>
    <protectedRange algorithmName="SHA-512" hashValue="q2z5hEFmXS0v2chiPTC/VCoDWNlnhp+Xe6Ybfxe48vIsnB/KTJQxJv+pFUnCXfZ9T6vyJopuqFFNROfQTW/JUw==" saltValue="IctfdGJb5tOTpq+KPi9vww==" spinCount="100000" sqref="IA60 ID60:IJ60" name="Rango2_88_39_44"/>
    <protectedRange algorithmName="SHA-512" hashValue="XZw03RosI/l0z9FxmTtF29EdZ7P+4+ybhqoaAAUmURojSR5XbGfjC4f2i8gMqfY+RI9JvfdCA6PSh9TduXfUxA==" saltValue="5TPtLq2WoiRSae/yaDPnTw==" spinCount="100000" sqref="EA60:EJ60 FI60 FW60:FX60 EO60 FU60 FF60 EV60:EW60 ER60:ES60 FQ60:FR60 FZ60 GY60:GZ60 GK60 GM60 GO60 GT60 IL60:IM60 HJ60 IB60 HU60:HZ60 IO60" name="Rango2_99_44"/>
    <protectedRange algorithmName="SHA-512" hashValue="YXHanhqXL0e4jPrzkCF8r/22WmlCviFUW909WKuG1JOcU0mp0/Huh0aP3EaGYxV2ep0WGu48HsShAy4Ka2uOiw==" saltValue="h/7U5iwJm7DLR4tRVfwZYw==" spinCount="100000" sqref="GI60 GC60" name="Rango2_33_21"/>
    <protectedRange algorithmName="SHA-512" hashValue="pL4tgTKqwEsWSIEGFTBd+4pvEhE7d5Q99Eijs+L/Y1rhA0saQGGRJw5Pv2HLOP0quglztFwB6WVnQ1YGxd4AiQ==" saltValue="IF5mhk2RcoEjrcYppes1VA==" spinCount="100000" sqref="FT60" name="Rango2_30_22"/>
    <protectedRange algorithmName="SHA-512" hashValue="9+DNppQbWrLYYUMoJ+lyQctV2bX3Vq9kZnegLbpjTLP49It2ovUbcartuoQTeXgP+TGpY//7mDH/UQlFCKDGiA==" saltValue="KUnni6YEm00anzSSvyLqQA==" spinCount="100000" sqref="FN61" name="Rango2_20_1"/>
    <protectedRange algorithmName="SHA-512" hashValue="9+DNppQbWrLYYUMoJ+lyQctV2bX3Vq9kZnegLbpjTLP49It2ovUbcartuoQTeXgP+TGpY//7mDH/UQlFCKDGiA==" saltValue="KUnni6YEm00anzSSvyLqQA==" spinCount="100000" sqref="FK61" name="Rango2_19_1"/>
    <protectedRange algorithmName="SHA-512" hashValue="9+DNppQbWrLYYUMoJ+lyQctV2bX3Vq9kZnegLbpjTLP49It2ovUbcartuoQTeXgP+TGpY//7mDH/UQlFCKDGiA==" saltValue="KUnni6YEm00anzSSvyLqQA==" spinCount="100000" sqref="FH61" name="Rango2_18_1"/>
    <protectedRange algorithmName="SHA-512" hashValue="9+DNppQbWrLYYUMoJ+lyQctV2bX3Vq9kZnegLbpjTLP49It2ovUbcartuoQTeXgP+TGpY//7mDH/UQlFCKDGiA==" saltValue="KUnni6YEm00anzSSvyLqQA==" spinCount="100000" sqref="FE61" name="Rango2_17_1"/>
    <protectedRange algorithmName="SHA-512" hashValue="9+DNppQbWrLYYUMoJ+lyQctV2bX3Vq9kZnegLbpjTLP49It2ovUbcartuoQTeXgP+TGpY//7mDH/UQlFCKDGiA==" saltValue="KUnni6YEm00anzSSvyLqQA==" spinCount="100000" sqref="HD61:HI61" name="Rango2_15_1"/>
    <protectedRange algorithmName="SHA-512" hashValue="EEHzbvEYwO1eufllBljOz0uf9BJ2ENtvOScQ7IsS321QhYbwKn7qhHKKP8cKj02rTDvVRMWvwQ1ZP0mZWsBprQ==" saltValue="CjXqBRFbKezlWOFV37MnDQ==" spinCount="100000" sqref="GN61 GW61 GQ61:GR61" name="Rango2_30_2_22"/>
    <protectedRange algorithmName="SHA-512" hashValue="Rgskw+AQdeJ5qbJdarzTa3SCkJfDGziy0Uan5N0F3IWn/H3Z/e+VcB56R7Nes7MPxNHewNP1sSSucVjz3iTLeA==" saltValue="qKZH3DnwaZHBzy3cBZo1qQ==" spinCount="100000" sqref="GF61" name="Rango2_31_28_21"/>
    <protectedRange algorithmName="SHA-512" hashValue="Umj9+5Ys20VQPxBFtc6qE5LtKKSgPKwit+B8dd4XnEUaLfBM2ozpkEC4YxwK0SbBiAHDDex+pY+LomQ0lyuamQ==" saltValue="N2/MCRws+mmA+NXw0axolg==" spinCount="100000" sqref="FY61 GL61 GE61 GH61 GJ61" name="Rango2_31_2_22"/>
    <protectedRange algorithmName="SHA-512" hashValue="q2z5hEFmXS0v2chiPTC/VCoDWNlnhp+Xe6Ybfxe48vIsnB/KTJQxJv+pFUnCXfZ9T6vyJopuqFFNROfQTW/JUw==" saltValue="IctfdGJb5tOTpq+KPi9vww==" spinCount="100000" sqref="ID61:IE61 IA61 IH61:IJ61" name="Rango2_88_39_45"/>
    <protectedRange algorithmName="SHA-512" hashValue="XZw03RosI/l0z9FxmTtF29EdZ7P+4+ybhqoaAAUmURojSR5XbGfjC4f2i8gMqfY+RI9JvfdCA6PSh9TduXfUxA==" saltValue="5TPtLq2WoiRSae/yaDPnTw==" spinCount="100000" sqref="FI61 FW61:FX61 EO61 FU61 FF61 EV61:EW61 ER61:ES61 FQ61:FR61 FZ61 GY61:GZ61 GK61 GM61 GO61 GT61 IL61:IM61 HJ61 IB61 EA61:EJ61 HU61:HZ61 IO61" name="Rango2_99_45"/>
    <protectedRange algorithmName="SHA-512" hashValue="YXHanhqXL0e4jPrzkCF8r/22WmlCviFUW909WKuG1JOcU0mp0/Huh0aP3EaGYxV2ep0WGu48HsShAy4Ka2uOiw==" saltValue="h/7U5iwJm7DLR4tRVfwZYw==" spinCount="100000" sqref="GI61 GC61" name="Rango2_33_22"/>
    <protectedRange algorithmName="SHA-512" hashValue="pL4tgTKqwEsWSIEGFTBd+4pvEhE7d5Q99Eijs+L/Y1rhA0saQGGRJw5Pv2HLOP0quglztFwB6WVnQ1YGxd4AiQ==" saltValue="IF5mhk2RcoEjrcYppes1VA==" spinCount="100000" sqref="FT61" name="Rango2_30_23"/>
    <protectedRange algorithmName="SHA-512" hashValue="EEHzbvEYwO1eufllBljOz0uf9BJ2ENtvOScQ7IsS321QhYbwKn7qhHKKP8cKj02rTDvVRMWvwQ1ZP0mZWsBprQ==" saltValue="CjXqBRFbKezlWOFV37MnDQ==" spinCount="100000" sqref="GN62 GW62 GQ62:GR62" name="Rango2_30_2_23"/>
    <protectedRange algorithmName="SHA-512" hashValue="Rgskw+AQdeJ5qbJdarzTa3SCkJfDGziy0Uan5N0F3IWn/H3Z/e+VcB56R7Nes7MPxNHewNP1sSSucVjz3iTLeA==" saltValue="qKZH3DnwaZHBzy3cBZo1qQ==" spinCount="100000" sqref="GF62" name="Rango2_31_28_22"/>
    <protectedRange algorithmName="SHA-512" hashValue="Umj9+5Ys20VQPxBFtc6qE5LtKKSgPKwit+B8dd4XnEUaLfBM2ozpkEC4YxwK0SbBiAHDDex+pY+LomQ0lyuamQ==" saltValue="N2/MCRws+mmA+NXw0axolg==" spinCount="100000" sqref="FY62 GL62 GE62 GH62 GJ62" name="Rango2_31_2_23"/>
    <protectedRange algorithmName="SHA-512" hashValue="q2z5hEFmXS0v2chiPTC/VCoDWNlnhp+Xe6Ybfxe48vIsnB/KTJQxJv+pFUnCXfZ9T6vyJopuqFFNROfQTW/JUw==" saltValue="IctfdGJb5tOTpq+KPi9vww==" spinCount="100000" sqref="IA62 ID62:IJ62" name="Rango2_88_39_46"/>
    <protectedRange algorithmName="SHA-512" hashValue="XZw03RosI/l0z9FxmTtF29EdZ7P+4+ybhqoaAAUmURojSR5XbGfjC4f2i8gMqfY+RI9JvfdCA6PSh9TduXfUxA==" saltValue="5TPtLq2WoiRSae/yaDPnTw==" spinCount="100000" sqref="FI62 FW62:FX62 EO62 FU62 FF62 EV62:EW62 ER62:ES62 FQ62:FR62 FZ62 GY62:GZ62 GK62 GM62 GO62 GT62 IL62:IM62 HJ62 IB62 EA62:EJ62 HU62:HZ62 IO62" name="Rango2_99_46"/>
    <protectedRange algorithmName="SHA-512" hashValue="YXHanhqXL0e4jPrzkCF8r/22WmlCviFUW909WKuG1JOcU0mp0/Huh0aP3EaGYxV2ep0WGu48HsShAy4Ka2uOiw==" saltValue="h/7U5iwJm7DLR4tRVfwZYw==" spinCount="100000" sqref="GI62 GC62" name="Rango2_33_23"/>
    <protectedRange algorithmName="SHA-512" hashValue="pL4tgTKqwEsWSIEGFTBd+4pvEhE7d5Q99Eijs+L/Y1rhA0saQGGRJw5Pv2HLOP0quglztFwB6WVnQ1YGxd4AiQ==" saltValue="IF5mhk2RcoEjrcYppes1VA==" spinCount="100000" sqref="FT62" name="Rango2_30_24"/>
    <protectedRange algorithmName="SHA-512" hashValue="Gqwr8n5jYbCESAqCFk8dpOzViQICBV+k0xoqBoQaZ5lHaRlvT9TZDB4yXtm+qC6OhD064ZDBOFWkwo+LHXu1sg==" saltValue="gEL9PCN2ekF2IxW9yqAGYA==" spinCount="100000" sqref="IS56" name="Rango2_40_2_17"/>
    <protectedRange algorithmName="SHA-512" hashValue="D8TacORwT7iz0mF9GEucchnMHfB5er2FFjQsxyeWWyeJkM6Bt3gYQ3LbcHPxZXFpVAYtFOuTrzYOCJrlZDx16g==" saltValue="QtCzIBktdS4NZkOEGcLTRQ==" spinCount="100000" sqref="IW56" name="Rango2_41_17"/>
    <protectedRange algorithmName="SHA-512" hashValue="Gqwr8n5jYbCESAqCFk8dpOzViQICBV+k0xoqBoQaZ5lHaRlvT9TZDB4yXtm+qC6OhD064ZDBOFWkwo+LHXu1sg==" saltValue="gEL9PCN2ekF2IxW9yqAGYA==" spinCount="100000" sqref="IS57" name="Rango2_40_2_18"/>
    <protectedRange algorithmName="SHA-512" hashValue="D8TacORwT7iz0mF9GEucchnMHfB5er2FFjQsxyeWWyeJkM6Bt3gYQ3LbcHPxZXFpVAYtFOuTrzYOCJrlZDx16g==" saltValue="QtCzIBktdS4NZkOEGcLTRQ==" spinCount="100000" sqref="IW57" name="Rango2_41_18"/>
    <protectedRange algorithmName="SHA-512" hashValue="Gqwr8n5jYbCESAqCFk8dpOzViQICBV+k0xoqBoQaZ5lHaRlvT9TZDB4yXtm+qC6OhD064ZDBOFWkwo+LHXu1sg==" saltValue="gEL9PCN2ekF2IxW9yqAGYA==" spinCount="100000" sqref="IS58" name="Rango2_40_2_19"/>
    <protectedRange algorithmName="SHA-512" hashValue="D8TacORwT7iz0mF9GEucchnMHfB5er2FFjQsxyeWWyeJkM6Bt3gYQ3LbcHPxZXFpVAYtFOuTrzYOCJrlZDx16g==" saltValue="QtCzIBktdS4NZkOEGcLTRQ==" spinCount="100000" sqref="IW58" name="Rango2_41_19"/>
    <protectedRange algorithmName="SHA-512" hashValue="Gqwr8n5jYbCESAqCFk8dpOzViQICBV+k0xoqBoQaZ5lHaRlvT9TZDB4yXtm+qC6OhD064ZDBOFWkwo+LHXu1sg==" saltValue="gEL9PCN2ekF2IxW9yqAGYA==" spinCount="100000" sqref="IS59" name="Rango2_40_2_20"/>
    <protectedRange algorithmName="SHA-512" hashValue="D8TacORwT7iz0mF9GEucchnMHfB5er2FFjQsxyeWWyeJkM6Bt3gYQ3LbcHPxZXFpVAYtFOuTrzYOCJrlZDx16g==" saltValue="QtCzIBktdS4NZkOEGcLTRQ==" spinCount="100000" sqref="IW59" name="Rango2_41_20"/>
    <protectedRange algorithmName="SHA-512" hashValue="Gqwr8n5jYbCESAqCFk8dpOzViQICBV+k0xoqBoQaZ5lHaRlvT9TZDB4yXtm+qC6OhD064ZDBOFWkwo+LHXu1sg==" saltValue="gEL9PCN2ekF2IxW9yqAGYA==" spinCount="100000" sqref="IS60" name="Rango2_40_2_21"/>
    <protectedRange algorithmName="SHA-512" hashValue="D8TacORwT7iz0mF9GEucchnMHfB5er2FFjQsxyeWWyeJkM6Bt3gYQ3LbcHPxZXFpVAYtFOuTrzYOCJrlZDx16g==" saltValue="QtCzIBktdS4NZkOEGcLTRQ==" spinCount="100000" sqref="IW60" name="Rango2_41_21"/>
    <protectedRange algorithmName="SHA-512" hashValue="9+DNppQbWrLYYUMoJ+lyQctV2bX3Vq9kZnegLbpjTLP49It2ovUbcartuoQTeXgP+TGpY//7mDH/UQlFCKDGiA==" saltValue="KUnni6YEm00anzSSvyLqQA==" spinCount="100000" sqref="JC61" name="Rango2_21_1"/>
    <protectedRange algorithmName="SHA-512" hashValue="Gqwr8n5jYbCESAqCFk8dpOzViQICBV+k0xoqBoQaZ5lHaRlvT9TZDB4yXtm+qC6OhD064ZDBOFWkwo+LHXu1sg==" saltValue="gEL9PCN2ekF2IxW9yqAGYA==" spinCount="100000" sqref="IS61" name="Rango2_40_2_22"/>
    <protectedRange algorithmName="SHA-512" hashValue="D8TacORwT7iz0mF9GEucchnMHfB5er2FFjQsxyeWWyeJkM6Bt3gYQ3LbcHPxZXFpVAYtFOuTrzYOCJrlZDx16g==" saltValue="QtCzIBktdS4NZkOEGcLTRQ==" spinCount="100000" sqref="IW61" name="Rango2_41_22"/>
    <protectedRange algorithmName="SHA-512" hashValue="Gqwr8n5jYbCESAqCFk8dpOzViQICBV+k0xoqBoQaZ5lHaRlvT9TZDB4yXtm+qC6OhD064ZDBOFWkwo+LHXu1sg==" saltValue="gEL9PCN2ekF2IxW9yqAGYA==" spinCount="100000" sqref="IS62" name="Rango2_40_2_23"/>
    <protectedRange algorithmName="SHA-512" hashValue="D8TacORwT7iz0mF9GEucchnMHfB5er2FFjQsxyeWWyeJkM6Bt3gYQ3LbcHPxZXFpVAYtFOuTrzYOCJrlZDx16g==" saltValue="QtCzIBktdS4NZkOEGcLTRQ==" spinCount="100000" sqref="IW62" name="Rango2_41_23"/>
    <protectedRange algorithmName="SHA-512" hashValue="6a5oYwZw9WJcgjqXpleUXH8uaqNEuymPPpeOb7lKBc1WoM6IG/DNyDLWmj2lYwxnZO2yhl+B61kwrxD9m9AdhQ==" saltValue="tdNQPzLQd+n9Ww064QJIaQ==" spinCount="100000" sqref="I63" name="Rango2_61_4_1"/>
    <protectedRange algorithmName="SHA-512" hashValue="XM8+0Jh5zLWw02PI0Lt8dLqjTcW5ulySion19FAnruDN6QRp4UwcVqdfQxnOQAItgpWG7rNsELzjwy0iXOonxw==" saltValue="Sd4WFUedDfLKoMQTDrxJuQ==" spinCount="100000" sqref="K63" name="Rango2_88_4_4_4_1"/>
    <protectedRange algorithmName="SHA-512" hashValue="EMMPgE8t/az1rHHzaZAQIhz+GQV0k2O/tQGA96sJqEEMzz1efIRa4CcLzC7iY9CCscto3g7dwz41haOE28iXYg==" saltValue="CVzFsG4X4LXUMo7796PiDQ==" spinCount="100000" sqref="B63:H63 J63 L63:M63 C64:C88" name="Rango2_10_4_1"/>
    <protectedRange algorithmName="SHA-512" hashValue="6a5oYwZw9WJcgjqXpleUXH8uaqNEuymPPpeOb7lKBc1WoM6IG/DNyDLWmj2lYwxnZO2yhl+B61kwrxD9m9AdhQ==" saltValue="tdNQPzLQd+n9Ww064QJIaQ==" spinCount="100000" sqref="I64" name="Rango2_61_5_1"/>
    <protectedRange algorithmName="SHA-512" hashValue="XM8+0Jh5zLWw02PI0Lt8dLqjTcW5ulySion19FAnruDN6QRp4UwcVqdfQxnOQAItgpWG7rNsELzjwy0iXOonxw==" saltValue="Sd4WFUedDfLKoMQTDrxJuQ==" spinCount="100000" sqref="K64" name="Rango2_88_4_4_5_1"/>
    <protectedRange algorithmName="SHA-512" hashValue="EMMPgE8t/az1rHHzaZAQIhz+GQV0k2O/tQGA96sJqEEMzz1efIRa4CcLzC7iY9CCscto3g7dwz41haOE28iXYg==" saltValue="CVzFsG4X4LXUMo7796PiDQ==" spinCount="100000" sqref="B64 J64 L64:M64 D64:H64" name="Rango2_10_5_1"/>
    <protectedRange algorithmName="SHA-512" hashValue="6a5oYwZw9WJcgjqXpleUXH8uaqNEuymPPpeOb7lKBc1WoM6IG/DNyDLWmj2lYwxnZO2yhl+B61kwrxD9m9AdhQ==" saltValue="tdNQPzLQd+n9Ww064QJIaQ==" spinCount="100000" sqref="I65:I67" name="Rango2_61_7_1"/>
    <protectedRange algorithmName="SHA-512" hashValue="XM8+0Jh5zLWw02PI0Lt8dLqjTcW5ulySion19FAnruDN6QRp4UwcVqdfQxnOQAItgpWG7rNsELzjwy0iXOonxw==" saltValue="Sd4WFUedDfLKoMQTDrxJuQ==" spinCount="100000" sqref="K65:K67" name="Rango2_88_4_4_7_1"/>
    <protectedRange algorithmName="SHA-512" hashValue="EMMPgE8t/az1rHHzaZAQIhz+GQV0k2O/tQGA96sJqEEMzz1efIRa4CcLzC7iY9CCscto3g7dwz41haOE28iXYg==" saltValue="CVzFsG4X4LXUMo7796PiDQ==" spinCount="100000" sqref="B65:B67 J65:J67 L65:M67 D65:H67" name="Rango2_10_7_1"/>
    <protectedRange algorithmName="SHA-512" hashValue="6a5oYwZw9WJcgjqXpleUXH8uaqNEuymPPpeOb7lKBc1WoM6IG/DNyDLWmj2lYwxnZO2yhl+B61kwrxD9m9AdhQ==" saltValue="tdNQPzLQd+n9Ww064QJIaQ==" spinCount="100000" sqref="I68" name="Rango2_61_8"/>
    <protectedRange algorithmName="SHA-512" hashValue="XM8+0Jh5zLWw02PI0Lt8dLqjTcW5ulySion19FAnruDN6QRp4UwcVqdfQxnOQAItgpWG7rNsELzjwy0iXOonxw==" saltValue="Sd4WFUedDfLKoMQTDrxJuQ==" spinCount="100000" sqref="K68" name="Rango2_88_4_4_8"/>
    <protectedRange algorithmName="SHA-512" hashValue="EMMPgE8t/az1rHHzaZAQIhz+GQV0k2O/tQGA96sJqEEMzz1efIRa4CcLzC7iY9CCscto3g7dwz41haOE28iXYg==" saltValue="CVzFsG4X4LXUMo7796PiDQ==" spinCount="100000" sqref="B68 J68 L68:M68 D68:H68" name="Rango2_10_8"/>
    <protectedRange algorithmName="SHA-512" hashValue="6a5oYwZw9WJcgjqXpleUXH8uaqNEuymPPpeOb7lKBc1WoM6IG/DNyDLWmj2lYwxnZO2yhl+B61kwrxD9m9AdhQ==" saltValue="tdNQPzLQd+n9Ww064QJIaQ==" spinCount="100000" sqref="I69:I70" name="Rango2_61_9"/>
    <protectedRange algorithmName="SHA-512" hashValue="XM8+0Jh5zLWw02PI0Lt8dLqjTcW5ulySion19FAnruDN6QRp4UwcVqdfQxnOQAItgpWG7rNsELzjwy0iXOonxw==" saltValue="Sd4WFUedDfLKoMQTDrxJuQ==" spinCount="100000" sqref="K69:K70" name="Rango2_88_4_4_9"/>
    <protectedRange algorithmName="SHA-512" hashValue="EMMPgE8t/az1rHHzaZAQIhz+GQV0k2O/tQGA96sJqEEMzz1efIRa4CcLzC7iY9CCscto3g7dwz41haOE28iXYg==" saltValue="CVzFsG4X4LXUMo7796PiDQ==" spinCount="100000" sqref="B69:B70 J69:J70 L69:M70 D69:H70" name="Rango2_10_9"/>
    <protectedRange algorithmName="SHA-512" hashValue="6a5oYwZw9WJcgjqXpleUXH8uaqNEuymPPpeOb7lKBc1WoM6IG/DNyDLWmj2lYwxnZO2yhl+B61kwrxD9m9AdhQ==" saltValue="tdNQPzLQd+n9Ww064QJIaQ==" spinCount="100000" sqref="I71" name="Rango2_61_10"/>
    <protectedRange algorithmName="SHA-512" hashValue="XM8+0Jh5zLWw02PI0Lt8dLqjTcW5ulySion19FAnruDN6QRp4UwcVqdfQxnOQAItgpWG7rNsELzjwy0iXOonxw==" saltValue="Sd4WFUedDfLKoMQTDrxJuQ==" spinCount="100000" sqref="K71" name="Rango2_88_4_4_10"/>
    <protectedRange algorithmName="SHA-512" hashValue="EMMPgE8t/az1rHHzaZAQIhz+GQV0k2O/tQGA96sJqEEMzz1efIRa4CcLzC7iY9CCscto3g7dwz41haOE28iXYg==" saltValue="CVzFsG4X4LXUMo7796PiDQ==" spinCount="100000" sqref="B71 J71 L71:M71 D71:H71" name="Rango2_10_10"/>
    <protectedRange algorithmName="SHA-512" hashValue="6a5oYwZw9WJcgjqXpleUXH8uaqNEuymPPpeOb7lKBc1WoM6IG/DNyDLWmj2lYwxnZO2yhl+B61kwrxD9m9AdhQ==" saltValue="tdNQPzLQd+n9Ww064QJIaQ==" spinCount="100000" sqref="I72" name="Rango2_61_11"/>
    <protectedRange algorithmName="SHA-512" hashValue="XM8+0Jh5zLWw02PI0Lt8dLqjTcW5ulySion19FAnruDN6QRp4UwcVqdfQxnOQAItgpWG7rNsELzjwy0iXOonxw==" saltValue="Sd4WFUedDfLKoMQTDrxJuQ==" spinCount="100000" sqref="K72" name="Rango2_88_4_4_11"/>
    <protectedRange algorithmName="SHA-512" hashValue="EMMPgE8t/az1rHHzaZAQIhz+GQV0k2O/tQGA96sJqEEMzz1efIRa4CcLzC7iY9CCscto3g7dwz41haOE28iXYg==" saltValue="CVzFsG4X4LXUMo7796PiDQ==" spinCount="100000" sqref="B72 J72 L72:M72 D72:H72" name="Rango2_10_11"/>
    <protectedRange algorithmName="SHA-512" hashValue="6a5oYwZw9WJcgjqXpleUXH8uaqNEuymPPpeOb7lKBc1WoM6IG/DNyDLWmj2lYwxnZO2yhl+B61kwrxD9m9AdhQ==" saltValue="tdNQPzLQd+n9Ww064QJIaQ==" spinCount="100000" sqref="I73:I76" name="Rango2_61_23"/>
    <protectedRange algorithmName="SHA-512" hashValue="XM8+0Jh5zLWw02PI0Lt8dLqjTcW5ulySion19FAnruDN6QRp4UwcVqdfQxnOQAItgpWG7rNsELzjwy0iXOonxw==" saltValue="Sd4WFUedDfLKoMQTDrxJuQ==" spinCount="100000" sqref="K73:K76" name="Rango2_88_4_4_23"/>
    <protectedRange algorithmName="SHA-512" hashValue="EMMPgE8t/az1rHHzaZAQIhz+GQV0k2O/tQGA96sJqEEMzz1efIRa4CcLzC7iY9CCscto3g7dwz41haOE28iXYg==" saltValue="CVzFsG4X4LXUMo7796PiDQ==" spinCount="100000" sqref="B73:B76 J73:J76 L73:M76 D73:H76" name="Rango2_10_23"/>
    <protectedRange algorithmName="SHA-512" hashValue="6a5oYwZw9WJcgjqXpleUXH8uaqNEuymPPpeOb7lKBc1WoM6IG/DNyDLWmj2lYwxnZO2yhl+B61kwrxD9m9AdhQ==" saltValue="tdNQPzLQd+n9Ww064QJIaQ==" spinCount="100000" sqref="I77" name="Rango2_61_23_1"/>
    <protectedRange algorithmName="SHA-512" hashValue="XM8+0Jh5zLWw02PI0Lt8dLqjTcW5ulySion19FAnruDN6QRp4UwcVqdfQxnOQAItgpWG7rNsELzjwy0iXOonxw==" saltValue="Sd4WFUedDfLKoMQTDrxJuQ==" spinCount="100000" sqref="K77" name="Rango2_88_4_4_23_1"/>
    <protectedRange algorithmName="SHA-512" hashValue="EMMPgE8t/az1rHHzaZAQIhz+GQV0k2O/tQGA96sJqEEMzz1efIRa4CcLzC7iY9CCscto3g7dwz41haOE28iXYg==" saltValue="CVzFsG4X4LXUMo7796PiDQ==" spinCount="100000" sqref="L77:M77 J77 B77 D77:H77" name="Rango2_10_23_1"/>
    <protectedRange algorithmName="SHA-512" hashValue="6a5oYwZw9WJcgjqXpleUXH8uaqNEuymPPpeOb7lKBc1WoM6IG/DNyDLWmj2lYwxnZO2yhl+B61kwrxD9m9AdhQ==" saltValue="tdNQPzLQd+n9Ww064QJIaQ==" spinCount="100000" sqref="I78:I79" name="Rango2_61_23_2"/>
    <protectedRange algorithmName="SHA-512" hashValue="XM8+0Jh5zLWw02PI0Lt8dLqjTcW5ulySion19FAnruDN6QRp4UwcVqdfQxnOQAItgpWG7rNsELzjwy0iXOonxw==" saltValue="Sd4WFUedDfLKoMQTDrxJuQ==" spinCount="100000" sqref="K78:K79" name="Rango2_88_4_4_23_2"/>
    <protectedRange algorithmName="SHA-512" hashValue="EMMPgE8t/az1rHHzaZAQIhz+GQV0k2O/tQGA96sJqEEMzz1efIRa4CcLzC7iY9CCscto3g7dwz41haOE28iXYg==" saltValue="CVzFsG4X4LXUMo7796PiDQ==" spinCount="100000" sqref="L78:M79 J78:J79 B78:B79 D78:H79" name="Rango2_10_23_2"/>
    <protectedRange algorithmName="SHA-512" hashValue="6a5oYwZw9WJcgjqXpleUXH8uaqNEuymPPpeOb7lKBc1WoM6IG/DNyDLWmj2lYwxnZO2yhl+B61kwrxD9m9AdhQ==" saltValue="tdNQPzLQd+n9Ww064QJIaQ==" spinCount="100000" sqref="I80:I81" name="Rango2_61_23_3"/>
    <protectedRange algorithmName="SHA-512" hashValue="XM8+0Jh5zLWw02PI0Lt8dLqjTcW5ulySion19FAnruDN6QRp4UwcVqdfQxnOQAItgpWG7rNsELzjwy0iXOonxw==" saltValue="Sd4WFUedDfLKoMQTDrxJuQ==" spinCount="100000" sqref="K80:K81" name="Rango2_88_4_4_23_3"/>
    <protectedRange algorithmName="SHA-512" hashValue="EMMPgE8t/az1rHHzaZAQIhz+GQV0k2O/tQGA96sJqEEMzz1efIRa4CcLzC7iY9CCscto3g7dwz41haOE28iXYg==" saltValue="CVzFsG4X4LXUMo7796PiDQ==" spinCount="100000" sqref="L80:M81 J80:J81 B80:B81 D80:H81" name="Rango2_10_23_3"/>
    <protectedRange algorithmName="SHA-512" hashValue="6a5oYwZw9WJcgjqXpleUXH8uaqNEuymPPpeOb7lKBc1WoM6IG/DNyDLWmj2lYwxnZO2yhl+B61kwrxD9m9AdhQ==" saltValue="tdNQPzLQd+n9Ww064QJIaQ==" spinCount="100000" sqref="I83:I84" name="Rango2_61_12"/>
    <protectedRange algorithmName="SHA-512" hashValue="XM8+0Jh5zLWw02PI0Lt8dLqjTcW5ulySion19FAnruDN6QRp4UwcVqdfQxnOQAItgpWG7rNsELzjwy0iXOonxw==" saltValue="Sd4WFUedDfLKoMQTDrxJuQ==" spinCount="100000" sqref="K83:K84" name="Rango2_88_4_4_12"/>
    <protectedRange algorithmName="SHA-512" hashValue="EMMPgE8t/az1rHHzaZAQIhz+GQV0k2O/tQGA96sJqEEMzz1efIRa4CcLzC7iY9CCscto3g7dwz41haOE28iXYg==" saltValue="CVzFsG4X4LXUMo7796PiDQ==" spinCount="100000" sqref="L83:M84 J83:J84 B83:B84 D83:H84" name="Rango2_10_12"/>
    <protectedRange algorithmName="SHA-512" hashValue="6a5oYwZw9WJcgjqXpleUXH8uaqNEuymPPpeOb7lKBc1WoM6IG/DNyDLWmj2lYwxnZO2yhl+B61kwrxD9m9AdhQ==" saltValue="tdNQPzLQd+n9Ww064QJIaQ==" spinCount="100000" sqref="I82" name="Rango2_61_23_4"/>
    <protectedRange algorithmName="SHA-512" hashValue="XM8+0Jh5zLWw02PI0Lt8dLqjTcW5ulySion19FAnruDN6QRp4UwcVqdfQxnOQAItgpWG7rNsELzjwy0iXOonxw==" saltValue="Sd4WFUedDfLKoMQTDrxJuQ==" spinCount="100000" sqref="K82" name="Rango2_88_4_4_23_4"/>
    <protectedRange algorithmName="SHA-512" hashValue="EMMPgE8t/az1rHHzaZAQIhz+GQV0k2O/tQGA96sJqEEMzz1efIRa4CcLzC7iY9CCscto3g7dwz41haOE28iXYg==" saltValue="CVzFsG4X4LXUMo7796PiDQ==" spinCount="100000" sqref="L82:M82 J82 B82 D82:H82" name="Rango2_10_23_4"/>
    <protectedRange algorithmName="SHA-512" hashValue="6a5oYwZw9WJcgjqXpleUXH8uaqNEuymPPpeOb7lKBc1WoM6IG/DNyDLWmj2lYwxnZO2yhl+B61kwrxD9m9AdhQ==" saltValue="tdNQPzLQd+n9Ww064QJIaQ==" spinCount="100000" sqref="I85:I86" name="Rango2_61_13"/>
    <protectedRange algorithmName="SHA-512" hashValue="XM8+0Jh5zLWw02PI0Lt8dLqjTcW5ulySion19FAnruDN6QRp4UwcVqdfQxnOQAItgpWG7rNsELzjwy0iXOonxw==" saltValue="Sd4WFUedDfLKoMQTDrxJuQ==" spinCount="100000" sqref="K85:K86" name="Rango2_88_4_4_13"/>
    <protectedRange algorithmName="SHA-512" hashValue="EMMPgE8t/az1rHHzaZAQIhz+GQV0k2O/tQGA96sJqEEMzz1efIRa4CcLzC7iY9CCscto3g7dwz41haOE28iXYg==" saltValue="CVzFsG4X4LXUMo7796PiDQ==" spinCount="100000" sqref="L85:M86 J85:J86 B85:B86 D85:H86" name="Rango2_10_13"/>
    <protectedRange algorithmName="SHA-512" hashValue="6a5oYwZw9WJcgjqXpleUXH8uaqNEuymPPpeOb7lKBc1WoM6IG/DNyDLWmj2lYwxnZO2yhl+B61kwrxD9m9AdhQ==" saltValue="tdNQPzLQd+n9Ww064QJIaQ==" spinCount="100000" sqref="I87" name="Rango2_61_14"/>
    <protectedRange algorithmName="SHA-512" hashValue="XM8+0Jh5zLWw02PI0Lt8dLqjTcW5ulySion19FAnruDN6QRp4UwcVqdfQxnOQAItgpWG7rNsELzjwy0iXOonxw==" saltValue="Sd4WFUedDfLKoMQTDrxJuQ==" spinCount="100000" sqref="K87" name="Rango2_88_4_4_14"/>
    <protectedRange algorithmName="SHA-512" hashValue="EMMPgE8t/az1rHHzaZAQIhz+GQV0k2O/tQGA96sJqEEMzz1efIRa4CcLzC7iY9CCscto3g7dwz41haOE28iXYg==" saltValue="CVzFsG4X4LXUMo7796PiDQ==" spinCount="100000" sqref="L87:M87 J87 B87 D87:H87" name="Rango2_10_14"/>
    <protectedRange algorithmName="SHA-512" hashValue="6a5oYwZw9WJcgjqXpleUXH8uaqNEuymPPpeOb7lKBc1WoM6IG/DNyDLWmj2lYwxnZO2yhl+B61kwrxD9m9AdhQ==" saltValue="tdNQPzLQd+n9Ww064QJIaQ==" spinCount="100000" sqref="I88" name="Rango2_61_15"/>
    <protectedRange algorithmName="SHA-512" hashValue="XM8+0Jh5zLWw02PI0Lt8dLqjTcW5ulySion19FAnruDN6QRp4UwcVqdfQxnOQAItgpWG7rNsELzjwy0iXOonxw==" saltValue="Sd4WFUedDfLKoMQTDrxJuQ==" spinCount="100000" sqref="K88" name="Rango2_88_4_4_15"/>
    <protectedRange algorithmName="SHA-512" hashValue="EMMPgE8t/az1rHHzaZAQIhz+GQV0k2O/tQGA96sJqEEMzz1efIRa4CcLzC7iY9CCscto3g7dwz41haOE28iXYg==" saltValue="CVzFsG4X4LXUMo7796PiDQ==" spinCount="100000" sqref="L88:M88 J88 B88 D88:H88" name="Rango2_10_15"/>
    <protectedRange algorithmName="SHA-512" hashValue="XZw03RosI/l0z9FxmTtF29EdZ7P+4+ybhqoaAAUmURojSR5XbGfjC4f2i8gMqfY+RI9JvfdCA6PSh9TduXfUxA==" saltValue="5TPtLq2WoiRSae/yaDPnTw==" spinCount="100000" sqref="O63" name="Rango2_99_4_1"/>
    <protectedRange algorithmName="SHA-512" hashValue="XZw03RosI/l0z9FxmTtF29EdZ7P+4+ybhqoaAAUmURojSR5XbGfjC4f2i8gMqfY+RI9JvfdCA6PSh9TduXfUxA==" saltValue="5TPtLq2WoiRSae/yaDPnTw==" spinCount="100000" sqref="O64" name="Rango2_99_5_1"/>
    <protectedRange algorithmName="SHA-512" hashValue="CHipOQaT63FWw628cQcXXJRZlrbNZ7OgmnEbDx38UmmH7z19GRYEzXFiVOzHAy1OAaAbST7g2bHZHDKQp2qm3w==" saltValue="iRVuL+373yLHv0ZHzS9qog==" spinCount="100000" sqref="AJ63 AG63:AH63" name="Rango2_88_7_5_4_1"/>
    <protectedRange algorithmName="SHA-512" hashValue="fPHvtIAf3pQeZUoAI9C2/vdXMHBpqqEq+67P5Ypyu4+9IWqs3yc9TZcMWQ0THLxUwqseQPyVvakuYFtCwJHsxA==" saltValue="QHIogSs2PrwAfdqa9PAOFQ==" spinCount="100000" sqref="AC63" name="Rango2_88_5_5_4_2"/>
    <protectedRange algorithmName="SHA-512" hashValue="LEEeiU6pKqm7TAP46VGlz0q+evvFwpT/0iLpRuWuQ7MacbP0OGL1/FSmrIEOg2rb6M+Jla2bPbVWiGag27j87w==" saltValue="HEVt+pS5OloNDlqSnzGLLw==" spinCount="100000" sqref="AI63" name="Rango2_8_7_4_1"/>
    <protectedRange algorithmName="SHA-512" hashValue="q2z5hEFmXS0v2chiPTC/VCoDWNlnhp+Xe6Ybfxe48vIsnB/KTJQxJv+pFUnCXfZ9T6vyJopuqFFNROfQTW/JUw==" saltValue="IctfdGJb5tOTpq+KPi9vww==" spinCount="100000" sqref="AE63:AF63" name="Rango2_88_39_4_1"/>
    <protectedRange algorithmName="SHA-512" hashValue="AYYX88LSDB6RDNMvSqt0KPGWPjBqTk56tMxTOlv5QD61MGTKAAQnSnudvNDWPN0Bbllh2qRQC+P5uq7goxjdrw==" saltValue="i/iPMewnks1FoXYOjKMEVg==" spinCount="100000" sqref="AB63" name="Rango2_87_6_4_1"/>
    <protectedRange algorithmName="SHA-512" hashValue="NUll9P9xh7KbSfMYpMxsRZLfDw/y/AzW2LSWlpXVscBDqiAxmzo71xjs+a2lh+jRa7pceOC849slke4+ZKx8LA==" saltValue="8qbkKpQ+CiQuLnqgShNvXA==" spinCount="100000" sqref="T63" name="Rango2_88_6_4_1"/>
    <protectedRange algorithmName="SHA-512" hashValue="KHhv3JU/LRdRrRTxxkgFceEHPZ5UzadmpZRZR3zmQRnPvkUJZuanRafIJ+qde0IWwLZSvFIQDyUAHq6v6k7XIg==" saltValue="2GKG1kCzVNNcn+vbOPuhJA==" spinCount="100000" sqref="Q63" name="Rango2_2_5_4_1"/>
    <protectedRange algorithmName="SHA-512" hashValue="XZw03RosI/l0z9FxmTtF29EdZ7P+4+ybhqoaAAUmURojSR5XbGfjC4f2i8gMqfY+RI9JvfdCA6PSh9TduXfUxA==" saltValue="5TPtLq2WoiRSae/yaDPnTw==" spinCount="100000" sqref="U63:AA63 R63:S63" name="Rango2_99_18_1"/>
    <protectedRange algorithmName="SHA-512" hashValue="9+DNppQbWrLYYUMoJ+lyQctV2bX3Vq9kZnegLbpjTLP49It2ovUbcartuoQTeXgP+TGpY//7mDH/UQlFCKDGiA==" saltValue="KUnni6YEm00anzSSvyLqQA==" spinCount="100000" sqref="AD63" name="Rango2_25_1"/>
    <protectedRange algorithmName="SHA-512" hashValue="CHipOQaT63FWw628cQcXXJRZlrbNZ7OgmnEbDx38UmmH7z19GRYEzXFiVOzHAy1OAaAbST7g2bHZHDKQp2qm3w==" saltValue="iRVuL+373yLHv0ZHzS9qog==" spinCount="100000" sqref="AJ64 AG64:AH64" name="Rango2_88_7_5_5_1"/>
    <protectedRange algorithmName="SHA-512" hashValue="fPHvtIAf3pQeZUoAI9C2/vdXMHBpqqEq+67P5Ypyu4+9IWqs3yc9TZcMWQ0THLxUwqseQPyVvakuYFtCwJHsxA==" saltValue="QHIogSs2PrwAfdqa9PAOFQ==" spinCount="100000" sqref="AC64" name="Rango2_88_5_5_5_1"/>
    <protectedRange algorithmName="SHA-512" hashValue="LEEeiU6pKqm7TAP46VGlz0q+evvFwpT/0iLpRuWuQ7MacbP0OGL1/FSmrIEOg2rb6M+Jla2bPbVWiGag27j87w==" saltValue="HEVt+pS5OloNDlqSnzGLLw==" spinCount="100000" sqref="AI64" name="Rango2_8_7_5_1"/>
    <protectedRange algorithmName="SHA-512" hashValue="q2z5hEFmXS0v2chiPTC/VCoDWNlnhp+Xe6Ybfxe48vIsnB/KTJQxJv+pFUnCXfZ9T6vyJopuqFFNROfQTW/JUw==" saltValue="IctfdGJb5tOTpq+KPi9vww==" spinCount="100000" sqref="AE64:AF64" name="Rango2_88_39_5_1"/>
    <protectedRange algorithmName="SHA-512" hashValue="AYYX88LSDB6RDNMvSqt0KPGWPjBqTk56tMxTOlv5QD61MGTKAAQnSnudvNDWPN0Bbllh2qRQC+P5uq7goxjdrw==" saltValue="i/iPMewnks1FoXYOjKMEVg==" spinCount="100000" sqref="AB64" name="Rango2_87_6_5_1"/>
    <protectedRange algorithmName="SHA-512" hashValue="NUll9P9xh7KbSfMYpMxsRZLfDw/y/AzW2LSWlpXVscBDqiAxmzo71xjs+a2lh+jRa7pceOC849slke4+ZKx8LA==" saltValue="8qbkKpQ+CiQuLnqgShNvXA==" spinCount="100000" sqref="T64" name="Rango2_88_6_5_1"/>
    <protectedRange algorithmName="SHA-512" hashValue="KHhv3JU/LRdRrRTxxkgFceEHPZ5UzadmpZRZR3zmQRnPvkUJZuanRafIJ+qde0IWwLZSvFIQDyUAHq6v6k7XIg==" saltValue="2GKG1kCzVNNcn+vbOPuhJA==" spinCount="100000" sqref="Q64" name="Rango2_2_5_5_1"/>
    <protectedRange algorithmName="SHA-512" hashValue="XZw03RosI/l0z9FxmTtF29EdZ7P+4+ybhqoaAAUmURojSR5XbGfjC4f2i8gMqfY+RI9JvfdCA6PSh9TduXfUxA==" saltValue="5TPtLq2WoiRSae/yaDPnTw==" spinCount="100000" sqref="U64:AA64 R64:S64" name="Rango2_99_19_1"/>
    <protectedRange algorithmName="SHA-512" hashValue="9+DNppQbWrLYYUMoJ+lyQctV2bX3Vq9kZnegLbpjTLP49It2ovUbcartuoQTeXgP+TGpY//7mDH/UQlFCKDGiA==" saltValue="KUnni6YEm00anzSSvyLqQA==" spinCount="100000" sqref="AD64" name="Rango2_26_1"/>
    <protectedRange algorithmName="SHA-512" hashValue="RQ91b7oAw60DVtcgB2vRpial2kSdzJx5guGCTYUwXYkKrtrUHfiYnLf9R+SNpYXlJDYpyEJLhcWwP0EqNN86dQ==" saltValue="W3RbH3zrcY9sy39xNwXNxg==" spinCount="100000" sqref="BA63:BI63" name="Rango2_88_99_4_1"/>
    <protectedRange algorithmName="SHA-512" hashValue="fMbmUM1DQ7FuAPRNvFL5mPdHUYjQnlLFhkuaxvHguaqR7aWyDxcmJs0jLYQfQKY+oyhsMb4Lew4VL6i7um3/ew==" saltValue="ydaTm0CeH8+/cYqoL/AMaQ==" spinCount="100000" sqref="AW63:AZ63 AU63" name="Rango2_88_91_4_1"/>
    <protectedRange algorithmName="SHA-512" hashValue="CHipOQaT63FWw628cQcXXJRZlrbNZ7OgmnEbDx38UmmH7z19GRYEzXFiVOzHAy1OAaAbST7g2bHZHDKQp2qm3w==" saltValue="iRVuL+373yLHv0ZHzS9qog==" spinCount="100000" sqref="AL63" name="Rango2_88_7_5_18_1"/>
    <protectedRange algorithmName="SHA-512" hashValue="NkG6oHuDGvGBEiLAAq8MEJHEfLQUMyjihfH+DBXhT+eQW0r1yri7tOJEFRM9nbOejjjXiviq9RFo7KB7wF+xJA==" saltValue="bpjB0AAANu2X/PeR3eiFkA==" spinCount="100000" sqref="AM63:AS63" name="Rango2_88_65_4_1"/>
    <protectedRange algorithmName="SHA-512" hashValue="XZw03RosI/l0z9FxmTtF29EdZ7P+4+ybhqoaAAUmURojSR5XbGfjC4f2i8gMqfY+RI9JvfdCA6PSh9TduXfUxA==" saltValue="5TPtLq2WoiRSae/yaDPnTw==" spinCount="100000" sqref="AV63 BJ63:BK63 AT63" name="Rango2_99_32_1"/>
    <protectedRange algorithmName="SHA-512" hashValue="RQ91b7oAw60DVtcgB2vRpial2kSdzJx5guGCTYUwXYkKrtrUHfiYnLf9R+SNpYXlJDYpyEJLhcWwP0EqNN86dQ==" saltValue="W3RbH3zrcY9sy39xNwXNxg==" spinCount="100000" sqref="BA64:BI64" name="Rango2_88_99_5_1"/>
    <protectedRange algorithmName="SHA-512" hashValue="fMbmUM1DQ7FuAPRNvFL5mPdHUYjQnlLFhkuaxvHguaqR7aWyDxcmJs0jLYQfQKY+oyhsMb4Lew4VL6i7um3/ew==" saltValue="ydaTm0CeH8+/cYqoL/AMaQ==" spinCount="100000" sqref="AW64:AZ64 AU64" name="Rango2_88_91_5_1"/>
    <protectedRange algorithmName="SHA-512" hashValue="CHipOQaT63FWw628cQcXXJRZlrbNZ7OgmnEbDx38UmmH7z19GRYEzXFiVOzHAy1OAaAbST7g2bHZHDKQp2qm3w==" saltValue="iRVuL+373yLHv0ZHzS9qog==" spinCount="100000" sqref="AL64" name="Rango2_88_7_5_19_1"/>
    <protectedRange algorithmName="SHA-512" hashValue="NkG6oHuDGvGBEiLAAq8MEJHEfLQUMyjihfH+DBXhT+eQW0r1yri7tOJEFRM9nbOejjjXiviq9RFo7KB7wF+xJA==" saltValue="bpjB0AAANu2X/PeR3eiFkA==" spinCount="100000" sqref="AM64:AS64" name="Rango2_88_65_5_1"/>
    <protectedRange algorithmName="SHA-512" hashValue="XZw03RosI/l0z9FxmTtF29EdZ7P+4+ybhqoaAAUmURojSR5XbGfjC4f2i8gMqfY+RI9JvfdCA6PSh9TduXfUxA==" saltValue="5TPtLq2WoiRSae/yaDPnTw==" spinCount="100000" sqref="AV64 BJ64:BK64 AT64" name="Rango2_99_33_1"/>
    <protectedRange algorithmName="SHA-512" hashValue="RQ91b7oAw60DVtcgB2vRpial2kSdzJx5guGCTYUwXYkKrtrUHfiYnLf9R+SNpYXlJDYpyEJLhcWwP0EqNN86dQ==" saltValue="W3RbH3zrcY9sy39xNwXNxg==" spinCount="100000" sqref="BV63:BY63" name="Rango2_88_99_18_1"/>
    <protectedRange algorithmName="SHA-512" hashValue="XZw03RosI/l0z9FxmTtF29EdZ7P+4+ybhqoaAAUmURojSR5XbGfjC4f2i8gMqfY+RI9JvfdCA6PSh9TduXfUxA==" saltValue="5TPtLq2WoiRSae/yaDPnTw==" spinCount="100000" sqref="BZ63:CB63 BR63:BU63" name="Rango2_99_46_1"/>
    <protectedRange algorithmName="SHA-512" hashValue="RQ91b7oAw60DVtcgB2vRpial2kSdzJx5guGCTYUwXYkKrtrUHfiYnLf9R+SNpYXlJDYpyEJLhcWwP0EqNN86dQ==" saltValue="W3RbH3zrcY9sy39xNwXNxg==" spinCount="100000" sqref="BV64:BY64" name="Rango2_88_99_19_1"/>
    <protectedRange algorithmName="SHA-512" hashValue="XZw03RosI/l0z9FxmTtF29EdZ7P+4+ybhqoaAAUmURojSR5XbGfjC4f2i8gMqfY+RI9JvfdCA6PSh9TduXfUxA==" saltValue="5TPtLq2WoiRSae/yaDPnTw==" spinCount="100000" sqref="BZ64:CB64 BR64:BU64" name="Rango2_99_47_1"/>
    <protectedRange algorithmName="SHA-512" hashValue="XZw03RosI/l0z9FxmTtF29EdZ7P+4+ybhqoaAAUmURojSR5XbGfjC4f2i8gMqfY+RI9JvfdCA6PSh9TduXfUxA==" saltValue="5TPtLq2WoiRSae/yaDPnTw==" spinCount="100000" sqref="CE63:CF63" name="Rango2_99_60"/>
    <protectedRange algorithmName="SHA-512" hashValue="XZw03RosI/l0z9FxmTtF29EdZ7P+4+ybhqoaAAUmURojSR5XbGfjC4f2i8gMqfY+RI9JvfdCA6PSh9TduXfUxA==" saltValue="5TPtLq2WoiRSae/yaDPnTw==" spinCount="100000" sqref="CE64:CF64" name="Rango2_99_61"/>
    <protectedRange algorithmName="SHA-512" hashValue="XZw03RosI/l0z9FxmTtF29EdZ7P+4+ybhqoaAAUmURojSR5XbGfjC4f2i8gMqfY+RI9JvfdCA6PSh9TduXfUxA==" saltValue="5TPtLq2WoiRSae/yaDPnTw==" spinCount="100000" sqref="CJ63:CK63" name="Rango2_99_74"/>
    <protectedRange algorithmName="SHA-512" hashValue="XZw03RosI/l0z9FxmTtF29EdZ7P+4+ybhqoaAAUmURojSR5XbGfjC4f2i8gMqfY+RI9JvfdCA6PSh9TduXfUxA==" saltValue="5TPtLq2WoiRSae/yaDPnTw==" spinCount="100000" sqref="CJ64:CK64" name="Rango2_99_75"/>
    <protectedRange algorithmName="SHA-512" hashValue="XZw03RosI/l0z9FxmTtF29EdZ7P+4+ybhqoaAAUmURojSR5XbGfjC4f2i8gMqfY+RI9JvfdCA6PSh9TduXfUxA==" saltValue="5TPtLq2WoiRSae/yaDPnTw==" spinCount="100000" sqref="CP63:CQ63" name="Rango2_99_88"/>
    <protectedRange algorithmName="SHA-512" hashValue="XZw03RosI/l0z9FxmTtF29EdZ7P+4+ybhqoaAAUmURojSR5XbGfjC4f2i8gMqfY+RI9JvfdCA6PSh9TduXfUxA==" saltValue="5TPtLq2WoiRSae/yaDPnTw==" spinCount="100000" sqref="CP64:CQ64" name="Rango2_99_89"/>
    <protectedRange algorithmName="SHA-512" hashValue="XZw03RosI/l0z9FxmTtF29EdZ7P+4+ybhqoaAAUmURojSR5XbGfjC4f2i8gMqfY+RI9JvfdCA6PSh9TduXfUxA==" saltValue="5TPtLq2WoiRSae/yaDPnTw==" spinCount="100000" sqref="O65:O67" name="Rango2_99_7_2"/>
    <protectedRange algorithmName="SHA-512" hashValue="XZw03RosI/l0z9FxmTtF29EdZ7P+4+ybhqoaAAUmURojSR5XbGfjC4f2i8gMqfY+RI9JvfdCA6PSh9TduXfUxA==" saltValue="5TPtLq2WoiRSae/yaDPnTw==" spinCount="100000" sqref="O68" name="Rango2_99_8_1"/>
    <protectedRange algorithmName="SHA-512" hashValue="XZw03RosI/l0z9FxmTtF29EdZ7P+4+ybhqoaAAUmURojSR5XbGfjC4f2i8gMqfY+RI9JvfdCA6PSh9TduXfUxA==" saltValue="5TPtLq2WoiRSae/yaDPnTw==" spinCount="100000" sqref="O69:O70" name="Rango2_99_9_1"/>
    <protectedRange algorithmName="SHA-512" hashValue="CHipOQaT63FWw628cQcXXJRZlrbNZ7OgmnEbDx38UmmH7z19GRYEzXFiVOzHAy1OAaAbST7g2bHZHDKQp2qm3w==" saltValue="iRVuL+373yLHv0ZHzS9qog==" spinCount="100000" sqref="AJ65:AJ67 AG65:AH67" name="Rango2_88_7_5_7_1"/>
    <protectedRange algorithmName="SHA-512" hashValue="fPHvtIAf3pQeZUoAI9C2/vdXMHBpqqEq+67P5Ypyu4+9IWqs3yc9TZcMWQ0THLxUwqseQPyVvakuYFtCwJHsxA==" saltValue="QHIogSs2PrwAfdqa9PAOFQ==" spinCount="100000" sqref="AC65:AC67" name="Rango2_88_5_5_7_1"/>
    <protectedRange algorithmName="SHA-512" hashValue="LEEeiU6pKqm7TAP46VGlz0q+evvFwpT/0iLpRuWuQ7MacbP0OGL1/FSmrIEOg2rb6M+Jla2bPbVWiGag27j87w==" saltValue="HEVt+pS5OloNDlqSnzGLLw==" spinCount="100000" sqref="AI65:AI67" name="Rango2_8_7_7_1"/>
    <protectedRange algorithmName="SHA-512" hashValue="q2z5hEFmXS0v2chiPTC/VCoDWNlnhp+Xe6Ybfxe48vIsnB/KTJQxJv+pFUnCXfZ9T6vyJopuqFFNROfQTW/JUw==" saltValue="IctfdGJb5tOTpq+KPi9vww==" spinCount="100000" sqref="AE65:AF67" name="Rango2_88_39_7_1"/>
    <protectedRange algorithmName="SHA-512" hashValue="AYYX88LSDB6RDNMvSqt0KPGWPjBqTk56tMxTOlv5QD61MGTKAAQnSnudvNDWPN0Bbllh2qRQC+P5uq7goxjdrw==" saltValue="i/iPMewnks1FoXYOjKMEVg==" spinCount="100000" sqref="AB65:AB67" name="Rango2_87_6_7_1"/>
    <protectedRange algorithmName="SHA-512" hashValue="NUll9P9xh7KbSfMYpMxsRZLfDw/y/AzW2LSWlpXVscBDqiAxmzo71xjs+a2lh+jRa7pceOC849slke4+ZKx8LA==" saltValue="8qbkKpQ+CiQuLnqgShNvXA==" spinCount="100000" sqref="T65:T67" name="Rango2_88_6_7_1"/>
    <protectedRange algorithmName="SHA-512" hashValue="KHhv3JU/LRdRrRTxxkgFceEHPZ5UzadmpZRZR3zmQRnPvkUJZuanRafIJ+qde0IWwLZSvFIQDyUAHq6v6k7XIg==" saltValue="2GKG1kCzVNNcn+vbOPuhJA==" spinCount="100000" sqref="Q65:Q67" name="Rango2_2_5_7_1"/>
    <protectedRange algorithmName="SHA-512" hashValue="XZw03RosI/l0z9FxmTtF29EdZ7P+4+ybhqoaAAUmURojSR5XbGfjC4f2i8gMqfY+RI9JvfdCA6PSh9TduXfUxA==" saltValue="5TPtLq2WoiRSae/yaDPnTw==" spinCount="100000" sqref="U65:AA67 R65:S67" name="Rango2_99_21_1"/>
    <protectedRange algorithmName="SHA-512" hashValue="9+DNppQbWrLYYUMoJ+lyQctV2bX3Vq9kZnegLbpjTLP49It2ovUbcartuoQTeXgP+TGpY//7mDH/UQlFCKDGiA==" saltValue="KUnni6YEm00anzSSvyLqQA==" spinCount="100000" sqref="AD65:AD67" name="Rango2_34_1"/>
    <protectedRange algorithmName="SHA-512" hashValue="CHipOQaT63FWw628cQcXXJRZlrbNZ7OgmnEbDx38UmmH7z19GRYEzXFiVOzHAy1OAaAbST7g2bHZHDKQp2qm3w==" saltValue="iRVuL+373yLHv0ZHzS9qog==" spinCount="100000" sqref="AJ68 AG68:AH68" name="Rango2_88_7_5_8_1"/>
    <protectedRange algorithmName="SHA-512" hashValue="fPHvtIAf3pQeZUoAI9C2/vdXMHBpqqEq+67P5Ypyu4+9IWqs3yc9TZcMWQ0THLxUwqseQPyVvakuYFtCwJHsxA==" saltValue="QHIogSs2PrwAfdqa9PAOFQ==" spinCount="100000" sqref="AC68" name="Rango2_88_5_5_8_1"/>
    <protectedRange algorithmName="SHA-512" hashValue="LEEeiU6pKqm7TAP46VGlz0q+evvFwpT/0iLpRuWuQ7MacbP0OGL1/FSmrIEOg2rb6M+Jla2bPbVWiGag27j87w==" saltValue="HEVt+pS5OloNDlqSnzGLLw==" spinCount="100000" sqref="AI68" name="Rango2_8_7_8_1"/>
    <protectedRange algorithmName="SHA-512" hashValue="q2z5hEFmXS0v2chiPTC/VCoDWNlnhp+Xe6Ybfxe48vIsnB/KTJQxJv+pFUnCXfZ9T6vyJopuqFFNROfQTW/JUw==" saltValue="IctfdGJb5tOTpq+KPi9vww==" spinCount="100000" sqref="AE68:AF68" name="Rango2_88_39_8_1"/>
    <protectedRange algorithmName="SHA-512" hashValue="AYYX88LSDB6RDNMvSqt0KPGWPjBqTk56tMxTOlv5QD61MGTKAAQnSnudvNDWPN0Bbllh2qRQC+P5uq7goxjdrw==" saltValue="i/iPMewnks1FoXYOjKMEVg==" spinCount="100000" sqref="AB68" name="Rango2_87_6_8_1"/>
    <protectedRange algorithmName="SHA-512" hashValue="NUll9P9xh7KbSfMYpMxsRZLfDw/y/AzW2LSWlpXVscBDqiAxmzo71xjs+a2lh+jRa7pceOC849slke4+ZKx8LA==" saltValue="8qbkKpQ+CiQuLnqgShNvXA==" spinCount="100000" sqref="T68" name="Rango2_88_6_8_1"/>
    <protectedRange algorithmName="SHA-512" hashValue="KHhv3JU/LRdRrRTxxkgFceEHPZ5UzadmpZRZR3zmQRnPvkUJZuanRafIJ+qde0IWwLZSvFIQDyUAHq6v6k7XIg==" saltValue="2GKG1kCzVNNcn+vbOPuhJA==" spinCount="100000" sqref="Q68" name="Rango2_2_5_8_1"/>
    <protectedRange algorithmName="SHA-512" hashValue="XZw03RosI/l0z9FxmTtF29EdZ7P+4+ybhqoaAAUmURojSR5XbGfjC4f2i8gMqfY+RI9JvfdCA6PSh9TduXfUxA==" saltValue="5TPtLq2WoiRSae/yaDPnTw==" spinCount="100000" sqref="U68:AA68 R68:S68" name="Rango2_99_22_1"/>
    <protectedRange algorithmName="SHA-512" hashValue="9+DNppQbWrLYYUMoJ+lyQctV2bX3Vq9kZnegLbpjTLP49It2ovUbcartuoQTeXgP+TGpY//7mDH/UQlFCKDGiA==" saltValue="KUnni6YEm00anzSSvyLqQA==" spinCount="100000" sqref="AD68" name="Rango2_35_1"/>
    <protectedRange algorithmName="SHA-512" hashValue="CHipOQaT63FWw628cQcXXJRZlrbNZ7OgmnEbDx38UmmH7z19GRYEzXFiVOzHAy1OAaAbST7g2bHZHDKQp2qm3w==" saltValue="iRVuL+373yLHv0ZHzS9qog==" spinCount="100000" sqref="AJ69:AJ70 AG69:AH70" name="Rango2_88_7_5_9_1"/>
    <protectedRange algorithmName="SHA-512" hashValue="fPHvtIAf3pQeZUoAI9C2/vdXMHBpqqEq+67P5Ypyu4+9IWqs3yc9TZcMWQ0THLxUwqseQPyVvakuYFtCwJHsxA==" saltValue="QHIogSs2PrwAfdqa9PAOFQ==" spinCount="100000" sqref="AC69:AC70" name="Rango2_88_5_5_9_1"/>
    <protectedRange algorithmName="SHA-512" hashValue="LEEeiU6pKqm7TAP46VGlz0q+evvFwpT/0iLpRuWuQ7MacbP0OGL1/FSmrIEOg2rb6M+Jla2bPbVWiGag27j87w==" saltValue="HEVt+pS5OloNDlqSnzGLLw==" spinCount="100000" sqref="AI69:AI70" name="Rango2_8_7_9_1"/>
    <protectedRange algorithmName="SHA-512" hashValue="q2z5hEFmXS0v2chiPTC/VCoDWNlnhp+Xe6Ybfxe48vIsnB/KTJQxJv+pFUnCXfZ9T6vyJopuqFFNROfQTW/JUw==" saltValue="IctfdGJb5tOTpq+KPi9vww==" spinCount="100000" sqref="AE69:AF70" name="Rango2_88_39_9_1"/>
    <protectedRange algorithmName="SHA-512" hashValue="AYYX88LSDB6RDNMvSqt0KPGWPjBqTk56tMxTOlv5QD61MGTKAAQnSnudvNDWPN0Bbllh2qRQC+P5uq7goxjdrw==" saltValue="i/iPMewnks1FoXYOjKMEVg==" spinCount="100000" sqref="AB69:AB70" name="Rango2_87_6_9_1"/>
    <protectedRange algorithmName="SHA-512" hashValue="NUll9P9xh7KbSfMYpMxsRZLfDw/y/AzW2LSWlpXVscBDqiAxmzo71xjs+a2lh+jRa7pceOC849slke4+ZKx8LA==" saltValue="8qbkKpQ+CiQuLnqgShNvXA==" spinCount="100000" sqref="T69:T70" name="Rango2_88_6_9_1"/>
    <protectedRange algorithmName="SHA-512" hashValue="KHhv3JU/LRdRrRTxxkgFceEHPZ5UzadmpZRZR3zmQRnPvkUJZuanRafIJ+qde0IWwLZSvFIQDyUAHq6v6k7XIg==" saltValue="2GKG1kCzVNNcn+vbOPuhJA==" spinCount="100000" sqref="Q69:Q70" name="Rango2_2_5_9_1"/>
    <protectedRange algorithmName="SHA-512" hashValue="XZw03RosI/l0z9FxmTtF29EdZ7P+4+ybhqoaAAUmURojSR5XbGfjC4f2i8gMqfY+RI9JvfdCA6PSh9TduXfUxA==" saltValue="5TPtLq2WoiRSae/yaDPnTw==" spinCount="100000" sqref="U69:AA70 R69:S70" name="Rango2_99_23_2"/>
    <protectedRange algorithmName="SHA-512" hashValue="9+DNppQbWrLYYUMoJ+lyQctV2bX3Vq9kZnegLbpjTLP49It2ovUbcartuoQTeXgP+TGpY//7mDH/UQlFCKDGiA==" saltValue="KUnni6YEm00anzSSvyLqQA==" spinCount="100000" sqref="AD69:AD70" name="Rango2_36_1"/>
    <protectedRange algorithmName="SHA-512" hashValue="RQ91b7oAw60DVtcgB2vRpial2kSdzJx5guGCTYUwXYkKrtrUHfiYnLf9R+SNpYXlJDYpyEJLhcWwP0EqNN86dQ==" saltValue="W3RbH3zrcY9sy39xNwXNxg==" spinCount="100000" sqref="BA65:BI67" name="Rango2_88_99_7_1"/>
    <protectedRange algorithmName="SHA-512" hashValue="fMbmUM1DQ7FuAPRNvFL5mPdHUYjQnlLFhkuaxvHguaqR7aWyDxcmJs0jLYQfQKY+oyhsMb4Lew4VL6i7um3/ew==" saltValue="ydaTm0CeH8+/cYqoL/AMaQ==" spinCount="100000" sqref="AW65:AZ67 AU65:AU67" name="Rango2_88_91_7_1"/>
    <protectedRange algorithmName="SHA-512" hashValue="CHipOQaT63FWw628cQcXXJRZlrbNZ7OgmnEbDx38UmmH7z19GRYEzXFiVOzHAy1OAaAbST7g2bHZHDKQp2qm3w==" saltValue="iRVuL+373yLHv0ZHzS9qog==" spinCount="100000" sqref="AL65:AL67" name="Rango2_88_7_5_21_1"/>
    <protectedRange algorithmName="SHA-512" hashValue="NkG6oHuDGvGBEiLAAq8MEJHEfLQUMyjihfH+DBXhT+eQW0r1yri7tOJEFRM9nbOejjjXiviq9RFo7KB7wF+xJA==" saltValue="bpjB0AAANu2X/PeR3eiFkA==" spinCount="100000" sqref="AM65:AS67" name="Rango2_88_65_7_1"/>
    <protectedRange algorithmName="SHA-512" hashValue="XZw03RosI/l0z9FxmTtF29EdZ7P+4+ybhqoaAAUmURojSR5XbGfjC4f2i8gMqfY+RI9JvfdCA6PSh9TduXfUxA==" saltValue="5TPtLq2WoiRSae/yaDPnTw==" spinCount="100000" sqref="AV65:AV67 BJ66:BL67 AT65:AT67 BJ65:BK65" name="Rango2_99_35_1"/>
    <protectedRange algorithmName="SHA-512" hashValue="RQ91b7oAw60DVtcgB2vRpial2kSdzJx5guGCTYUwXYkKrtrUHfiYnLf9R+SNpYXlJDYpyEJLhcWwP0EqNN86dQ==" saltValue="W3RbH3zrcY9sy39xNwXNxg==" spinCount="100000" sqref="BA68:BI68" name="Rango2_88_99_8_1"/>
    <protectedRange algorithmName="SHA-512" hashValue="fMbmUM1DQ7FuAPRNvFL5mPdHUYjQnlLFhkuaxvHguaqR7aWyDxcmJs0jLYQfQKY+oyhsMb4Lew4VL6i7um3/ew==" saltValue="ydaTm0CeH8+/cYqoL/AMaQ==" spinCount="100000" sqref="AW68:AZ68 AU68" name="Rango2_88_91_8_1"/>
    <protectedRange algorithmName="SHA-512" hashValue="CHipOQaT63FWw628cQcXXJRZlrbNZ7OgmnEbDx38UmmH7z19GRYEzXFiVOzHAy1OAaAbST7g2bHZHDKQp2qm3w==" saltValue="iRVuL+373yLHv0ZHzS9qog==" spinCount="100000" sqref="AL68" name="Rango2_88_7_5_22_1"/>
    <protectedRange algorithmName="SHA-512" hashValue="NkG6oHuDGvGBEiLAAq8MEJHEfLQUMyjihfH+DBXhT+eQW0r1yri7tOJEFRM9nbOejjjXiviq9RFo7KB7wF+xJA==" saltValue="bpjB0AAANu2X/PeR3eiFkA==" spinCount="100000" sqref="AM68:AS68" name="Rango2_88_65_8_1"/>
    <protectedRange algorithmName="SHA-512" hashValue="XZw03RosI/l0z9FxmTtF29EdZ7P+4+ybhqoaAAUmURojSR5XbGfjC4f2i8gMqfY+RI9JvfdCA6PSh9TduXfUxA==" saltValue="5TPtLq2WoiRSae/yaDPnTw==" spinCount="100000" sqref="AV68 BJ68:BK68 AT68" name="Rango2_99_36_1"/>
    <protectedRange algorithmName="SHA-512" hashValue="RQ91b7oAw60DVtcgB2vRpial2kSdzJx5guGCTYUwXYkKrtrUHfiYnLf9R+SNpYXlJDYpyEJLhcWwP0EqNN86dQ==" saltValue="W3RbH3zrcY9sy39xNwXNxg==" spinCount="100000" sqref="BA69:BI70" name="Rango2_88_99_9_1"/>
    <protectedRange algorithmName="SHA-512" hashValue="fMbmUM1DQ7FuAPRNvFL5mPdHUYjQnlLFhkuaxvHguaqR7aWyDxcmJs0jLYQfQKY+oyhsMb4Lew4VL6i7um3/ew==" saltValue="ydaTm0CeH8+/cYqoL/AMaQ==" spinCount="100000" sqref="AW69:AZ70 AU69:AU70" name="Rango2_88_91_9_1"/>
    <protectedRange algorithmName="SHA-512" hashValue="CHipOQaT63FWw628cQcXXJRZlrbNZ7OgmnEbDx38UmmH7z19GRYEzXFiVOzHAy1OAaAbST7g2bHZHDKQp2qm3w==" saltValue="iRVuL+373yLHv0ZHzS9qog==" spinCount="100000" sqref="AL69:AL70" name="Rango2_88_7_5_23_1"/>
    <protectedRange algorithmName="SHA-512" hashValue="NkG6oHuDGvGBEiLAAq8MEJHEfLQUMyjihfH+DBXhT+eQW0r1yri7tOJEFRM9nbOejjjXiviq9RFo7KB7wF+xJA==" saltValue="bpjB0AAANu2X/PeR3eiFkA==" spinCount="100000" sqref="AM69:AS70" name="Rango2_88_65_9_1"/>
    <protectedRange algorithmName="SHA-512" hashValue="XZw03RosI/l0z9FxmTtF29EdZ7P+4+ybhqoaAAUmURojSR5XbGfjC4f2i8gMqfY+RI9JvfdCA6PSh9TduXfUxA==" saltValue="5TPtLq2WoiRSae/yaDPnTw==" spinCount="100000" sqref="AV69:AV70 BJ70:BL70 AT69:AT70 BJ69:BK69" name="Rango2_99_37_1"/>
    <protectedRange algorithmName="SHA-512" hashValue="RQ91b7oAw60DVtcgB2vRpial2kSdzJx5guGCTYUwXYkKrtrUHfiYnLf9R+SNpYXlJDYpyEJLhcWwP0EqNN86dQ==" saltValue="W3RbH3zrcY9sy39xNwXNxg==" spinCount="100000" sqref="BV65:BY67" name="Rango2_88_99_21_1"/>
    <protectedRange algorithmName="SHA-512" hashValue="XZw03RosI/l0z9FxmTtF29EdZ7P+4+ybhqoaAAUmURojSR5XbGfjC4f2i8gMqfY+RI9JvfdCA6PSh9TduXfUxA==" saltValue="5TPtLq2WoiRSae/yaDPnTw==" spinCount="100000" sqref="BZ65:CB67 BR65:BU67" name="Rango2_99_49"/>
    <protectedRange algorithmName="SHA-512" hashValue="RQ91b7oAw60DVtcgB2vRpial2kSdzJx5guGCTYUwXYkKrtrUHfiYnLf9R+SNpYXlJDYpyEJLhcWwP0EqNN86dQ==" saltValue="W3RbH3zrcY9sy39xNwXNxg==" spinCount="100000" sqref="BV68:BY68" name="Rango2_88_99_22_1"/>
    <protectedRange algorithmName="SHA-512" hashValue="XZw03RosI/l0z9FxmTtF29EdZ7P+4+ybhqoaAAUmURojSR5XbGfjC4f2i8gMqfY+RI9JvfdCA6PSh9TduXfUxA==" saltValue="5TPtLq2WoiRSae/yaDPnTw==" spinCount="100000" sqref="BZ68:CB68 BR68:BU68" name="Rango2_99_50"/>
    <protectedRange algorithmName="SHA-512" hashValue="RQ91b7oAw60DVtcgB2vRpial2kSdzJx5guGCTYUwXYkKrtrUHfiYnLf9R+SNpYXlJDYpyEJLhcWwP0EqNN86dQ==" saltValue="W3RbH3zrcY9sy39xNwXNxg==" spinCount="100000" sqref="BV69:BY70" name="Rango2_88_99_23_1"/>
    <protectedRange algorithmName="SHA-512" hashValue="XZw03RosI/l0z9FxmTtF29EdZ7P+4+ybhqoaAAUmURojSR5XbGfjC4f2i8gMqfY+RI9JvfdCA6PSh9TduXfUxA==" saltValue="5TPtLq2WoiRSae/yaDPnTw==" spinCount="100000" sqref="BZ69:CB70 BR69:BU70" name="Rango2_99_51"/>
    <protectedRange algorithmName="SHA-512" hashValue="XZw03RosI/l0z9FxmTtF29EdZ7P+4+ybhqoaAAUmURojSR5XbGfjC4f2i8gMqfY+RI9JvfdCA6PSh9TduXfUxA==" saltValue="5TPtLq2WoiRSae/yaDPnTw==" spinCount="100000" sqref="CE65:CF67" name="Rango2_99_63"/>
    <protectedRange algorithmName="SHA-512" hashValue="XZw03RosI/l0z9FxmTtF29EdZ7P+4+ybhqoaAAUmURojSR5XbGfjC4f2i8gMqfY+RI9JvfdCA6PSh9TduXfUxA==" saltValue="5TPtLq2WoiRSae/yaDPnTw==" spinCount="100000" sqref="CE68:CF68" name="Rango2_99_64"/>
    <protectedRange algorithmName="SHA-512" hashValue="XZw03RosI/l0z9FxmTtF29EdZ7P+4+ybhqoaAAUmURojSR5XbGfjC4f2i8gMqfY+RI9JvfdCA6PSh9TduXfUxA==" saltValue="5TPtLq2WoiRSae/yaDPnTw==" spinCount="100000" sqref="CE69:CF70" name="Rango2_99_66"/>
    <protectedRange algorithmName="SHA-512" hashValue="XZw03RosI/l0z9FxmTtF29EdZ7P+4+ybhqoaAAUmURojSR5XbGfjC4f2i8gMqfY+RI9JvfdCA6PSh9TduXfUxA==" saltValue="5TPtLq2WoiRSae/yaDPnTw==" spinCount="100000" sqref="CJ65:CK67" name="Rango2_99_77"/>
    <protectedRange algorithmName="SHA-512" hashValue="XZw03RosI/l0z9FxmTtF29EdZ7P+4+ybhqoaAAUmURojSR5XbGfjC4f2i8gMqfY+RI9JvfdCA6PSh9TduXfUxA==" saltValue="5TPtLq2WoiRSae/yaDPnTw==" spinCount="100000" sqref="CJ68:CK68" name="Rango2_99_79"/>
    <protectedRange algorithmName="SHA-512" hashValue="XZw03RosI/l0z9FxmTtF29EdZ7P+4+ybhqoaAAUmURojSR5XbGfjC4f2i8gMqfY+RI9JvfdCA6PSh9TduXfUxA==" saltValue="5TPtLq2WoiRSae/yaDPnTw==" spinCount="100000" sqref="CJ69:CK70" name="Rango2_99_80"/>
    <protectedRange algorithmName="SHA-512" hashValue="XZw03RosI/l0z9FxmTtF29EdZ7P+4+ybhqoaAAUmURojSR5XbGfjC4f2i8gMqfY+RI9JvfdCA6PSh9TduXfUxA==" saltValue="5TPtLq2WoiRSae/yaDPnTw==" spinCount="100000" sqref="CP65:CQ67" name="Rango2_99_92"/>
    <protectedRange algorithmName="SHA-512" hashValue="XZw03RosI/l0z9FxmTtF29EdZ7P+4+ybhqoaAAUmURojSR5XbGfjC4f2i8gMqfY+RI9JvfdCA6PSh9TduXfUxA==" saltValue="5TPtLq2WoiRSae/yaDPnTw==" spinCount="100000" sqref="CP68:CQ68" name="Rango2_99_93"/>
    <protectedRange algorithmName="SHA-512" hashValue="XZw03RosI/l0z9FxmTtF29EdZ7P+4+ybhqoaAAUmURojSR5XbGfjC4f2i8gMqfY+RI9JvfdCA6PSh9TduXfUxA==" saltValue="5TPtLq2WoiRSae/yaDPnTw==" spinCount="100000" sqref="CP69:CQ70" name="Rango2_99_94"/>
    <protectedRange algorithmName="SHA-512" hashValue="XZw03RosI/l0z9FxmTtF29EdZ7P+4+ybhqoaAAUmURojSR5XbGfjC4f2i8gMqfY+RI9JvfdCA6PSh9TduXfUxA==" saltValue="5TPtLq2WoiRSae/yaDPnTw==" spinCount="100000" sqref="O71" name="Rango2_99_10_1"/>
    <protectedRange algorithmName="SHA-512" hashValue="XZw03RosI/l0z9FxmTtF29EdZ7P+4+ybhqoaAAUmURojSR5XbGfjC4f2i8gMqfY+RI9JvfdCA6PSh9TduXfUxA==" saltValue="5TPtLq2WoiRSae/yaDPnTw==" spinCount="100000" sqref="O72" name="Rango2_99_11_1"/>
    <protectedRange algorithmName="SHA-512" hashValue="CHipOQaT63FWw628cQcXXJRZlrbNZ7OgmnEbDx38UmmH7z19GRYEzXFiVOzHAy1OAaAbST7g2bHZHDKQp2qm3w==" saltValue="iRVuL+373yLHv0ZHzS9qog==" spinCount="100000" sqref="AJ71 AG71:AH71" name="Rango2_88_7_5_10_1"/>
    <protectedRange algorithmName="SHA-512" hashValue="fPHvtIAf3pQeZUoAI9C2/vdXMHBpqqEq+67P5Ypyu4+9IWqs3yc9TZcMWQ0THLxUwqseQPyVvakuYFtCwJHsxA==" saltValue="QHIogSs2PrwAfdqa9PAOFQ==" spinCount="100000" sqref="AC71" name="Rango2_88_5_5_10_1"/>
    <protectedRange algorithmName="SHA-512" hashValue="LEEeiU6pKqm7TAP46VGlz0q+evvFwpT/0iLpRuWuQ7MacbP0OGL1/FSmrIEOg2rb6M+Jla2bPbVWiGag27j87w==" saltValue="HEVt+pS5OloNDlqSnzGLLw==" spinCount="100000" sqref="AI71" name="Rango2_8_7_10_1"/>
    <protectedRange algorithmName="SHA-512" hashValue="q2z5hEFmXS0v2chiPTC/VCoDWNlnhp+Xe6Ybfxe48vIsnB/KTJQxJv+pFUnCXfZ9T6vyJopuqFFNROfQTW/JUw==" saltValue="IctfdGJb5tOTpq+KPi9vww==" spinCount="100000" sqref="AE71:AF71" name="Rango2_88_39_10_1"/>
    <protectedRange algorithmName="SHA-512" hashValue="AYYX88LSDB6RDNMvSqt0KPGWPjBqTk56tMxTOlv5QD61MGTKAAQnSnudvNDWPN0Bbllh2qRQC+P5uq7goxjdrw==" saltValue="i/iPMewnks1FoXYOjKMEVg==" spinCount="100000" sqref="AB71" name="Rango2_87_6_10_1"/>
    <protectedRange algorithmName="SHA-512" hashValue="NUll9P9xh7KbSfMYpMxsRZLfDw/y/AzW2LSWlpXVscBDqiAxmzo71xjs+a2lh+jRa7pceOC849slke4+ZKx8LA==" saltValue="8qbkKpQ+CiQuLnqgShNvXA==" spinCount="100000" sqref="T71" name="Rango2_88_6_10_1"/>
    <protectedRange algorithmName="SHA-512" hashValue="KHhv3JU/LRdRrRTxxkgFceEHPZ5UzadmpZRZR3zmQRnPvkUJZuanRafIJ+qde0IWwLZSvFIQDyUAHq6v6k7XIg==" saltValue="2GKG1kCzVNNcn+vbOPuhJA==" spinCount="100000" sqref="Q71" name="Rango2_2_5_10_1"/>
    <protectedRange algorithmName="SHA-512" hashValue="XZw03RosI/l0z9FxmTtF29EdZ7P+4+ybhqoaAAUmURojSR5XbGfjC4f2i8gMqfY+RI9JvfdCA6PSh9TduXfUxA==" saltValue="5TPtLq2WoiRSae/yaDPnTw==" spinCount="100000" sqref="U71:AA71 R71:S71" name="Rango2_99_24_2"/>
    <protectedRange algorithmName="SHA-512" hashValue="9+DNppQbWrLYYUMoJ+lyQctV2bX3Vq9kZnegLbpjTLP49It2ovUbcartuoQTeXgP+TGpY//7mDH/UQlFCKDGiA==" saltValue="KUnni6YEm00anzSSvyLqQA==" spinCount="100000" sqref="AD71" name="Rango2_37_1"/>
    <protectedRange algorithmName="SHA-512" hashValue="CHipOQaT63FWw628cQcXXJRZlrbNZ7OgmnEbDx38UmmH7z19GRYEzXFiVOzHAy1OAaAbST7g2bHZHDKQp2qm3w==" saltValue="iRVuL+373yLHv0ZHzS9qog==" spinCount="100000" sqref="AJ72 AG72:AH72" name="Rango2_88_7_5_11_1"/>
    <protectedRange algorithmName="SHA-512" hashValue="fPHvtIAf3pQeZUoAI9C2/vdXMHBpqqEq+67P5Ypyu4+9IWqs3yc9TZcMWQ0THLxUwqseQPyVvakuYFtCwJHsxA==" saltValue="QHIogSs2PrwAfdqa9PAOFQ==" spinCount="100000" sqref="AC72" name="Rango2_88_5_5_11_1"/>
    <protectedRange algorithmName="SHA-512" hashValue="LEEeiU6pKqm7TAP46VGlz0q+evvFwpT/0iLpRuWuQ7MacbP0OGL1/FSmrIEOg2rb6M+Jla2bPbVWiGag27j87w==" saltValue="HEVt+pS5OloNDlqSnzGLLw==" spinCount="100000" sqref="AI72" name="Rango2_8_7_11_1"/>
    <protectedRange algorithmName="SHA-512" hashValue="q2z5hEFmXS0v2chiPTC/VCoDWNlnhp+Xe6Ybfxe48vIsnB/KTJQxJv+pFUnCXfZ9T6vyJopuqFFNROfQTW/JUw==" saltValue="IctfdGJb5tOTpq+KPi9vww==" spinCount="100000" sqref="AE72:AF72" name="Rango2_88_39_11_1"/>
    <protectedRange algorithmName="SHA-512" hashValue="AYYX88LSDB6RDNMvSqt0KPGWPjBqTk56tMxTOlv5QD61MGTKAAQnSnudvNDWPN0Bbllh2qRQC+P5uq7goxjdrw==" saltValue="i/iPMewnks1FoXYOjKMEVg==" spinCount="100000" sqref="AB72" name="Rango2_87_6_11_1"/>
    <protectedRange algorithmName="SHA-512" hashValue="NUll9P9xh7KbSfMYpMxsRZLfDw/y/AzW2LSWlpXVscBDqiAxmzo71xjs+a2lh+jRa7pceOC849slke4+ZKx8LA==" saltValue="8qbkKpQ+CiQuLnqgShNvXA==" spinCount="100000" sqref="T72" name="Rango2_88_6_11_1"/>
    <protectedRange algorithmName="SHA-512" hashValue="KHhv3JU/LRdRrRTxxkgFceEHPZ5UzadmpZRZR3zmQRnPvkUJZuanRafIJ+qde0IWwLZSvFIQDyUAHq6v6k7XIg==" saltValue="2GKG1kCzVNNcn+vbOPuhJA==" spinCount="100000" sqref="Q72" name="Rango2_2_5_11_1"/>
    <protectedRange algorithmName="SHA-512" hashValue="XZw03RosI/l0z9FxmTtF29EdZ7P+4+ybhqoaAAUmURojSR5XbGfjC4f2i8gMqfY+RI9JvfdCA6PSh9TduXfUxA==" saltValue="5TPtLq2WoiRSae/yaDPnTw==" spinCount="100000" sqref="U72:AA72 R72:S72" name="Rango2_99_25_1"/>
    <protectedRange algorithmName="SHA-512" hashValue="9+DNppQbWrLYYUMoJ+lyQctV2bX3Vq9kZnegLbpjTLP49It2ovUbcartuoQTeXgP+TGpY//7mDH/UQlFCKDGiA==" saltValue="KUnni6YEm00anzSSvyLqQA==" spinCount="100000" sqref="AD72" name="Rango2_38_1"/>
    <protectedRange algorithmName="SHA-512" hashValue="RQ91b7oAw60DVtcgB2vRpial2kSdzJx5guGCTYUwXYkKrtrUHfiYnLf9R+SNpYXlJDYpyEJLhcWwP0EqNN86dQ==" saltValue="W3RbH3zrcY9sy39xNwXNxg==" spinCount="100000" sqref="BA71:BI71" name="Rango2_88_99_10_1"/>
    <protectedRange algorithmName="SHA-512" hashValue="fMbmUM1DQ7FuAPRNvFL5mPdHUYjQnlLFhkuaxvHguaqR7aWyDxcmJs0jLYQfQKY+oyhsMb4Lew4VL6i7um3/ew==" saltValue="ydaTm0CeH8+/cYqoL/AMaQ==" spinCount="100000" sqref="AW71:AZ71 AU71" name="Rango2_88_91_10_1"/>
    <protectedRange algorithmName="SHA-512" hashValue="CHipOQaT63FWw628cQcXXJRZlrbNZ7OgmnEbDx38UmmH7z19GRYEzXFiVOzHAy1OAaAbST7g2bHZHDKQp2qm3w==" saltValue="iRVuL+373yLHv0ZHzS9qog==" spinCount="100000" sqref="AL71" name="Rango2_88_7_5_24"/>
    <protectedRange algorithmName="SHA-512" hashValue="NkG6oHuDGvGBEiLAAq8MEJHEfLQUMyjihfH+DBXhT+eQW0r1yri7tOJEFRM9nbOejjjXiviq9RFo7KB7wF+xJA==" saltValue="bpjB0AAANu2X/PeR3eiFkA==" spinCount="100000" sqref="AM71:AS71" name="Rango2_88_65_10_1"/>
    <protectedRange algorithmName="SHA-512" hashValue="XZw03RosI/l0z9FxmTtF29EdZ7P+4+ybhqoaAAUmURojSR5XbGfjC4f2i8gMqfY+RI9JvfdCA6PSh9TduXfUxA==" saltValue="5TPtLq2WoiRSae/yaDPnTw==" spinCount="100000" sqref="AV71 BJ71:BL71 AT71" name="Rango2_99_38_1"/>
    <protectedRange algorithmName="SHA-512" hashValue="RQ91b7oAw60DVtcgB2vRpial2kSdzJx5guGCTYUwXYkKrtrUHfiYnLf9R+SNpYXlJDYpyEJLhcWwP0EqNN86dQ==" saltValue="W3RbH3zrcY9sy39xNwXNxg==" spinCount="100000" sqref="BA72:BI72" name="Rango2_88_99_11_1"/>
    <protectedRange algorithmName="SHA-512" hashValue="fMbmUM1DQ7FuAPRNvFL5mPdHUYjQnlLFhkuaxvHguaqR7aWyDxcmJs0jLYQfQKY+oyhsMb4Lew4VL6i7um3/ew==" saltValue="ydaTm0CeH8+/cYqoL/AMaQ==" spinCount="100000" sqref="AW72:AZ72 AU72" name="Rango2_88_91_11_1"/>
    <protectedRange algorithmName="SHA-512" hashValue="CHipOQaT63FWw628cQcXXJRZlrbNZ7OgmnEbDx38UmmH7z19GRYEzXFiVOzHAy1OAaAbST7g2bHZHDKQp2qm3w==" saltValue="iRVuL+373yLHv0ZHzS9qog==" spinCount="100000" sqref="AL72" name="Rango2_88_7_5_25"/>
    <protectedRange algorithmName="SHA-512" hashValue="NkG6oHuDGvGBEiLAAq8MEJHEfLQUMyjihfH+DBXhT+eQW0r1yri7tOJEFRM9nbOejjjXiviq9RFo7KB7wF+xJA==" saltValue="bpjB0AAANu2X/PeR3eiFkA==" spinCount="100000" sqref="AM72:AS72" name="Rango2_88_65_11_1"/>
    <protectedRange algorithmName="SHA-512" hashValue="XZw03RosI/l0z9FxmTtF29EdZ7P+4+ybhqoaAAUmURojSR5XbGfjC4f2i8gMqfY+RI9JvfdCA6PSh9TduXfUxA==" saltValue="5TPtLq2WoiRSae/yaDPnTw==" spinCount="100000" sqref="AV72 BJ72:BK72 AT72" name="Rango2_99_40_1"/>
    <protectedRange algorithmName="SHA-512" hashValue="RQ91b7oAw60DVtcgB2vRpial2kSdzJx5guGCTYUwXYkKrtrUHfiYnLf9R+SNpYXlJDYpyEJLhcWwP0EqNN86dQ==" saltValue="W3RbH3zrcY9sy39xNwXNxg==" spinCount="100000" sqref="BV71:BY71" name="Rango2_88_99_24"/>
    <protectedRange algorithmName="SHA-512" hashValue="XZw03RosI/l0z9FxmTtF29EdZ7P+4+ybhqoaAAUmURojSR5XbGfjC4f2i8gMqfY+RI9JvfdCA6PSh9TduXfUxA==" saltValue="5TPtLq2WoiRSae/yaDPnTw==" spinCount="100000" sqref="BZ71:CB71 BR71:BU71" name="Rango2_99_53"/>
    <protectedRange algorithmName="SHA-512" hashValue="RQ91b7oAw60DVtcgB2vRpial2kSdzJx5guGCTYUwXYkKrtrUHfiYnLf9R+SNpYXlJDYpyEJLhcWwP0EqNN86dQ==" saltValue="W3RbH3zrcY9sy39xNwXNxg==" spinCount="100000" sqref="BV72:BY72" name="Rango2_88_99_25"/>
    <protectedRange algorithmName="SHA-512" hashValue="XZw03RosI/l0z9FxmTtF29EdZ7P+4+ybhqoaAAUmURojSR5XbGfjC4f2i8gMqfY+RI9JvfdCA6PSh9TduXfUxA==" saltValue="5TPtLq2WoiRSae/yaDPnTw==" spinCount="100000" sqref="BZ72:CB72 BR72:BU72" name="Rango2_99_54"/>
    <protectedRange algorithmName="SHA-512" hashValue="XZw03RosI/l0z9FxmTtF29EdZ7P+4+ybhqoaAAUmURojSR5XbGfjC4f2i8gMqfY+RI9JvfdCA6PSh9TduXfUxA==" saltValue="5TPtLq2WoiRSae/yaDPnTw==" spinCount="100000" sqref="CE71:CF71" name="Rango2_99_67"/>
    <protectedRange algorithmName="SHA-512" hashValue="XZw03RosI/l0z9FxmTtF29EdZ7P+4+ybhqoaAAUmURojSR5XbGfjC4f2i8gMqfY+RI9JvfdCA6PSh9TduXfUxA==" saltValue="5TPtLq2WoiRSae/yaDPnTw==" spinCount="100000" sqref="CE72:CF72" name="Rango2_99_68"/>
    <protectedRange algorithmName="SHA-512" hashValue="XZw03RosI/l0z9FxmTtF29EdZ7P+4+ybhqoaAAUmURojSR5XbGfjC4f2i8gMqfY+RI9JvfdCA6PSh9TduXfUxA==" saltValue="5TPtLq2WoiRSae/yaDPnTw==" spinCount="100000" sqref="CJ71:CK71" name="Rango2_99_81"/>
    <protectedRange algorithmName="SHA-512" hashValue="XZw03RosI/l0z9FxmTtF29EdZ7P+4+ybhqoaAAUmURojSR5XbGfjC4f2i8gMqfY+RI9JvfdCA6PSh9TduXfUxA==" saltValue="5TPtLq2WoiRSae/yaDPnTw==" spinCount="100000" sqref="CJ72:CK72" name="Rango2_99_82"/>
    <protectedRange algorithmName="SHA-512" hashValue="XZw03RosI/l0z9FxmTtF29EdZ7P+4+ybhqoaAAUmURojSR5XbGfjC4f2i8gMqfY+RI9JvfdCA6PSh9TduXfUxA==" saltValue="5TPtLq2WoiRSae/yaDPnTw==" spinCount="100000" sqref="CP71:CQ71" name="Rango2_99_95"/>
    <protectedRange algorithmName="SHA-512" hashValue="XZw03RosI/l0z9FxmTtF29EdZ7P+4+ybhqoaAAUmURojSR5XbGfjC4f2i8gMqfY+RI9JvfdCA6PSh9TduXfUxA==" saltValue="5TPtLq2WoiRSae/yaDPnTw==" spinCount="100000" sqref="CP72:CQ72" name="Rango2_99_96"/>
    <protectedRange algorithmName="SHA-512" hashValue="XZw03RosI/l0z9FxmTtF29EdZ7P+4+ybhqoaAAUmURojSR5XbGfjC4f2i8gMqfY+RI9JvfdCA6PSh9TduXfUxA==" saltValue="5TPtLq2WoiRSae/yaDPnTw==" spinCount="100000" sqref="O73:O76" name="Rango2_99_14_1"/>
    <protectedRange algorithmName="SHA-512" hashValue="CHipOQaT63FWw628cQcXXJRZlrbNZ7OgmnEbDx38UmmH7z19GRYEzXFiVOzHAy1OAaAbST7g2bHZHDKQp2qm3w==" saltValue="iRVuL+373yLHv0ZHzS9qog==" spinCount="100000" sqref="AJ73:AJ76 AG73:AH76" name="Rango2_88_7_5_14_1"/>
    <protectedRange algorithmName="SHA-512" hashValue="fPHvtIAf3pQeZUoAI9C2/vdXMHBpqqEq+67P5Ypyu4+9IWqs3yc9TZcMWQ0THLxUwqseQPyVvakuYFtCwJHsxA==" saltValue="QHIogSs2PrwAfdqa9PAOFQ==" spinCount="100000" sqref="AC73:AC76" name="Rango2_88_5_5_23"/>
    <protectedRange algorithmName="SHA-512" hashValue="LEEeiU6pKqm7TAP46VGlz0q+evvFwpT/0iLpRuWuQ7MacbP0OGL1/FSmrIEOg2rb6M+Jla2bPbVWiGag27j87w==" saltValue="HEVt+pS5OloNDlqSnzGLLw==" spinCount="100000" sqref="AI73:AI76" name="Rango2_8_7_23_1"/>
    <protectedRange algorithmName="SHA-512" hashValue="q2z5hEFmXS0v2chiPTC/VCoDWNlnhp+Xe6Ybfxe48vIsnB/KTJQxJv+pFUnCXfZ9T6vyJopuqFFNROfQTW/JUw==" saltValue="IctfdGJb5tOTpq+KPi9vww==" spinCount="100000" sqref="AE73:AF76" name="Rango2_88_39_41_1"/>
    <protectedRange algorithmName="SHA-512" hashValue="AYYX88LSDB6RDNMvSqt0KPGWPjBqTk56tMxTOlv5QD61MGTKAAQnSnudvNDWPN0Bbllh2qRQC+P5uq7goxjdrw==" saltValue="i/iPMewnks1FoXYOjKMEVg==" spinCount="100000" sqref="AB73:AB76" name="Rango2_87_6_23_1"/>
    <protectedRange algorithmName="SHA-512" hashValue="NUll9P9xh7KbSfMYpMxsRZLfDw/y/AzW2LSWlpXVscBDqiAxmzo71xjs+a2lh+jRa7pceOC849slke4+ZKx8LA==" saltValue="8qbkKpQ+CiQuLnqgShNvXA==" spinCount="100000" sqref="T73:T76" name="Rango2_88_6_23_1"/>
    <protectedRange algorithmName="SHA-512" hashValue="KHhv3JU/LRdRrRTxxkgFceEHPZ5UzadmpZRZR3zmQRnPvkUJZuanRafIJ+qde0IWwLZSvFIQDyUAHq6v6k7XIg==" saltValue="2GKG1kCzVNNcn+vbOPuhJA==" spinCount="100000" sqref="Q73:Q76" name="Rango2_2_5_23_1"/>
    <protectedRange algorithmName="SHA-512" hashValue="XZw03RosI/l0z9FxmTtF29EdZ7P+4+ybhqoaAAUmURojSR5XbGfjC4f2i8gMqfY+RI9JvfdCA6PSh9TduXfUxA==" saltValue="5TPtLq2WoiRSae/yaDPnTw==" spinCount="100000" sqref="U73:AA76 R73:S76" name="Rango2_99_28_1"/>
    <protectedRange algorithmName="SHA-512" hashValue="RQ91b7oAw60DVtcgB2vRpial2kSdzJx5guGCTYUwXYkKrtrUHfiYnLf9R+SNpYXlJDYpyEJLhcWwP0EqNN86dQ==" saltValue="W3RbH3zrcY9sy39xNwXNxg==" spinCount="100000" sqref="BA73:BI76" name="Rango2_88_99_14_1"/>
    <protectedRange algorithmName="SHA-512" hashValue="fMbmUM1DQ7FuAPRNvFL5mPdHUYjQnlLFhkuaxvHguaqR7aWyDxcmJs0jLYQfQKY+oyhsMb4Lew4VL6i7um3/ew==" saltValue="ydaTm0CeH8+/cYqoL/AMaQ==" spinCount="100000" sqref="AW73:AZ76 AU73:AU76" name="Rango2_88_91_23_1"/>
    <protectedRange algorithmName="SHA-512" hashValue="CHipOQaT63FWw628cQcXXJRZlrbNZ7OgmnEbDx38UmmH7z19GRYEzXFiVOzHAy1OAaAbST7g2bHZHDKQp2qm3w==" saltValue="iRVuL+373yLHv0ZHzS9qog==" spinCount="100000" sqref="AL73:AL76" name="Rango2_88_7_5_46"/>
    <protectedRange algorithmName="SHA-512" hashValue="NkG6oHuDGvGBEiLAAq8MEJHEfLQUMyjihfH+DBXhT+eQW0r1yri7tOJEFRM9nbOejjjXiviq9RFo7KB7wF+xJA==" saltValue="bpjB0AAANu2X/PeR3eiFkA==" spinCount="100000" sqref="AM73:AS76" name="Rango2_88_65_23_1"/>
    <protectedRange algorithmName="SHA-512" hashValue="XZw03RosI/l0z9FxmTtF29EdZ7P+4+ybhqoaAAUmURojSR5XbGfjC4f2i8gMqfY+RI9JvfdCA6PSh9TduXfUxA==" saltValue="5TPtLq2WoiRSae/yaDPnTw==" spinCount="100000" sqref="AV73:AV76 BJ74:BL76 AT73:AT76 BJ73:BK73" name="Rango2_99_42_1"/>
    <protectedRange algorithmName="SHA-512" hashValue="RQ91b7oAw60DVtcgB2vRpial2kSdzJx5guGCTYUwXYkKrtrUHfiYnLf9R+SNpYXlJDYpyEJLhcWwP0EqNN86dQ==" saltValue="W3RbH3zrcY9sy39xNwXNxg==" spinCount="100000" sqref="BV73:BY76" name="Rango2_88_99_46"/>
    <protectedRange algorithmName="SHA-512" hashValue="XZw03RosI/l0z9FxmTtF29EdZ7P+4+ybhqoaAAUmURojSR5XbGfjC4f2i8gMqfY+RI9JvfdCA6PSh9TduXfUxA==" saltValue="5TPtLq2WoiRSae/yaDPnTw==" spinCount="100000" sqref="BZ73:CA76 BR73:BU76 CB74:CB76" name="Rango2_99_56"/>
    <protectedRange algorithmName="SHA-512" hashValue="XZw03RosI/l0z9FxmTtF29EdZ7P+4+ybhqoaAAUmURojSR5XbGfjC4f2i8gMqfY+RI9JvfdCA6PSh9TduXfUxA==" saltValue="5TPtLq2WoiRSae/yaDPnTw==" spinCount="100000" sqref="DE74 CJ74:CJ75 CE73:CF76" name="Rango2_99_70"/>
    <protectedRange algorithmName="SHA-512" hashValue="XZw03RosI/l0z9FxmTtF29EdZ7P+4+ybhqoaAAUmURojSR5XbGfjC4f2i8gMqfY+RI9JvfdCA6PSh9TduXfUxA==" saltValue="5TPtLq2WoiRSae/yaDPnTw==" spinCount="100000" sqref="CJ73:CK73 CJ76:CK76 CK74:CK75" name="Rango2_99_84"/>
    <protectedRange algorithmName="SHA-512" hashValue="XZw03RosI/l0z9FxmTtF29EdZ7P+4+ybhqoaAAUmURojSR5XbGfjC4f2i8gMqfY+RI9JvfdCA6PSh9TduXfUxA==" saltValue="5TPtLq2WoiRSae/yaDPnTw==" spinCount="100000" sqref="CP74:CQ76" name="Rango2_99_98"/>
    <protectedRange algorithmName="SHA-512" hashValue="XZw03RosI/l0z9FxmTtF29EdZ7P+4+ybhqoaAAUmURojSR5XbGfjC4f2i8gMqfY+RI9JvfdCA6PSh9TduXfUxA==" saltValue="5TPtLq2WoiRSae/yaDPnTw==" spinCount="100000" sqref="O77" name="Rango2_99_14_2"/>
    <protectedRange algorithmName="SHA-512" hashValue="CHipOQaT63FWw628cQcXXJRZlrbNZ7OgmnEbDx38UmmH7z19GRYEzXFiVOzHAy1OAaAbST7g2bHZHDKQp2qm3w==" saltValue="iRVuL+373yLHv0ZHzS9qog==" spinCount="100000" sqref="AJ77 AG77:AH77" name="Rango2_88_7_5_14_2"/>
    <protectedRange algorithmName="SHA-512" hashValue="fPHvtIAf3pQeZUoAI9C2/vdXMHBpqqEq+67P5Ypyu4+9IWqs3yc9TZcMWQ0THLxUwqseQPyVvakuYFtCwJHsxA==" saltValue="QHIogSs2PrwAfdqa9PAOFQ==" spinCount="100000" sqref="AC77" name="Rango2_88_5_5_23_1"/>
    <protectedRange algorithmName="SHA-512" hashValue="LEEeiU6pKqm7TAP46VGlz0q+evvFwpT/0iLpRuWuQ7MacbP0OGL1/FSmrIEOg2rb6M+Jla2bPbVWiGag27j87w==" saltValue="HEVt+pS5OloNDlqSnzGLLw==" spinCount="100000" sqref="AI77" name="Rango2_8_7_23_2"/>
    <protectedRange algorithmName="SHA-512" hashValue="q2z5hEFmXS0v2chiPTC/VCoDWNlnhp+Xe6Ybfxe48vIsnB/KTJQxJv+pFUnCXfZ9T6vyJopuqFFNROfQTW/JUw==" saltValue="IctfdGJb5tOTpq+KPi9vww==" spinCount="100000" sqref="AE77:AF77" name="Rango2_88_39_41_2"/>
    <protectedRange algorithmName="SHA-512" hashValue="AYYX88LSDB6RDNMvSqt0KPGWPjBqTk56tMxTOlv5QD61MGTKAAQnSnudvNDWPN0Bbllh2qRQC+P5uq7goxjdrw==" saltValue="i/iPMewnks1FoXYOjKMEVg==" spinCount="100000" sqref="AB77" name="Rango2_87_6_23_2"/>
    <protectedRange algorithmName="SHA-512" hashValue="NUll9P9xh7KbSfMYpMxsRZLfDw/y/AzW2LSWlpXVscBDqiAxmzo71xjs+a2lh+jRa7pceOC849slke4+ZKx8LA==" saltValue="8qbkKpQ+CiQuLnqgShNvXA==" spinCount="100000" sqref="T77" name="Rango2_88_6_23_2"/>
    <protectedRange algorithmName="SHA-512" hashValue="KHhv3JU/LRdRrRTxxkgFceEHPZ5UzadmpZRZR3zmQRnPvkUJZuanRafIJ+qde0IWwLZSvFIQDyUAHq6v6k7XIg==" saltValue="2GKG1kCzVNNcn+vbOPuhJA==" spinCount="100000" sqref="Q77" name="Rango2_2_5_23_2"/>
    <protectedRange algorithmName="SHA-512" hashValue="XZw03RosI/l0z9FxmTtF29EdZ7P+4+ybhqoaAAUmURojSR5XbGfjC4f2i8gMqfY+RI9JvfdCA6PSh9TduXfUxA==" saltValue="5TPtLq2WoiRSae/yaDPnTw==" spinCount="100000" sqref="R77:S77 U77:AA77" name="Rango2_99_28_2"/>
    <protectedRange algorithmName="SHA-512" hashValue="RQ91b7oAw60DVtcgB2vRpial2kSdzJx5guGCTYUwXYkKrtrUHfiYnLf9R+SNpYXlJDYpyEJLhcWwP0EqNN86dQ==" saltValue="W3RbH3zrcY9sy39xNwXNxg==" spinCount="100000" sqref="BA77:BI77" name="Rango2_88_99_14_2"/>
    <protectedRange algorithmName="SHA-512" hashValue="fMbmUM1DQ7FuAPRNvFL5mPdHUYjQnlLFhkuaxvHguaqR7aWyDxcmJs0jLYQfQKY+oyhsMb4Lew4VL6i7um3/ew==" saltValue="ydaTm0CeH8+/cYqoL/AMaQ==" spinCount="100000" sqref="AW77:AZ77 AU77" name="Rango2_88_91_23_2"/>
    <protectedRange algorithmName="SHA-512" hashValue="CHipOQaT63FWw628cQcXXJRZlrbNZ7OgmnEbDx38UmmH7z19GRYEzXFiVOzHAy1OAaAbST7g2bHZHDKQp2qm3w==" saltValue="iRVuL+373yLHv0ZHzS9qog==" spinCount="100000" sqref="AL77" name="Rango2_88_7_5_46_1"/>
    <protectedRange algorithmName="SHA-512" hashValue="NkG6oHuDGvGBEiLAAq8MEJHEfLQUMyjihfH+DBXhT+eQW0r1yri7tOJEFRM9nbOejjjXiviq9RFo7KB7wF+xJA==" saltValue="bpjB0AAANu2X/PeR3eiFkA==" spinCount="100000" sqref="AM77:AS77" name="Rango2_88_65_23_2"/>
    <protectedRange algorithmName="SHA-512" hashValue="XZw03RosI/l0z9FxmTtF29EdZ7P+4+ybhqoaAAUmURojSR5XbGfjC4f2i8gMqfY+RI9JvfdCA6PSh9TduXfUxA==" saltValue="5TPtLq2WoiRSae/yaDPnTw==" spinCount="100000" sqref="BJ77:BL77 AT77 AV77" name="Rango2_99_42_2"/>
    <protectedRange algorithmName="SHA-512" hashValue="RQ91b7oAw60DVtcgB2vRpial2kSdzJx5guGCTYUwXYkKrtrUHfiYnLf9R+SNpYXlJDYpyEJLhcWwP0EqNN86dQ==" saltValue="W3RbH3zrcY9sy39xNwXNxg==" spinCount="100000" sqref="BV77:BY77" name="Rango2_88_99_46_1"/>
    <protectedRange algorithmName="SHA-512" hashValue="XZw03RosI/l0z9FxmTtF29EdZ7P+4+ybhqoaAAUmURojSR5XbGfjC4f2i8gMqfY+RI9JvfdCA6PSh9TduXfUxA==" saltValue="5TPtLq2WoiRSae/yaDPnTw==" spinCount="100000" sqref="BZ77:CB77 BR77:BU77" name="Rango2_99_56_1"/>
    <protectedRange algorithmName="SHA-512" hashValue="XZw03RosI/l0z9FxmTtF29EdZ7P+4+ybhqoaAAUmURojSR5XbGfjC4f2i8gMqfY+RI9JvfdCA6PSh9TduXfUxA==" saltValue="5TPtLq2WoiRSae/yaDPnTw==" spinCount="100000" sqref="CE77:CF77" name="Rango2_99_70_1"/>
    <protectedRange algorithmName="SHA-512" hashValue="XZw03RosI/l0z9FxmTtF29EdZ7P+4+ybhqoaAAUmURojSR5XbGfjC4f2i8gMqfY+RI9JvfdCA6PSh9TduXfUxA==" saltValue="5TPtLq2WoiRSae/yaDPnTw==" spinCount="100000" sqref="CJ77:CK77" name="Rango2_99_84_1"/>
    <protectedRange algorithmName="SHA-512" hashValue="XZw03RosI/l0z9FxmTtF29EdZ7P+4+ybhqoaAAUmURojSR5XbGfjC4f2i8gMqfY+RI9JvfdCA6PSh9TduXfUxA==" saltValue="5TPtLq2WoiRSae/yaDPnTw==" spinCount="100000" sqref="CP77:CQ77" name="Rango2_99_98_1"/>
    <protectedRange algorithmName="SHA-512" hashValue="XZw03RosI/l0z9FxmTtF29EdZ7P+4+ybhqoaAAUmURojSR5XbGfjC4f2i8gMqfY+RI9JvfdCA6PSh9TduXfUxA==" saltValue="5TPtLq2WoiRSae/yaDPnTw==" spinCount="100000" sqref="O78:O79" name="Rango2_99_14_3"/>
    <protectedRange algorithmName="SHA-512" hashValue="CHipOQaT63FWw628cQcXXJRZlrbNZ7OgmnEbDx38UmmH7z19GRYEzXFiVOzHAy1OAaAbST7g2bHZHDKQp2qm3w==" saltValue="iRVuL+373yLHv0ZHzS9qog==" spinCount="100000" sqref="AJ78:AJ79 AG78:AH79" name="Rango2_88_7_5_14_3"/>
    <protectedRange algorithmName="SHA-512" hashValue="fPHvtIAf3pQeZUoAI9C2/vdXMHBpqqEq+67P5Ypyu4+9IWqs3yc9TZcMWQ0THLxUwqseQPyVvakuYFtCwJHsxA==" saltValue="QHIogSs2PrwAfdqa9PAOFQ==" spinCount="100000" sqref="AC78:AC79" name="Rango2_88_5_5_23_2"/>
    <protectedRange algorithmName="SHA-512" hashValue="LEEeiU6pKqm7TAP46VGlz0q+evvFwpT/0iLpRuWuQ7MacbP0OGL1/FSmrIEOg2rb6M+Jla2bPbVWiGag27j87w==" saltValue="HEVt+pS5OloNDlqSnzGLLw==" spinCount="100000" sqref="AI78:AI79" name="Rango2_8_7_23_3"/>
    <protectedRange algorithmName="SHA-512" hashValue="q2z5hEFmXS0v2chiPTC/VCoDWNlnhp+Xe6Ybfxe48vIsnB/KTJQxJv+pFUnCXfZ9T6vyJopuqFFNROfQTW/JUw==" saltValue="IctfdGJb5tOTpq+KPi9vww==" spinCount="100000" sqref="AE78:AF79" name="Rango2_88_39_41_3"/>
    <protectedRange algorithmName="SHA-512" hashValue="AYYX88LSDB6RDNMvSqt0KPGWPjBqTk56tMxTOlv5QD61MGTKAAQnSnudvNDWPN0Bbllh2qRQC+P5uq7goxjdrw==" saltValue="i/iPMewnks1FoXYOjKMEVg==" spinCount="100000" sqref="AB78:AB79" name="Rango2_87_6_23_3"/>
    <protectedRange algorithmName="SHA-512" hashValue="NUll9P9xh7KbSfMYpMxsRZLfDw/y/AzW2LSWlpXVscBDqiAxmzo71xjs+a2lh+jRa7pceOC849slke4+ZKx8LA==" saltValue="8qbkKpQ+CiQuLnqgShNvXA==" spinCount="100000" sqref="T78:T79" name="Rango2_88_6_23_3"/>
    <protectedRange algorithmName="SHA-512" hashValue="KHhv3JU/LRdRrRTxxkgFceEHPZ5UzadmpZRZR3zmQRnPvkUJZuanRafIJ+qde0IWwLZSvFIQDyUAHq6v6k7XIg==" saltValue="2GKG1kCzVNNcn+vbOPuhJA==" spinCount="100000" sqref="Q78:Q79" name="Rango2_2_5_23_3"/>
    <protectedRange algorithmName="SHA-512" hashValue="XZw03RosI/l0z9FxmTtF29EdZ7P+4+ybhqoaAAUmURojSR5XbGfjC4f2i8gMqfY+RI9JvfdCA6PSh9TduXfUxA==" saltValue="5TPtLq2WoiRSae/yaDPnTw==" spinCount="100000" sqref="R78:S79 U78:AA79" name="Rango2_99_28_3"/>
    <protectedRange algorithmName="SHA-512" hashValue="RQ91b7oAw60DVtcgB2vRpial2kSdzJx5guGCTYUwXYkKrtrUHfiYnLf9R+SNpYXlJDYpyEJLhcWwP0EqNN86dQ==" saltValue="W3RbH3zrcY9sy39xNwXNxg==" spinCount="100000" sqref="BA78:BI79" name="Rango2_88_99_14_3"/>
    <protectedRange algorithmName="SHA-512" hashValue="fMbmUM1DQ7FuAPRNvFL5mPdHUYjQnlLFhkuaxvHguaqR7aWyDxcmJs0jLYQfQKY+oyhsMb4Lew4VL6i7um3/ew==" saltValue="ydaTm0CeH8+/cYqoL/AMaQ==" spinCount="100000" sqref="AW78:AZ79 AU78:AU79" name="Rango2_88_91_23_3"/>
    <protectedRange algorithmName="SHA-512" hashValue="CHipOQaT63FWw628cQcXXJRZlrbNZ7OgmnEbDx38UmmH7z19GRYEzXFiVOzHAy1OAaAbST7g2bHZHDKQp2qm3w==" saltValue="iRVuL+373yLHv0ZHzS9qog==" spinCount="100000" sqref="AL78:AL79" name="Rango2_88_7_5_46_2"/>
    <protectedRange algorithmName="SHA-512" hashValue="NkG6oHuDGvGBEiLAAq8MEJHEfLQUMyjihfH+DBXhT+eQW0r1yri7tOJEFRM9nbOejjjXiviq9RFo7KB7wF+xJA==" saltValue="bpjB0AAANu2X/PeR3eiFkA==" spinCount="100000" sqref="AM78:AS79" name="Rango2_88_65_23_3"/>
    <protectedRange algorithmName="SHA-512" hashValue="XZw03RosI/l0z9FxmTtF29EdZ7P+4+ybhqoaAAUmURojSR5XbGfjC4f2i8gMqfY+RI9JvfdCA6PSh9TduXfUxA==" saltValue="5TPtLq2WoiRSae/yaDPnTw==" spinCount="100000" sqref="AT78:AT79 AV78:AV79 BJ78:BK79" name="Rango2_99_42_3"/>
    <protectedRange algorithmName="SHA-512" hashValue="RQ91b7oAw60DVtcgB2vRpial2kSdzJx5guGCTYUwXYkKrtrUHfiYnLf9R+SNpYXlJDYpyEJLhcWwP0EqNN86dQ==" saltValue="W3RbH3zrcY9sy39xNwXNxg==" spinCount="100000" sqref="BV78:BY79" name="Rango2_88_99_46_2"/>
    <protectedRange algorithmName="SHA-512" hashValue="XZw03RosI/l0z9FxmTtF29EdZ7P+4+ybhqoaAAUmURojSR5XbGfjC4f2i8gMqfY+RI9JvfdCA6PSh9TduXfUxA==" saltValue="5TPtLq2WoiRSae/yaDPnTw==" spinCount="100000" sqref="BZ78:CB79 BR78:BU79" name="Rango2_99_56_2"/>
    <protectedRange algorithmName="SHA-512" hashValue="XZw03RosI/l0z9FxmTtF29EdZ7P+4+ybhqoaAAUmURojSR5XbGfjC4f2i8gMqfY+RI9JvfdCA6PSh9TduXfUxA==" saltValue="5TPtLq2WoiRSae/yaDPnTw==" spinCount="100000" sqref="CE78:CF79" name="Rango2_99_70_2"/>
    <protectedRange algorithmName="SHA-512" hashValue="XZw03RosI/l0z9FxmTtF29EdZ7P+4+ybhqoaAAUmURojSR5XbGfjC4f2i8gMqfY+RI9JvfdCA6PSh9TduXfUxA==" saltValue="5TPtLq2WoiRSae/yaDPnTw==" spinCount="100000" sqref="CJ78:CK79" name="Rango2_99_84_2"/>
    <protectedRange algorithmName="SHA-512" hashValue="XZw03RosI/l0z9FxmTtF29EdZ7P+4+ybhqoaAAUmURojSR5XbGfjC4f2i8gMqfY+RI9JvfdCA6PSh9TduXfUxA==" saltValue="5TPtLq2WoiRSae/yaDPnTw==" spinCount="100000" sqref="CP78:CQ79" name="Rango2_99_98_2"/>
    <protectedRange algorithmName="SHA-512" hashValue="XZw03RosI/l0z9FxmTtF29EdZ7P+4+ybhqoaAAUmURojSR5XbGfjC4f2i8gMqfY+RI9JvfdCA6PSh9TduXfUxA==" saltValue="5TPtLq2WoiRSae/yaDPnTw==" spinCount="100000" sqref="CE80:CE81 BZ80 DD80:DD81" name="Rango2_99_59"/>
    <protectedRange algorithmName="SHA-512" hashValue="XZw03RosI/l0z9FxmTtF29EdZ7P+4+ybhqoaAAUmURojSR5XbGfjC4f2i8gMqfY+RI9JvfdCA6PSh9TduXfUxA==" saltValue="5TPtLq2WoiRSae/yaDPnTw==" spinCount="100000" sqref="O80:O81" name="Rango2_99_14_4"/>
    <protectedRange algorithmName="SHA-512" hashValue="CHipOQaT63FWw628cQcXXJRZlrbNZ7OgmnEbDx38UmmH7z19GRYEzXFiVOzHAy1OAaAbST7g2bHZHDKQp2qm3w==" saltValue="iRVuL+373yLHv0ZHzS9qog==" spinCount="100000" sqref="AJ80:AJ81 AG80:AH81" name="Rango2_88_7_5_14_4"/>
    <protectedRange algorithmName="SHA-512" hashValue="fPHvtIAf3pQeZUoAI9C2/vdXMHBpqqEq+67P5Ypyu4+9IWqs3yc9TZcMWQ0THLxUwqseQPyVvakuYFtCwJHsxA==" saltValue="QHIogSs2PrwAfdqa9PAOFQ==" spinCount="100000" sqref="AC80:AC81" name="Rango2_88_5_5_23_3"/>
    <protectedRange algorithmName="SHA-512" hashValue="LEEeiU6pKqm7TAP46VGlz0q+evvFwpT/0iLpRuWuQ7MacbP0OGL1/FSmrIEOg2rb6M+Jla2bPbVWiGag27j87w==" saltValue="HEVt+pS5OloNDlqSnzGLLw==" spinCount="100000" sqref="AI80:AI81" name="Rango2_8_7_23_4"/>
    <protectedRange algorithmName="SHA-512" hashValue="q2z5hEFmXS0v2chiPTC/VCoDWNlnhp+Xe6Ybfxe48vIsnB/KTJQxJv+pFUnCXfZ9T6vyJopuqFFNROfQTW/JUw==" saltValue="IctfdGJb5tOTpq+KPi9vww==" spinCount="100000" sqref="AE80:AF81" name="Rango2_88_39_41_4"/>
    <protectedRange algorithmName="SHA-512" hashValue="AYYX88LSDB6RDNMvSqt0KPGWPjBqTk56tMxTOlv5QD61MGTKAAQnSnudvNDWPN0Bbllh2qRQC+P5uq7goxjdrw==" saltValue="i/iPMewnks1FoXYOjKMEVg==" spinCount="100000" sqref="AB80:AB81" name="Rango2_87_6_23_4"/>
    <protectedRange algorithmName="SHA-512" hashValue="NUll9P9xh7KbSfMYpMxsRZLfDw/y/AzW2LSWlpXVscBDqiAxmzo71xjs+a2lh+jRa7pceOC849slke4+ZKx8LA==" saltValue="8qbkKpQ+CiQuLnqgShNvXA==" spinCount="100000" sqref="T80:T81" name="Rango2_88_6_23_4"/>
    <protectedRange algorithmName="SHA-512" hashValue="KHhv3JU/LRdRrRTxxkgFceEHPZ5UzadmpZRZR3zmQRnPvkUJZuanRafIJ+qde0IWwLZSvFIQDyUAHq6v6k7XIg==" saltValue="2GKG1kCzVNNcn+vbOPuhJA==" spinCount="100000" sqref="Q80:Q81" name="Rango2_2_5_23_4"/>
    <protectedRange algorithmName="SHA-512" hashValue="XZw03RosI/l0z9FxmTtF29EdZ7P+4+ybhqoaAAUmURojSR5XbGfjC4f2i8gMqfY+RI9JvfdCA6PSh9TduXfUxA==" saltValue="5TPtLq2WoiRSae/yaDPnTw==" spinCount="100000" sqref="R80:S81 U80:AA81" name="Rango2_99_28_4"/>
    <protectedRange algorithmName="SHA-512" hashValue="RQ91b7oAw60DVtcgB2vRpial2kSdzJx5guGCTYUwXYkKrtrUHfiYnLf9R+SNpYXlJDYpyEJLhcWwP0EqNN86dQ==" saltValue="W3RbH3zrcY9sy39xNwXNxg==" spinCount="100000" sqref="BA80:BI81" name="Rango2_88_99_14_4"/>
    <protectedRange algorithmName="SHA-512" hashValue="fMbmUM1DQ7FuAPRNvFL5mPdHUYjQnlLFhkuaxvHguaqR7aWyDxcmJs0jLYQfQKY+oyhsMb4Lew4VL6i7um3/ew==" saltValue="ydaTm0CeH8+/cYqoL/AMaQ==" spinCount="100000" sqref="AW80:AZ81 AU80:AU81" name="Rango2_88_91_23_4"/>
    <protectedRange algorithmName="SHA-512" hashValue="CHipOQaT63FWw628cQcXXJRZlrbNZ7OgmnEbDx38UmmH7z19GRYEzXFiVOzHAy1OAaAbST7g2bHZHDKQp2qm3w==" saltValue="iRVuL+373yLHv0ZHzS9qog==" spinCount="100000" sqref="AL80:AL81" name="Rango2_88_7_5_46_3"/>
    <protectedRange algorithmName="SHA-512" hashValue="NkG6oHuDGvGBEiLAAq8MEJHEfLQUMyjihfH+DBXhT+eQW0r1yri7tOJEFRM9nbOejjjXiviq9RFo7KB7wF+xJA==" saltValue="bpjB0AAANu2X/PeR3eiFkA==" spinCount="100000" sqref="AM80:AS81" name="Rango2_88_65_23_4"/>
    <protectedRange algorithmName="SHA-512" hashValue="XZw03RosI/l0z9FxmTtF29EdZ7P+4+ybhqoaAAUmURojSR5XbGfjC4f2i8gMqfY+RI9JvfdCA6PSh9TduXfUxA==" saltValue="5TPtLq2WoiRSae/yaDPnTw==" spinCount="100000" sqref="AT80:AT81 AV80:AV81 BJ80:BL81" name="Rango2_99_42_4"/>
    <protectedRange algorithmName="SHA-512" hashValue="RQ91b7oAw60DVtcgB2vRpial2kSdzJx5guGCTYUwXYkKrtrUHfiYnLf9R+SNpYXlJDYpyEJLhcWwP0EqNN86dQ==" saltValue="W3RbH3zrcY9sy39xNwXNxg==" spinCount="100000" sqref="BV80:BY81" name="Rango2_88_99_46_3"/>
    <protectedRange algorithmName="SHA-512" hashValue="XZw03RosI/l0z9FxmTtF29EdZ7P+4+ybhqoaAAUmURojSR5XbGfjC4f2i8gMqfY+RI9JvfdCA6PSh9TduXfUxA==" saltValue="5TPtLq2WoiRSae/yaDPnTw==" spinCount="100000" sqref="BR80:BU81 BZ81:CB81 CA80:CB80" name="Rango2_99_56_3"/>
    <protectedRange algorithmName="SHA-512" hashValue="XZw03RosI/l0z9FxmTtF29EdZ7P+4+ybhqoaAAUmURojSR5XbGfjC4f2i8gMqfY+RI9JvfdCA6PSh9TduXfUxA==" saltValue="5TPtLq2WoiRSae/yaDPnTw==" spinCount="100000" sqref="CF80:CF81" name="Rango2_99_70_3"/>
    <protectedRange algorithmName="SHA-512" hashValue="XZw03RosI/l0z9FxmTtF29EdZ7P+4+ybhqoaAAUmURojSR5XbGfjC4f2i8gMqfY+RI9JvfdCA6PSh9TduXfUxA==" saltValue="5TPtLq2WoiRSae/yaDPnTw==" spinCount="100000" sqref="CJ80:CK81" name="Rango2_99_84_3"/>
    <protectedRange algorithmName="SHA-512" hashValue="XZw03RosI/l0z9FxmTtF29EdZ7P+4+ybhqoaAAUmURojSR5XbGfjC4f2i8gMqfY+RI9JvfdCA6PSh9TduXfUxA==" saltValue="5TPtLq2WoiRSae/yaDPnTw==" spinCount="100000" sqref="CP80:CQ81" name="Rango2_99_98_3"/>
    <protectedRange algorithmName="SHA-512" hashValue="RQ91b7oAw60DVtcgB2vRpial2kSdzJx5guGCTYUwXYkKrtrUHfiYnLf9R+SNpYXlJDYpyEJLhcWwP0EqNN86dQ==" saltValue="W3RbH3zrcY9sy39xNwXNxg==" spinCount="100000" sqref="BA83:BI84 BV83:BY84" name="Rango2_88_99_26"/>
    <protectedRange algorithmName="SHA-512" hashValue="fMbmUM1DQ7FuAPRNvFL5mPdHUYjQnlLFhkuaxvHguaqR7aWyDxcmJs0jLYQfQKY+oyhsMb4Lew4VL6i7um3/ew==" saltValue="ydaTm0CeH8+/cYqoL/AMaQ==" spinCount="100000" sqref="AU83:AU84 AW83:AZ84" name="Rango2_88_91_24"/>
    <protectedRange algorithmName="SHA-512" hashValue="CHipOQaT63FWw628cQcXXJRZlrbNZ7OgmnEbDx38UmmH7z19GRYEzXFiVOzHAy1OAaAbST7g2bHZHDKQp2qm3w==" saltValue="iRVuL+373yLHv0ZHzS9qog==" spinCount="100000" sqref="AG83:AH84 AJ83:AJ84 AL83:AL84" name="Rango2_88_7_5_26"/>
    <protectedRange algorithmName="SHA-512" hashValue="NkG6oHuDGvGBEiLAAq8MEJHEfLQUMyjihfH+DBXhT+eQW0r1yri7tOJEFRM9nbOejjjXiviq9RFo7KB7wF+xJA==" saltValue="bpjB0AAANu2X/PeR3eiFkA==" spinCount="100000" sqref="AM83:AS84" name="Rango2_88_65_24"/>
    <protectedRange algorithmName="SHA-512" hashValue="fPHvtIAf3pQeZUoAI9C2/vdXMHBpqqEq+67P5Ypyu4+9IWqs3yc9TZcMWQ0THLxUwqseQPyVvakuYFtCwJHsxA==" saltValue="QHIogSs2PrwAfdqa9PAOFQ==" spinCount="100000" sqref="AC83:AC84" name="Rango2_88_5_5_24"/>
    <protectedRange algorithmName="SHA-512" hashValue="LEEeiU6pKqm7TAP46VGlz0q+evvFwpT/0iLpRuWuQ7MacbP0OGL1/FSmrIEOg2rb6M+Jla2bPbVWiGag27j87w==" saltValue="HEVt+pS5OloNDlqSnzGLLw==" spinCount="100000" sqref="AI83:AI84" name="Rango2_8_7_24"/>
    <protectedRange algorithmName="SHA-512" hashValue="q2z5hEFmXS0v2chiPTC/VCoDWNlnhp+Xe6Ybfxe48vIsnB/KTJQxJv+pFUnCXfZ9T6vyJopuqFFNROfQTW/JUw==" saltValue="IctfdGJb5tOTpq+KPi9vww==" spinCount="100000" sqref="AE83:AF84" name="Rango2_88_39_47"/>
    <protectedRange algorithmName="SHA-512" hashValue="AYYX88LSDB6RDNMvSqt0KPGWPjBqTk56tMxTOlv5QD61MGTKAAQnSnudvNDWPN0Bbllh2qRQC+P5uq7goxjdrw==" saltValue="i/iPMewnks1FoXYOjKMEVg==" spinCount="100000" sqref="AB83:AB84" name="Rango2_87_6_24"/>
    <protectedRange algorithmName="SHA-512" hashValue="NUll9P9xh7KbSfMYpMxsRZLfDw/y/AzW2LSWlpXVscBDqiAxmzo71xjs+a2lh+jRa7pceOC849slke4+ZKx8LA==" saltValue="8qbkKpQ+CiQuLnqgShNvXA==" spinCount="100000" sqref="T83:T84" name="Rango2_88_6_24"/>
    <protectedRange algorithmName="SHA-512" hashValue="KHhv3JU/LRdRrRTxxkgFceEHPZ5UzadmpZRZR3zmQRnPvkUJZuanRafIJ+qde0IWwLZSvFIQDyUAHq6v6k7XIg==" saltValue="2GKG1kCzVNNcn+vbOPuhJA==" spinCount="100000" sqref="Q83:Q84" name="Rango2_2_5_24"/>
    <protectedRange algorithmName="SHA-512" hashValue="XZw03RosI/l0z9FxmTtF29EdZ7P+4+ybhqoaAAUmURojSR5XbGfjC4f2i8gMqfY+RI9JvfdCA6PSh9TduXfUxA==" saltValue="5TPtLq2WoiRSae/yaDPnTw==" spinCount="100000" sqref="AT83:AT84 AV83:AV84 BR83:BU84 CJ83:CK84 CS83:CT84 CV83:CY84 BJ84:BL84 V83:AA84 CE83:CF84 O83:O84 R83:S84 BZ83:CB84 CP83:CQ84 DA83:DN84 BJ83:BK83" name="Rango2_99_62"/>
    <protectedRange algorithmName="SHA-512" hashValue="XZw03RosI/l0z9FxmTtF29EdZ7P+4+ybhqoaAAUmURojSR5XbGfjC4f2i8gMqfY+RI9JvfdCA6PSh9TduXfUxA==" saltValue="5TPtLq2WoiRSae/yaDPnTw==" spinCount="100000" sqref="O82" name="Rango2_99_14_5"/>
    <protectedRange algorithmName="SHA-512" hashValue="CHipOQaT63FWw628cQcXXJRZlrbNZ7OgmnEbDx38UmmH7z19GRYEzXFiVOzHAy1OAaAbST7g2bHZHDKQp2qm3w==" saltValue="iRVuL+373yLHv0ZHzS9qog==" spinCount="100000" sqref="AJ82 AG82:AH82" name="Rango2_88_7_5_14_5"/>
    <protectedRange algorithmName="SHA-512" hashValue="fPHvtIAf3pQeZUoAI9C2/vdXMHBpqqEq+67P5Ypyu4+9IWqs3yc9TZcMWQ0THLxUwqseQPyVvakuYFtCwJHsxA==" saltValue="QHIogSs2PrwAfdqa9PAOFQ==" spinCount="100000" sqref="AC82" name="Rango2_88_5_5_23_4"/>
    <protectedRange algorithmName="SHA-512" hashValue="LEEeiU6pKqm7TAP46VGlz0q+evvFwpT/0iLpRuWuQ7MacbP0OGL1/FSmrIEOg2rb6M+Jla2bPbVWiGag27j87w==" saltValue="HEVt+pS5OloNDlqSnzGLLw==" spinCount="100000" sqref="AI82" name="Rango2_8_7_23_5"/>
    <protectedRange algorithmName="SHA-512" hashValue="q2z5hEFmXS0v2chiPTC/VCoDWNlnhp+Xe6Ybfxe48vIsnB/KTJQxJv+pFUnCXfZ9T6vyJopuqFFNROfQTW/JUw==" saltValue="IctfdGJb5tOTpq+KPi9vww==" spinCount="100000" sqref="AE82:AF82" name="Rango2_88_39_41_5"/>
    <protectedRange algorithmName="SHA-512" hashValue="AYYX88LSDB6RDNMvSqt0KPGWPjBqTk56tMxTOlv5QD61MGTKAAQnSnudvNDWPN0Bbllh2qRQC+P5uq7goxjdrw==" saltValue="i/iPMewnks1FoXYOjKMEVg==" spinCount="100000" sqref="AB82" name="Rango2_87_6_23_5"/>
    <protectedRange algorithmName="SHA-512" hashValue="NUll9P9xh7KbSfMYpMxsRZLfDw/y/AzW2LSWlpXVscBDqiAxmzo71xjs+a2lh+jRa7pceOC849slke4+ZKx8LA==" saltValue="8qbkKpQ+CiQuLnqgShNvXA==" spinCount="100000" sqref="T82" name="Rango2_88_6_23_5"/>
    <protectedRange algorithmName="SHA-512" hashValue="KHhv3JU/LRdRrRTxxkgFceEHPZ5UzadmpZRZR3zmQRnPvkUJZuanRafIJ+qde0IWwLZSvFIQDyUAHq6v6k7XIg==" saltValue="2GKG1kCzVNNcn+vbOPuhJA==" spinCount="100000" sqref="Q82" name="Rango2_2_5_23_5"/>
    <protectedRange algorithmName="SHA-512" hashValue="XZw03RosI/l0z9FxmTtF29EdZ7P+4+ybhqoaAAUmURojSR5XbGfjC4f2i8gMqfY+RI9JvfdCA6PSh9TduXfUxA==" saltValue="5TPtLq2WoiRSae/yaDPnTw==" spinCount="100000" sqref="R82:S82 U82:AA82 U83:U84" name="Rango2_99_28_5"/>
    <protectedRange algorithmName="SHA-512" hashValue="RQ91b7oAw60DVtcgB2vRpial2kSdzJx5guGCTYUwXYkKrtrUHfiYnLf9R+SNpYXlJDYpyEJLhcWwP0EqNN86dQ==" saltValue="W3RbH3zrcY9sy39xNwXNxg==" spinCount="100000" sqref="BA82:BI82" name="Rango2_88_99_14_5"/>
    <protectedRange algorithmName="SHA-512" hashValue="fMbmUM1DQ7FuAPRNvFL5mPdHUYjQnlLFhkuaxvHguaqR7aWyDxcmJs0jLYQfQKY+oyhsMb4Lew4VL6i7um3/ew==" saltValue="ydaTm0CeH8+/cYqoL/AMaQ==" spinCount="100000" sqref="AW82:AZ82 AU82" name="Rango2_88_91_23_5"/>
    <protectedRange algorithmName="SHA-512" hashValue="CHipOQaT63FWw628cQcXXJRZlrbNZ7OgmnEbDx38UmmH7z19GRYEzXFiVOzHAy1OAaAbST7g2bHZHDKQp2qm3w==" saltValue="iRVuL+373yLHv0ZHzS9qog==" spinCount="100000" sqref="AL82" name="Rango2_88_7_5_46_4"/>
    <protectedRange algorithmName="SHA-512" hashValue="NkG6oHuDGvGBEiLAAq8MEJHEfLQUMyjihfH+DBXhT+eQW0r1yri7tOJEFRM9nbOejjjXiviq9RFo7KB7wF+xJA==" saltValue="bpjB0AAANu2X/PeR3eiFkA==" spinCount="100000" sqref="AM82:AS82" name="Rango2_88_65_23_5"/>
    <protectedRange algorithmName="SHA-512" hashValue="XZw03RosI/l0z9FxmTtF29EdZ7P+4+ybhqoaAAUmURojSR5XbGfjC4f2i8gMqfY+RI9JvfdCA6PSh9TduXfUxA==" saltValue="5TPtLq2WoiRSae/yaDPnTw==" spinCount="100000" sqref="AT82 AV82 BJ82:BL82" name="Rango2_99_42_5"/>
    <protectedRange algorithmName="SHA-512" hashValue="RQ91b7oAw60DVtcgB2vRpial2kSdzJx5guGCTYUwXYkKrtrUHfiYnLf9R+SNpYXlJDYpyEJLhcWwP0EqNN86dQ==" saltValue="W3RbH3zrcY9sy39xNwXNxg==" spinCount="100000" sqref="BV82:BY82" name="Rango2_88_99_46_4"/>
    <protectedRange algorithmName="SHA-512" hashValue="XZw03RosI/l0z9FxmTtF29EdZ7P+4+ybhqoaAAUmURojSR5XbGfjC4f2i8gMqfY+RI9JvfdCA6PSh9TduXfUxA==" saltValue="5TPtLq2WoiRSae/yaDPnTw==" spinCount="100000" sqref="BR82:BU82 BZ82:CB82" name="Rango2_99_56_4"/>
    <protectedRange algorithmName="SHA-512" hashValue="XZw03RosI/l0z9FxmTtF29EdZ7P+4+ybhqoaAAUmURojSR5XbGfjC4f2i8gMqfY+RI9JvfdCA6PSh9TduXfUxA==" saltValue="5TPtLq2WoiRSae/yaDPnTw==" spinCount="100000" sqref="CE82:CF82" name="Rango2_99_70_4"/>
    <protectedRange algorithmName="SHA-512" hashValue="XZw03RosI/l0z9FxmTtF29EdZ7P+4+ybhqoaAAUmURojSR5XbGfjC4f2i8gMqfY+RI9JvfdCA6PSh9TduXfUxA==" saltValue="5TPtLq2WoiRSae/yaDPnTw==" spinCount="100000" sqref="CJ82:CK82" name="Rango2_99_84_4"/>
    <protectedRange algorithmName="SHA-512" hashValue="XZw03RosI/l0z9FxmTtF29EdZ7P+4+ybhqoaAAUmURojSR5XbGfjC4f2i8gMqfY+RI9JvfdCA6PSh9TduXfUxA==" saltValue="5TPtLq2WoiRSae/yaDPnTw==" spinCount="100000" sqref="CP82:CQ82" name="Rango2_99_98_4"/>
    <protectedRange algorithmName="SHA-512" hashValue="RQ91b7oAw60DVtcgB2vRpial2kSdzJx5guGCTYUwXYkKrtrUHfiYnLf9R+SNpYXlJDYpyEJLhcWwP0EqNN86dQ==" saltValue="W3RbH3zrcY9sy39xNwXNxg==" spinCount="100000" sqref="BA85:BI86 BV85:BY86" name="Rango2_88_99_27"/>
    <protectedRange algorithmName="SHA-512" hashValue="fMbmUM1DQ7FuAPRNvFL5mPdHUYjQnlLFhkuaxvHguaqR7aWyDxcmJs0jLYQfQKY+oyhsMb4Lew4VL6i7um3/ew==" saltValue="ydaTm0CeH8+/cYqoL/AMaQ==" spinCount="100000" sqref="AU85:AU86 AW85:AZ86" name="Rango2_88_91_25"/>
    <protectedRange algorithmName="SHA-512" hashValue="CHipOQaT63FWw628cQcXXJRZlrbNZ7OgmnEbDx38UmmH7z19GRYEzXFiVOzHAy1OAaAbST7g2bHZHDKQp2qm3w==" saltValue="iRVuL+373yLHv0ZHzS9qog==" spinCount="100000" sqref="AG85:AH86 AJ85:AJ86 AL85:AL86" name="Rango2_88_7_5_27"/>
    <protectedRange algorithmName="SHA-512" hashValue="NkG6oHuDGvGBEiLAAq8MEJHEfLQUMyjihfH+DBXhT+eQW0r1yri7tOJEFRM9nbOejjjXiviq9RFo7KB7wF+xJA==" saltValue="bpjB0AAANu2X/PeR3eiFkA==" spinCount="100000" sqref="AM85:AS86" name="Rango2_88_65_25"/>
    <protectedRange algorithmName="SHA-512" hashValue="fPHvtIAf3pQeZUoAI9C2/vdXMHBpqqEq+67P5Ypyu4+9IWqs3yc9TZcMWQ0THLxUwqseQPyVvakuYFtCwJHsxA==" saltValue="QHIogSs2PrwAfdqa9PAOFQ==" spinCount="100000" sqref="AC85:AC86" name="Rango2_88_5_5_25"/>
    <protectedRange algorithmName="SHA-512" hashValue="LEEeiU6pKqm7TAP46VGlz0q+evvFwpT/0iLpRuWuQ7MacbP0OGL1/FSmrIEOg2rb6M+Jla2bPbVWiGag27j87w==" saltValue="HEVt+pS5OloNDlqSnzGLLw==" spinCount="100000" sqref="AI85:AI86" name="Rango2_8_7_25"/>
    <protectedRange algorithmName="SHA-512" hashValue="q2z5hEFmXS0v2chiPTC/VCoDWNlnhp+Xe6Ybfxe48vIsnB/KTJQxJv+pFUnCXfZ9T6vyJopuqFFNROfQTW/JUw==" saltValue="IctfdGJb5tOTpq+KPi9vww==" spinCount="100000" sqref="AE85:AF86" name="Rango2_88_39_48"/>
    <protectedRange algorithmName="SHA-512" hashValue="AYYX88LSDB6RDNMvSqt0KPGWPjBqTk56tMxTOlv5QD61MGTKAAQnSnudvNDWPN0Bbllh2qRQC+P5uq7goxjdrw==" saltValue="i/iPMewnks1FoXYOjKMEVg==" spinCount="100000" sqref="AB85:AB86" name="Rango2_87_6_25"/>
    <protectedRange algorithmName="SHA-512" hashValue="NUll9P9xh7KbSfMYpMxsRZLfDw/y/AzW2LSWlpXVscBDqiAxmzo71xjs+a2lh+jRa7pceOC849slke4+ZKx8LA==" saltValue="8qbkKpQ+CiQuLnqgShNvXA==" spinCount="100000" sqref="T85:T86" name="Rango2_88_6_25"/>
    <protectedRange algorithmName="SHA-512" hashValue="KHhv3JU/LRdRrRTxxkgFceEHPZ5UzadmpZRZR3zmQRnPvkUJZuanRafIJ+qde0IWwLZSvFIQDyUAHq6v6k7XIg==" saltValue="2GKG1kCzVNNcn+vbOPuhJA==" spinCount="100000" sqref="Q85:Q86" name="Rango2_2_5_25"/>
    <protectedRange algorithmName="SHA-512" hashValue="XZw03RosI/l0z9FxmTtF29EdZ7P+4+ybhqoaAAUmURojSR5XbGfjC4f2i8gMqfY+RI9JvfdCA6PSh9TduXfUxA==" saltValue="5TPtLq2WoiRSae/yaDPnTw==" spinCount="100000" sqref="AT85:AT86 AV85:AV86 BR85:BU86 CJ85:CK86 CS85:CT86 CV85:CY86 BJ86:BL86 V85:AA86 CE85:CF86 O85:O86 R85:S86 BZ85:CB86 CP85:CQ86 DA85:DN86 BJ85:BK85" name="Rango2_99_65"/>
    <protectedRange algorithmName="SHA-512" hashValue="XZw03RosI/l0z9FxmTtF29EdZ7P+4+ybhqoaAAUmURojSR5XbGfjC4f2i8gMqfY+RI9JvfdCA6PSh9TduXfUxA==" saltValue="5TPtLq2WoiRSae/yaDPnTw==" spinCount="100000" sqref="U85:U86" name="Rango2_99_28_6"/>
    <protectedRange algorithmName="SHA-512" hashValue="RQ91b7oAw60DVtcgB2vRpial2kSdzJx5guGCTYUwXYkKrtrUHfiYnLf9R+SNpYXlJDYpyEJLhcWwP0EqNN86dQ==" saltValue="W3RbH3zrcY9sy39xNwXNxg==" spinCount="100000" sqref="BA87:BI87 BV87:BY87" name="Rango2_88_99_28"/>
    <protectedRange algorithmName="SHA-512" hashValue="fMbmUM1DQ7FuAPRNvFL5mPdHUYjQnlLFhkuaxvHguaqR7aWyDxcmJs0jLYQfQKY+oyhsMb4Lew4VL6i7um3/ew==" saltValue="ydaTm0CeH8+/cYqoL/AMaQ==" spinCount="100000" sqref="AU87 AW87:AZ87" name="Rango2_88_91_26"/>
    <protectedRange algorithmName="SHA-512" hashValue="CHipOQaT63FWw628cQcXXJRZlrbNZ7OgmnEbDx38UmmH7z19GRYEzXFiVOzHAy1OAaAbST7g2bHZHDKQp2qm3w==" saltValue="iRVuL+373yLHv0ZHzS9qog==" spinCount="100000" sqref="AG87:AH87 AJ87 AL87" name="Rango2_88_7_5_28"/>
    <protectedRange algorithmName="SHA-512" hashValue="NkG6oHuDGvGBEiLAAq8MEJHEfLQUMyjihfH+DBXhT+eQW0r1yri7tOJEFRM9nbOejjjXiviq9RFo7KB7wF+xJA==" saltValue="bpjB0AAANu2X/PeR3eiFkA==" spinCount="100000" sqref="AM87:AS87" name="Rango2_88_65_26"/>
    <protectedRange algorithmName="SHA-512" hashValue="fPHvtIAf3pQeZUoAI9C2/vdXMHBpqqEq+67P5Ypyu4+9IWqs3yc9TZcMWQ0THLxUwqseQPyVvakuYFtCwJHsxA==" saltValue="QHIogSs2PrwAfdqa9PAOFQ==" spinCount="100000" sqref="AC87" name="Rango2_88_5_5_26"/>
    <protectedRange algorithmName="SHA-512" hashValue="LEEeiU6pKqm7TAP46VGlz0q+evvFwpT/0iLpRuWuQ7MacbP0OGL1/FSmrIEOg2rb6M+Jla2bPbVWiGag27j87w==" saltValue="HEVt+pS5OloNDlqSnzGLLw==" spinCount="100000" sqref="AI87" name="Rango2_8_7_26"/>
    <protectedRange algorithmName="SHA-512" hashValue="q2z5hEFmXS0v2chiPTC/VCoDWNlnhp+Xe6Ybfxe48vIsnB/KTJQxJv+pFUnCXfZ9T6vyJopuqFFNROfQTW/JUw==" saltValue="IctfdGJb5tOTpq+KPi9vww==" spinCount="100000" sqref="AE87:AF87" name="Rango2_88_39_49"/>
    <protectedRange algorithmName="SHA-512" hashValue="AYYX88LSDB6RDNMvSqt0KPGWPjBqTk56tMxTOlv5QD61MGTKAAQnSnudvNDWPN0Bbllh2qRQC+P5uq7goxjdrw==" saltValue="i/iPMewnks1FoXYOjKMEVg==" spinCount="100000" sqref="AB87" name="Rango2_87_6_26"/>
    <protectedRange algorithmName="SHA-512" hashValue="NUll9P9xh7KbSfMYpMxsRZLfDw/y/AzW2LSWlpXVscBDqiAxmzo71xjs+a2lh+jRa7pceOC849slke4+ZKx8LA==" saltValue="8qbkKpQ+CiQuLnqgShNvXA==" spinCount="100000" sqref="T87" name="Rango2_88_6_26"/>
    <protectedRange algorithmName="SHA-512" hashValue="KHhv3JU/LRdRrRTxxkgFceEHPZ5UzadmpZRZR3zmQRnPvkUJZuanRafIJ+qde0IWwLZSvFIQDyUAHq6v6k7XIg==" saltValue="2GKG1kCzVNNcn+vbOPuhJA==" spinCount="100000" sqref="Q87" name="Rango2_2_5_26"/>
    <protectedRange algorithmName="SHA-512" hashValue="XZw03RosI/l0z9FxmTtF29EdZ7P+4+ybhqoaAAUmURojSR5XbGfjC4f2i8gMqfY+RI9JvfdCA6PSh9TduXfUxA==" saltValue="5TPtLq2WoiRSae/yaDPnTw==" spinCount="100000" sqref="AT87 AV87 BR87:BU87 CJ87:CK87 CS87:CT87 CV87:CY87 BJ87:BK87 V87:AA87 CE87:CF87 O87 R87:S87 BZ87:CB87 CP87:CQ87 DA87:DN87" name="Rango2_99_69"/>
    <protectedRange algorithmName="SHA-512" hashValue="XZw03RosI/l0z9FxmTtF29EdZ7P+4+ybhqoaAAUmURojSR5XbGfjC4f2i8gMqfY+RI9JvfdCA6PSh9TduXfUxA==" saltValue="5TPtLq2WoiRSae/yaDPnTw==" spinCount="100000" sqref="U87" name="Rango2_99_28_7"/>
    <protectedRange algorithmName="SHA-512" hashValue="RQ91b7oAw60DVtcgB2vRpial2kSdzJx5guGCTYUwXYkKrtrUHfiYnLf9R+SNpYXlJDYpyEJLhcWwP0EqNN86dQ==" saltValue="W3RbH3zrcY9sy39xNwXNxg==" spinCount="100000" sqref="BV88:BY88" name="Rango2_88_99_29"/>
    <protectedRange algorithmName="SHA-512" hashValue="CHipOQaT63FWw628cQcXXJRZlrbNZ7OgmnEbDx38UmmH7z19GRYEzXFiVOzHAy1OAaAbST7g2bHZHDKQp2qm3w==" saltValue="iRVuL+373yLHv0ZHzS9qog==" spinCount="100000" sqref="AG88:AH88 AJ88 AL88" name="Rango2_88_7_5_29"/>
    <protectedRange algorithmName="SHA-512" hashValue="NkG6oHuDGvGBEiLAAq8MEJHEfLQUMyjihfH+DBXhT+eQW0r1yri7tOJEFRM9nbOejjjXiviq9RFo7KB7wF+xJA==" saltValue="bpjB0AAANu2X/PeR3eiFkA==" spinCount="100000" sqref="AM88:AQ88" name="Rango2_88_65_27"/>
    <protectedRange algorithmName="SHA-512" hashValue="fPHvtIAf3pQeZUoAI9C2/vdXMHBpqqEq+67P5Ypyu4+9IWqs3yc9TZcMWQ0THLxUwqseQPyVvakuYFtCwJHsxA==" saltValue="QHIogSs2PrwAfdqa9PAOFQ==" spinCount="100000" sqref="AC88" name="Rango2_88_5_5_27"/>
    <protectedRange algorithmName="SHA-512" hashValue="LEEeiU6pKqm7TAP46VGlz0q+evvFwpT/0iLpRuWuQ7MacbP0OGL1/FSmrIEOg2rb6M+Jla2bPbVWiGag27j87w==" saltValue="HEVt+pS5OloNDlqSnzGLLw==" spinCount="100000" sqref="AI88" name="Rango2_8_7_27"/>
    <protectedRange algorithmName="SHA-512" hashValue="q2z5hEFmXS0v2chiPTC/VCoDWNlnhp+Xe6Ybfxe48vIsnB/KTJQxJv+pFUnCXfZ9T6vyJopuqFFNROfQTW/JUw==" saltValue="IctfdGJb5tOTpq+KPi9vww==" spinCount="100000" sqref="AE88:AF88" name="Rango2_88_39_50"/>
    <protectedRange algorithmName="SHA-512" hashValue="AYYX88LSDB6RDNMvSqt0KPGWPjBqTk56tMxTOlv5QD61MGTKAAQnSnudvNDWPN0Bbllh2qRQC+P5uq7goxjdrw==" saltValue="i/iPMewnks1FoXYOjKMEVg==" spinCount="100000" sqref="AB88" name="Rango2_87_6_27"/>
    <protectedRange algorithmName="SHA-512" hashValue="NUll9P9xh7KbSfMYpMxsRZLfDw/y/AzW2LSWlpXVscBDqiAxmzo71xjs+a2lh+jRa7pceOC849slke4+ZKx8LA==" saltValue="8qbkKpQ+CiQuLnqgShNvXA==" spinCount="100000" sqref="T88" name="Rango2_88_6_27"/>
    <protectedRange algorithmName="SHA-512" hashValue="KHhv3JU/LRdRrRTxxkgFceEHPZ5UzadmpZRZR3zmQRnPvkUJZuanRafIJ+qde0IWwLZSvFIQDyUAHq6v6k7XIg==" saltValue="2GKG1kCzVNNcn+vbOPuhJA==" spinCount="100000" sqref="Q88" name="Rango2_2_5_27"/>
    <protectedRange algorithmName="SHA-512" hashValue="XZw03RosI/l0z9FxmTtF29EdZ7P+4+ybhqoaAAUmURojSR5XbGfjC4f2i8gMqfY+RI9JvfdCA6PSh9TduXfUxA==" saltValue="5TPtLq2WoiRSae/yaDPnTw==" spinCount="100000" sqref="BR88:BU88 CJ88:CK88 CS88:CT88 CV88:CY88 CE88:CF88 O88 R88:S88 BZ88:CB88 CP88:CQ88 DA88:DN88 U88:AA88" name="Rango2_99_71"/>
    <protectedRange algorithmName="SHA-512" hashValue="RQ91b7oAw60DVtcgB2vRpial2kSdzJx5guGCTYUwXYkKrtrUHfiYnLf9R+SNpYXlJDYpyEJLhcWwP0EqNN86dQ==" saltValue="W3RbH3zrcY9sy39xNwXNxg==" spinCount="100000" sqref="BA88:BI88" name="Rango2_88_99_11_2"/>
    <protectedRange algorithmName="SHA-512" hashValue="fMbmUM1DQ7FuAPRNvFL5mPdHUYjQnlLFhkuaxvHguaqR7aWyDxcmJs0jLYQfQKY+oyhsMb4Lew4VL6i7um3/ew==" saltValue="ydaTm0CeH8+/cYqoL/AMaQ==" spinCount="100000" sqref="AW88:AZ88 AU88" name="Rango2_88_91_11_2"/>
    <protectedRange algorithmName="SHA-512" hashValue="NkG6oHuDGvGBEiLAAq8MEJHEfLQUMyjihfH+DBXhT+eQW0r1yri7tOJEFRM9nbOejjjXiviq9RFo7KB7wF+xJA==" saltValue="bpjB0AAANu2X/PeR3eiFkA==" spinCount="100000" sqref="AR88:AS88" name="Rango2_88_65_11_2"/>
    <protectedRange algorithmName="SHA-512" hashValue="XZw03RosI/l0z9FxmTtF29EdZ7P+4+ybhqoaAAUmURojSR5XbGfjC4f2i8gMqfY+RI9JvfdCA6PSh9TduXfUxA==" saltValue="5TPtLq2WoiRSae/yaDPnTw==" spinCount="100000" sqref="AV88 BJ88:BK88 AT88" name="Rango2_99_40_2"/>
    <protectedRange algorithmName="SHA-512" hashValue="Umj9+5Ys20VQPxBFtc6qE5LtKKSgPKwit+B8dd4XnEUaLfBM2ozpkEC4YxwK0SbBiAHDDex+pY+LomQ0lyuamQ==" saltValue="N2/MCRws+mmA+NXw0axolg==" spinCount="100000" sqref="GJ63:GJ64 GH63:GH64 GL63:GL64" name="Rango2_31_2_24"/>
    <protectedRange algorithmName="SHA-512" hashValue="XZw03RosI/l0z9FxmTtF29EdZ7P+4+ybhqoaAAUmURojSR5XbGfjC4f2i8gMqfY+RI9JvfdCA6PSh9TduXfUxA==" saltValue="5TPtLq2WoiRSae/yaDPnTw==" spinCount="100000" sqref="GM63:GM64 GK63:GK64 HJ63:HJ64" name="Rango2_99_72"/>
    <protectedRange algorithmName="SHA-512" hashValue="YXHanhqXL0e4jPrzkCF8r/22WmlCviFUW909WKuG1JOcU0mp0/Huh0aP3EaGYxV2ep0WGu48HsShAy4Ka2uOiw==" saltValue="h/7U5iwJm7DLR4tRVfwZYw==" spinCount="100000" sqref="GI63:GI64" name="Rango2_33_24"/>
    <protectedRange algorithmName="SHA-512" hashValue="pL4tgTKqwEsWSIEGFTBd+4pvEhE7d5Q99Eijs+L/Y1rhA0saQGGRJw5Pv2HLOP0quglztFwB6WVnQ1YGxd4AiQ==" saltValue="IF5mhk2RcoEjrcYppes1VA==" spinCount="100000" sqref="FT63" name="Rango2_30_14_1"/>
    <protectedRange algorithmName="SHA-512" hashValue="pL4tgTKqwEsWSIEGFTBd+4pvEhE7d5Q99Eijs+L/Y1rhA0saQGGRJw5Pv2HLOP0quglztFwB6WVnQ1YGxd4AiQ==" saltValue="IF5mhk2RcoEjrcYppes1VA==" spinCount="100000" sqref="FT64" name="Rango2_30_15_1"/>
    <protectedRange algorithmName="SHA-512" hashValue="Umj9+5Ys20VQPxBFtc6qE5LtKKSgPKwit+B8dd4XnEUaLfBM2ozpkEC4YxwK0SbBiAHDDex+pY+LomQ0lyuamQ==" saltValue="N2/MCRws+mmA+NXw0axolg==" spinCount="100000" sqref="FY63" name="Rango2_31_2_31"/>
    <protectedRange algorithmName="SHA-512" hashValue="Umj9+5Ys20VQPxBFtc6qE5LtKKSgPKwit+B8dd4XnEUaLfBM2ozpkEC4YxwK0SbBiAHDDex+pY+LomQ0lyuamQ==" saltValue="N2/MCRws+mmA+NXw0axolg==" spinCount="100000" sqref="FY64" name="Rango2_31_2_32"/>
    <protectedRange algorithmName="SHA-512" hashValue="YXHanhqXL0e4jPrzkCF8r/22WmlCviFUW909WKuG1JOcU0mp0/Huh0aP3EaGYxV2ep0WGu48HsShAy4Ka2uOiw==" saltValue="h/7U5iwJm7DLR4tRVfwZYw==" spinCount="100000" sqref="GC63" name="Rango2_33_13_1"/>
    <protectedRange algorithmName="SHA-512" hashValue="YXHanhqXL0e4jPrzkCF8r/22WmlCviFUW909WKuG1JOcU0mp0/Huh0aP3EaGYxV2ep0WGu48HsShAy4Ka2uOiw==" saltValue="h/7U5iwJm7DLR4tRVfwZYw==" spinCount="100000" sqref="GC64" name="Rango2_33_14_1"/>
    <protectedRange algorithmName="SHA-512" hashValue="Rgskw+AQdeJ5qbJdarzTa3SCkJfDGziy0Uan5N0F3IWn/H3Z/e+VcB56R7Nes7MPxNHewNP1sSSucVjz3iTLeA==" saltValue="qKZH3DnwaZHBzy3cBZo1qQ==" spinCount="100000" sqref="GF63" name="Rango2_31_28_13_1"/>
    <protectedRange algorithmName="SHA-512" hashValue="Umj9+5Ys20VQPxBFtc6qE5LtKKSgPKwit+B8dd4XnEUaLfBM2ozpkEC4YxwK0SbBiAHDDex+pY+LomQ0lyuamQ==" saltValue="N2/MCRws+mmA+NXw0axolg==" spinCount="100000" sqref="GE63" name="Rango2_31_2_57"/>
    <protectedRange algorithmName="SHA-512" hashValue="Rgskw+AQdeJ5qbJdarzTa3SCkJfDGziy0Uan5N0F3IWn/H3Z/e+VcB56R7Nes7MPxNHewNP1sSSucVjz3iTLeA==" saltValue="qKZH3DnwaZHBzy3cBZo1qQ==" spinCount="100000" sqref="GF64" name="Rango2_31_28_14_1"/>
    <protectedRange algorithmName="SHA-512" hashValue="Umj9+5Ys20VQPxBFtc6qE5LtKKSgPKwit+B8dd4XnEUaLfBM2ozpkEC4YxwK0SbBiAHDDex+pY+LomQ0lyuamQ==" saltValue="N2/MCRws+mmA+NXw0axolg==" spinCount="100000" sqref="GE64" name="Rango2_31_2_58"/>
    <protectedRange algorithmName="SHA-512" hashValue="EEHzbvEYwO1eufllBljOz0uf9BJ2ENtvOScQ7IsS321QhYbwKn7qhHKKP8cKj02rTDvVRMWvwQ1ZP0mZWsBprQ==" saltValue="CjXqBRFbKezlWOFV37MnDQ==" spinCount="100000" sqref="GN63" name="Rango2_30_2_31"/>
    <protectedRange algorithmName="SHA-512" hashValue="EEHzbvEYwO1eufllBljOz0uf9BJ2ENtvOScQ7IsS321QhYbwKn7qhHKKP8cKj02rTDvVRMWvwQ1ZP0mZWsBprQ==" saltValue="CjXqBRFbKezlWOFV37MnDQ==" spinCount="100000" sqref="GN64" name="Rango2_30_2_32"/>
    <protectedRange algorithmName="SHA-512" hashValue="EEHzbvEYwO1eufllBljOz0uf9BJ2ENtvOScQ7IsS321QhYbwKn7qhHKKP8cKj02rTDvVRMWvwQ1ZP0mZWsBprQ==" saltValue="CjXqBRFbKezlWOFV37MnDQ==" spinCount="100000" sqref="GQ63:GR63" name="Rango2_30_2_44"/>
    <protectedRange algorithmName="SHA-512" hashValue="EEHzbvEYwO1eufllBljOz0uf9BJ2ENtvOScQ7IsS321QhYbwKn7qhHKKP8cKj02rTDvVRMWvwQ1ZP0mZWsBprQ==" saltValue="CjXqBRFbKezlWOFV37MnDQ==" spinCount="100000" sqref="GQ64:GR64" name="Rango2_30_2_45"/>
    <protectedRange algorithmName="SHA-512" hashValue="EEHzbvEYwO1eufllBljOz0uf9BJ2ENtvOScQ7IsS321QhYbwKn7qhHKKP8cKj02rTDvVRMWvwQ1ZP0mZWsBprQ==" saltValue="CjXqBRFbKezlWOFV37MnDQ==" spinCount="100000" sqref="GW63" name="Rango2_30_2_57"/>
    <protectedRange algorithmName="SHA-512" hashValue="EEHzbvEYwO1eufllBljOz0uf9BJ2ENtvOScQ7IsS321QhYbwKn7qhHKKP8cKj02rTDvVRMWvwQ1ZP0mZWsBprQ==" saltValue="CjXqBRFbKezlWOFV37MnDQ==" spinCount="100000" sqref="GW64" name="Rango2_30_2_58"/>
    <protectedRange algorithmName="SHA-512" hashValue="q2z5hEFmXS0v2chiPTC/VCoDWNlnhp+Xe6Ybfxe48vIsnB/KTJQxJv+pFUnCXfZ9T6vyJopuqFFNROfQTW/JUw==" saltValue="IctfdGJb5tOTpq+KPi9vww==" spinCount="100000" sqref="IA63" name="Rango2_88_39_45_1"/>
    <protectedRange algorithmName="SHA-512" hashValue="q2z5hEFmXS0v2chiPTC/VCoDWNlnhp+Xe6Ybfxe48vIsnB/KTJQxJv+pFUnCXfZ9T6vyJopuqFFNROfQTW/JUw==" saltValue="IctfdGJb5tOTpq+KPi9vww==" spinCount="100000" sqref="IA64" name="Rango2_88_39_46_1"/>
    <protectedRange algorithmName="SHA-512" hashValue="q2z5hEFmXS0v2chiPTC/VCoDWNlnhp+Xe6Ybfxe48vIsnB/KTJQxJv+pFUnCXfZ9T6vyJopuqFFNROfQTW/JUw==" saltValue="IctfdGJb5tOTpq+KPi9vww==" spinCount="100000" sqref="ID63:IJ63" name="Rango2_88_39_58"/>
    <protectedRange algorithmName="SHA-512" hashValue="q2z5hEFmXS0v2chiPTC/VCoDWNlnhp+Xe6Ybfxe48vIsnB/KTJQxJv+pFUnCXfZ9T6vyJopuqFFNROfQTW/JUw==" saltValue="IctfdGJb5tOTpq+KPi9vww==" spinCount="100000" sqref="ID64:IJ64" name="Rango2_88_39_59"/>
    <protectedRange algorithmName="SHA-512" hashValue="Umj9+5Ys20VQPxBFtc6qE5LtKKSgPKwit+B8dd4XnEUaLfBM2ozpkEC4YxwK0SbBiAHDDex+pY+LomQ0lyuamQ==" saltValue="N2/MCRws+mmA+NXw0axolg==" spinCount="100000" sqref="GJ65:GJ70 GH65:GH70 GL65:GL70" name="Rango2_31_2_25"/>
    <protectedRange algorithmName="SHA-512" hashValue="XZw03RosI/l0z9FxmTtF29EdZ7P+4+ybhqoaAAUmURojSR5XbGfjC4f2i8gMqfY+RI9JvfdCA6PSh9TduXfUxA==" saltValue="5TPtLq2WoiRSae/yaDPnTw==" spinCount="100000" sqref="GM65:GM70 GK65:GK70 HJ65:HJ70" name="Rango2_99_73"/>
    <protectedRange algorithmName="SHA-512" hashValue="YXHanhqXL0e4jPrzkCF8r/22WmlCviFUW909WKuG1JOcU0mp0/Huh0aP3EaGYxV2ep0WGu48HsShAy4Ka2uOiw==" saltValue="h/7U5iwJm7DLR4tRVfwZYw==" spinCount="100000" sqref="GI65:GI70" name="Rango2_33_25"/>
    <protectedRange algorithmName="SHA-512" hashValue="9+DNppQbWrLYYUMoJ+lyQctV2bX3Vq9kZnegLbpjTLP49It2ovUbcartuoQTeXgP+TGpY//7mDH/UQlFCKDGiA==" saltValue="KUnni6YEm00anzSSvyLqQA==" spinCount="100000" sqref="FH66" name="Rango2_18_7"/>
    <protectedRange algorithmName="SHA-512" hashValue="9+DNppQbWrLYYUMoJ+lyQctV2bX3Vq9kZnegLbpjTLP49It2ovUbcartuoQTeXgP+TGpY//7mDH/UQlFCKDGiA==" saltValue="KUnni6YEm00anzSSvyLqQA==" spinCount="100000" sqref="FH69:FH70" name="Rango2_18_8"/>
    <protectedRange algorithmName="SHA-512" hashValue="pL4tgTKqwEsWSIEGFTBd+4pvEhE7d5Q99Eijs+L/Y1rhA0saQGGRJw5Pv2HLOP0quglztFwB6WVnQ1YGxd4AiQ==" saltValue="IF5mhk2RcoEjrcYppes1VA==" spinCount="100000" sqref="FT65:FT67" name="Rango2_30_17_1"/>
    <protectedRange algorithmName="SHA-512" hashValue="pL4tgTKqwEsWSIEGFTBd+4pvEhE7d5Q99Eijs+L/Y1rhA0saQGGRJw5Pv2HLOP0quglztFwB6WVnQ1YGxd4AiQ==" saltValue="IF5mhk2RcoEjrcYppes1VA==" spinCount="100000" sqref="FT68" name="Rango2_30_18_1"/>
    <protectedRange algorithmName="SHA-512" hashValue="pL4tgTKqwEsWSIEGFTBd+4pvEhE7d5Q99Eijs+L/Y1rhA0saQGGRJw5Pv2HLOP0quglztFwB6WVnQ1YGxd4AiQ==" saltValue="IF5mhk2RcoEjrcYppes1VA==" spinCount="100000" sqref="FT69:FT70" name="Rango2_30_19_1"/>
    <protectedRange algorithmName="SHA-512" hashValue="Umj9+5Ys20VQPxBFtc6qE5LtKKSgPKwit+B8dd4XnEUaLfBM2ozpkEC4YxwK0SbBiAHDDex+pY+LomQ0lyuamQ==" saltValue="N2/MCRws+mmA+NXw0axolg==" spinCount="100000" sqref="FY65:FY67" name="Rango2_31_2_34"/>
    <protectedRange algorithmName="SHA-512" hashValue="Umj9+5Ys20VQPxBFtc6qE5LtKKSgPKwit+B8dd4XnEUaLfBM2ozpkEC4YxwK0SbBiAHDDex+pY+LomQ0lyuamQ==" saltValue="N2/MCRws+mmA+NXw0axolg==" spinCount="100000" sqref="FY68" name="Rango2_31_2_35"/>
    <protectedRange algorithmName="SHA-512" hashValue="Umj9+5Ys20VQPxBFtc6qE5LtKKSgPKwit+B8dd4XnEUaLfBM2ozpkEC4YxwK0SbBiAHDDex+pY+LomQ0lyuamQ==" saltValue="N2/MCRws+mmA+NXw0axolg==" spinCount="100000" sqref="FY69:FY70" name="Rango2_31_2_36"/>
    <protectedRange algorithmName="SHA-512" hashValue="Umj9+5Ys20VQPxBFtc6qE5LtKKSgPKwit+B8dd4XnEUaLfBM2ozpkEC4YxwK0SbBiAHDDex+pY+LomQ0lyuamQ==" saltValue="N2/MCRws+mmA+NXw0axolg==" spinCount="100000" sqref="GB67" name="Rango2_31_2_47"/>
    <protectedRange algorithmName="SHA-512" hashValue="YXHanhqXL0e4jPrzkCF8r/22WmlCviFUW909WKuG1JOcU0mp0/Huh0aP3EaGYxV2ep0WGu48HsShAy4Ka2uOiw==" saltValue="h/7U5iwJm7DLR4tRVfwZYw==" spinCount="100000" sqref="GC65:GC67" name="Rango2_33_16_1"/>
    <protectedRange algorithmName="SHA-512" hashValue="Umj9+5Ys20VQPxBFtc6qE5LtKKSgPKwit+B8dd4XnEUaLfBM2ozpkEC4YxwK0SbBiAHDDex+pY+LomQ0lyuamQ==" saltValue="N2/MCRws+mmA+NXw0axolg==" spinCount="100000" sqref="GB68" name="Rango2_31_2_48"/>
    <protectedRange algorithmName="SHA-512" hashValue="YXHanhqXL0e4jPrzkCF8r/22WmlCviFUW909WKuG1JOcU0mp0/Huh0aP3EaGYxV2ep0WGu48HsShAy4Ka2uOiw==" saltValue="h/7U5iwJm7DLR4tRVfwZYw==" spinCount="100000" sqref="GC68" name="Rango2_33_17_1"/>
    <protectedRange algorithmName="SHA-512" hashValue="Umj9+5Ys20VQPxBFtc6qE5LtKKSgPKwit+B8dd4XnEUaLfBM2ozpkEC4YxwK0SbBiAHDDex+pY+LomQ0lyuamQ==" saltValue="N2/MCRws+mmA+NXw0axolg==" spinCount="100000" sqref="GB70" name="Rango2_31_2_49"/>
    <protectedRange algorithmName="SHA-512" hashValue="YXHanhqXL0e4jPrzkCF8r/22WmlCviFUW909WKuG1JOcU0mp0/Huh0aP3EaGYxV2ep0WGu48HsShAy4Ka2uOiw==" saltValue="h/7U5iwJm7DLR4tRVfwZYw==" spinCount="100000" sqref="GC69:GC70" name="Rango2_33_18_1"/>
    <protectedRange algorithmName="SHA-512" hashValue="Rgskw+AQdeJ5qbJdarzTa3SCkJfDGziy0Uan5N0F3IWn/H3Z/e+VcB56R7Nes7MPxNHewNP1sSSucVjz3iTLeA==" saltValue="qKZH3DnwaZHBzy3cBZo1qQ==" spinCount="100000" sqref="GF65:GF67" name="Rango2_31_28_16_1"/>
    <protectedRange algorithmName="SHA-512" hashValue="Umj9+5Ys20VQPxBFtc6qE5LtKKSgPKwit+B8dd4XnEUaLfBM2ozpkEC4YxwK0SbBiAHDDex+pY+LomQ0lyuamQ==" saltValue="N2/MCRws+mmA+NXw0axolg==" spinCount="100000" sqref="GE65:GE67" name="Rango2_31_2_60"/>
    <protectedRange algorithmName="SHA-512" hashValue="Rgskw+AQdeJ5qbJdarzTa3SCkJfDGziy0Uan5N0F3IWn/H3Z/e+VcB56R7Nes7MPxNHewNP1sSSucVjz3iTLeA==" saltValue="qKZH3DnwaZHBzy3cBZo1qQ==" spinCount="100000" sqref="GF68" name="Rango2_31_28_17_1"/>
    <protectedRange algorithmName="SHA-512" hashValue="Umj9+5Ys20VQPxBFtc6qE5LtKKSgPKwit+B8dd4XnEUaLfBM2ozpkEC4YxwK0SbBiAHDDex+pY+LomQ0lyuamQ==" saltValue="N2/MCRws+mmA+NXw0axolg==" spinCount="100000" sqref="GE68" name="Rango2_31_2_61"/>
    <protectedRange algorithmName="SHA-512" hashValue="Rgskw+AQdeJ5qbJdarzTa3SCkJfDGziy0Uan5N0F3IWn/H3Z/e+VcB56R7Nes7MPxNHewNP1sSSucVjz3iTLeA==" saltValue="qKZH3DnwaZHBzy3cBZo1qQ==" spinCount="100000" sqref="GF69:GF70" name="Rango2_31_28_18_1"/>
    <protectedRange algorithmName="SHA-512" hashValue="Umj9+5Ys20VQPxBFtc6qE5LtKKSgPKwit+B8dd4XnEUaLfBM2ozpkEC4YxwK0SbBiAHDDex+pY+LomQ0lyuamQ==" saltValue="N2/MCRws+mmA+NXw0axolg==" spinCount="100000" sqref="GE69:GE70" name="Rango2_31_2_62"/>
    <protectedRange algorithmName="SHA-512" hashValue="EEHzbvEYwO1eufllBljOz0uf9BJ2ENtvOScQ7IsS321QhYbwKn7qhHKKP8cKj02rTDvVRMWvwQ1ZP0mZWsBprQ==" saltValue="CjXqBRFbKezlWOFV37MnDQ==" spinCount="100000" sqref="GN65:GN67" name="Rango2_30_2_34"/>
    <protectedRange algorithmName="SHA-512" hashValue="EEHzbvEYwO1eufllBljOz0uf9BJ2ENtvOScQ7IsS321QhYbwKn7qhHKKP8cKj02rTDvVRMWvwQ1ZP0mZWsBprQ==" saltValue="CjXqBRFbKezlWOFV37MnDQ==" spinCount="100000" sqref="GN68" name="Rango2_30_2_35"/>
    <protectedRange algorithmName="SHA-512" hashValue="EEHzbvEYwO1eufllBljOz0uf9BJ2ENtvOScQ7IsS321QhYbwKn7qhHKKP8cKj02rTDvVRMWvwQ1ZP0mZWsBprQ==" saltValue="CjXqBRFbKezlWOFV37MnDQ==" spinCount="100000" sqref="GN69:GN70" name="Rango2_30_2_36"/>
    <protectedRange algorithmName="SHA-512" hashValue="EEHzbvEYwO1eufllBljOz0uf9BJ2ENtvOScQ7IsS321QhYbwKn7qhHKKP8cKj02rTDvVRMWvwQ1ZP0mZWsBprQ==" saltValue="CjXqBRFbKezlWOFV37MnDQ==" spinCount="100000" sqref="GQ65:GR67" name="Rango2_30_2_47"/>
    <protectedRange algorithmName="SHA-512" hashValue="EEHzbvEYwO1eufllBljOz0uf9BJ2ENtvOScQ7IsS321QhYbwKn7qhHKKP8cKj02rTDvVRMWvwQ1ZP0mZWsBprQ==" saltValue="CjXqBRFbKezlWOFV37MnDQ==" spinCount="100000" sqref="GQ68:GR68" name="Rango2_30_2_48"/>
    <protectedRange algorithmName="SHA-512" hashValue="EEHzbvEYwO1eufllBljOz0uf9BJ2ENtvOScQ7IsS321QhYbwKn7qhHKKP8cKj02rTDvVRMWvwQ1ZP0mZWsBprQ==" saltValue="CjXqBRFbKezlWOFV37MnDQ==" spinCount="100000" sqref="GQ69:GR70" name="Rango2_30_2_49"/>
    <protectedRange algorithmName="SHA-512" hashValue="EEHzbvEYwO1eufllBljOz0uf9BJ2ENtvOScQ7IsS321QhYbwKn7qhHKKP8cKj02rTDvVRMWvwQ1ZP0mZWsBprQ==" saltValue="CjXqBRFbKezlWOFV37MnDQ==" spinCount="100000" sqref="GW65:GW67" name="Rango2_30_2_60"/>
    <protectedRange algorithmName="SHA-512" hashValue="EEHzbvEYwO1eufllBljOz0uf9BJ2ENtvOScQ7IsS321QhYbwKn7qhHKKP8cKj02rTDvVRMWvwQ1ZP0mZWsBprQ==" saltValue="CjXqBRFbKezlWOFV37MnDQ==" spinCount="100000" sqref="GW68" name="Rango2_30_2_61"/>
    <protectedRange algorithmName="SHA-512" hashValue="EEHzbvEYwO1eufllBljOz0uf9BJ2ENtvOScQ7IsS321QhYbwKn7qhHKKP8cKj02rTDvVRMWvwQ1ZP0mZWsBprQ==" saltValue="CjXqBRFbKezlWOFV37MnDQ==" spinCount="100000" sqref="GW69:GW70" name="Rango2_30_2_62"/>
    <protectedRange algorithmName="SHA-512" hashValue="q2z5hEFmXS0v2chiPTC/VCoDWNlnhp+Xe6Ybfxe48vIsnB/KTJQxJv+pFUnCXfZ9T6vyJopuqFFNROfQTW/JUw==" saltValue="IctfdGJb5tOTpq+KPi9vww==" spinCount="100000" sqref="IA65:IA67" name="Rango2_88_39_48_1"/>
    <protectedRange algorithmName="SHA-512" hashValue="q2z5hEFmXS0v2chiPTC/VCoDWNlnhp+Xe6Ybfxe48vIsnB/KTJQxJv+pFUnCXfZ9T6vyJopuqFFNROfQTW/JUw==" saltValue="IctfdGJb5tOTpq+KPi9vww==" spinCount="100000" sqref="IA68" name="Rango2_88_39_49_1"/>
    <protectedRange algorithmName="SHA-512" hashValue="q2z5hEFmXS0v2chiPTC/VCoDWNlnhp+Xe6Ybfxe48vIsnB/KTJQxJv+pFUnCXfZ9T6vyJopuqFFNROfQTW/JUw==" saltValue="IctfdGJb5tOTpq+KPi9vww==" spinCount="100000" sqref="IA69:IA70" name="Rango2_88_39_50_1"/>
    <protectedRange algorithmName="SHA-512" hashValue="q2z5hEFmXS0v2chiPTC/VCoDWNlnhp+Xe6Ybfxe48vIsnB/KTJQxJv+pFUnCXfZ9T6vyJopuqFFNROfQTW/JUw==" saltValue="IctfdGJb5tOTpq+KPi9vww==" spinCount="100000" sqref="ID65:IJ67" name="Rango2_88_39_61"/>
    <protectedRange algorithmName="SHA-512" hashValue="q2z5hEFmXS0v2chiPTC/VCoDWNlnhp+Xe6Ybfxe48vIsnB/KTJQxJv+pFUnCXfZ9T6vyJopuqFFNROfQTW/JUw==" saltValue="IctfdGJb5tOTpq+KPi9vww==" spinCount="100000" sqref="ID68:IJ68" name="Rango2_88_39_62"/>
    <protectedRange algorithmName="SHA-512" hashValue="q2z5hEFmXS0v2chiPTC/VCoDWNlnhp+Xe6Ybfxe48vIsnB/KTJQxJv+pFUnCXfZ9T6vyJopuqFFNROfQTW/JUw==" saltValue="IctfdGJb5tOTpq+KPi9vww==" spinCount="100000" sqref="ID69:IJ70" name="Rango2_88_39_63"/>
    <protectedRange algorithmName="SHA-512" hashValue="Umj9+5Ys20VQPxBFtc6qE5LtKKSgPKwit+B8dd4XnEUaLfBM2ozpkEC4YxwK0SbBiAHDDex+pY+LomQ0lyuamQ==" saltValue="N2/MCRws+mmA+NXw0axolg==" spinCount="100000" sqref="GJ71:GJ72 GH71:GH72 GL71:GL72" name="Rango2_31_2_26"/>
    <protectedRange algorithmName="SHA-512" hashValue="XZw03RosI/l0z9FxmTtF29EdZ7P+4+ybhqoaAAUmURojSR5XbGfjC4f2i8gMqfY+RI9JvfdCA6PSh9TduXfUxA==" saltValue="5TPtLq2WoiRSae/yaDPnTw==" spinCount="100000" sqref="GM71:GM72 GK71:GK72 HJ71:HJ72" name="Rango2_99_76"/>
    <protectedRange algorithmName="SHA-512" hashValue="YXHanhqXL0e4jPrzkCF8r/22WmlCviFUW909WKuG1JOcU0mp0/Huh0aP3EaGYxV2ep0WGu48HsShAy4Ka2uOiw==" saltValue="h/7U5iwJm7DLR4tRVfwZYw==" spinCount="100000" sqref="GI71:GI72" name="Rango2_33_26"/>
    <protectedRange algorithmName="SHA-512" hashValue="9+DNppQbWrLYYUMoJ+lyQctV2bX3Vq9kZnegLbpjTLP49It2ovUbcartuoQTeXgP+TGpY//7mDH/UQlFCKDGiA==" saltValue="KUnni6YEm00anzSSvyLqQA==" spinCount="100000" sqref="FH71" name="Rango2_18_9"/>
    <protectedRange algorithmName="SHA-512" hashValue="9+DNppQbWrLYYUMoJ+lyQctV2bX3Vq9kZnegLbpjTLP49It2ovUbcartuoQTeXgP+TGpY//7mDH/UQlFCKDGiA==" saltValue="KUnni6YEm00anzSSvyLqQA==" spinCount="100000" sqref="FH72" name="Rango2_18_10"/>
    <protectedRange algorithmName="SHA-512" hashValue="pL4tgTKqwEsWSIEGFTBd+4pvEhE7d5Q99Eijs+L/Y1rhA0saQGGRJw5Pv2HLOP0quglztFwB6WVnQ1YGxd4AiQ==" saltValue="IF5mhk2RcoEjrcYppes1VA==" spinCount="100000" sqref="FT71" name="Rango2_30_20_1"/>
    <protectedRange algorithmName="SHA-512" hashValue="pL4tgTKqwEsWSIEGFTBd+4pvEhE7d5Q99Eijs+L/Y1rhA0saQGGRJw5Pv2HLOP0quglztFwB6WVnQ1YGxd4AiQ==" saltValue="IF5mhk2RcoEjrcYppes1VA==" spinCount="100000" sqref="FT72" name="Rango2_30_21_1"/>
    <protectedRange algorithmName="SHA-512" hashValue="Umj9+5Ys20VQPxBFtc6qE5LtKKSgPKwit+B8dd4XnEUaLfBM2ozpkEC4YxwK0SbBiAHDDex+pY+LomQ0lyuamQ==" saltValue="N2/MCRws+mmA+NXw0axolg==" spinCount="100000" sqref="FY71" name="Rango2_31_2_37"/>
    <protectedRange algorithmName="SHA-512" hashValue="Umj9+5Ys20VQPxBFtc6qE5LtKKSgPKwit+B8dd4XnEUaLfBM2ozpkEC4YxwK0SbBiAHDDex+pY+LomQ0lyuamQ==" saltValue="N2/MCRws+mmA+NXw0axolg==" spinCount="100000" sqref="FY72" name="Rango2_31_2_38"/>
    <protectedRange algorithmName="SHA-512" hashValue="YXHanhqXL0e4jPrzkCF8r/22WmlCviFUW909WKuG1JOcU0mp0/Huh0aP3EaGYxV2ep0WGu48HsShAy4Ka2uOiw==" saltValue="h/7U5iwJm7DLR4tRVfwZYw==" spinCount="100000" sqref="GC71" name="Rango2_33_19_1"/>
    <protectedRange algorithmName="SHA-512" hashValue="Umj9+5Ys20VQPxBFtc6qE5LtKKSgPKwit+B8dd4XnEUaLfBM2ozpkEC4YxwK0SbBiAHDDex+pY+LomQ0lyuamQ==" saltValue="N2/MCRws+mmA+NXw0axolg==" spinCount="100000" sqref="GB72" name="Rango2_31_2_51"/>
    <protectedRange algorithmName="SHA-512" hashValue="YXHanhqXL0e4jPrzkCF8r/22WmlCviFUW909WKuG1JOcU0mp0/Huh0aP3EaGYxV2ep0WGu48HsShAy4Ka2uOiw==" saltValue="h/7U5iwJm7DLR4tRVfwZYw==" spinCount="100000" sqref="GC72" name="Rango2_33_20_1"/>
    <protectedRange algorithmName="SHA-512" hashValue="Rgskw+AQdeJ5qbJdarzTa3SCkJfDGziy0Uan5N0F3IWn/H3Z/e+VcB56R7Nes7MPxNHewNP1sSSucVjz3iTLeA==" saltValue="qKZH3DnwaZHBzy3cBZo1qQ==" spinCount="100000" sqref="GF71" name="Rango2_31_28_19_1"/>
    <protectedRange algorithmName="SHA-512" hashValue="Umj9+5Ys20VQPxBFtc6qE5LtKKSgPKwit+B8dd4XnEUaLfBM2ozpkEC4YxwK0SbBiAHDDex+pY+LomQ0lyuamQ==" saltValue="N2/MCRws+mmA+NXw0axolg==" spinCount="100000" sqref="GE71" name="Rango2_31_2_63"/>
    <protectedRange algorithmName="SHA-512" hashValue="Rgskw+AQdeJ5qbJdarzTa3SCkJfDGziy0Uan5N0F3IWn/H3Z/e+VcB56R7Nes7MPxNHewNP1sSSucVjz3iTLeA==" saltValue="qKZH3DnwaZHBzy3cBZo1qQ==" spinCount="100000" sqref="GF72" name="Rango2_31_28_20_1"/>
    <protectedRange algorithmName="SHA-512" hashValue="Umj9+5Ys20VQPxBFtc6qE5LtKKSgPKwit+B8dd4XnEUaLfBM2ozpkEC4YxwK0SbBiAHDDex+pY+LomQ0lyuamQ==" saltValue="N2/MCRws+mmA+NXw0axolg==" spinCount="100000" sqref="GE72" name="Rango2_31_2_64"/>
    <protectedRange algorithmName="SHA-512" hashValue="EEHzbvEYwO1eufllBljOz0uf9BJ2ENtvOScQ7IsS321QhYbwKn7qhHKKP8cKj02rTDvVRMWvwQ1ZP0mZWsBprQ==" saltValue="CjXqBRFbKezlWOFV37MnDQ==" spinCount="100000" sqref="GN71" name="Rango2_30_2_37"/>
    <protectedRange algorithmName="SHA-512" hashValue="EEHzbvEYwO1eufllBljOz0uf9BJ2ENtvOScQ7IsS321QhYbwKn7qhHKKP8cKj02rTDvVRMWvwQ1ZP0mZWsBprQ==" saltValue="CjXqBRFbKezlWOFV37MnDQ==" spinCount="100000" sqref="GN72" name="Rango2_30_2_38"/>
    <protectedRange algorithmName="SHA-512" hashValue="EEHzbvEYwO1eufllBljOz0uf9BJ2ENtvOScQ7IsS321QhYbwKn7qhHKKP8cKj02rTDvVRMWvwQ1ZP0mZWsBprQ==" saltValue="CjXqBRFbKezlWOFV37MnDQ==" spinCount="100000" sqref="GQ71:GR71" name="Rango2_30_2_50"/>
    <protectedRange algorithmName="SHA-512" hashValue="EEHzbvEYwO1eufllBljOz0uf9BJ2ENtvOScQ7IsS321QhYbwKn7qhHKKP8cKj02rTDvVRMWvwQ1ZP0mZWsBprQ==" saltValue="CjXqBRFbKezlWOFV37MnDQ==" spinCount="100000" sqref="GQ72:GR72" name="Rango2_30_2_51"/>
    <protectedRange algorithmName="SHA-512" hashValue="EEHzbvEYwO1eufllBljOz0uf9BJ2ENtvOScQ7IsS321QhYbwKn7qhHKKP8cKj02rTDvVRMWvwQ1ZP0mZWsBprQ==" saltValue="CjXqBRFbKezlWOFV37MnDQ==" spinCount="100000" sqref="GW71" name="Rango2_30_2_63"/>
    <protectedRange algorithmName="SHA-512" hashValue="EEHzbvEYwO1eufllBljOz0uf9BJ2ENtvOScQ7IsS321QhYbwKn7qhHKKP8cKj02rTDvVRMWvwQ1ZP0mZWsBprQ==" saltValue="CjXqBRFbKezlWOFV37MnDQ==" spinCount="100000" sqref="GW72" name="Rango2_30_2_64"/>
    <protectedRange algorithmName="SHA-512" hashValue="q2z5hEFmXS0v2chiPTC/VCoDWNlnhp+Xe6Ybfxe48vIsnB/KTJQxJv+pFUnCXfZ9T6vyJopuqFFNROfQTW/JUw==" saltValue="IctfdGJb5tOTpq+KPi9vww==" spinCount="100000" sqref="IA71" name="Rango2_88_39_51_1"/>
    <protectedRange algorithmName="SHA-512" hashValue="q2z5hEFmXS0v2chiPTC/VCoDWNlnhp+Xe6Ybfxe48vIsnB/KTJQxJv+pFUnCXfZ9T6vyJopuqFFNROfQTW/JUw==" saltValue="IctfdGJb5tOTpq+KPi9vww==" spinCount="100000" sqref="IA72" name="Rango2_88_39_52_1"/>
    <protectedRange algorithmName="SHA-512" hashValue="q2z5hEFmXS0v2chiPTC/VCoDWNlnhp+Xe6Ybfxe48vIsnB/KTJQxJv+pFUnCXfZ9T6vyJopuqFFNROfQTW/JUw==" saltValue="IctfdGJb5tOTpq+KPi9vww==" spinCount="100000" sqref="ID71:IJ71" name="Rango2_88_39_64"/>
    <protectedRange algorithmName="SHA-512" hashValue="q2z5hEFmXS0v2chiPTC/VCoDWNlnhp+Xe6Ybfxe48vIsnB/KTJQxJv+pFUnCXfZ9T6vyJopuqFFNROfQTW/JUw==" saltValue="IctfdGJb5tOTpq+KPi9vww==" spinCount="100000" sqref="ID72:IJ72" name="Rango2_88_39_65"/>
    <protectedRange algorithmName="SHA-512" hashValue="Umj9+5Ys20VQPxBFtc6qE5LtKKSgPKwit+B8dd4XnEUaLfBM2ozpkEC4YxwK0SbBiAHDDex+pY+LomQ0lyuamQ==" saltValue="N2/MCRws+mmA+NXw0axolg==" spinCount="100000" sqref="GJ73:GJ76 GH73:GH76 GL73:GL76" name="Rango2_31_2_27"/>
    <protectedRange algorithmName="SHA-512" hashValue="XZw03RosI/l0z9FxmTtF29EdZ7P+4+ybhqoaAAUmURojSR5XbGfjC4f2i8gMqfY+RI9JvfdCA6PSh9TduXfUxA==" saltValue="5TPtLq2WoiRSae/yaDPnTw==" spinCount="100000" sqref="GM73:GM76 GK73:GK76 HJ73:HJ76" name="Rango2_99_78"/>
    <protectedRange algorithmName="SHA-512" hashValue="YXHanhqXL0e4jPrzkCF8r/22WmlCviFUW909WKuG1JOcU0mp0/Huh0aP3EaGYxV2ep0WGu48HsShAy4Ka2uOiw==" saltValue="h/7U5iwJm7DLR4tRVfwZYw==" spinCount="100000" sqref="GI73:GI76" name="Rango2_33_27"/>
    <protectedRange algorithmName="SHA-512" hashValue="9+DNppQbWrLYYUMoJ+lyQctV2bX3Vq9kZnegLbpjTLP49It2ovUbcartuoQTeXgP+TGpY//7mDH/UQlFCKDGiA==" saltValue="KUnni6YEm00anzSSvyLqQA==" spinCount="100000" sqref="FH73:FH76" name="Rango2_18_11"/>
    <protectedRange algorithmName="SHA-512" hashValue="pL4tgTKqwEsWSIEGFTBd+4pvEhE7d5Q99Eijs+L/Y1rhA0saQGGRJw5Pv2HLOP0quglztFwB6WVnQ1YGxd4AiQ==" saltValue="IF5mhk2RcoEjrcYppes1VA==" spinCount="100000" sqref="FT73:FT76" name="Rango2_30_23_1"/>
    <protectedRange algorithmName="SHA-512" hashValue="Umj9+5Ys20VQPxBFtc6qE5LtKKSgPKwit+B8dd4XnEUaLfBM2ozpkEC4YxwK0SbBiAHDDex+pY+LomQ0lyuamQ==" saltValue="N2/MCRws+mmA+NXw0axolg==" spinCount="100000" sqref="FY73:FY76" name="Rango2_31_2_40"/>
    <protectedRange algorithmName="SHA-512" hashValue="YXHanhqXL0e4jPrzkCF8r/22WmlCviFUW909WKuG1JOcU0mp0/Huh0aP3EaGYxV2ep0WGu48HsShAy4Ka2uOiw==" saltValue="h/7U5iwJm7DLR4tRVfwZYw==" spinCount="100000" sqref="GC73:GC74 GC76" name="Rango2_33_22_1"/>
    <protectedRange algorithmName="SHA-512" hashValue="Rgskw+AQdeJ5qbJdarzTa3SCkJfDGziy0Uan5N0F3IWn/H3Z/e+VcB56R7Nes7MPxNHewNP1sSSucVjz3iTLeA==" saltValue="qKZH3DnwaZHBzy3cBZo1qQ==" spinCount="100000" sqref="GF73:GF76" name="Rango2_31_28_22_1"/>
    <protectedRange algorithmName="SHA-512" hashValue="Umj9+5Ys20VQPxBFtc6qE5LtKKSgPKwit+B8dd4XnEUaLfBM2ozpkEC4YxwK0SbBiAHDDex+pY+LomQ0lyuamQ==" saltValue="N2/MCRws+mmA+NXw0axolg==" spinCount="100000" sqref="GE73:GE76" name="Rango2_31_2_66"/>
    <protectedRange algorithmName="SHA-512" hashValue="EEHzbvEYwO1eufllBljOz0uf9BJ2ENtvOScQ7IsS321QhYbwKn7qhHKKP8cKj02rTDvVRMWvwQ1ZP0mZWsBprQ==" saltValue="CjXqBRFbKezlWOFV37MnDQ==" spinCount="100000" sqref="GN73:GN76" name="Rango2_30_2_40"/>
    <protectedRange algorithmName="SHA-512" hashValue="EEHzbvEYwO1eufllBljOz0uf9BJ2ENtvOScQ7IsS321QhYbwKn7qhHKKP8cKj02rTDvVRMWvwQ1ZP0mZWsBprQ==" saltValue="CjXqBRFbKezlWOFV37MnDQ==" spinCount="100000" sqref="GQ73:GR76" name="Rango2_30_2_53"/>
    <protectedRange algorithmName="SHA-512" hashValue="EEHzbvEYwO1eufllBljOz0uf9BJ2ENtvOScQ7IsS321QhYbwKn7qhHKKP8cKj02rTDvVRMWvwQ1ZP0mZWsBprQ==" saltValue="CjXqBRFbKezlWOFV37MnDQ==" spinCount="100000" sqref="GW73:GW76" name="Rango2_30_2_66"/>
    <protectedRange algorithmName="SHA-512" hashValue="q2z5hEFmXS0v2chiPTC/VCoDWNlnhp+Xe6Ybfxe48vIsnB/KTJQxJv+pFUnCXfZ9T6vyJopuqFFNROfQTW/JUw==" saltValue="IctfdGJb5tOTpq+KPi9vww==" spinCount="100000" sqref="IA73:IA76" name="Rango2_88_39_54_1"/>
    <protectedRange algorithmName="SHA-512" hashValue="q2z5hEFmXS0v2chiPTC/VCoDWNlnhp+Xe6Ybfxe48vIsnB/KTJQxJv+pFUnCXfZ9T6vyJopuqFFNROfQTW/JUw==" saltValue="IctfdGJb5tOTpq+KPi9vww==" spinCount="100000" sqref="ID73:IJ76" name="Rango2_88_39_67"/>
    <protectedRange algorithmName="SHA-512" hashValue="Umj9+5Ys20VQPxBFtc6qE5LtKKSgPKwit+B8dd4XnEUaLfBM2ozpkEC4YxwK0SbBiAHDDex+pY+LomQ0lyuamQ==" saltValue="N2/MCRws+mmA+NXw0axolg==" spinCount="100000" sqref="GJ77 GH77 GL77" name="Rango2_31_2_28"/>
    <protectedRange algorithmName="SHA-512" hashValue="XZw03RosI/l0z9FxmTtF29EdZ7P+4+ybhqoaAAUmURojSR5XbGfjC4f2i8gMqfY+RI9JvfdCA6PSh9TduXfUxA==" saltValue="5TPtLq2WoiRSae/yaDPnTw==" spinCount="100000" sqref="GM77 GK77 HJ77" name="Rango2_99_83"/>
    <protectedRange algorithmName="SHA-512" hashValue="YXHanhqXL0e4jPrzkCF8r/22WmlCviFUW909WKuG1JOcU0mp0/Huh0aP3EaGYxV2ep0WGu48HsShAy4Ka2uOiw==" saltValue="h/7U5iwJm7DLR4tRVfwZYw==" spinCount="100000" sqref="GI77" name="Rango2_33_28"/>
    <protectedRange algorithmName="SHA-512" hashValue="9+DNppQbWrLYYUMoJ+lyQctV2bX3Vq9kZnegLbpjTLP49It2ovUbcartuoQTeXgP+TGpY//7mDH/UQlFCKDGiA==" saltValue="KUnni6YEm00anzSSvyLqQA==" spinCount="100000" sqref="FH77" name="Rango2_18_11_1"/>
    <protectedRange algorithmName="SHA-512" hashValue="pL4tgTKqwEsWSIEGFTBd+4pvEhE7d5Q99Eijs+L/Y1rhA0saQGGRJw5Pv2HLOP0quglztFwB6WVnQ1YGxd4AiQ==" saltValue="IF5mhk2RcoEjrcYppes1VA==" spinCount="100000" sqref="FT77" name="Rango2_30_23_2"/>
    <protectedRange algorithmName="SHA-512" hashValue="Umj9+5Ys20VQPxBFtc6qE5LtKKSgPKwit+B8dd4XnEUaLfBM2ozpkEC4YxwK0SbBiAHDDex+pY+LomQ0lyuamQ==" saltValue="N2/MCRws+mmA+NXw0axolg==" spinCount="100000" sqref="FY77" name="Rango2_31_2_40_1"/>
    <protectedRange algorithmName="SHA-512" hashValue="YXHanhqXL0e4jPrzkCF8r/22WmlCviFUW909WKuG1JOcU0mp0/Huh0aP3EaGYxV2ep0WGu48HsShAy4Ka2uOiw==" saltValue="h/7U5iwJm7DLR4tRVfwZYw==" spinCount="100000" sqref="GC77" name="Rango2_33_22_2"/>
    <protectedRange algorithmName="SHA-512" hashValue="Rgskw+AQdeJ5qbJdarzTa3SCkJfDGziy0Uan5N0F3IWn/H3Z/e+VcB56R7Nes7MPxNHewNP1sSSucVjz3iTLeA==" saltValue="qKZH3DnwaZHBzy3cBZo1qQ==" spinCount="100000" sqref="GF77" name="Rango2_31_28_22_2"/>
    <protectedRange algorithmName="SHA-512" hashValue="Umj9+5Ys20VQPxBFtc6qE5LtKKSgPKwit+B8dd4XnEUaLfBM2ozpkEC4YxwK0SbBiAHDDex+pY+LomQ0lyuamQ==" saltValue="N2/MCRws+mmA+NXw0axolg==" spinCount="100000" sqref="GE77" name="Rango2_31_2_66_1"/>
    <protectedRange algorithmName="SHA-512" hashValue="EEHzbvEYwO1eufllBljOz0uf9BJ2ENtvOScQ7IsS321QhYbwKn7qhHKKP8cKj02rTDvVRMWvwQ1ZP0mZWsBprQ==" saltValue="CjXqBRFbKezlWOFV37MnDQ==" spinCount="100000" sqref="GN77" name="Rango2_30_2_40_1"/>
    <protectedRange algorithmName="SHA-512" hashValue="EEHzbvEYwO1eufllBljOz0uf9BJ2ENtvOScQ7IsS321QhYbwKn7qhHKKP8cKj02rTDvVRMWvwQ1ZP0mZWsBprQ==" saltValue="CjXqBRFbKezlWOFV37MnDQ==" spinCount="100000" sqref="GQ77:GR77" name="Rango2_30_2_53_1"/>
    <protectedRange algorithmName="SHA-512" hashValue="EEHzbvEYwO1eufllBljOz0uf9BJ2ENtvOScQ7IsS321QhYbwKn7qhHKKP8cKj02rTDvVRMWvwQ1ZP0mZWsBprQ==" saltValue="CjXqBRFbKezlWOFV37MnDQ==" spinCount="100000" sqref="GW77" name="Rango2_30_2_66_1"/>
    <protectedRange algorithmName="SHA-512" hashValue="q2z5hEFmXS0v2chiPTC/VCoDWNlnhp+Xe6Ybfxe48vIsnB/KTJQxJv+pFUnCXfZ9T6vyJopuqFFNROfQTW/JUw==" saltValue="IctfdGJb5tOTpq+KPi9vww==" spinCount="100000" sqref="IA77" name="Rango2_88_39_54_2"/>
    <protectedRange algorithmName="SHA-512" hashValue="q2z5hEFmXS0v2chiPTC/VCoDWNlnhp+Xe6Ybfxe48vIsnB/KTJQxJv+pFUnCXfZ9T6vyJopuqFFNROfQTW/JUw==" saltValue="IctfdGJb5tOTpq+KPi9vww==" spinCount="100000" sqref="ID77:IJ77" name="Rango2_88_39_67_1"/>
    <protectedRange algorithmName="SHA-512" hashValue="Umj9+5Ys20VQPxBFtc6qE5LtKKSgPKwit+B8dd4XnEUaLfBM2ozpkEC4YxwK0SbBiAHDDex+pY+LomQ0lyuamQ==" saltValue="N2/MCRws+mmA+NXw0axolg==" spinCount="100000" sqref="GJ78:GJ79 GH78:GH79 GL78:GL79" name="Rango2_31_2_29"/>
    <protectedRange algorithmName="SHA-512" hashValue="XZw03RosI/l0z9FxmTtF29EdZ7P+4+ybhqoaAAUmURojSR5XbGfjC4f2i8gMqfY+RI9JvfdCA6PSh9TduXfUxA==" saltValue="5TPtLq2WoiRSae/yaDPnTw==" spinCount="100000" sqref="GM78:GM79 GK78:GK79 HJ78:HJ79" name="Rango2_99_85"/>
    <protectedRange algorithmName="SHA-512" hashValue="YXHanhqXL0e4jPrzkCF8r/22WmlCviFUW909WKuG1JOcU0mp0/Huh0aP3EaGYxV2ep0WGu48HsShAy4Ka2uOiw==" saltValue="h/7U5iwJm7DLR4tRVfwZYw==" spinCount="100000" sqref="GI78:GI79" name="Rango2_33_29"/>
    <protectedRange algorithmName="SHA-512" hashValue="9+DNppQbWrLYYUMoJ+lyQctV2bX3Vq9kZnegLbpjTLP49It2ovUbcartuoQTeXgP+TGpY//7mDH/UQlFCKDGiA==" saltValue="KUnni6YEm00anzSSvyLqQA==" spinCount="100000" sqref="FH78:FH79" name="Rango2_18_11_2"/>
    <protectedRange algorithmName="SHA-512" hashValue="pL4tgTKqwEsWSIEGFTBd+4pvEhE7d5Q99Eijs+L/Y1rhA0saQGGRJw5Pv2HLOP0quglztFwB6WVnQ1YGxd4AiQ==" saltValue="IF5mhk2RcoEjrcYppes1VA==" spinCount="100000" sqref="FT78:FT79" name="Rango2_30_23_3"/>
    <protectedRange algorithmName="SHA-512" hashValue="Umj9+5Ys20VQPxBFtc6qE5LtKKSgPKwit+B8dd4XnEUaLfBM2ozpkEC4YxwK0SbBiAHDDex+pY+LomQ0lyuamQ==" saltValue="N2/MCRws+mmA+NXw0axolg==" spinCount="100000" sqref="FY78:FY79" name="Rango2_31_2_40_2"/>
    <protectedRange algorithmName="SHA-512" hashValue="YXHanhqXL0e4jPrzkCF8r/22WmlCviFUW909WKuG1JOcU0mp0/Huh0aP3EaGYxV2ep0WGu48HsShAy4Ka2uOiw==" saltValue="h/7U5iwJm7DLR4tRVfwZYw==" spinCount="100000" sqref="GC79" name="Rango2_33_22_3"/>
    <protectedRange algorithmName="SHA-512" hashValue="Rgskw+AQdeJ5qbJdarzTa3SCkJfDGziy0Uan5N0F3IWn/H3Z/e+VcB56R7Nes7MPxNHewNP1sSSucVjz3iTLeA==" saltValue="qKZH3DnwaZHBzy3cBZo1qQ==" spinCount="100000" sqref="GF78:GF79" name="Rango2_31_28_22_3"/>
    <protectedRange algorithmName="SHA-512" hashValue="Umj9+5Ys20VQPxBFtc6qE5LtKKSgPKwit+B8dd4XnEUaLfBM2ozpkEC4YxwK0SbBiAHDDex+pY+LomQ0lyuamQ==" saltValue="N2/MCRws+mmA+NXw0axolg==" spinCount="100000" sqref="GE78:GE79" name="Rango2_31_2_66_2"/>
    <protectedRange algorithmName="SHA-512" hashValue="EEHzbvEYwO1eufllBljOz0uf9BJ2ENtvOScQ7IsS321QhYbwKn7qhHKKP8cKj02rTDvVRMWvwQ1ZP0mZWsBprQ==" saltValue="CjXqBRFbKezlWOFV37MnDQ==" spinCount="100000" sqref="GN78:GN79" name="Rango2_30_2_40_2"/>
    <protectedRange algorithmName="SHA-512" hashValue="EEHzbvEYwO1eufllBljOz0uf9BJ2ENtvOScQ7IsS321QhYbwKn7qhHKKP8cKj02rTDvVRMWvwQ1ZP0mZWsBprQ==" saltValue="CjXqBRFbKezlWOFV37MnDQ==" spinCount="100000" sqref="GQ78:GR79" name="Rango2_30_2_53_2"/>
    <protectedRange algorithmName="SHA-512" hashValue="EEHzbvEYwO1eufllBljOz0uf9BJ2ENtvOScQ7IsS321QhYbwKn7qhHKKP8cKj02rTDvVRMWvwQ1ZP0mZWsBprQ==" saltValue="CjXqBRFbKezlWOFV37MnDQ==" spinCount="100000" sqref="GW78:GW79" name="Rango2_30_2_66_2"/>
    <protectedRange algorithmName="SHA-512" hashValue="q2z5hEFmXS0v2chiPTC/VCoDWNlnhp+Xe6Ybfxe48vIsnB/KTJQxJv+pFUnCXfZ9T6vyJopuqFFNROfQTW/JUw==" saltValue="IctfdGJb5tOTpq+KPi9vww==" spinCount="100000" sqref="IA78:IA79" name="Rango2_88_39_54_3"/>
    <protectedRange algorithmName="SHA-512" hashValue="q2z5hEFmXS0v2chiPTC/VCoDWNlnhp+Xe6Ybfxe48vIsnB/KTJQxJv+pFUnCXfZ9T6vyJopuqFFNROfQTW/JUw==" saltValue="IctfdGJb5tOTpq+KPi9vww==" spinCount="100000" sqref="ID78:IJ79" name="Rango2_88_39_67_2"/>
    <protectedRange algorithmName="SHA-512" hashValue="Umj9+5Ys20VQPxBFtc6qE5LtKKSgPKwit+B8dd4XnEUaLfBM2ozpkEC4YxwK0SbBiAHDDex+pY+LomQ0lyuamQ==" saltValue="N2/MCRws+mmA+NXw0axolg==" spinCount="100000" sqref="GJ80:GJ81 GH80:GH81 GL80:GL81" name="Rango2_31_2_30"/>
    <protectedRange algorithmName="SHA-512" hashValue="XZw03RosI/l0z9FxmTtF29EdZ7P+4+ybhqoaAAUmURojSR5XbGfjC4f2i8gMqfY+RI9JvfdCA6PSh9TduXfUxA==" saltValue="5TPtLq2WoiRSae/yaDPnTw==" spinCount="100000" sqref="GM80:GM81 GK80:GK81 HJ80:HJ81 FI80:FI81 GC80:GC81" name="Rango2_99_86"/>
    <protectedRange algorithmName="SHA-512" hashValue="YXHanhqXL0e4jPrzkCF8r/22WmlCviFUW909WKuG1JOcU0mp0/Huh0aP3EaGYxV2ep0WGu48HsShAy4Ka2uOiw==" saltValue="h/7U5iwJm7DLR4tRVfwZYw==" spinCount="100000" sqref="GI80:GI81" name="Rango2_33_30"/>
    <protectedRange algorithmName="SHA-512" hashValue="9+DNppQbWrLYYUMoJ+lyQctV2bX3Vq9kZnegLbpjTLP49It2ovUbcartuoQTeXgP+TGpY//7mDH/UQlFCKDGiA==" saltValue="KUnni6YEm00anzSSvyLqQA==" spinCount="100000" sqref="FH80:FH81" name="Rango2_18_11_3"/>
    <protectedRange algorithmName="SHA-512" hashValue="pL4tgTKqwEsWSIEGFTBd+4pvEhE7d5Q99Eijs+L/Y1rhA0saQGGRJw5Pv2HLOP0quglztFwB6WVnQ1YGxd4AiQ==" saltValue="IF5mhk2RcoEjrcYppes1VA==" spinCount="100000" sqref="FT80:FT81" name="Rango2_30_23_4"/>
    <protectedRange algorithmName="SHA-512" hashValue="Umj9+5Ys20VQPxBFtc6qE5LtKKSgPKwit+B8dd4XnEUaLfBM2ozpkEC4YxwK0SbBiAHDDex+pY+LomQ0lyuamQ==" saltValue="N2/MCRws+mmA+NXw0axolg==" spinCount="100000" sqref="FY80:FY81" name="Rango2_31_2_40_3"/>
    <protectedRange algorithmName="SHA-512" hashValue="Rgskw+AQdeJ5qbJdarzTa3SCkJfDGziy0Uan5N0F3IWn/H3Z/e+VcB56R7Nes7MPxNHewNP1sSSucVjz3iTLeA==" saltValue="qKZH3DnwaZHBzy3cBZo1qQ==" spinCount="100000" sqref="GF80:GF81" name="Rango2_31_28_22_4"/>
    <protectedRange algorithmName="SHA-512" hashValue="Umj9+5Ys20VQPxBFtc6qE5LtKKSgPKwit+B8dd4XnEUaLfBM2ozpkEC4YxwK0SbBiAHDDex+pY+LomQ0lyuamQ==" saltValue="N2/MCRws+mmA+NXw0axolg==" spinCount="100000" sqref="GE80:GE81" name="Rango2_31_2_66_3"/>
    <protectedRange algorithmName="SHA-512" hashValue="EEHzbvEYwO1eufllBljOz0uf9BJ2ENtvOScQ7IsS321QhYbwKn7qhHKKP8cKj02rTDvVRMWvwQ1ZP0mZWsBprQ==" saltValue="CjXqBRFbKezlWOFV37MnDQ==" spinCount="100000" sqref="GN80:GN81" name="Rango2_30_2_40_3"/>
    <protectedRange algorithmName="SHA-512" hashValue="EEHzbvEYwO1eufllBljOz0uf9BJ2ENtvOScQ7IsS321QhYbwKn7qhHKKP8cKj02rTDvVRMWvwQ1ZP0mZWsBprQ==" saltValue="CjXqBRFbKezlWOFV37MnDQ==" spinCount="100000" sqref="GQ80:GR81" name="Rango2_30_2_53_3"/>
    <protectedRange algorithmName="SHA-512" hashValue="EEHzbvEYwO1eufllBljOz0uf9BJ2ENtvOScQ7IsS321QhYbwKn7qhHKKP8cKj02rTDvVRMWvwQ1ZP0mZWsBprQ==" saltValue="CjXqBRFbKezlWOFV37MnDQ==" spinCount="100000" sqref="GW80:GW81" name="Rango2_30_2_66_3"/>
    <protectedRange algorithmName="SHA-512" hashValue="q2z5hEFmXS0v2chiPTC/VCoDWNlnhp+Xe6Ybfxe48vIsnB/KTJQxJv+pFUnCXfZ9T6vyJopuqFFNROfQTW/JUw==" saltValue="IctfdGJb5tOTpq+KPi9vww==" spinCount="100000" sqref="IA80:IA81" name="Rango2_88_39_54_4"/>
    <protectedRange algorithmName="SHA-512" hashValue="q2z5hEFmXS0v2chiPTC/VCoDWNlnhp+Xe6Ybfxe48vIsnB/KTJQxJv+pFUnCXfZ9T6vyJopuqFFNROfQTW/JUw==" saltValue="IctfdGJb5tOTpq+KPi9vww==" spinCount="100000" sqref="ID80:IJ81" name="Rango2_88_39_67_3"/>
    <protectedRange algorithmName="SHA-512" hashValue="EEHzbvEYwO1eufllBljOz0uf9BJ2ENtvOScQ7IsS321QhYbwKn7qhHKKP8cKj02rTDvVRMWvwQ1ZP0mZWsBprQ==" saltValue="CjXqBRFbKezlWOFV37MnDQ==" spinCount="100000" sqref="GN83:GN84 GQ83:GR84 GW83:GW84" name="Rango2_30_2_24"/>
    <protectedRange algorithmName="SHA-512" hashValue="Rgskw+AQdeJ5qbJdarzTa3SCkJfDGziy0Uan5N0F3IWn/H3Z/e+VcB56R7Nes7MPxNHewNP1sSSucVjz3iTLeA==" saltValue="qKZH3DnwaZHBzy3cBZo1qQ==" spinCount="100000" sqref="GF83:GF84" name="Rango2_31_28_23"/>
    <protectedRange algorithmName="SHA-512" hashValue="Umj9+5Ys20VQPxBFtc6qE5LtKKSgPKwit+B8dd4XnEUaLfBM2ozpkEC4YxwK0SbBiAHDDex+pY+LomQ0lyuamQ==" saltValue="N2/MCRws+mmA+NXw0axolg==" spinCount="100000" sqref="GJ82:GJ84 GH82:GH84 GL82:GL84 FY83:FY84 GE83:GE84" name="Rango2_31_2_33"/>
    <protectedRange algorithmName="SHA-512" hashValue="q2z5hEFmXS0v2chiPTC/VCoDWNlnhp+Xe6Ybfxe48vIsnB/KTJQxJv+pFUnCXfZ9T6vyJopuqFFNROfQTW/JUw==" saltValue="IctfdGJb5tOTpq+KPi9vww==" spinCount="100000" sqref="IE83:IJ84" name="Rango2_88_39_60"/>
    <protectedRange algorithmName="SHA-512" hashValue="XZw03RosI/l0z9FxmTtF29EdZ7P+4+ybhqoaAAUmURojSR5XbGfjC4f2i8gMqfY+RI9JvfdCA6PSh9TduXfUxA==" saltValue="5TPtLq2WoiRSae/yaDPnTw==" spinCount="100000" sqref="GM82:GM84 GK82:GK84 HJ82:HJ84 FU83:FU84 FI83:FI84 IL83:IM84 GT83:GT84 EO83:EO84 HU83:HZ84 IB83:IB84 EA83:EJ84 ER83:ES84 EV83:EW84 FF83:FF84 FQ83:FR84 FW83:FX84 FZ83:FZ84 GO83:GO84 GY83:GZ84 IO83:IO84" name="Rango2_99_87"/>
    <protectedRange algorithmName="SHA-512" hashValue="YXHanhqXL0e4jPrzkCF8r/22WmlCviFUW909WKuG1JOcU0mp0/Huh0aP3EaGYxV2ep0WGu48HsShAy4Ka2uOiw==" saltValue="h/7U5iwJm7DLR4tRVfwZYw==" spinCount="100000" sqref="GI82:GI84 GC83:GC84" name="Rango2_33_31"/>
    <protectedRange algorithmName="SHA-512" hashValue="pL4tgTKqwEsWSIEGFTBd+4pvEhE7d5Q99Eijs+L/Y1rhA0saQGGRJw5Pv2HLOP0quglztFwB6WVnQ1YGxd4AiQ==" saltValue="IF5mhk2RcoEjrcYppes1VA==" spinCount="100000" sqref="FT83:FT84" name="Rango2_30_25"/>
    <protectedRange algorithmName="SHA-512" hashValue="9+DNppQbWrLYYUMoJ+lyQctV2bX3Vq9kZnegLbpjTLP49It2ovUbcartuoQTeXgP+TGpY//7mDH/UQlFCKDGiA==" saltValue="KUnni6YEm00anzSSvyLqQA==" spinCount="100000" sqref="FH82" name="Rango2_18_11_4"/>
    <protectedRange algorithmName="SHA-512" hashValue="pL4tgTKqwEsWSIEGFTBd+4pvEhE7d5Q99Eijs+L/Y1rhA0saQGGRJw5Pv2HLOP0quglztFwB6WVnQ1YGxd4AiQ==" saltValue="IF5mhk2RcoEjrcYppes1VA==" spinCount="100000" sqref="FT82" name="Rango2_30_23_5"/>
    <protectedRange algorithmName="SHA-512" hashValue="Umj9+5Ys20VQPxBFtc6qE5LtKKSgPKwit+B8dd4XnEUaLfBM2ozpkEC4YxwK0SbBiAHDDex+pY+LomQ0lyuamQ==" saltValue="N2/MCRws+mmA+NXw0axolg==" spinCount="100000" sqref="FY82" name="Rango2_31_2_40_4"/>
    <protectedRange algorithmName="SHA-512" hashValue="Umj9+5Ys20VQPxBFtc6qE5LtKKSgPKwit+B8dd4XnEUaLfBM2ozpkEC4YxwK0SbBiAHDDex+pY+LomQ0lyuamQ==" saltValue="N2/MCRws+mmA+NXw0axolg==" spinCount="100000" sqref="GB82" name="Rango2_31_2_53_4"/>
    <protectedRange algorithmName="SHA-512" hashValue="YXHanhqXL0e4jPrzkCF8r/22WmlCviFUW909WKuG1JOcU0mp0/Huh0aP3EaGYxV2ep0WGu48HsShAy4Ka2uOiw==" saltValue="h/7U5iwJm7DLR4tRVfwZYw==" spinCount="100000" sqref="GC82" name="Rango2_33_22_4"/>
    <protectedRange algorithmName="SHA-512" hashValue="Rgskw+AQdeJ5qbJdarzTa3SCkJfDGziy0Uan5N0F3IWn/H3Z/e+VcB56R7Nes7MPxNHewNP1sSSucVjz3iTLeA==" saltValue="qKZH3DnwaZHBzy3cBZo1qQ==" spinCount="100000" sqref="GF82" name="Rango2_31_28_22_5"/>
    <protectedRange algorithmName="SHA-512" hashValue="Umj9+5Ys20VQPxBFtc6qE5LtKKSgPKwit+B8dd4XnEUaLfBM2ozpkEC4YxwK0SbBiAHDDex+pY+LomQ0lyuamQ==" saltValue="N2/MCRws+mmA+NXw0axolg==" spinCount="100000" sqref="GE82" name="Rango2_31_2_66_4"/>
    <protectedRange algorithmName="SHA-512" hashValue="EEHzbvEYwO1eufllBljOz0uf9BJ2ENtvOScQ7IsS321QhYbwKn7qhHKKP8cKj02rTDvVRMWvwQ1ZP0mZWsBprQ==" saltValue="CjXqBRFbKezlWOFV37MnDQ==" spinCount="100000" sqref="GN82" name="Rango2_30_2_40_4"/>
    <protectedRange algorithmName="SHA-512" hashValue="EEHzbvEYwO1eufllBljOz0uf9BJ2ENtvOScQ7IsS321QhYbwKn7qhHKKP8cKj02rTDvVRMWvwQ1ZP0mZWsBprQ==" saltValue="CjXqBRFbKezlWOFV37MnDQ==" spinCount="100000" sqref="GQ82:GR82" name="Rango2_30_2_53_4"/>
    <protectedRange algorithmName="SHA-512" hashValue="EEHzbvEYwO1eufllBljOz0uf9BJ2ENtvOScQ7IsS321QhYbwKn7qhHKKP8cKj02rTDvVRMWvwQ1ZP0mZWsBprQ==" saltValue="CjXqBRFbKezlWOFV37MnDQ==" spinCount="100000" sqref="GW82" name="Rango2_30_2_66_4"/>
    <protectedRange algorithmName="SHA-512" hashValue="q2z5hEFmXS0v2chiPTC/VCoDWNlnhp+Xe6Ybfxe48vIsnB/KTJQxJv+pFUnCXfZ9T6vyJopuqFFNROfQTW/JUw==" saltValue="IctfdGJb5tOTpq+KPi9vww==" spinCount="100000" sqref="IA82:IA84" name="Rango2_88_39_54_5"/>
    <protectedRange algorithmName="SHA-512" hashValue="q2z5hEFmXS0v2chiPTC/VCoDWNlnhp+Xe6Ybfxe48vIsnB/KTJQxJv+pFUnCXfZ9T6vyJopuqFFNROfQTW/JUw==" saltValue="IctfdGJb5tOTpq+KPi9vww==" spinCount="100000" sqref="ID82:IJ82 ID83:ID84" name="Rango2_88_39_67_4"/>
    <protectedRange algorithmName="SHA-512" hashValue="EEHzbvEYwO1eufllBljOz0uf9BJ2ENtvOScQ7IsS321QhYbwKn7qhHKKP8cKj02rTDvVRMWvwQ1ZP0mZWsBprQ==" saltValue="CjXqBRFbKezlWOFV37MnDQ==" spinCount="100000" sqref="GN85:GN86 GQ85:GR86 GW85:GW86" name="Rango2_30_2_25"/>
    <protectedRange algorithmName="SHA-512" hashValue="Rgskw+AQdeJ5qbJdarzTa3SCkJfDGziy0Uan5N0F3IWn/H3Z/e+VcB56R7Nes7MPxNHewNP1sSSucVjz3iTLeA==" saltValue="qKZH3DnwaZHBzy3cBZo1qQ==" spinCount="100000" sqref="GF85:GF86" name="Rango2_31_28_24"/>
    <protectedRange algorithmName="SHA-512" hashValue="Umj9+5Ys20VQPxBFtc6qE5LtKKSgPKwit+B8dd4XnEUaLfBM2ozpkEC4YxwK0SbBiAHDDex+pY+LomQ0lyuamQ==" saltValue="N2/MCRws+mmA+NXw0axolg==" spinCount="100000" sqref="GJ85:GJ86 GH85:GH86 GL85:GL86 FY85:FY86 GE85:GE86" name="Rango2_31_2_39"/>
    <protectedRange algorithmName="SHA-512" hashValue="q2z5hEFmXS0v2chiPTC/VCoDWNlnhp+Xe6Ybfxe48vIsnB/KTJQxJv+pFUnCXfZ9T6vyJopuqFFNROfQTW/JUw==" saltValue="IctfdGJb5tOTpq+KPi9vww==" spinCount="100000" sqref="IE85:IJ86" name="Rango2_88_39_66"/>
    <protectedRange algorithmName="SHA-512" hashValue="XZw03RosI/l0z9FxmTtF29EdZ7P+4+ybhqoaAAUmURojSR5XbGfjC4f2i8gMqfY+RI9JvfdCA6PSh9TduXfUxA==" saltValue="5TPtLq2WoiRSae/yaDPnTw==" spinCount="100000" sqref="GM85:GM86 GK85:GK86 HJ85:HJ86 FU85:FU86 FI85:FI86 IL85:IM86 GT85:GT86 EO85:EO86 HU85:HZ86 IB85:IB86 EA85:EJ86 ER85:ES86 EV85:EW86 FF85:FF86 FQ85:FR86 FW85:FX86 FZ85:FZ86 GO85:GO86 GY85:GZ86 IO85:IO86" name="Rango2_99_90"/>
    <protectedRange algorithmName="SHA-512" hashValue="YXHanhqXL0e4jPrzkCF8r/22WmlCviFUW909WKuG1JOcU0mp0/Huh0aP3EaGYxV2ep0WGu48HsShAy4Ka2uOiw==" saltValue="h/7U5iwJm7DLR4tRVfwZYw==" spinCount="100000" sqref="GI85:GI86 GC85:GC86" name="Rango2_33_32"/>
    <protectedRange algorithmName="SHA-512" hashValue="pL4tgTKqwEsWSIEGFTBd+4pvEhE7d5Q99Eijs+L/Y1rhA0saQGGRJw5Pv2HLOP0quglztFwB6WVnQ1YGxd4AiQ==" saltValue="IF5mhk2RcoEjrcYppes1VA==" spinCount="100000" sqref="FT85:FT86" name="Rango2_30_26"/>
    <protectedRange algorithmName="SHA-512" hashValue="q2z5hEFmXS0v2chiPTC/VCoDWNlnhp+Xe6Ybfxe48vIsnB/KTJQxJv+pFUnCXfZ9T6vyJopuqFFNROfQTW/JUw==" saltValue="IctfdGJb5tOTpq+KPi9vww==" spinCount="100000" sqref="IA85:IA86" name="Rango2_88_39_54_6"/>
    <protectedRange algorithmName="SHA-512" hashValue="q2z5hEFmXS0v2chiPTC/VCoDWNlnhp+Xe6Ybfxe48vIsnB/KTJQxJv+pFUnCXfZ9T6vyJopuqFFNROfQTW/JUw==" saltValue="IctfdGJb5tOTpq+KPi9vww==" spinCount="100000" sqref="ID85:ID86" name="Rango2_88_39_67_5"/>
    <protectedRange algorithmName="SHA-512" hashValue="EEHzbvEYwO1eufllBljOz0uf9BJ2ENtvOScQ7IsS321QhYbwKn7qhHKKP8cKj02rTDvVRMWvwQ1ZP0mZWsBprQ==" saltValue="CjXqBRFbKezlWOFV37MnDQ==" spinCount="100000" sqref="GN87 GQ87:GR87 GW87" name="Rango2_30_2_26"/>
    <protectedRange algorithmName="SHA-512" hashValue="Rgskw+AQdeJ5qbJdarzTa3SCkJfDGziy0Uan5N0F3IWn/H3Z/e+VcB56R7Nes7MPxNHewNP1sSSucVjz3iTLeA==" saltValue="qKZH3DnwaZHBzy3cBZo1qQ==" spinCount="100000" sqref="GF87" name="Rango2_31_28_25"/>
    <protectedRange algorithmName="SHA-512" hashValue="Umj9+5Ys20VQPxBFtc6qE5LtKKSgPKwit+B8dd4XnEUaLfBM2ozpkEC4YxwK0SbBiAHDDex+pY+LomQ0lyuamQ==" saltValue="N2/MCRws+mmA+NXw0axolg==" spinCount="100000" sqref="GJ87 GH87 GL87 FY87 GB87 GE87" name="Rango2_31_2_41"/>
    <protectedRange algorithmName="SHA-512" hashValue="q2z5hEFmXS0v2chiPTC/VCoDWNlnhp+Xe6Ybfxe48vIsnB/KTJQxJv+pFUnCXfZ9T6vyJopuqFFNROfQTW/JUw==" saltValue="IctfdGJb5tOTpq+KPi9vww==" spinCount="100000" sqref="IE87:IJ87" name="Rango2_88_39_68"/>
    <protectedRange algorithmName="SHA-512" hashValue="XZw03RosI/l0z9FxmTtF29EdZ7P+4+ybhqoaAAUmURojSR5XbGfjC4f2i8gMqfY+RI9JvfdCA6PSh9TduXfUxA==" saltValue="5TPtLq2WoiRSae/yaDPnTw==" spinCount="100000" sqref="GM87 GK87 HJ87 FU87 FI87 IL87:IM87 GT87 EO87 HU87:HZ87 IB87 EA87:EJ87 ER87:ES87 EV87:EW87 FF87 FQ87:FR87 FW87:FX87 FZ87 GO87 GY87:GZ87 IO87" name="Rango2_99_91"/>
    <protectedRange algorithmName="SHA-512" hashValue="YXHanhqXL0e4jPrzkCF8r/22WmlCviFUW909WKuG1JOcU0mp0/Huh0aP3EaGYxV2ep0WGu48HsShAy4Ka2uOiw==" saltValue="h/7U5iwJm7DLR4tRVfwZYw==" spinCount="100000" sqref="GI87 GC87" name="Rango2_33_33"/>
    <protectedRange algorithmName="SHA-512" hashValue="pL4tgTKqwEsWSIEGFTBd+4pvEhE7d5Q99Eijs+L/Y1rhA0saQGGRJw5Pv2HLOP0quglztFwB6WVnQ1YGxd4AiQ==" saltValue="IF5mhk2RcoEjrcYppes1VA==" spinCount="100000" sqref="FT87" name="Rango2_30_27"/>
    <protectedRange algorithmName="SHA-512" hashValue="q2z5hEFmXS0v2chiPTC/VCoDWNlnhp+Xe6Ybfxe48vIsnB/KTJQxJv+pFUnCXfZ9T6vyJopuqFFNROfQTW/JUw==" saltValue="IctfdGJb5tOTpq+KPi9vww==" spinCount="100000" sqref="IA87" name="Rango2_88_39_54_7"/>
    <protectedRange algorithmName="SHA-512" hashValue="q2z5hEFmXS0v2chiPTC/VCoDWNlnhp+Xe6Ybfxe48vIsnB/KTJQxJv+pFUnCXfZ9T6vyJopuqFFNROfQTW/JUw==" saltValue="IctfdGJb5tOTpq+KPi9vww==" spinCount="100000" sqref="ID87" name="Rango2_88_39_67_6"/>
    <protectedRange algorithmName="SHA-512" hashValue="EEHzbvEYwO1eufllBljOz0uf9BJ2ENtvOScQ7IsS321QhYbwKn7qhHKKP8cKj02rTDvVRMWvwQ1ZP0mZWsBprQ==" saltValue="CjXqBRFbKezlWOFV37MnDQ==" spinCount="100000" sqref="GN88 GQ88:GR88 GW88" name="Rango2_30_2_27"/>
    <protectedRange algorithmName="SHA-512" hashValue="Rgskw+AQdeJ5qbJdarzTa3SCkJfDGziy0Uan5N0F3IWn/H3Z/e+VcB56R7Nes7MPxNHewNP1sSSucVjz3iTLeA==" saltValue="qKZH3DnwaZHBzy3cBZo1qQ==" spinCount="100000" sqref="GF88" name="Rango2_31_28_26"/>
    <protectedRange algorithmName="SHA-512" hashValue="Umj9+5Ys20VQPxBFtc6qE5LtKKSgPKwit+B8dd4XnEUaLfBM2ozpkEC4YxwK0SbBiAHDDex+pY+LomQ0lyuamQ==" saltValue="N2/MCRws+mmA+NXw0axolg==" spinCount="100000" sqref="GJ88 GH88 GL88 FY88 GB88 GE88" name="Rango2_31_2_42"/>
    <protectedRange algorithmName="SHA-512" hashValue="q2z5hEFmXS0v2chiPTC/VCoDWNlnhp+Xe6Ybfxe48vIsnB/KTJQxJv+pFUnCXfZ9T6vyJopuqFFNROfQTW/JUw==" saltValue="IctfdGJb5tOTpq+KPi9vww==" spinCount="100000" sqref="IE88:IJ88" name="Rango2_88_39_69"/>
    <protectedRange algorithmName="SHA-512" hashValue="XZw03RosI/l0z9FxmTtF29EdZ7P+4+ybhqoaAAUmURojSR5XbGfjC4f2i8gMqfY+RI9JvfdCA6PSh9TduXfUxA==" saltValue="5TPtLq2WoiRSae/yaDPnTw==" spinCount="100000" sqref="GM88 GK88 HJ88 FU88 FI88 IL88:IM88 GT88 EO88 HU88:HZ88 IB88 EA88:EJ88 ER88:ES88 EV88:EW88 FF88 FQ88:FR88 FW88:FX88 FZ88 GO88 GY88:GZ88 IO88" name="Rango2_99_97"/>
    <protectedRange algorithmName="SHA-512" hashValue="YXHanhqXL0e4jPrzkCF8r/22WmlCviFUW909WKuG1JOcU0mp0/Huh0aP3EaGYxV2ep0WGu48HsShAy4Ka2uOiw==" saltValue="h/7U5iwJm7DLR4tRVfwZYw==" spinCount="100000" sqref="GI88 GC88" name="Rango2_33_34"/>
    <protectedRange algorithmName="SHA-512" hashValue="pL4tgTKqwEsWSIEGFTBd+4pvEhE7d5Q99Eijs+L/Y1rhA0saQGGRJw5Pv2HLOP0quglztFwB6WVnQ1YGxd4AiQ==" saltValue="IF5mhk2RcoEjrcYppes1VA==" spinCount="100000" sqref="FT88" name="Rango2_30_28"/>
    <protectedRange algorithmName="SHA-512" hashValue="q2z5hEFmXS0v2chiPTC/VCoDWNlnhp+Xe6Ybfxe48vIsnB/KTJQxJv+pFUnCXfZ9T6vyJopuqFFNROfQTW/JUw==" saltValue="IctfdGJb5tOTpq+KPi9vww==" spinCount="100000" sqref="IA88" name="Rango2_88_39_54_8"/>
    <protectedRange algorithmName="SHA-512" hashValue="q2z5hEFmXS0v2chiPTC/VCoDWNlnhp+Xe6Ybfxe48vIsnB/KTJQxJv+pFUnCXfZ9T6vyJopuqFFNROfQTW/JUw==" saltValue="IctfdGJb5tOTpq+KPi9vww==" spinCount="100000" sqref="ID88" name="Rango2_88_39_67_7"/>
    <protectedRange algorithmName="SHA-512" hashValue="Gqwr8n5jYbCESAqCFk8dpOzViQICBV+k0xoqBoQaZ5lHaRlvT9TZDB4yXtm+qC6OhD064ZDBOFWkwo+LHXu1sg==" saltValue="gEL9PCN2ekF2IxW9yqAGYA==" spinCount="100000" sqref="IS63" name="Rango2_40_2_4_1"/>
    <protectedRange algorithmName="SHA-512" hashValue="D8TacORwT7iz0mF9GEucchnMHfB5er2FFjQsxyeWWyeJkM6Bt3gYQ3LbcHPxZXFpVAYtFOuTrzYOCJrlZDx16g==" saltValue="QtCzIBktdS4NZkOEGcLTRQ==" spinCount="100000" sqref="IW63" name="Rango2_41_4_1"/>
    <protectedRange algorithmName="SHA-512" hashValue="Gqwr8n5jYbCESAqCFk8dpOzViQICBV+k0xoqBoQaZ5lHaRlvT9TZDB4yXtm+qC6OhD064ZDBOFWkwo+LHXu1sg==" saltValue="gEL9PCN2ekF2IxW9yqAGYA==" spinCount="100000" sqref="IS64" name="Rango2_40_2_5_1"/>
    <protectedRange algorithmName="SHA-512" hashValue="D8TacORwT7iz0mF9GEucchnMHfB5er2FFjQsxyeWWyeJkM6Bt3gYQ3LbcHPxZXFpVAYtFOuTrzYOCJrlZDx16g==" saltValue="QtCzIBktdS4NZkOEGcLTRQ==" spinCount="100000" sqref="IW64" name="Rango2_41_5_1"/>
    <protectedRange algorithmName="SHA-512" hashValue="Gqwr8n5jYbCESAqCFk8dpOzViQICBV+k0xoqBoQaZ5lHaRlvT9TZDB4yXtm+qC6OhD064ZDBOFWkwo+LHXu1sg==" saltValue="gEL9PCN2ekF2IxW9yqAGYA==" spinCount="100000" sqref="IS65:IS67" name="Rango2_40_2_7_1"/>
    <protectedRange algorithmName="SHA-512" hashValue="D8TacORwT7iz0mF9GEucchnMHfB5er2FFjQsxyeWWyeJkM6Bt3gYQ3LbcHPxZXFpVAYtFOuTrzYOCJrlZDx16g==" saltValue="QtCzIBktdS4NZkOEGcLTRQ==" spinCount="100000" sqref="IW65:IW67 JT65:JU65 JO65:JO66" name="Rango2_41_7_1"/>
    <protectedRange algorithmName="SHA-512" hashValue="Gqwr8n5jYbCESAqCFk8dpOzViQICBV+k0xoqBoQaZ5lHaRlvT9TZDB4yXtm+qC6OhD064ZDBOFWkwo+LHXu1sg==" saltValue="gEL9PCN2ekF2IxW9yqAGYA==" spinCount="100000" sqref="IS68" name="Rango2_40_2_8_1"/>
    <protectedRange algorithmName="SHA-512" hashValue="D8TacORwT7iz0mF9GEucchnMHfB5er2FFjQsxyeWWyeJkM6Bt3gYQ3LbcHPxZXFpVAYtFOuTrzYOCJrlZDx16g==" saltValue="QtCzIBktdS4NZkOEGcLTRQ==" spinCount="100000" sqref="IW68" name="Rango2_41_8_1"/>
    <protectedRange algorithmName="SHA-512" hashValue="Gqwr8n5jYbCESAqCFk8dpOzViQICBV+k0xoqBoQaZ5lHaRlvT9TZDB4yXtm+qC6OhD064ZDBOFWkwo+LHXu1sg==" saltValue="gEL9PCN2ekF2IxW9yqAGYA==" spinCount="100000" sqref="IS69:IS70" name="Rango2_40_2_9_1"/>
    <protectedRange algorithmName="SHA-512" hashValue="D8TacORwT7iz0mF9GEucchnMHfB5er2FFjQsxyeWWyeJkM6Bt3gYQ3LbcHPxZXFpVAYtFOuTrzYOCJrlZDx16g==" saltValue="QtCzIBktdS4NZkOEGcLTRQ==" spinCount="100000" sqref="IW69:IW70" name="Rango2_41_9_1"/>
    <protectedRange algorithmName="SHA-512" hashValue="Gqwr8n5jYbCESAqCFk8dpOzViQICBV+k0xoqBoQaZ5lHaRlvT9TZDB4yXtm+qC6OhD064ZDBOFWkwo+LHXu1sg==" saltValue="gEL9PCN2ekF2IxW9yqAGYA==" spinCount="100000" sqref="IS71" name="Rango2_40_2_10_1"/>
    <protectedRange algorithmName="SHA-512" hashValue="D8TacORwT7iz0mF9GEucchnMHfB5er2FFjQsxyeWWyeJkM6Bt3gYQ3LbcHPxZXFpVAYtFOuTrzYOCJrlZDx16g==" saltValue="QtCzIBktdS4NZkOEGcLTRQ==" spinCount="100000" sqref="IW71" name="Rango2_41_10_1"/>
    <protectedRange algorithmName="SHA-512" hashValue="Gqwr8n5jYbCESAqCFk8dpOzViQICBV+k0xoqBoQaZ5lHaRlvT9TZDB4yXtm+qC6OhD064ZDBOFWkwo+LHXu1sg==" saltValue="gEL9PCN2ekF2IxW9yqAGYA==" spinCount="100000" sqref="IS72" name="Rango2_40_2_11_1"/>
    <protectedRange algorithmName="SHA-512" hashValue="D8TacORwT7iz0mF9GEucchnMHfB5er2FFjQsxyeWWyeJkM6Bt3gYQ3LbcHPxZXFpVAYtFOuTrzYOCJrlZDx16g==" saltValue="QtCzIBktdS4NZkOEGcLTRQ==" spinCount="100000" sqref="IW72" name="Rango2_41_11_1"/>
    <protectedRange algorithmName="SHA-512" hashValue="Gqwr8n5jYbCESAqCFk8dpOzViQICBV+k0xoqBoQaZ5lHaRlvT9TZDB4yXtm+qC6OhD064ZDBOFWkwo+LHXu1sg==" saltValue="gEL9PCN2ekF2IxW9yqAGYA==" spinCount="100000" sqref="IS73:IS76" name="Rango2_40_2_13_1"/>
    <protectedRange algorithmName="SHA-512" hashValue="D8TacORwT7iz0mF9GEucchnMHfB5er2FFjQsxyeWWyeJkM6Bt3gYQ3LbcHPxZXFpVAYtFOuTrzYOCJrlZDx16g==" saltValue="QtCzIBktdS4NZkOEGcLTRQ==" spinCount="100000" sqref="IW73:IW76" name="Rango2_41_13_1"/>
    <protectedRange algorithmName="SHA-512" hashValue="Gqwr8n5jYbCESAqCFk8dpOzViQICBV+k0xoqBoQaZ5lHaRlvT9TZDB4yXtm+qC6OhD064ZDBOFWkwo+LHXu1sg==" saltValue="gEL9PCN2ekF2IxW9yqAGYA==" spinCount="100000" sqref="IS77" name="Rango2_40_2_13_2"/>
    <protectedRange algorithmName="SHA-512" hashValue="D8TacORwT7iz0mF9GEucchnMHfB5er2FFjQsxyeWWyeJkM6Bt3gYQ3LbcHPxZXFpVAYtFOuTrzYOCJrlZDx16g==" saltValue="QtCzIBktdS4NZkOEGcLTRQ==" spinCount="100000" sqref="IW77" name="Rango2_41_13_2"/>
    <protectedRange algorithmName="SHA-512" hashValue="Gqwr8n5jYbCESAqCFk8dpOzViQICBV+k0xoqBoQaZ5lHaRlvT9TZDB4yXtm+qC6OhD064ZDBOFWkwo+LHXu1sg==" saltValue="gEL9PCN2ekF2IxW9yqAGYA==" spinCount="100000" sqref="IS78:IS79" name="Rango2_40_2_13_3"/>
    <protectedRange algorithmName="SHA-512" hashValue="D8TacORwT7iz0mF9GEucchnMHfB5er2FFjQsxyeWWyeJkM6Bt3gYQ3LbcHPxZXFpVAYtFOuTrzYOCJrlZDx16g==" saltValue="QtCzIBktdS4NZkOEGcLTRQ==" spinCount="100000" sqref="IW78:IW79" name="Rango2_41_13_3"/>
    <protectedRange algorithmName="SHA-512" hashValue="Gqwr8n5jYbCESAqCFk8dpOzViQICBV+k0xoqBoQaZ5lHaRlvT9TZDB4yXtm+qC6OhD064ZDBOFWkwo+LHXu1sg==" saltValue="gEL9PCN2ekF2IxW9yqAGYA==" spinCount="100000" sqref="IS80:IS81" name="Rango2_40_2_13_4"/>
    <protectedRange algorithmName="SHA-512" hashValue="D8TacORwT7iz0mF9GEucchnMHfB5er2FFjQsxyeWWyeJkM6Bt3gYQ3LbcHPxZXFpVAYtFOuTrzYOCJrlZDx16g==" saltValue="QtCzIBktdS4NZkOEGcLTRQ==" spinCount="100000" sqref="IW80:IW81" name="Rango2_41_13_4"/>
    <protectedRange algorithmName="SHA-512" hashValue="Gqwr8n5jYbCESAqCFk8dpOzViQICBV+k0xoqBoQaZ5lHaRlvT9TZDB4yXtm+qC6OhD064ZDBOFWkwo+LHXu1sg==" saltValue="gEL9PCN2ekF2IxW9yqAGYA==" spinCount="100000" sqref="IS83:IS84" name="Rango2_40_2_24"/>
    <protectedRange algorithmName="SHA-512" hashValue="D8TacORwT7iz0mF9GEucchnMHfB5er2FFjQsxyeWWyeJkM6Bt3gYQ3LbcHPxZXFpVAYtFOuTrzYOCJrlZDx16g==" saltValue="QtCzIBktdS4NZkOEGcLTRQ==" spinCount="100000" sqref="IW84" name="Rango2_41_24"/>
    <protectedRange algorithmName="SHA-512" hashValue="Gqwr8n5jYbCESAqCFk8dpOzViQICBV+k0xoqBoQaZ5lHaRlvT9TZDB4yXtm+qC6OhD064ZDBOFWkwo+LHXu1sg==" saltValue="gEL9PCN2ekF2IxW9yqAGYA==" spinCount="100000" sqref="IS82" name="Rango2_40_2_13_5"/>
    <protectedRange algorithmName="SHA-512" hashValue="D8TacORwT7iz0mF9GEucchnMHfB5er2FFjQsxyeWWyeJkM6Bt3gYQ3LbcHPxZXFpVAYtFOuTrzYOCJrlZDx16g==" saltValue="QtCzIBktdS4NZkOEGcLTRQ==" spinCount="100000" sqref="IW82:IW83" name="Rango2_41_13_5"/>
    <protectedRange algorithmName="SHA-512" hashValue="Gqwr8n5jYbCESAqCFk8dpOzViQICBV+k0xoqBoQaZ5lHaRlvT9TZDB4yXtm+qC6OhD064ZDBOFWkwo+LHXu1sg==" saltValue="gEL9PCN2ekF2IxW9yqAGYA==" spinCount="100000" sqref="IS85:IS86" name="Rango2_40_2_25"/>
    <protectedRange algorithmName="SHA-512" hashValue="D8TacORwT7iz0mF9GEucchnMHfB5er2FFjQsxyeWWyeJkM6Bt3gYQ3LbcHPxZXFpVAYtFOuTrzYOCJrlZDx16g==" saltValue="QtCzIBktdS4NZkOEGcLTRQ==" spinCount="100000" sqref="IW85:IW86" name="Rango2_41_25"/>
    <protectedRange algorithmName="SHA-512" hashValue="Gqwr8n5jYbCESAqCFk8dpOzViQICBV+k0xoqBoQaZ5lHaRlvT9TZDB4yXtm+qC6OhD064ZDBOFWkwo+LHXu1sg==" saltValue="gEL9PCN2ekF2IxW9yqAGYA==" spinCount="100000" sqref="IS87" name="Rango2_40_2_26"/>
    <protectedRange algorithmName="SHA-512" hashValue="D8TacORwT7iz0mF9GEucchnMHfB5er2FFjQsxyeWWyeJkM6Bt3gYQ3LbcHPxZXFpVAYtFOuTrzYOCJrlZDx16g==" saltValue="QtCzIBktdS4NZkOEGcLTRQ==" spinCount="100000" sqref="IW87" name="Rango2_41_26"/>
    <protectedRange algorithmName="SHA-512" hashValue="Gqwr8n5jYbCESAqCFk8dpOzViQICBV+k0xoqBoQaZ5lHaRlvT9TZDB4yXtm+qC6OhD064ZDBOFWkwo+LHXu1sg==" saltValue="gEL9PCN2ekF2IxW9yqAGYA==" spinCount="100000" sqref="IS88" name="Rango2_40_2_27"/>
    <protectedRange algorithmName="SHA-512" hashValue="D8TacORwT7iz0mF9GEucchnMHfB5er2FFjQsxyeWWyeJkM6Bt3gYQ3LbcHPxZXFpVAYtFOuTrzYOCJrlZDx16g==" saltValue="QtCzIBktdS4NZkOEGcLTRQ==" spinCount="100000" sqref="IW88" name="Rango2_41_27"/>
    <protectedRange algorithmName="SHA-512" hashValue="6a5oYwZw9WJcgjqXpleUXH8uaqNEuymPPpeOb7lKBc1WoM6IG/DNyDLWmj2lYwxnZO2yhl+B61kwrxD9m9AdhQ==" saltValue="tdNQPzLQd+n9Ww064QJIaQ==" spinCount="100000" sqref="I89:I91" name="Rango2_61_16"/>
    <protectedRange algorithmName="SHA-512" hashValue="XM8+0Jh5zLWw02PI0Lt8dLqjTcW5ulySion19FAnruDN6QRp4UwcVqdfQxnOQAItgpWG7rNsELzjwy0iXOonxw==" saltValue="Sd4WFUedDfLKoMQTDrxJuQ==" spinCount="100000" sqref="K89:K91" name="Rango2_88_4_4_16"/>
    <protectedRange algorithmName="SHA-512" hashValue="EMMPgE8t/az1rHHzaZAQIhz+GQV0k2O/tQGA96sJqEEMzz1efIRa4CcLzC7iY9CCscto3g7dwz41haOE28iXYg==" saltValue="CVzFsG4X4LXUMo7796PiDQ==" spinCount="100000" sqref="L89:M91 J89:J91 B89:H89 B90:B91 D90:H91 C90:C125" name="Rango2_10_16"/>
    <protectedRange algorithmName="SHA-512" hashValue="6a5oYwZw9WJcgjqXpleUXH8uaqNEuymPPpeOb7lKBc1WoM6IG/DNyDLWmj2lYwxnZO2yhl+B61kwrxD9m9AdhQ==" saltValue="tdNQPzLQd+n9Ww064QJIaQ==" spinCount="100000" sqref="I92" name="Rango2_61_17"/>
    <protectedRange algorithmName="SHA-512" hashValue="XM8+0Jh5zLWw02PI0Lt8dLqjTcW5ulySion19FAnruDN6QRp4UwcVqdfQxnOQAItgpWG7rNsELzjwy0iXOonxw==" saltValue="Sd4WFUedDfLKoMQTDrxJuQ==" spinCount="100000" sqref="K92" name="Rango2_88_4_4_17"/>
    <protectedRange algorithmName="SHA-512" hashValue="EMMPgE8t/az1rHHzaZAQIhz+GQV0k2O/tQGA96sJqEEMzz1efIRa4CcLzC7iY9CCscto3g7dwz41haOE28iXYg==" saltValue="CVzFsG4X4LXUMo7796PiDQ==" spinCount="100000" sqref="L92:M92 J92 B92 D92:H92" name="Rango2_10_17"/>
    <protectedRange algorithmName="SHA-512" hashValue="6a5oYwZw9WJcgjqXpleUXH8uaqNEuymPPpeOb7lKBc1WoM6IG/DNyDLWmj2lYwxnZO2yhl+B61kwrxD9m9AdhQ==" saltValue="tdNQPzLQd+n9Ww064QJIaQ==" spinCount="100000" sqref="I93:I94" name="Rango2_61_18"/>
    <protectedRange algorithmName="SHA-512" hashValue="XM8+0Jh5zLWw02PI0Lt8dLqjTcW5ulySion19FAnruDN6QRp4UwcVqdfQxnOQAItgpWG7rNsELzjwy0iXOonxw==" saltValue="Sd4WFUedDfLKoMQTDrxJuQ==" spinCount="100000" sqref="K93:K94" name="Rango2_88_4_4_18"/>
    <protectedRange algorithmName="SHA-512" hashValue="EMMPgE8t/az1rHHzaZAQIhz+GQV0k2O/tQGA96sJqEEMzz1efIRa4CcLzC7iY9CCscto3g7dwz41haOE28iXYg==" saltValue="CVzFsG4X4LXUMo7796PiDQ==" spinCount="100000" sqref="L93:M94 J93:J94 B93:B94 D93:H94" name="Rango2_10_18"/>
    <protectedRange algorithmName="SHA-512" hashValue="6a5oYwZw9WJcgjqXpleUXH8uaqNEuymPPpeOb7lKBc1WoM6IG/DNyDLWmj2lYwxnZO2yhl+B61kwrxD9m9AdhQ==" saltValue="tdNQPzLQd+n9Ww064QJIaQ==" spinCount="100000" sqref="I95" name="Rango2_61_19"/>
    <protectedRange algorithmName="SHA-512" hashValue="XM8+0Jh5zLWw02PI0Lt8dLqjTcW5ulySion19FAnruDN6QRp4UwcVqdfQxnOQAItgpWG7rNsELzjwy0iXOonxw==" saltValue="Sd4WFUedDfLKoMQTDrxJuQ==" spinCount="100000" sqref="K95" name="Rango2_88_4_4_19"/>
    <protectedRange algorithmName="SHA-512" hashValue="EMMPgE8t/az1rHHzaZAQIhz+GQV0k2O/tQGA96sJqEEMzz1efIRa4CcLzC7iY9CCscto3g7dwz41haOE28iXYg==" saltValue="CVzFsG4X4LXUMo7796PiDQ==" spinCount="100000" sqref="L95:M95 J95 B95 D95:H95" name="Rango2_10_19"/>
    <protectedRange algorithmName="SHA-512" hashValue="6a5oYwZw9WJcgjqXpleUXH8uaqNEuymPPpeOb7lKBc1WoM6IG/DNyDLWmj2lYwxnZO2yhl+B61kwrxD9m9AdhQ==" saltValue="tdNQPzLQd+n9Ww064QJIaQ==" spinCount="100000" sqref="I96" name="Rango2_61_20"/>
    <protectedRange algorithmName="SHA-512" hashValue="XM8+0Jh5zLWw02PI0Lt8dLqjTcW5ulySion19FAnruDN6QRp4UwcVqdfQxnOQAItgpWG7rNsELzjwy0iXOonxw==" saltValue="Sd4WFUedDfLKoMQTDrxJuQ==" spinCount="100000" sqref="K96" name="Rango2_88_4_4_20"/>
    <protectedRange algorithmName="SHA-512" hashValue="EMMPgE8t/az1rHHzaZAQIhz+GQV0k2O/tQGA96sJqEEMzz1efIRa4CcLzC7iY9CCscto3g7dwz41haOE28iXYg==" saltValue="CVzFsG4X4LXUMo7796PiDQ==" spinCount="100000" sqref="L96:M96 J96 B96 D96:H96" name="Rango2_10_20"/>
    <protectedRange algorithmName="SHA-512" hashValue="6a5oYwZw9WJcgjqXpleUXH8uaqNEuymPPpeOb7lKBc1WoM6IG/DNyDLWmj2lYwxnZO2yhl+B61kwrxD9m9AdhQ==" saltValue="tdNQPzLQd+n9Ww064QJIaQ==" spinCount="100000" sqref="I97" name="Rango2_61_21"/>
    <protectedRange algorithmName="SHA-512" hashValue="XM8+0Jh5zLWw02PI0Lt8dLqjTcW5ulySion19FAnruDN6QRp4UwcVqdfQxnOQAItgpWG7rNsELzjwy0iXOonxw==" saltValue="Sd4WFUedDfLKoMQTDrxJuQ==" spinCount="100000" sqref="K97" name="Rango2_88_4_4_21"/>
    <protectedRange algorithmName="SHA-512" hashValue="EMMPgE8t/az1rHHzaZAQIhz+GQV0k2O/tQGA96sJqEEMzz1efIRa4CcLzC7iY9CCscto3g7dwz41haOE28iXYg==" saltValue="CVzFsG4X4LXUMo7796PiDQ==" spinCount="100000" sqref="L97:M97 J97 B97 D97:H97" name="Rango2_10_21"/>
    <protectedRange algorithmName="SHA-512" hashValue="6a5oYwZw9WJcgjqXpleUXH8uaqNEuymPPpeOb7lKBc1WoM6IG/DNyDLWmj2lYwxnZO2yhl+B61kwrxD9m9AdhQ==" saltValue="tdNQPzLQd+n9Ww064QJIaQ==" spinCount="100000" sqref="I98:I99" name="Rango2_61_22"/>
    <protectedRange algorithmName="SHA-512" hashValue="XM8+0Jh5zLWw02PI0Lt8dLqjTcW5ulySion19FAnruDN6QRp4UwcVqdfQxnOQAItgpWG7rNsELzjwy0iXOonxw==" saltValue="Sd4WFUedDfLKoMQTDrxJuQ==" spinCount="100000" sqref="K98:K99" name="Rango2_88_4_4_22"/>
    <protectedRange algorithmName="SHA-512" hashValue="EMMPgE8t/az1rHHzaZAQIhz+GQV0k2O/tQGA96sJqEEMzz1efIRa4CcLzC7iY9CCscto3g7dwz41haOE28iXYg==" saltValue="CVzFsG4X4LXUMo7796PiDQ==" spinCount="100000" sqref="L98:M99 J98:J99 B98:B99 D98:H99" name="Rango2_10_22"/>
    <protectedRange algorithmName="SHA-512" hashValue="6a5oYwZw9WJcgjqXpleUXH8uaqNEuymPPpeOb7lKBc1WoM6IG/DNyDLWmj2lYwxnZO2yhl+B61kwrxD9m9AdhQ==" saltValue="tdNQPzLQd+n9Ww064QJIaQ==" spinCount="100000" sqref="I100:I101" name="Rango2_61_24"/>
    <protectedRange algorithmName="SHA-512" hashValue="XM8+0Jh5zLWw02PI0Lt8dLqjTcW5ulySion19FAnruDN6QRp4UwcVqdfQxnOQAItgpWG7rNsELzjwy0iXOonxw==" saltValue="Sd4WFUedDfLKoMQTDrxJuQ==" spinCount="100000" sqref="K100:K101" name="Rango2_88_4_4_24"/>
    <protectedRange algorithmName="SHA-512" hashValue="EMMPgE8t/az1rHHzaZAQIhz+GQV0k2O/tQGA96sJqEEMzz1efIRa4CcLzC7iY9CCscto3g7dwz41haOE28iXYg==" saltValue="CVzFsG4X4LXUMo7796PiDQ==" spinCount="100000" sqref="L100:M101 J100:J101 B100:B101 D100:H101" name="Rango2_10_24"/>
    <protectedRange algorithmName="SHA-512" hashValue="6a5oYwZw9WJcgjqXpleUXH8uaqNEuymPPpeOb7lKBc1WoM6IG/DNyDLWmj2lYwxnZO2yhl+B61kwrxD9m9AdhQ==" saltValue="tdNQPzLQd+n9Ww064QJIaQ==" spinCount="100000" sqref="I102:I103" name="Rango2_61_25"/>
    <protectedRange algorithmName="SHA-512" hashValue="XM8+0Jh5zLWw02PI0Lt8dLqjTcW5ulySion19FAnruDN6QRp4UwcVqdfQxnOQAItgpWG7rNsELzjwy0iXOonxw==" saltValue="Sd4WFUedDfLKoMQTDrxJuQ==" spinCount="100000" sqref="K102:K103" name="Rango2_88_4_4_25"/>
    <protectedRange algorithmName="SHA-512" hashValue="EMMPgE8t/az1rHHzaZAQIhz+GQV0k2O/tQGA96sJqEEMzz1efIRa4CcLzC7iY9CCscto3g7dwz41haOE28iXYg==" saltValue="CVzFsG4X4LXUMo7796PiDQ==" spinCount="100000" sqref="L102:M103 J102:J103 B102:B103 D102:H103" name="Rango2_10_25"/>
    <protectedRange algorithmName="SHA-512" hashValue="6a5oYwZw9WJcgjqXpleUXH8uaqNEuymPPpeOb7lKBc1WoM6IG/DNyDLWmj2lYwxnZO2yhl+B61kwrxD9m9AdhQ==" saltValue="tdNQPzLQd+n9Ww064QJIaQ==" spinCount="100000" sqref="I104:I113" name="Rango2_61_26"/>
    <protectedRange algorithmName="SHA-512" hashValue="XM8+0Jh5zLWw02PI0Lt8dLqjTcW5ulySion19FAnruDN6QRp4UwcVqdfQxnOQAItgpWG7rNsELzjwy0iXOonxw==" saltValue="Sd4WFUedDfLKoMQTDrxJuQ==" spinCount="100000" sqref="K104:K113" name="Rango2_88_4_4_26"/>
    <protectedRange algorithmName="SHA-512" hashValue="EMMPgE8t/az1rHHzaZAQIhz+GQV0k2O/tQGA96sJqEEMzz1efIRa4CcLzC7iY9CCscto3g7dwz41haOE28iXYg==" saltValue="CVzFsG4X4LXUMo7796PiDQ==" spinCount="100000" sqref="L104:M113 J104:J113 B104:B113 D104:H113" name="Rango2_10_26"/>
    <protectedRange algorithmName="SHA-512" hashValue="6a5oYwZw9WJcgjqXpleUXH8uaqNEuymPPpeOb7lKBc1WoM6IG/DNyDLWmj2lYwxnZO2yhl+B61kwrxD9m9AdhQ==" saltValue="tdNQPzLQd+n9Ww064QJIaQ==" spinCount="100000" sqref="I114:I117" name="Rango2_61_27"/>
    <protectedRange algorithmName="SHA-512" hashValue="XM8+0Jh5zLWw02PI0Lt8dLqjTcW5ulySion19FAnruDN6QRp4UwcVqdfQxnOQAItgpWG7rNsELzjwy0iXOonxw==" saltValue="Sd4WFUedDfLKoMQTDrxJuQ==" spinCount="100000" sqref="K114:K117" name="Rango2_88_4_4_27"/>
    <protectedRange algorithmName="SHA-512" hashValue="EMMPgE8t/az1rHHzaZAQIhz+GQV0k2O/tQGA96sJqEEMzz1efIRa4CcLzC7iY9CCscto3g7dwz41haOE28iXYg==" saltValue="CVzFsG4X4LXUMo7796PiDQ==" spinCount="100000" sqref="L114:M117 J114:J117 B114:B117 D114:H117" name="Rango2_10_27"/>
    <protectedRange algorithmName="SHA-512" hashValue="6a5oYwZw9WJcgjqXpleUXH8uaqNEuymPPpeOb7lKBc1WoM6IG/DNyDLWmj2lYwxnZO2yhl+B61kwrxD9m9AdhQ==" saltValue="tdNQPzLQd+n9Ww064QJIaQ==" spinCount="100000" sqref="I118:I125" name="Rango2_61_28"/>
    <protectedRange algorithmName="SHA-512" hashValue="XM8+0Jh5zLWw02PI0Lt8dLqjTcW5ulySion19FAnruDN6QRp4UwcVqdfQxnOQAItgpWG7rNsELzjwy0iXOonxw==" saltValue="Sd4WFUedDfLKoMQTDrxJuQ==" spinCount="100000" sqref="K118:K125" name="Rango2_88_4_4_28"/>
    <protectedRange algorithmName="SHA-512" hashValue="EMMPgE8t/az1rHHzaZAQIhz+GQV0k2O/tQGA96sJqEEMzz1efIRa4CcLzC7iY9CCscto3g7dwz41haOE28iXYg==" saltValue="CVzFsG4X4LXUMo7796PiDQ==" spinCount="100000" sqref="L118:M125 J118:J125 B118:B125 D118:H125" name="Rango2_10_28"/>
    <protectedRange algorithmName="SHA-512" hashValue="RQ91b7oAw60DVtcgB2vRpial2kSdzJx5guGCTYUwXYkKrtrUHfiYnLf9R+SNpYXlJDYpyEJLhcWwP0EqNN86dQ==" saltValue="W3RbH3zrcY9sy39xNwXNxg==" spinCount="100000" sqref="BA89:BI91 BV89:BY91" name="Rango2_88_99_30"/>
    <protectedRange algorithmName="SHA-512" hashValue="fMbmUM1DQ7FuAPRNvFL5mPdHUYjQnlLFhkuaxvHguaqR7aWyDxcmJs0jLYQfQKY+oyhsMb4Lew4VL6i7um3/ew==" saltValue="ydaTm0CeH8+/cYqoL/AMaQ==" spinCount="100000" sqref="AU89:AU91 AW89:AZ91" name="Rango2_88_91_27"/>
    <protectedRange algorithmName="SHA-512" hashValue="CHipOQaT63FWw628cQcXXJRZlrbNZ7OgmnEbDx38UmmH7z19GRYEzXFiVOzHAy1OAaAbST7g2bHZHDKQp2qm3w==" saltValue="iRVuL+373yLHv0ZHzS9qog==" spinCount="100000" sqref="AG89:AH91 AJ89:AJ91 AL89:AL91" name="Rango2_88_7_5_30"/>
    <protectedRange algorithmName="SHA-512" hashValue="NkG6oHuDGvGBEiLAAq8MEJHEfLQUMyjihfH+DBXhT+eQW0r1yri7tOJEFRM9nbOejjjXiviq9RFo7KB7wF+xJA==" saltValue="bpjB0AAANu2X/PeR3eiFkA==" spinCount="100000" sqref="AM89:AS91" name="Rango2_88_65_28"/>
    <protectedRange algorithmName="SHA-512" hashValue="fPHvtIAf3pQeZUoAI9C2/vdXMHBpqqEq+67P5Ypyu4+9IWqs3yc9TZcMWQ0THLxUwqseQPyVvakuYFtCwJHsxA==" saltValue="QHIogSs2PrwAfdqa9PAOFQ==" spinCount="100000" sqref="AC89:AC91" name="Rango2_88_5_5_28"/>
    <protectedRange algorithmName="SHA-512" hashValue="LEEeiU6pKqm7TAP46VGlz0q+evvFwpT/0iLpRuWuQ7MacbP0OGL1/FSmrIEOg2rb6M+Jla2bPbVWiGag27j87w==" saltValue="HEVt+pS5OloNDlqSnzGLLw==" spinCount="100000" sqref="AI89:AI91" name="Rango2_8_7_28"/>
    <protectedRange algorithmName="SHA-512" hashValue="q2z5hEFmXS0v2chiPTC/VCoDWNlnhp+Xe6Ybfxe48vIsnB/KTJQxJv+pFUnCXfZ9T6vyJopuqFFNROfQTW/JUw==" saltValue="IctfdGJb5tOTpq+KPi9vww==" spinCount="100000" sqref="AE89:AF91" name="Rango2_88_39_70"/>
    <protectedRange algorithmName="SHA-512" hashValue="AYYX88LSDB6RDNMvSqt0KPGWPjBqTk56tMxTOlv5QD61MGTKAAQnSnudvNDWPN0Bbllh2qRQC+P5uq7goxjdrw==" saltValue="i/iPMewnks1FoXYOjKMEVg==" spinCount="100000" sqref="AB89:AB91" name="Rango2_87_6_28"/>
    <protectedRange algorithmName="SHA-512" hashValue="NUll9P9xh7KbSfMYpMxsRZLfDw/y/AzW2LSWlpXVscBDqiAxmzo71xjs+a2lh+jRa7pceOC849slke4+ZKx8LA==" saltValue="8qbkKpQ+CiQuLnqgShNvXA==" spinCount="100000" sqref="T89:T91" name="Rango2_88_6_28"/>
    <protectedRange algorithmName="SHA-512" hashValue="KHhv3JU/LRdRrRTxxkgFceEHPZ5UzadmpZRZR3zmQRnPvkUJZuanRafIJ+qde0IWwLZSvFIQDyUAHq6v6k7XIg==" saltValue="2GKG1kCzVNNcn+vbOPuhJA==" spinCount="100000" sqref="Q89:Q91" name="Rango2_2_5_28"/>
    <protectedRange algorithmName="SHA-512" hashValue="XZw03RosI/l0z9FxmTtF29EdZ7P+4+ybhqoaAAUmURojSR5XbGfjC4f2i8gMqfY+RI9JvfdCA6PSh9TduXfUxA==" saltValue="5TPtLq2WoiRSae/yaDPnTw==" spinCount="100000" sqref="AT89:AT91 AV89:AV91 U89:AA91 CJ89:CK91 CS89:CT91 CP89:CQ91 CV89:CY91 BR89:BU91 BZ89:CB91 CE89:CF91 O89:O91 R89:S91 BJ89:BL89 DA89:DN91 BJ91:BL91 BJ90:BK90" name="Rango2_99_99"/>
    <protectedRange algorithmName="SHA-512" hashValue="RQ91b7oAw60DVtcgB2vRpial2kSdzJx5guGCTYUwXYkKrtrUHfiYnLf9R+SNpYXlJDYpyEJLhcWwP0EqNN86dQ==" saltValue="W3RbH3zrcY9sy39xNwXNxg==" spinCount="100000" sqref="BA92:BI92 BV92:BY92" name="Rango2_88_99_31"/>
    <protectedRange algorithmName="SHA-512" hashValue="fMbmUM1DQ7FuAPRNvFL5mPdHUYjQnlLFhkuaxvHguaqR7aWyDxcmJs0jLYQfQKY+oyhsMb4Lew4VL6i7um3/ew==" saltValue="ydaTm0CeH8+/cYqoL/AMaQ==" spinCount="100000" sqref="AU92 AW92:AZ92" name="Rango2_88_91_28"/>
    <protectedRange algorithmName="SHA-512" hashValue="CHipOQaT63FWw628cQcXXJRZlrbNZ7OgmnEbDx38UmmH7z19GRYEzXFiVOzHAy1OAaAbST7g2bHZHDKQp2qm3w==" saltValue="iRVuL+373yLHv0ZHzS9qog==" spinCount="100000" sqref="AG92:AH92 AJ92 AL92" name="Rango2_88_7_5_31"/>
    <protectedRange algorithmName="SHA-512" hashValue="NkG6oHuDGvGBEiLAAq8MEJHEfLQUMyjihfH+DBXhT+eQW0r1yri7tOJEFRM9nbOejjjXiviq9RFo7KB7wF+xJA==" saltValue="bpjB0AAANu2X/PeR3eiFkA==" spinCount="100000" sqref="AM92:AS92" name="Rango2_88_65_29"/>
    <protectedRange algorithmName="SHA-512" hashValue="fPHvtIAf3pQeZUoAI9C2/vdXMHBpqqEq+67P5Ypyu4+9IWqs3yc9TZcMWQ0THLxUwqseQPyVvakuYFtCwJHsxA==" saltValue="QHIogSs2PrwAfdqa9PAOFQ==" spinCount="100000" sqref="AC92" name="Rango2_88_5_5_29"/>
    <protectedRange algorithmName="SHA-512" hashValue="LEEeiU6pKqm7TAP46VGlz0q+evvFwpT/0iLpRuWuQ7MacbP0OGL1/FSmrIEOg2rb6M+Jla2bPbVWiGag27j87w==" saltValue="HEVt+pS5OloNDlqSnzGLLw==" spinCount="100000" sqref="AI92" name="Rango2_8_7_29"/>
    <protectedRange algorithmName="SHA-512" hashValue="q2z5hEFmXS0v2chiPTC/VCoDWNlnhp+Xe6Ybfxe48vIsnB/KTJQxJv+pFUnCXfZ9T6vyJopuqFFNROfQTW/JUw==" saltValue="IctfdGJb5tOTpq+KPi9vww==" spinCount="100000" sqref="AE92:AF92" name="Rango2_88_39_71"/>
    <protectedRange algorithmName="SHA-512" hashValue="AYYX88LSDB6RDNMvSqt0KPGWPjBqTk56tMxTOlv5QD61MGTKAAQnSnudvNDWPN0Bbllh2qRQC+P5uq7goxjdrw==" saltValue="i/iPMewnks1FoXYOjKMEVg==" spinCount="100000" sqref="AB92" name="Rango2_87_6_29"/>
    <protectedRange algorithmName="SHA-512" hashValue="NUll9P9xh7KbSfMYpMxsRZLfDw/y/AzW2LSWlpXVscBDqiAxmzo71xjs+a2lh+jRa7pceOC849slke4+ZKx8LA==" saltValue="8qbkKpQ+CiQuLnqgShNvXA==" spinCount="100000" sqref="T92" name="Rango2_88_6_29"/>
    <protectedRange algorithmName="SHA-512" hashValue="KHhv3JU/LRdRrRTxxkgFceEHPZ5UzadmpZRZR3zmQRnPvkUJZuanRafIJ+qde0IWwLZSvFIQDyUAHq6v6k7XIg==" saltValue="2GKG1kCzVNNcn+vbOPuhJA==" spinCount="100000" sqref="Q92" name="Rango2_2_5_29"/>
    <protectedRange algorithmName="SHA-512" hashValue="RQ91b7oAw60DVtcgB2vRpial2kSdzJx5guGCTYUwXYkKrtrUHfiYnLf9R+SNpYXlJDYpyEJLhcWwP0EqNN86dQ==" saltValue="W3RbH3zrcY9sy39xNwXNxg==" spinCount="100000" sqref="BA93:BI94 BV93:BY94" name="Rango2_88_99_32"/>
    <protectedRange algorithmName="SHA-512" hashValue="fMbmUM1DQ7FuAPRNvFL5mPdHUYjQnlLFhkuaxvHguaqR7aWyDxcmJs0jLYQfQKY+oyhsMb4Lew4VL6i7um3/ew==" saltValue="ydaTm0CeH8+/cYqoL/AMaQ==" spinCount="100000" sqref="AU93:AU94 AW93:AZ94" name="Rango2_88_91_29"/>
    <protectedRange algorithmName="SHA-512" hashValue="CHipOQaT63FWw628cQcXXJRZlrbNZ7OgmnEbDx38UmmH7z19GRYEzXFiVOzHAy1OAaAbST7g2bHZHDKQp2qm3w==" saltValue="iRVuL+373yLHv0ZHzS9qog==" spinCount="100000" sqref="AG93:AH94 AJ93:AJ94 AL93:AL94" name="Rango2_88_7_5_32"/>
    <protectedRange algorithmName="SHA-512" hashValue="NkG6oHuDGvGBEiLAAq8MEJHEfLQUMyjihfH+DBXhT+eQW0r1yri7tOJEFRM9nbOejjjXiviq9RFo7KB7wF+xJA==" saltValue="bpjB0AAANu2X/PeR3eiFkA==" spinCount="100000" sqref="AM93:AS94" name="Rango2_88_65_30"/>
    <protectedRange algorithmName="SHA-512" hashValue="fPHvtIAf3pQeZUoAI9C2/vdXMHBpqqEq+67P5Ypyu4+9IWqs3yc9TZcMWQ0THLxUwqseQPyVvakuYFtCwJHsxA==" saltValue="QHIogSs2PrwAfdqa9PAOFQ==" spinCount="100000" sqref="AC93:AC94" name="Rango2_88_5_5_30"/>
    <protectedRange algorithmName="SHA-512" hashValue="LEEeiU6pKqm7TAP46VGlz0q+evvFwpT/0iLpRuWuQ7MacbP0OGL1/FSmrIEOg2rb6M+Jla2bPbVWiGag27j87w==" saltValue="HEVt+pS5OloNDlqSnzGLLw==" spinCount="100000" sqref="AI93:AI94" name="Rango2_8_7_30"/>
    <protectedRange algorithmName="SHA-512" hashValue="q2z5hEFmXS0v2chiPTC/VCoDWNlnhp+Xe6Ybfxe48vIsnB/KTJQxJv+pFUnCXfZ9T6vyJopuqFFNROfQTW/JUw==" saltValue="IctfdGJb5tOTpq+KPi9vww==" spinCount="100000" sqref="AE93:AF94" name="Rango2_88_39_72"/>
    <protectedRange algorithmName="SHA-512" hashValue="AYYX88LSDB6RDNMvSqt0KPGWPjBqTk56tMxTOlv5QD61MGTKAAQnSnudvNDWPN0Bbllh2qRQC+P5uq7goxjdrw==" saltValue="i/iPMewnks1FoXYOjKMEVg==" spinCount="100000" sqref="AB93:AB94" name="Rango2_87_6_30"/>
    <protectedRange algorithmName="SHA-512" hashValue="NUll9P9xh7KbSfMYpMxsRZLfDw/y/AzW2LSWlpXVscBDqiAxmzo71xjs+a2lh+jRa7pceOC849slke4+ZKx8LA==" saltValue="8qbkKpQ+CiQuLnqgShNvXA==" spinCount="100000" sqref="T93:T94" name="Rango2_88_6_30"/>
    <protectedRange algorithmName="SHA-512" hashValue="KHhv3JU/LRdRrRTxxkgFceEHPZ5UzadmpZRZR3zmQRnPvkUJZuanRafIJ+qde0IWwLZSvFIQDyUAHq6v6k7XIg==" saltValue="2GKG1kCzVNNcn+vbOPuhJA==" spinCount="100000" sqref="Q93:Q94" name="Rango2_2_5_30"/>
    <protectedRange algorithmName="SHA-512" hashValue="RQ91b7oAw60DVtcgB2vRpial2kSdzJx5guGCTYUwXYkKrtrUHfiYnLf9R+SNpYXlJDYpyEJLhcWwP0EqNN86dQ==" saltValue="W3RbH3zrcY9sy39xNwXNxg==" spinCount="100000" sqref="BA95:BI95 BV95:BY95" name="Rango2_88_99_33"/>
    <protectedRange algorithmName="SHA-512" hashValue="fMbmUM1DQ7FuAPRNvFL5mPdHUYjQnlLFhkuaxvHguaqR7aWyDxcmJs0jLYQfQKY+oyhsMb4Lew4VL6i7um3/ew==" saltValue="ydaTm0CeH8+/cYqoL/AMaQ==" spinCount="100000" sqref="AU95 AW95:AZ95" name="Rango2_88_91_30"/>
    <protectedRange algorithmName="SHA-512" hashValue="CHipOQaT63FWw628cQcXXJRZlrbNZ7OgmnEbDx38UmmH7z19GRYEzXFiVOzHAy1OAaAbST7g2bHZHDKQp2qm3w==" saltValue="iRVuL+373yLHv0ZHzS9qog==" spinCount="100000" sqref="AG95:AH95 AJ95 AL95" name="Rango2_88_7_5_33"/>
    <protectedRange algorithmName="SHA-512" hashValue="NkG6oHuDGvGBEiLAAq8MEJHEfLQUMyjihfH+DBXhT+eQW0r1yri7tOJEFRM9nbOejjjXiviq9RFo7KB7wF+xJA==" saltValue="bpjB0AAANu2X/PeR3eiFkA==" spinCount="100000" sqref="AM95:AS95" name="Rango2_88_65_31"/>
    <protectedRange algorithmName="SHA-512" hashValue="fPHvtIAf3pQeZUoAI9C2/vdXMHBpqqEq+67P5Ypyu4+9IWqs3yc9TZcMWQ0THLxUwqseQPyVvakuYFtCwJHsxA==" saltValue="QHIogSs2PrwAfdqa9PAOFQ==" spinCount="100000" sqref="AC95" name="Rango2_88_5_5_31"/>
    <protectedRange algorithmName="SHA-512" hashValue="LEEeiU6pKqm7TAP46VGlz0q+evvFwpT/0iLpRuWuQ7MacbP0OGL1/FSmrIEOg2rb6M+Jla2bPbVWiGag27j87w==" saltValue="HEVt+pS5OloNDlqSnzGLLw==" spinCount="100000" sqref="AI95" name="Rango2_8_7_31"/>
    <protectedRange algorithmName="SHA-512" hashValue="q2z5hEFmXS0v2chiPTC/VCoDWNlnhp+Xe6Ybfxe48vIsnB/KTJQxJv+pFUnCXfZ9T6vyJopuqFFNROfQTW/JUw==" saltValue="IctfdGJb5tOTpq+KPi9vww==" spinCount="100000" sqref="AE95:AF95" name="Rango2_88_39_73"/>
    <protectedRange algorithmName="SHA-512" hashValue="AYYX88LSDB6RDNMvSqt0KPGWPjBqTk56tMxTOlv5QD61MGTKAAQnSnudvNDWPN0Bbllh2qRQC+P5uq7goxjdrw==" saltValue="i/iPMewnks1FoXYOjKMEVg==" spinCount="100000" sqref="AB95" name="Rango2_87_6_31"/>
    <protectedRange algorithmName="SHA-512" hashValue="NUll9P9xh7KbSfMYpMxsRZLfDw/y/AzW2LSWlpXVscBDqiAxmzo71xjs+a2lh+jRa7pceOC849slke4+ZKx8LA==" saltValue="8qbkKpQ+CiQuLnqgShNvXA==" spinCount="100000" sqref="T95" name="Rango2_88_6_31"/>
    <protectedRange algorithmName="SHA-512" hashValue="KHhv3JU/LRdRrRTxxkgFceEHPZ5UzadmpZRZR3zmQRnPvkUJZuanRafIJ+qde0IWwLZSvFIQDyUAHq6v6k7XIg==" saltValue="2GKG1kCzVNNcn+vbOPuhJA==" spinCount="100000" sqref="Q95" name="Rango2_2_5_31"/>
    <protectedRange algorithmName="SHA-512" hashValue="RQ91b7oAw60DVtcgB2vRpial2kSdzJx5guGCTYUwXYkKrtrUHfiYnLf9R+SNpYXlJDYpyEJLhcWwP0EqNN86dQ==" saltValue="W3RbH3zrcY9sy39xNwXNxg==" spinCount="100000" sqref="BA96:BI96 BV96:BY96" name="Rango2_88_99_34"/>
    <protectedRange algorithmName="SHA-512" hashValue="fMbmUM1DQ7FuAPRNvFL5mPdHUYjQnlLFhkuaxvHguaqR7aWyDxcmJs0jLYQfQKY+oyhsMb4Lew4VL6i7um3/ew==" saltValue="ydaTm0CeH8+/cYqoL/AMaQ==" spinCount="100000" sqref="AU96 AW96:AZ96" name="Rango2_88_91_31"/>
    <protectedRange algorithmName="SHA-512" hashValue="CHipOQaT63FWw628cQcXXJRZlrbNZ7OgmnEbDx38UmmH7z19GRYEzXFiVOzHAy1OAaAbST7g2bHZHDKQp2qm3w==" saltValue="iRVuL+373yLHv0ZHzS9qog==" spinCount="100000" sqref="AG96:AH96 AJ96 AL96" name="Rango2_88_7_5_34"/>
    <protectedRange algorithmName="SHA-512" hashValue="NkG6oHuDGvGBEiLAAq8MEJHEfLQUMyjihfH+DBXhT+eQW0r1yri7tOJEFRM9nbOejjjXiviq9RFo7KB7wF+xJA==" saltValue="bpjB0AAANu2X/PeR3eiFkA==" spinCount="100000" sqref="AM96:AS96" name="Rango2_88_65_32"/>
    <protectedRange algorithmName="SHA-512" hashValue="fPHvtIAf3pQeZUoAI9C2/vdXMHBpqqEq+67P5Ypyu4+9IWqs3yc9TZcMWQ0THLxUwqseQPyVvakuYFtCwJHsxA==" saltValue="QHIogSs2PrwAfdqa9PAOFQ==" spinCount="100000" sqref="AC96" name="Rango2_88_5_5_32"/>
    <protectedRange algorithmName="SHA-512" hashValue="LEEeiU6pKqm7TAP46VGlz0q+evvFwpT/0iLpRuWuQ7MacbP0OGL1/FSmrIEOg2rb6M+Jla2bPbVWiGag27j87w==" saltValue="HEVt+pS5OloNDlqSnzGLLw==" spinCount="100000" sqref="AI96" name="Rango2_8_7_32"/>
    <protectedRange algorithmName="SHA-512" hashValue="q2z5hEFmXS0v2chiPTC/VCoDWNlnhp+Xe6Ybfxe48vIsnB/KTJQxJv+pFUnCXfZ9T6vyJopuqFFNROfQTW/JUw==" saltValue="IctfdGJb5tOTpq+KPi9vww==" spinCount="100000" sqref="AE96:AF96" name="Rango2_88_39_74"/>
    <protectedRange algorithmName="SHA-512" hashValue="AYYX88LSDB6RDNMvSqt0KPGWPjBqTk56tMxTOlv5QD61MGTKAAQnSnudvNDWPN0Bbllh2qRQC+P5uq7goxjdrw==" saltValue="i/iPMewnks1FoXYOjKMEVg==" spinCount="100000" sqref="AB96" name="Rango2_87_6_32"/>
    <protectedRange algorithmName="SHA-512" hashValue="NUll9P9xh7KbSfMYpMxsRZLfDw/y/AzW2LSWlpXVscBDqiAxmzo71xjs+a2lh+jRa7pceOC849slke4+ZKx8LA==" saltValue="8qbkKpQ+CiQuLnqgShNvXA==" spinCount="100000" sqref="T96" name="Rango2_88_6_32"/>
    <protectedRange algorithmName="SHA-512" hashValue="KHhv3JU/LRdRrRTxxkgFceEHPZ5UzadmpZRZR3zmQRnPvkUJZuanRafIJ+qde0IWwLZSvFIQDyUAHq6v6k7XIg==" saltValue="2GKG1kCzVNNcn+vbOPuhJA==" spinCount="100000" sqref="Q96" name="Rango2_2_5_32"/>
    <protectedRange algorithmName="SHA-512" hashValue="RQ91b7oAw60DVtcgB2vRpial2kSdzJx5guGCTYUwXYkKrtrUHfiYnLf9R+SNpYXlJDYpyEJLhcWwP0EqNN86dQ==" saltValue="W3RbH3zrcY9sy39xNwXNxg==" spinCount="100000" sqref="BA97:BI97 BV97:BY97" name="Rango2_88_99_35"/>
    <protectedRange algorithmName="SHA-512" hashValue="fMbmUM1DQ7FuAPRNvFL5mPdHUYjQnlLFhkuaxvHguaqR7aWyDxcmJs0jLYQfQKY+oyhsMb4Lew4VL6i7um3/ew==" saltValue="ydaTm0CeH8+/cYqoL/AMaQ==" spinCount="100000" sqref="AU97 AW97:AZ97" name="Rango2_88_91_32"/>
    <protectedRange algorithmName="SHA-512" hashValue="CHipOQaT63FWw628cQcXXJRZlrbNZ7OgmnEbDx38UmmH7z19GRYEzXFiVOzHAy1OAaAbST7g2bHZHDKQp2qm3w==" saltValue="iRVuL+373yLHv0ZHzS9qog==" spinCount="100000" sqref="AG97:AH97 AJ97 AL97" name="Rango2_88_7_5_35"/>
    <protectedRange algorithmName="SHA-512" hashValue="NkG6oHuDGvGBEiLAAq8MEJHEfLQUMyjihfH+DBXhT+eQW0r1yri7tOJEFRM9nbOejjjXiviq9RFo7KB7wF+xJA==" saltValue="bpjB0AAANu2X/PeR3eiFkA==" spinCount="100000" sqref="AM97:AS97" name="Rango2_88_65_33"/>
    <protectedRange algorithmName="SHA-512" hashValue="fPHvtIAf3pQeZUoAI9C2/vdXMHBpqqEq+67P5Ypyu4+9IWqs3yc9TZcMWQ0THLxUwqseQPyVvakuYFtCwJHsxA==" saltValue="QHIogSs2PrwAfdqa9PAOFQ==" spinCount="100000" sqref="AC97" name="Rango2_88_5_5_33"/>
    <protectedRange algorithmName="SHA-512" hashValue="LEEeiU6pKqm7TAP46VGlz0q+evvFwpT/0iLpRuWuQ7MacbP0OGL1/FSmrIEOg2rb6M+Jla2bPbVWiGag27j87w==" saltValue="HEVt+pS5OloNDlqSnzGLLw==" spinCount="100000" sqref="AI97" name="Rango2_8_7_33"/>
    <protectedRange algorithmName="SHA-512" hashValue="q2z5hEFmXS0v2chiPTC/VCoDWNlnhp+Xe6Ybfxe48vIsnB/KTJQxJv+pFUnCXfZ9T6vyJopuqFFNROfQTW/JUw==" saltValue="IctfdGJb5tOTpq+KPi9vww==" spinCount="100000" sqref="AE97:AF97" name="Rango2_88_39_75"/>
    <protectedRange algorithmName="SHA-512" hashValue="AYYX88LSDB6RDNMvSqt0KPGWPjBqTk56tMxTOlv5QD61MGTKAAQnSnudvNDWPN0Bbllh2qRQC+P5uq7goxjdrw==" saltValue="i/iPMewnks1FoXYOjKMEVg==" spinCount="100000" sqref="AB97" name="Rango2_87_6_33"/>
    <protectedRange algorithmName="SHA-512" hashValue="NUll9P9xh7KbSfMYpMxsRZLfDw/y/AzW2LSWlpXVscBDqiAxmzo71xjs+a2lh+jRa7pceOC849slke4+ZKx8LA==" saltValue="8qbkKpQ+CiQuLnqgShNvXA==" spinCount="100000" sqref="T97" name="Rango2_88_6_33"/>
    <protectedRange algorithmName="SHA-512" hashValue="KHhv3JU/LRdRrRTxxkgFceEHPZ5UzadmpZRZR3zmQRnPvkUJZuanRafIJ+qde0IWwLZSvFIQDyUAHq6v6k7XIg==" saltValue="2GKG1kCzVNNcn+vbOPuhJA==" spinCount="100000" sqref="Q97" name="Rango2_2_5_33"/>
    <protectedRange algorithmName="SHA-512" hashValue="RQ91b7oAw60DVtcgB2vRpial2kSdzJx5guGCTYUwXYkKrtrUHfiYnLf9R+SNpYXlJDYpyEJLhcWwP0EqNN86dQ==" saltValue="W3RbH3zrcY9sy39xNwXNxg==" spinCount="100000" sqref="BA98:BI99 BV98:BY99" name="Rango2_88_99_36"/>
    <protectedRange algorithmName="SHA-512" hashValue="fMbmUM1DQ7FuAPRNvFL5mPdHUYjQnlLFhkuaxvHguaqR7aWyDxcmJs0jLYQfQKY+oyhsMb4Lew4VL6i7um3/ew==" saltValue="ydaTm0CeH8+/cYqoL/AMaQ==" spinCount="100000" sqref="AU98:AU99 AW98:AZ99" name="Rango2_88_91_33"/>
    <protectedRange algorithmName="SHA-512" hashValue="CHipOQaT63FWw628cQcXXJRZlrbNZ7OgmnEbDx38UmmH7z19GRYEzXFiVOzHAy1OAaAbST7g2bHZHDKQp2qm3w==" saltValue="iRVuL+373yLHv0ZHzS9qog==" spinCount="100000" sqref="AG98:AH99 AJ98:AJ99 AL98:AL99" name="Rango2_88_7_5_36"/>
    <protectedRange algorithmName="SHA-512" hashValue="NkG6oHuDGvGBEiLAAq8MEJHEfLQUMyjihfH+DBXhT+eQW0r1yri7tOJEFRM9nbOejjjXiviq9RFo7KB7wF+xJA==" saltValue="bpjB0AAANu2X/PeR3eiFkA==" spinCount="100000" sqref="AM98:AS99" name="Rango2_88_65_34"/>
    <protectedRange algorithmName="SHA-512" hashValue="fPHvtIAf3pQeZUoAI9C2/vdXMHBpqqEq+67P5Ypyu4+9IWqs3yc9TZcMWQ0THLxUwqseQPyVvakuYFtCwJHsxA==" saltValue="QHIogSs2PrwAfdqa9PAOFQ==" spinCount="100000" sqref="AC98:AC99" name="Rango2_88_5_5_34"/>
    <protectedRange algorithmName="SHA-512" hashValue="LEEeiU6pKqm7TAP46VGlz0q+evvFwpT/0iLpRuWuQ7MacbP0OGL1/FSmrIEOg2rb6M+Jla2bPbVWiGag27j87w==" saltValue="HEVt+pS5OloNDlqSnzGLLw==" spinCount="100000" sqref="AI98:AI99" name="Rango2_8_7_34"/>
    <protectedRange algorithmName="SHA-512" hashValue="q2z5hEFmXS0v2chiPTC/VCoDWNlnhp+Xe6Ybfxe48vIsnB/KTJQxJv+pFUnCXfZ9T6vyJopuqFFNROfQTW/JUw==" saltValue="IctfdGJb5tOTpq+KPi9vww==" spinCount="100000" sqref="AE98:AF99" name="Rango2_88_39_76"/>
    <protectedRange algorithmName="SHA-512" hashValue="AYYX88LSDB6RDNMvSqt0KPGWPjBqTk56tMxTOlv5QD61MGTKAAQnSnudvNDWPN0Bbllh2qRQC+P5uq7goxjdrw==" saltValue="i/iPMewnks1FoXYOjKMEVg==" spinCount="100000" sqref="AB98:AB99" name="Rango2_87_6_34"/>
    <protectedRange algorithmName="SHA-512" hashValue="NUll9P9xh7KbSfMYpMxsRZLfDw/y/AzW2LSWlpXVscBDqiAxmzo71xjs+a2lh+jRa7pceOC849slke4+ZKx8LA==" saltValue="8qbkKpQ+CiQuLnqgShNvXA==" spinCount="100000" sqref="T98:T99" name="Rango2_88_6_34"/>
    <protectedRange algorithmName="SHA-512" hashValue="KHhv3JU/LRdRrRTxxkgFceEHPZ5UzadmpZRZR3zmQRnPvkUJZuanRafIJ+qde0IWwLZSvFIQDyUAHq6v6k7XIg==" saltValue="2GKG1kCzVNNcn+vbOPuhJA==" spinCount="100000" sqref="Q98:Q99" name="Rango2_2_5_34"/>
    <protectedRange algorithmName="SHA-512" hashValue="RQ91b7oAw60DVtcgB2vRpial2kSdzJx5guGCTYUwXYkKrtrUHfiYnLf9R+SNpYXlJDYpyEJLhcWwP0EqNN86dQ==" saltValue="W3RbH3zrcY9sy39xNwXNxg==" spinCount="100000" sqref="BA100:BI101 BV100:BY101" name="Rango2_88_99_37"/>
    <protectedRange algorithmName="SHA-512" hashValue="fMbmUM1DQ7FuAPRNvFL5mPdHUYjQnlLFhkuaxvHguaqR7aWyDxcmJs0jLYQfQKY+oyhsMb4Lew4VL6i7um3/ew==" saltValue="ydaTm0CeH8+/cYqoL/AMaQ==" spinCount="100000" sqref="AU100:AU101 AW100:AZ101" name="Rango2_88_91_34"/>
    <protectedRange algorithmName="SHA-512" hashValue="CHipOQaT63FWw628cQcXXJRZlrbNZ7OgmnEbDx38UmmH7z19GRYEzXFiVOzHAy1OAaAbST7g2bHZHDKQp2qm3w==" saltValue="iRVuL+373yLHv0ZHzS9qog==" spinCount="100000" sqref="AG100:AH101 AJ100:AJ101 AL100:AL101" name="Rango2_88_7_5_37"/>
    <protectedRange algorithmName="SHA-512" hashValue="NkG6oHuDGvGBEiLAAq8MEJHEfLQUMyjihfH+DBXhT+eQW0r1yri7tOJEFRM9nbOejjjXiviq9RFo7KB7wF+xJA==" saltValue="bpjB0AAANu2X/PeR3eiFkA==" spinCount="100000" sqref="AM100:AS101" name="Rango2_88_65_35"/>
    <protectedRange algorithmName="SHA-512" hashValue="fPHvtIAf3pQeZUoAI9C2/vdXMHBpqqEq+67P5Ypyu4+9IWqs3yc9TZcMWQ0THLxUwqseQPyVvakuYFtCwJHsxA==" saltValue="QHIogSs2PrwAfdqa9PAOFQ==" spinCount="100000" sqref="AC100:AC101" name="Rango2_88_5_5_35"/>
    <protectedRange algorithmName="SHA-512" hashValue="LEEeiU6pKqm7TAP46VGlz0q+evvFwpT/0iLpRuWuQ7MacbP0OGL1/FSmrIEOg2rb6M+Jla2bPbVWiGag27j87w==" saltValue="HEVt+pS5OloNDlqSnzGLLw==" spinCount="100000" sqref="AI100:AI101" name="Rango2_8_7_35"/>
    <protectedRange algorithmName="SHA-512" hashValue="q2z5hEFmXS0v2chiPTC/VCoDWNlnhp+Xe6Ybfxe48vIsnB/KTJQxJv+pFUnCXfZ9T6vyJopuqFFNROfQTW/JUw==" saltValue="IctfdGJb5tOTpq+KPi9vww==" spinCount="100000" sqref="AE100:AF101" name="Rango2_88_39_77"/>
    <protectedRange algorithmName="SHA-512" hashValue="AYYX88LSDB6RDNMvSqt0KPGWPjBqTk56tMxTOlv5QD61MGTKAAQnSnudvNDWPN0Bbllh2qRQC+P5uq7goxjdrw==" saltValue="i/iPMewnks1FoXYOjKMEVg==" spinCount="100000" sqref="AB100:AB101" name="Rango2_87_6_35"/>
    <protectedRange algorithmName="SHA-512" hashValue="NUll9P9xh7KbSfMYpMxsRZLfDw/y/AzW2LSWlpXVscBDqiAxmzo71xjs+a2lh+jRa7pceOC849slke4+ZKx8LA==" saltValue="8qbkKpQ+CiQuLnqgShNvXA==" spinCount="100000" sqref="T100:T101" name="Rango2_88_6_35"/>
    <protectedRange algorithmName="SHA-512" hashValue="KHhv3JU/LRdRrRTxxkgFceEHPZ5UzadmpZRZR3zmQRnPvkUJZuanRafIJ+qde0IWwLZSvFIQDyUAHq6v6k7XIg==" saltValue="2GKG1kCzVNNcn+vbOPuhJA==" spinCount="100000" sqref="Q100:Q101" name="Rango2_2_5_35"/>
    <protectedRange algorithmName="SHA-512" hashValue="RQ91b7oAw60DVtcgB2vRpial2kSdzJx5guGCTYUwXYkKrtrUHfiYnLf9R+SNpYXlJDYpyEJLhcWwP0EqNN86dQ==" saltValue="W3RbH3zrcY9sy39xNwXNxg==" spinCount="100000" sqref="BA102:BI103 BV102:BY103" name="Rango2_88_99_38"/>
    <protectedRange algorithmName="SHA-512" hashValue="fMbmUM1DQ7FuAPRNvFL5mPdHUYjQnlLFhkuaxvHguaqR7aWyDxcmJs0jLYQfQKY+oyhsMb4Lew4VL6i7um3/ew==" saltValue="ydaTm0CeH8+/cYqoL/AMaQ==" spinCount="100000" sqref="AU102:AU103 AW102:AZ103" name="Rango2_88_91_35"/>
    <protectedRange algorithmName="SHA-512" hashValue="CHipOQaT63FWw628cQcXXJRZlrbNZ7OgmnEbDx38UmmH7z19GRYEzXFiVOzHAy1OAaAbST7g2bHZHDKQp2qm3w==" saltValue="iRVuL+373yLHv0ZHzS9qog==" spinCount="100000" sqref="AG102:AH103 AJ102:AJ103 AL102:AL103" name="Rango2_88_7_5_38"/>
    <protectedRange algorithmName="SHA-512" hashValue="NkG6oHuDGvGBEiLAAq8MEJHEfLQUMyjihfH+DBXhT+eQW0r1yri7tOJEFRM9nbOejjjXiviq9RFo7KB7wF+xJA==" saltValue="bpjB0AAANu2X/PeR3eiFkA==" spinCount="100000" sqref="AM102:AS103" name="Rango2_88_65_36"/>
    <protectedRange algorithmName="SHA-512" hashValue="fPHvtIAf3pQeZUoAI9C2/vdXMHBpqqEq+67P5Ypyu4+9IWqs3yc9TZcMWQ0THLxUwqseQPyVvakuYFtCwJHsxA==" saltValue="QHIogSs2PrwAfdqa9PAOFQ==" spinCount="100000" sqref="AC102:AC103" name="Rango2_88_5_5_36"/>
    <protectedRange algorithmName="SHA-512" hashValue="LEEeiU6pKqm7TAP46VGlz0q+evvFwpT/0iLpRuWuQ7MacbP0OGL1/FSmrIEOg2rb6M+Jla2bPbVWiGag27j87w==" saltValue="HEVt+pS5OloNDlqSnzGLLw==" spinCount="100000" sqref="AI102:AI103" name="Rango2_8_7_36"/>
    <protectedRange algorithmName="SHA-512" hashValue="q2z5hEFmXS0v2chiPTC/VCoDWNlnhp+Xe6Ybfxe48vIsnB/KTJQxJv+pFUnCXfZ9T6vyJopuqFFNROfQTW/JUw==" saltValue="IctfdGJb5tOTpq+KPi9vww==" spinCount="100000" sqref="AE102:AF103" name="Rango2_88_39_78"/>
    <protectedRange algorithmName="SHA-512" hashValue="AYYX88LSDB6RDNMvSqt0KPGWPjBqTk56tMxTOlv5QD61MGTKAAQnSnudvNDWPN0Bbllh2qRQC+P5uq7goxjdrw==" saltValue="i/iPMewnks1FoXYOjKMEVg==" spinCount="100000" sqref="AB102:AB103" name="Rango2_87_6_36"/>
    <protectedRange algorithmName="SHA-512" hashValue="NUll9P9xh7KbSfMYpMxsRZLfDw/y/AzW2LSWlpXVscBDqiAxmzo71xjs+a2lh+jRa7pceOC849slke4+ZKx8LA==" saltValue="8qbkKpQ+CiQuLnqgShNvXA==" spinCount="100000" sqref="T102:T103" name="Rango2_88_6_36"/>
    <protectedRange algorithmName="SHA-512" hashValue="KHhv3JU/LRdRrRTxxkgFceEHPZ5UzadmpZRZR3zmQRnPvkUJZuanRafIJ+qde0IWwLZSvFIQDyUAHq6v6k7XIg==" saltValue="2GKG1kCzVNNcn+vbOPuhJA==" spinCount="100000" sqref="Q102:Q103" name="Rango2_2_5_36"/>
    <protectedRange algorithmName="SHA-512" hashValue="RQ91b7oAw60DVtcgB2vRpial2kSdzJx5guGCTYUwXYkKrtrUHfiYnLf9R+SNpYXlJDYpyEJLhcWwP0EqNN86dQ==" saltValue="W3RbH3zrcY9sy39xNwXNxg==" spinCount="100000" sqref="BA104:BI113 BV104:BY113" name="Rango2_88_99_39"/>
    <protectedRange algorithmName="SHA-512" hashValue="fMbmUM1DQ7FuAPRNvFL5mPdHUYjQnlLFhkuaxvHguaqR7aWyDxcmJs0jLYQfQKY+oyhsMb4Lew4VL6i7um3/ew==" saltValue="ydaTm0CeH8+/cYqoL/AMaQ==" spinCount="100000" sqref="AU104:AU113 AW104:AZ113" name="Rango2_88_91_36"/>
    <protectedRange algorithmName="SHA-512" hashValue="CHipOQaT63FWw628cQcXXJRZlrbNZ7OgmnEbDx38UmmH7z19GRYEzXFiVOzHAy1OAaAbST7g2bHZHDKQp2qm3w==" saltValue="iRVuL+373yLHv0ZHzS9qog==" spinCount="100000" sqref="AG104:AH113 AJ104:AJ113 AL104:AL113" name="Rango2_88_7_5_39"/>
    <protectedRange algorithmName="SHA-512" hashValue="NkG6oHuDGvGBEiLAAq8MEJHEfLQUMyjihfH+DBXhT+eQW0r1yri7tOJEFRM9nbOejjjXiviq9RFo7KB7wF+xJA==" saltValue="bpjB0AAANu2X/PeR3eiFkA==" spinCount="100000" sqref="AM104:AS113" name="Rango2_88_65_37"/>
    <protectedRange algorithmName="SHA-512" hashValue="fPHvtIAf3pQeZUoAI9C2/vdXMHBpqqEq+67P5Ypyu4+9IWqs3yc9TZcMWQ0THLxUwqseQPyVvakuYFtCwJHsxA==" saltValue="QHIogSs2PrwAfdqa9PAOFQ==" spinCount="100000" sqref="AC104:AC113" name="Rango2_88_5_5_37"/>
    <protectedRange algorithmName="SHA-512" hashValue="LEEeiU6pKqm7TAP46VGlz0q+evvFwpT/0iLpRuWuQ7MacbP0OGL1/FSmrIEOg2rb6M+Jla2bPbVWiGag27j87w==" saltValue="HEVt+pS5OloNDlqSnzGLLw==" spinCount="100000" sqref="AI104:AI113" name="Rango2_8_7_37"/>
    <protectedRange algorithmName="SHA-512" hashValue="q2z5hEFmXS0v2chiPTC/VCoDWNlnhp+Xe6Ybfxe48vIsnB/KTJQxJv+pFUnCXfZ9T6vyJopuqFFNROfQTW/JUw==" saltValue="IctfdGJb5tOTpq+KPi9vww==" spinCount="100000" sqref="AE104:AF113" name="Rango2_88_39_79"/>
    <protectedRange algorithmName="SHA-512" hashValue="AYYX88LSDB6RDNMvSqt0KPGWPjBqTk56tMxTOlv5QD61MGTKAAQnSnudvNDWPN0Bbllh2qRQC+P5uq7goxjdrw==" saltValue="i/iPMewnks1FoXYOjKMEVg==" spinCount="100000" sqref="AB104:AB113" name="Rango2_87_6_37"/>
    <protectedRange algorithmName="SHA-512" hashValue="NUll9P9xh7KbSfMYpMxsRZLfDw/y/AzW2LSWlpXVscBDqiAxmzo71xjs+a2lh+jRa7pceOC849slke4+ZKx8LA==" saltValue="8qbkKpQ+CiQuLnqgShNvXA==" spinCount="100000" sqref="T104:T113" name="Rango2_88_6_37"/>
    <protectedRange algorithmName="SHA-512" hashValue="KHhv3JU/LRdRrRTxxkgFceEHPZ5UzadmpZRZR3zmQRnPvkUJZuanRafIJ+qde0IWwLZSvFIQDyUAHq6v6k7XIg==" saltValue="2GKG1kCzVNNcn+vbOPuhJA==" spinCount="100000" sqref="Q104:Q113" name="Rango2_2_5_37"/>
    <protectedRange algorithmName="SHA-512" hashValue="RQ91b7oAw60DVtcgB2vRpial2kSdzJx5guGCTYUwXYkKrtrUHfiYnLf9R+SNpYXlJDYpyEJLhcWwP0EqNN86dQ==" saltValue="W3RbH3zrcY9sy39xNwXNxg==" spinCount="100000" sqref="BA114:BI117 BV114:BY117" name="Rango2_88_99_40"/>
    <protectedRange algorithmName="SHA-512" hashValue="fMbmUM1DQ7FuAPRNvFL5mPdHUYjQnlLFhkuaxvHguaqR7aWyDxcmJs0jLYQfQKY+oyhsMb4Lew4VL6i7um3/ew==" saltValue="ydaTm0CeH8+/cYqoL/AMaQ==" spinCount="100000" sqref="AU114:AU117 AW114:AZ117" name="Rango2_88_91_37"/>
    <protectedRange algorithmName="SHA-512" hashValue="CHipOQaT63FWw628cQcXXJRZlrbNZ7OgmnEbDx38UmmH7z19GRYEzXFiVOzHAy1OAaAbST7g2bHZHDKQp2qm3w==" saltValue="iRVuL+373yLHv0ZHzS9qog==" spinCount="100000" sqref="AG114:AH117 AJ114:AJ117 AL114:AL117" name="Rango2_88_7_5_40"/>
    <protectedRange algorithmName="SHA-512" hashValue="NkG6oHuDGvGBEiLAAq8MEJHEfLQUMyjihfH+DBXhT+eQW0r1yri7tOJEFRM9nbOejjjXiviq9RFo7KB7wF+xJA==" saltValue="bpjB0AAANu2X/PeR3eiFkA==" spinCount="100000" sqref="AM114:AS117" name="Rango2_88_65_38"/>
    <protectedRange algorithmName="SHA-512" hashValue="fPHvtIAf3pQeZUoAI9C2/vdXMHBpqqEq+67P5Ypyu4+9IWqs3yc9TZcMWQ0THLxUwqseQPyVvakuYFtCwJHsxA==" saltValue="QHIogSs2PrwAfdqa9PAOFQ==" spinCount="100000" sqref="AC114:AC117" name="Rango2_88_5_5_38"/>
    <protectedRange algorithmName="SHA-512" hashValue="LEEeiU6pKqm7TAP46VGlz0q+evvFwpT/0iLpRuWuQ7MacbP0OGL1/FSmrIEOg2rb6M+Jla2bPbVWiGag27j87w==" saltValue="HEVt+pS5OloNDlqSnzGLLw==" spinCount="100000" sqref="AI114:AI117" name="Rango2_8_7_38"/>
    <protectedRange algorithmName="SHA-512" hashValue="q2z5hEFmXS0v2chiPTC/VCoDWNlnhp+Xe6Ybfxe48vIsnB/KTJQxJv+pFUnCXfZ9T6vyJopuqFFNROfQTW/JUw==" saltValue="IctfdGJb5tOTpq+KPi9vww==" spinCount="100000" sqref="AE114:AF117" name="Rango2_88_39_80"/>
    <protectedRange algorithmName="SHA-512" hashValue="AYYX88LSDB6RDNMvSqt0KPGWPjBqTk56tMxTOlv5QD61MGTKAAQnSnudvNDWPN0Bbllh2qRQC+P5uq7goxjdrw==" saltValue="i/iPMewnks1FoXYOjKMEVg==" spinCount="100000" sqref="AB114:AB117" name="Rango2_87_6_38"/>
    <protectedRange algorithmName="SHA-512" hashValue="NUll9P9xh7KbSfMYpMxsRZLfDw/y/AzW2LSWlpXVscBDqiAxmzo71xjs+a2lh+jRa7pceOC849slke4+ZKx8LA==" saltValue="8qbkKpQ+CiQuLnqgShNvXA==" spinCount="100000" sqref="T114:T117" name="Rango2_88_6_38"/>
    <protectedRange algorithmName="SHA-512" hashValue="KHhv3JU/LRdRrRTxxkgFceEHPZ5UzadmpZRZR3zmQRnPvkUJZuanRafIJ+qde0IWwLZSvFIQDyUAHq6v6k7XIg==" saltValue="2GKG1kCzVNNcn+vbOPuhJA==" spinCount="100000" sqref="Q114:Q117" name="Rango2_2_5_38"/>
    <protectedRange algorithmName="SHA-512" hashValue="RQ91b7oAw60DVtcgB2vRpial2kSdzJx5guGCTYUwXYkKrtrUHfiYnLf9R+SNpYXlJDYpyEJLhcWwP0EqNN86dQ==" saltValue="W3RbH3zrcY9sy39xNwXNxg==" spinCount="100000" sqref="BA118:BI125 BV118:BY125" name="Rango2_88_99_41"/>
    <protectedRange algorithmName="SHA-512" hashValue="fMbmUM1DQ7FuAPRNvFL5mPdHUYjQnlLFhkuaxvHguaqR7aWyDxcmJs0jLYQfQKY+oyhsMb4Lew4VL6i7um3/ew==" saltValue="ydaTm0CeH8+/cYqoL/AMaQ==" spinCount="100000" sqref="AU118:AU125 AW118:AZ125" name="Rango2_88_91_38"/>
    <protectedRange algorithmName="SHA-512" hashValue="CHipOQaT63FWw628cQcXXJRZlrbNZ7OgmnEbDx38UmmH7z19GRYEzXFiVOzHAy1OAaAbST7g2bHZHDKQp2qm3w==" saltValue="iRVuL+373yLHv0ZHzS9qog==" spinCount="100000" sqref="AG118:AH125 AJ118:AJ125 AL118:AL125" name="Rango2_88_7_5_41"/>
    <protectedRange algorithmName="SHA-512" hashValue="NkG6oHuDGvGBEiLAAq8MEJHEfLQUMyjihfH+DBXhT+eQW0r1yri7tOJEFRM9nbOejjjXiviq9RFo7KB7wF+xJA==" saltValue="bpjB0AAANu2X/PeR3eiFkA==" spinCount="100000" sqref="AM118:AS125" name="Rango2_88_65_39"/>
    <protectedRange algorithmName="SHA-512" hashValue="fPHvtIAf3pQeZUoAI9C2/vdXMHBpqqEq+67P5Ypyu4+9IWqs3yc9TZcMWQ0THLxUwqseQPyVvakuYFtCwJHsxA==" saltValue="QHIogSs2PrwAfdqa9PAOFQ==" spinCount="100000" sqref="AC118:AC125" name="Rango2_88_5_5_39"/>
    <protectedRange algorithmName="SHA-512" hashValue="LEEeiU6pKqm7TAP46VGlz0q+evvFwpT/0iLpRuWuQ7MacbP0OGL1/FSmrIEOg2rb6M+Jla2bPbVWiGag27j87w==" saltValue="HEVt+pS5OloNDlqSnzGLLw==" spinCount="100000" sqref="AI118:AI125" name="Rango2_8_7_39"/>
    <protectedRange algorithmName="SHA-512" hashValue="q2z5hEFmXS0v2chiPTC/VCoDWNlnhp+Xe6Ybfxe48vIsnB/KTJQxJv+pFUnCXfZ9T6vyJopuqFFNROfQTW/JUw==" saltValue="IctfdGJb5tOTpq+KPi9vww==" spinCount="100000" sqref="AE118:AF125" name="Rango2_88_39_81"/>
    <protectedRange algorithmName="SHA-512" hashValue="AYYX88LSDB6RDNMvSqt0KPGWPjBqTk56tMxTOlv5QD61MGTKAAQnSnudvNDWPN0Bbllh2qRQC+P5uq7goxjdrw==" saltValue="i/iPMewnks1FoXYOjKMEVg==" spinCount="100000" sqref="AB118:AB125" name="Rango2_87_6_39"/>
    <protectedRange algorithmName="SHA-512" hashValue="NUll9P9xh7KbSfMYpMxsRZLfDw/y/AzW2LSWlpXVscBDqiAxmzo71xjs+a2lh+jRa7pceOC849slke4+ZKx8LA==" saltValue="8qbkKpQ+CiQuLnqgShNvXA==" spinCount="100000" sqref="T118:T125" name="Rango2_88_6_39"/>
    <protectedRange algorithmName="SHA-512" hashValue="KHhv3JU/LRdRrRTxxkgFceEHPZ5UzadmpZRZR3zmQRnPvkUJZuanRafIJ+qde0IWwLZSvFIQDyUAHq6v6k7XIg==" saltValue="2GKG1kCzVNNcn+vbOPuhJA==" spinCount="100000" sqref="Q118:Q125" name="Rango2_2_5_39"/>
    <protectedRange algorithmName="SHA-512" hashValue="EEHzbvEYwO1eufllBljOz0uf9BJ2ENtvOScQ7IsS321QhYbwKn7qhHKKP8cKj02rTDvVRMWvwQ1ZP0mZWsBprQ==" saltValue="CjXqBRFbKezlWOFV37MnDQ==" spinCount="100000" sqref="GQ89:GR91 GW89:GW91 GN89:GN91" name="Rango2_30_2_28"/>
    <protectedRange algorithmName="SHA-512" hashValue="Rgskw+AQdeJ5qbJdarzTa3SCkJfDGziy0Uan5N0F3IWn/H3Z/e+VcB56R7Nes7MPxNHewNP1sSSucVjz3iTLeA==" saltValue="qKZH3DnwaZHBzy3cBZo1qQ==" spinCount="100000" sqref="GF89:GF91" name="Rango2_31_28_27"/>
    <protectedRange algorithmName="SHA-512" hashValue="Umj9+5Ys20VQPxBFtc6qE5LtKKSgPKwit+B8dd4XnEUaLfBM2ozpkEC4YxwK0SbBiAHDDex+pY+LomQ0lyuamQ==" saltValue="N2/MCRws+mmA+NXw0axolg==" spinCount="100000" sqref="GJ89:GJ91 GH89:GH91 FY89:FY91 GL89:GL91 GE89:GE91" name="Rango2_31_2_43"/>
    <protectedRange algorithmName="SHA-512" hashValue="q2z5hEFmXS0v2chiPTC/VCoDWNlnhp+Xe6Ybfxe48vIsnB/KTJQxJv+pFUnCXfZ9T6vyJopuqFFNROfQTW/JUw==" saltValue="IctfdGJb5tOTpq+KPi9vww==" spinCount="100000" sqref="IA89:IA91 ID89:IJ91" name="Rango2_88_39_82"/>
    <protectedRange algorithmName="SHA-512" hashValue="YXHanhqXL0e4jPrzkCF8r/22WmlCviFUW909WKuG1JOcU0mp0/Huh0aP3EaGYxV2ep0WGu48HsShAy4Ka2uOiw==" saltValue="h/7U5iwJm7DLR4tRVfwZYw==" spinCount="100000" sqref="GI89:GI91 GC89:GC91" name="Rango2_33_35"/>
    <protectedRange algorithmName="SHA-512" hashValue="pL4tgTKqwEsWSIEGFTBd+4pvEhE7d5Q99Eijs+L/Y1rhA0saQGGRJw5Pv2HLOP0quglztFwB6WVnQ1YGxd4AiQ==" saltValue="IF5mhk2RcoEjrcYppes1VA==" spinCount="100000" sqref="FT89:FT91" name="Rango2_30_29"/>
    <protectedRange algorithmName="SHA-512" hashValue="EEHzbvEYwO1eufllBljOz0uf9BJ2ENtvOScQ7IsS321QhYbwKn7qhHKKP8cKj02rTDvVRMWvwQ1ZP0mZWsBprQ==" saltValue="CjXqBRFbKezlWOFV37MnDQ==" spinCount="100000" sqref="GQ92:GR92 GW92 GN92" name="Rango2_30_2_29"/>
    <protectedRange algorithmName="SHA-512" hashValue="Rgskw+AQdeJ5qbJdarzTa3SCkJfDGziy0Uan5N0F3IWn/H3Z/e+VcB56R7Nes7MPxNHewNP1sSSucVjz3iTLeA==" saltValue="qKZH3DnwaZHBzy3cBZo1qQ==" spinCount="100000" sqref="GF92" name="Rango2_31_28_28"/>
    <protectedRange algorithmName="SHA-512" hashValue="Umj9+5Ys20VQPxBFtc6qE5LtKKSgPKwit+B8dd4XnEUaLfBM2ozpkEC4YxwK0SbBiAHDDex+pY+LomQ0lyuamQ==" saltValue="N2/MCRws+mmA+NXw0axolg==" spinCount="100000" sqref="GJ92 GH92 FY92 GL92 GE92" name="Rango2_31_2_46"/>
    <protectedRange algorithmName="SHA-512" hashValue="q2z5hEFmXS0v2chiPTC/VCoDWNlnhp+Xe6Ybfxe48vIsnB/KTJQxJv+pFUnCXfZ9T6vyJopuqFFNROfQTW/JUw==" saltValue="IctfdGJb5tOTpq+KPi9vww==" spinCount="100000" sqref="IA92 ID92:IJ92" name="Rango2_88_39_83"/>
    <protectedRange algorithmName="SHA-512" hashValue="YXHanhqXL0e4jPrzkCF8r/22WmlCviFUW909WKuG1JOcU0mp0/Huh0aP3EaGYxV2ep0WGu48HsShAy4Ka2uOiw==" saltValue="h/7U5iwJm7DLR4tRVfwZYw==" spinCount="100000" sqref="GI92 GC92" name="Rango2_33_36"/>
    <protectedRange algorithmName="SHA-512" hashValue="pL4tgTKqwEsWSIEGFTBd+4pvEhE7d5Q99Eijs+L/Y1rhA0saQGGRJw5Pv2HLOP0quglztFwB6WVnQ1YGxd4AiQ==" saltValue="IF5mhk2RcoEjrcYppes1VA==" spinCount="100000" sqref="FT92" name="Rango2_30_30"/>
    <protectedRange algorithmName="SHA-512" hashValue="EEHzbvEYwO1eufllBljOz0uf9BJ2ENtvOScQ7IsS321QhYbwKn7qhHKKP8cKj02rTDvVRMWvwQ1ZP0mZWsBprQ==" saltValue="CjXqBRFbKezlWOFV37MnDQ==" spinCount="100000" sqref="GQ93:GR94 GW93:GW94 GN93:GN94" name="Rango2_30_2_30"/>
    <protectedRange algorithmName="SHA-512" hashValue="Rgskw+AQdeJ5qbJdarzTa3SCkJfDGziy0Uan5N0F3IWn/H3Z/e+VcB56R7Nes7MPxNHewNP1sSSucVjz3iTLeA==" saltValue="qKZH3DnwaZHBzy3cBZo1qQ==" spinCount="100000" sqref="GF93:GF94" name="Rango2_31_28_29"/>
    <protectedRange algorithmName="SHA-512" hashValue="Umj9+5Ys20VQPxBFtc6qE5LtKKSgPKwit+B8dd4XnEUaLfBM2ozpkEC4YxwK0SbBiAHDDex+pY+LomQ0lyuamQ==" saltValue="N2/MCRws+mmA+NXw0axolg==" spinCount="100000" sqref="GJ93:GJ94 GH93:GH94 FY93:FY94 GL93:GL94 GE93:GE94" name="Rango2_31_2_52"/>
    <protectedRange algorithmName="SHA-512" hashValue="q2z5hEFmXS0v2chiPTC/VCoDWNlnhp+Xe6Ybfxe48vIsnB/KTJQxJv+pFUnCXfZ9T6vyJopuqFFNROfQTW/JUw==" saltValue="IctfdGJb5tOTpq+KPi9vww==" spinCount="100000" sqref="IA93:IA94 ID93:IJ94" name="Rango2_88_39_84"/>
    <protectedRange algorithmName="SHA-512" hashValue="YXHanhqXL0e4jPrzkCF8r/22WmlCviFUW909WKuG1JOcU0mp0/Huh0aP3EaGYxV2ep0WGu48HsShAy4Ka2uOiw==" saltValue="h/7U5iwJm7DLR4tRVfwZYw==" spinCount="100000" sqref="GI93:GI94 GC93:GC94" name="Rango2_33_37"/>
    <protectedRange algorithmName="SHA-512" hashValue="pL4tgTKqwEsWSIEGFTBd+4pvEhE7d5Q99Eijs+L/Y1rhA0saQGGRJw5Pv2HLOP0quglztFwB6WVnQ1YGxd4AiQ==" saltValue="IF5mhk2RcoEjrcYppes1VA==" spinCount="100000" sqref="FT93:FT94" name="Rango2_30_31"/>
    <protectedRange algorithmName="SHA-512" hashValue="EEHzbvEYwO1eufllBljOz0uf9BJ2ENtvOScQ7IsS321QhYbwKn7qhHKKP8cKj02rTDvVRMWvwQ1ZP0mZWsBprQ==" saltValue="CjXqBRFbKezlWOFV37MnDQ==" spinCount="100000" sqref="GQ95:GR95 GW95 GN95" name="Rango2_30_2_33"/>
    <protectedRange algorithmName="SHA-512" hashValue="Rgskw+AQdeJ5qbJdarzTa3SCkJfDGziy0Uan5N0F3IWn/H3Z/e+VcB56R7Nes7MPxNHewNP1sSSucVjz3iTLeA==" saltValue="qKZH3DnwaZHBzy3cBZo1qQ==" spinCount="100000" sqref="GF95" name="Rango2_31_28_30"/>
    <protectedRange algorithmName="SHA-512" hashValue="Umj9+5Ys20VQPxBFtc6qE5LtKKSgPKwit+B8dd4XnEUaLfBM2ozpkEC4YxwK0SbBiAHDDex+pY+LomQ0lyuamQ==" saltValue="N2/MCRws+mmA+NXw0axolg==" spinCount="100000" sqref="GJ95 GH95 FY95 GL95 GE95" name="Rango2_31_2_54"/>
    <protectedRange algorithmName="SHA-512" hashValue="q2z5hEFmXS0v2chiPTC/VCoDWNlnhp+Xe6Ybfxe48vIsnB/KTJQxJv+pFUnCXfZ9T6vyJopuqFFNROfQTW/JUw==" saltValue="IctfdGJb5tOTpq+KPi9vww==" spinCount="100000" sqref="IA95 ID95:IJ95" name="Rango2_88_39_85"/>
    <protectedRange algorithmName="SHA-512" hashValue="YXHanhqXL0e4jPrzkCF8r/22WmlCviFUW909WKuG1JOcU0mp0/Huh0aP3EaGYxV2ep0WGu48HsShAy4Ka2uOiw==" saltValue="h/7U5iwJm7DLR4tRVfwZYw==" spinCount="100000" sqref="GI95 GC95" name="Rango2_33_38"/>
    <protectedRange algorithmName="SHA-512" hashValue="pL4tgTKqwEsWSIEGFTBd+4pvEhE7d5Q99Eijs+L/Y1rhA0saQGGRJw5Pv2HLOP0quglztFwB6WVnQ1YGxd4AiQ==" saltValue="IF5mhk2RcoEjrcYppes1VA==" spinCount="100000" sqref="FT95" name="Rango2_30_32"/>
    <protectedRange algorithmName="SHA-512" hashValue="EEHzbvEYwO1eufllBljOz0uf9BJ2ENtvOScQ7IsS321QhYbwKn7qhHKKP8cKj02rTDvVRMWvwQ1ZP0mZWsBprQ==" saltValue="CjXqBRFbKezlWOFV37MnDQ==" spinCount="100000" sqref="GQ96:GR96 GW96 GN96" name="Rango2_30_2_39"/>
    <protectedRange algorithmName="SHA-512" hashValue="Rgskw+AQdeJ5qbJdarzTa3SCkJfDGziy0Uan5N0F3IWn/H3Z/e+VcB56R7Nes7MPxNHewNP1sSSucVjz3iTLeA==" saltValue="qKZH3DnwaZHBzy3cBZo1qQ==" spinCount="100000" sqref="GF96" name="Rango2_31_28_31"/>
    <protectedRange algorithmName="SHA-512" hashValue="Umj9+5Ys20VQPxBFtc6qE5LtKKSgPKwit+B8dd4XnEUaLfBM2ozpkEC4YxwK0SbBiAHDDex+pY+LomQ0lyuamQ==" saltValue="N2/MCRws+mmA+NXw0axolg==" spinCount="100000" sqref="GJ96 GH96 FY96 GL96 GE96" name="Rango2_31_2_55"/>
    <protectedRange algorithmName="SHA-512" hashValue="q2z5hEFmXS0v2chiPTC/VCoDWNlnhp+Xe6Ybfxe48vIsnB/KTJQxJv+pFUnCXfZ9T6vyJopuqFFNROfQTW/JUw==" saltValue="IctfdGJb5tOTpq+KPi9vww==" spinCount="100000" sqref="IA96 ID96:IJ96" name="Rango2_88_39_86"/>
    <protectedRange algorithmName="SHA-512" hashValue="YXHanhqXL0e4jPrzkCF8r/22WmlCviFUW909WKuG1JOcU0mp0/Huh0aP3EaGYxV2ep0WGu48HsShAy4Ka2uOiw==" saltValue="h/7U5iwJm7DLR4tRVfwZYw==" spinCount="100000" sqref="GI96 GC96" name="Rango2_33_39"/>
    <protectedRange algorithmName="SHA-512" hashValue="pL4tgTKqwEsWSIEGFTBd+4pvEhE7d5Q99Eijs+L/Y1rhA0saQGGRJw5Pv2HLOP0quglztFwB6WVnQ1YGxd4AiQ==" saltValue="IF5mhk2RcoEjrcYppes1VA==" spinCount="100000" sqref="FT96" name="Rango2_30_33"/>
    <protectedRange algorithmName="SHA-512" hashValue="EEHzbvEYwO1eufllBljOz0uf9BJ2ENtvOScQ7IsS321QhYbwKn7qhHKKP8cKj02rTDvVRMWvwQ1ZP0mZWsBprQ==" saltValue="CjXqBRFbKezlWOFV37MnDQ==" spinCount="100000" sqref="GQ97:GR97 GW97 GN97" name="Rango2_30_2_41"/>
    <protectedRange algorithmName="SHA-512" hashValue="Rgskw+AQdeJ5qbJdarzTa3SCkJfDGziy0Uan5N0F3IWn/H3Z/e+VcB56R7Nes7MPxNHewNP1sSSucVjz3iTLeA==" saltValue="qKZH3DnwaZHBzy3cBZo1qQ==" spinCount="100000" sqref="GF97" name="Rango2_31_28_32"/>
    <protectedRange algorithmName="SHA-512" hashValue="Umj9+5Ys20VQPxBFtc6qE5LtKKSgPKwit+B8dd4XnEUaLfBM2ozpkEC4YxwK0SbBiAHDDex+pY+LomQ0lyuamQ==" saltValue="N2/MCRws+mmA+NXw0axolg==" spinCount="100000" sqref="GJ97 GH97 FY97 GL97 GE97" name="Rango2_31_2_56"/>
    <protectedRange algorithmName="SHA-512" hashValue="q2z5hEFmXS0v2chiPTC/VCoDWNlnhp+Xe6Ybfxe48vIsnB/KTJQxJv+pFUnCXfZ9T6vyJopuqFFNROfQTW/JUw==" saltValue="IctfdGJb5tOTpq+KPi9vww==" spinCount="100000" sqref="IA97 ID97:IJ97" name="Rango2_88_39_87"/>
    <protectedRange algorithmName="SHA-512" hashValue="YXHanhqXL0e4jPrzkCF8r/22WmlCviFUW909WKuG1JOcU0mp0/Huh0aP3EaGYxV2ep0WGu48HsShAy4Ka2uOiw==" saltValue="h/7U5iwJm7DLR4tRVfwZYw==" spinCount="100000" sqref="GI97 GC97" name="Rango2_33_40"/>
    <protectedRange algorithmName="SHA-512" hashValue="pL4tgTKqwEsWSIEGFTBd+4pvEhE7d5Q99Eijs+L/Y1rhA0saQGGRJw5Pv2HLOP0quglztFwB6WVnQ1YGxd4AiQ==" saltValue="IF5mhk2RcoEjrcYppes1VA==" spinCount="100000" sqref="FT97" name="Rango2_30_34"/>
    <protectedRange algorithmName="SHA-512" hashValue="EEHzbvEYwO1eufllBljOz0uf9BJ2ENtvOScQ7IsS321QhYbwKn7qhHKKP8cKj02rTDvVRMWvwQ1ZP0mZWsBprQ==" saltValue="CjXqBRFbKezlWOFV37MnDQ==" spinCount="100000" sqref="GQ98:GR99 GW98:GW99 GN98:GN99" name="Rango2_30_2_42"/>
    <protectedRange algorithmName="SHA-512" hashValue="Rgskw+AQdeJ5qbJdarzTa3SCkJfDGziy0Uan5N0F3IWn/H3Z/e+VcB56R7Nes7MPxNHewNP1sSSucVjz3iTLeA==" saltValue="qKZH3DnwaZHBzy3cBZo1qQ==" spinCount="100000" sqref="GF98:GF99" name="Rango2_31_28_33"/>
    <protectedRange algorithmName="SHA-512" hashValue="Umj9+5Ys20VQPxBFtc6qE5LtKKSgPKwit+B8dd4XnEUaLfBM2ozpkEC4YxwK0SbBiAHDDex+pY+LomQ0lyuamQ==" saltValue="N2/MCRws+mmA+NXw0axolg==" spinCount="100000" sqref="GJ98:GJ99 GH98:GH99 FY98:FY99 GL98:GL99 GE98:GE99" name="Rango2_31_2_59"/>
    <protectedRange algorithmName="SHA-512" hashValue="q2z5hEFmXS0v2chiPTC/VCoDWNlnhp+Xe6Ybfxe48vIsnB/KTJQxJv+pFUnCXfZ9T6vyJopuqFFNROfQTW/JUw==" saltValue="IctfdGJb5tOTpq+KPi9vww==" spinCount="100000" sqref="IA98:IA99 ID98:IJ99" name="Rango2_88_39_88"/>
    <protectedRange algorithmName="SHA-512" hashValue="YXHanhqXL0e4jPrzkCF8r/22WmlCviFUW909WKuG1JOcU0mp0/Huh0aP3EaGYxV2ep0WGu48HsShAy4Ka2uOiw==" saltValue="h/7U5iwJm7DLR4tRVfwZYw==" spinCount="100000" sqref="GI98:GI99 GC98:GC99" name="Rango2_33_41"/>
    <protectedRange algorithmName="SHA-512" hashValue="pL4tgTKqwEsWSIEGFTBd+4pvEhE7d5Q99Eijs+L/Y1rhA0saQGGRJw5Pv2HLOP0quglztFwB6WVnQ1YGxd4AiQ==" saltValue="IF5mhk2RcoEjrcYppes1VA==" spinCount="100000" sqref="FT98:FT99" name="Rango2_30_35"/>
    <protectedRange algorithmName="SHA-512" hashValue="EEHzbvEYwO1eufllBljOz0uf9BJ2ENtvOScQ7IsS321QhYbwKn7qhHKKP8cKj02rTDvVRMWvwQ1ZP0mZWsBprQ==" saltValue="CjXqBRFbKezlWOFV37MnDQ==" spinCount="100000" sqref="GQ100:GR101 GW100:GW101 GN100:GN101" name="Rango2_30_2_43"/>
    <protectedRange algorithmName="SHA-512" hashValue="Rgskw+AQdeJ5qbJdarzTa3SCkJfDGziy0Uan5N0F3IWn/H3Z/e+VcB56R7Nes7MPxNHewNP1sSSucVjz3iTLeA==" saltValue="qKZH3DnwaZHBzy3cBZo1qQ==" spinCount="100000" sqref="GF100:GF101" name="Rango2_31_28_34"/>
    <protectedRange algorithmName="SHA-512" hashValue="Umj9+5Ys20VQPxBFtc6qE5LtKKSgPKwit+B8dd4XnEUaLfBM2ozpkEC4YxwK0SbBiAHDDex+pY+LomQ0lyuamQ==" saltValue="N2/MCRws+mmA+NXw0axolg==" spinCount="100000" sqref="GJ100:GJ101 GH100:GH101 FY100:FY101 GL100:GL101 GE100:GE101" name="Rango2_31_2_65"/>
    <protectedRange algorithmName="SHA-512" hashValue="q2z5hEFmXS0v2chiPTC/VCoDWNlnhp+Xe6Ybfxe48vIsnB/KTJQxJv+pFUnCXfZ9T6vyJopuqFFNROfQTW/JUw==" saltValue="IctfdGJb5tOTpq+KPi9vww==" spinCount="100000" sqref="IA100:IA101 ID100:IJ101" name="Rango2_88_39_89"/>
    <protectedRange algorithmName="SHA-512" hashValue="YXHanhqXL0e4jPrzkCF8r/22WmlCviFUW909WKuG1JOcU0mp0/Huh0aP3EaGYxV2ep0WGu48HsShAy4Ka2uOiw==" saltValue="h/7U5iwJm7DLR4tRVfwZYw==" spinCount="100000" sqref="GI100:GI101 GC100:GC101" name="Rango2_33_42"/>
    <protectedRange algorithmName="SHA-512" hashValue="pL4tgTKqwEsWSIEGFTBd+4pvEhE7d5Q99Eijs+L/Y1rhA0saQGGRJw5Pv2HLOP0quglztFwB6WVnQ1YGxd4AiQ==" saltValue="IF5mhk2RcoEjrcYppes1VA==" spinCount="100000" sqref="FT100:FT101" name="Rango2_30_36"/>
    <protectedRange algorithmName="SHA-512" hashValue="EEHzbvEYwO1eufllBljOz0uf9BJ2ENtvOScQ7IsS321QhYbwKn7qhHKKP8cKj02rTDvVRMWvwQ1ZP0mZWsBprQ==" saltValue="CjXqBRFbKezlWOFV37MnDQ==" spinCount="100000" sqref="GQ102:GR103 GW102:GW103 GN102:GN103" name="Rango2_30_2_46"/>
    <protectedRange algorithmName="SHA-512" hashValue="Rgskw+AQdeJ5qbJdarzTa3SCkJfDGziy0Uan5N0F3IWn/H3Z/e+VcB56R7Nes7MPxNHewNP1sSSucVjz3iTLeA==" saltValue="qKZH3DnwaZHBzy3cBZo1qQ==" spinCount="100000" sqref="GF102:GF103" name="Rango2_31_28_35"/>
    <protectedRange algorithmName="SHA-512" hashValue="Umj9+5Ys20VQPxBFtc6qE5LtKKSgPKwit+B8dd4XnEUaLfBM2ozpkEC4YxwK0SbBiAHDDex+pY+LomQ0lyuamQ==" saltValue="N2/MCRws+mmA+NXw0axolg==" spinCount="100000" sqref="GJ102:GJ103 GH102:GH103 FY102:FY103 GL102:GL103 GE102:GE103" name="Rango2_31_2_67"/>
    <protectedRange algorithmName="SHA-512" hashValue="q2z5hEFmXS0v2chiPTC/VCoDWNlnhp+Xe6Ybfxe48vIsnB/KTJQxJv+pFUnCXfZ9T6vyJopuqFFNROfQTW/JUw==" saltValue="IctfdGJb5tOTpq+KPi9vww==" spinCount="100000" sqref="IA102:IA103 ID102:IJ103" name="Rango2_88_39_90"/>
    <protectedRange algorithmName="SHA-512" hashValue="YXHanhqXL0e4jPrzkCF8r/22WmlCviFUW909WKuG1JOcU0mp0/Huh0aP3EaGYxV2ep0WGu48HsShAy4Ka2uOiw==" saltValue="h/7U5iwJm7DLR4tRVfwZYw==" spinCount="100000" sqref="GI102:GI103 GC102:GC103" name="Rango2_33_43"/>
    <protectedRange algorithmName="SHA-512" hashValue="pL4tgTKqwEsWSIEGFTBd+4pvEhE7d5Q99Eijs+L/Y1rhA0saQGGRJw5Pv2HLOP0quglztFwB6WVnQ1YGxd4AiQ==" saltValue="IF5mhk2RcoEjrcYppes1VA==" spinCount="100000" sqref="FT102:FT103" name="Rango2_30_37"/>
    <protectedRange algorithmName="SHA-512" hashValue="EEHzbvEYwO1eufllBljOz0uf9BJ2ENtvOScQ7IsS321QhYbwKn7qhHKKP8cKj02rTDvVRMWvwQ1ZP0mZWsBprQ==" saltValue="CjXqBRFbKezlWOFV37MnDQ==" spinCount="100000" sqref="GQ104:GR113 GW104:GW113 GN104:GN113" name="Rango2_30_2_52"/>
    <protectedRange algorithmName="SHA-512" hashValue="Rgskw+AQdeJ5qbJdarzTa3SCkJfDGziy0Uan5N0F3IWn/H3Z/e+VcB56R7Nes7MPxNHewNP1sSSucVjz3iTLeA==" saltValue="qKZH3DnwaZHBzy3cBZo1qQ==" spinCount="100000" sqref="GF104:GF113" name="Rango2_31_28_36"/>
    <protectedRange algorithmName="SHA-512" hashValue="Umj9+5Ys20VQPxBFtc6qE5LtKKSgPKwit+B8dd4XnEUaLfBM2ozpkEC4YxwK0SbBiAHDDex+pY+LomQ0lyuamQ==" saltValue="N2/MCRws+mmA+NXw0axolg==" spinCount="100000" sqref="GJ104:GJ113 GH104:GH113 FY104:FY113 GB108:GB109 GL104:GL113 GE104:GE113 GB111 GB113" name="Rango2_31_2_68"/>
    <protectedRange algorithmName="SHA-512" hashValue="q2z5hEFmXS0v2chiPTC/VCoDWNlnhp+Xe6Ybfxe48vIsnB/KTJQxJv+pFUnCXfZ9T6vyJopuqFFNROfQTW/JUw==" saltValue="IctfdGJb5tOTpq+KPi9vww==" spinCount="100000" sqref="IA104:IA113 ID104:IJ113" name="Rango2_88_39_91"/>
    <protectedRange algorithmName="SHA-512" hashValue="YXHanhqXL0e4jPrzkCF8r/22WmlCviFUW909WKuG1JOcU0mp0/Huh0aP3EaGYxV2ep0WGu48HsShAy4Ka2uOiw==" saltValue="h/7U5iwJm7DLR4tRVfwZYw==" spinCount="100000" sqref="GI104:GI113 GC104:GC113" name="Rango2_33_44"/>
    <protectedRange algorithmName="SHA-512" hashValue="pL4tgTKqwEsWSIEGFTBd+4pvEhE7d5Q99Eijs+L/Y1rhA0saQGGRJw5Pv2HLOP0quglztFwB6WVnQ1YGxd4AiQ==" saltValue="IF5mhk2RcoEjrcYppes1VA==" spinCount="100000" sqref="FT104:FT113" name="Rango2_30_38"/>
    <protectedRange algorithmName="SHA-512" hashValue="EEHzbvEYwO1eufllBljOz0uf9BJ2ENtvOScQ7IsS321QhYbwKn7qhHKKP8cKj02rTDvVRMWvwQ1ZP0mZWsBprQ==" saltValue="CjXqBRFbKezlWOFV37MnDQ==" spinCount="100000" sqref="GQ114:GR117 GW114:GW117 GN114:GN117" name="Rango2_30_2_54"/>
    <protectedRange algorithmName="SHA-512" hashValue="Rgskw+AQdeJ5qbJdarzTa3SCkJfDGziy0Uan5N0F3IWn/H3Z/e+VcB56R7Nes7MPxNHewNP1sSSucVjz3iTLeA==" saltValue="qKZH3DnwaZHBzy3cBZo1qQ==" spinCount="100000" sqref="GF114:GF117" name="Rango2_31_28_37"/>
    <protectedRange algorithmName="SHA-512" hashValue="Umj9+5Ys20VQPxBFtc6qE5LtKKSgPKwit+B8dd4XnEUaLfBM2ozpkEC4YxwK0SbBiAHDDex+pY+LomQ0lyuamQ==" saltValue="N2/MCRws+mmA+NXw0axolg==" spinCount="100000" sqref="GJ114:GJ117 GH114:GH117 FY114:FY117 GB117 GL114:GL117 GE114:GE117" name="Rango2_31_2_69"/>
    <protectedRange algorithmName="SHA-512" hashValue="q2z5hEFmXS0v2chiPTC/VCoDWNlnhp+Xe6Ybfxe48vIsnB/KTJQxJv+pFUnCXfZ9T6vyJopuqFFNROfQTW/JUw==" saltValue="IctfdGJb5tOTpq+KPi9vww==" spinCount="100000" sqref="IA114:IA117 ID114:IJ117" name="Rango2_88_39_92"/>
    <protectedRange algorithmName="SHA-512" hashValue="YXHanhqXL0e4jPrzkCF8r/22WmlCviFUW909WKuG1JOcU0mp0/Huh0aP3EaGYxV2ep0WGu48HsShAy4Ka2uOiw==" saltValue="h/7U5iwJm7DLR4tRVfwZYw==" spinCount="100000" sqref="GI114:GI117 GC114:GC117" name="Rango2_33_45"/>
    <protectedRange algorithmName="SHA-512" hashValue="pL4tgTKqwEsWSIEGFTBd+4pvEhE7d5Q99Eijs+L/Y1rhA0saQGGRJw5Pv2HLOP0quglztFwB6WVnQ1YGxd4AiQ==" saltValue="IF5mhk2RcoEjrcYppes1VA==" spinCount="100000" sqref="FT114:FT117" name="Rango2_30_39"/>
    <protectedRange algorithmName="SHA-512" hashValue="EEHzbvEYwO1eufllBljOz0uf9BJ2ENtvOScQ7IsS321QhYbwKn7qhHKKP8cKj02rTDvVRMWvwQ1ZP0mZWsBprQ==" saltValue="CjXqBRFbKezlWOFV37MnDQ==" spinCount="100000" sqref="GQ118:GR125 GW118:GW125 GN118:GN125" name="Rango2_30_2_55"/>
    <protectedRange algorithmName="SHA-512" hashValue="Rgskw+AQdeJ5qbJdarzTa3SCkJfDGziy0Uan5N0F3IWn/H3Z/e+VcB56R7Nes7MPxNHewNP1sSSucVjz3iTLeA==" saltValue="qKZH3DnwaZHBzy3cBZo1qQ==" spinCount="100000" sqref="GF118:GF125" name="Rango2_31_28_38"/>
    <protectedRange algorithmName="SHA-512" hashValue="Umj9+5Ys20VQPxBFtc6qE5LtKKSgPKwit+B8dd4XnEUaLfBM2ozpkEC4YxwK0SbBiAHDDex+pY+LomQ0lyuamQ==" saltValue="N2/MCRws+mmA+NXw0axolg==" spinCount="100000" sqref="GJ118:GJ125 GH118:GH125 FY118:FY125 GB119 GL118:GL125 GE118:GE125 GB123:GB125" name="Rango2_31_2_70"/>
    <protectedRange algorithmName="SHA-512" hashValue="q2z5hEFmXS0v2chiPTC/VCoDWNlnhp+Xe6Ybfxe48vIsnB/KTJQxJv+pFUnCXfZ9T6vyJopuqFFNROfQTW/JUw==" saltValue="IctfdGJb5tOTpq+KPi9vww==" spinCount="100000" sqref="IA118:IA125 ID118:IJ125" name="Rango2_88_39_93"/>
    <protectedRange algorithmName="SHA-512" hashValue="YXHanhqXL0e4jPrzkCF8r/22WmlCviFUW909WKuG1JOcU0mp0/Huh0aP3EaGYxV2ep0WGu48HsShAy4Ka2uOiw==" saltValue="h/7U5iwJm7DLR4tRVfwZYw==" spinCount="100000" sqref="GI118:GI125 GC118:GC125" name="Rango2_33_46"/>
    <protectedRange algorithmName="SHA-512" hashValue="pL4tgTKqwEsWSIEGFTBd+4pvEhE7d5Q99Eijs+L/Y1rhA0saQGGRJw5Pv2HLOP0quglztFwB6WVnQ1YGxd4AiQ==" saltValue="IF5mhk2RcoEjrcYppes1VA==" spinCount="100000" sqref="FT118:FT125" name="Rango2_30_40"/>
    <protectedRange algorithmName="SHA-512" hashValue="Gqwr8n5jYbCESAqCFk8dpOzViQICBV+k0xoqBoQaZ5lHaRlvT9TZDB4yXtm+qC6OhD064ZDBOFWkwo+LHXu1sg==" saltValue="gEL9PCN2ekF2IxW9yqAGYA==" spinCount="100000" sqref="IS89:IS91" name="Rango2_40_2_28"/>
    <protectedRange algorithmName="SHA-512" hashValue="D8TacORwT7iz0mF9GEucchnMHfB5er2FFjQsxyeWWyeJkM6Bt3gYQ3LbcHPxZXFpVAYtFOuTrzYOCJrlZDx16g==" saltValue="QtCzIBktdS4NZkOEGcLTRQ==" spinCount="100000" sqref="IW89:IW91" name="Rango2_41_28"/>
    <protectedRange algorithmName="SHA-512" hashValue="Gqwr8n5jYbCESAqCFk8dpOzViQICBV+k0xoqBoQaZ5lHaRlvT9TZDB4yXtm+qC6OhD064ZDBOFWkwo+LHXu1sg==" saltValue="gEL9PCN2ekF2IxW9yqAGYA==" spinCount="100000" sqref="IS92" name="Rango2_40_2_29"/>
    <protectedRange algorithmName="SHA-512" hashValue="D8TacORwT7iz0mF9GEucchnMHfB5er2FFjQsxyeWWyeJkM6Bt3gYQ3LbcHPxZXFpVAYtFOuTrzYOCJrlZDx16g==" saltValue="QtCzIBktdS4NZkOEGcLTRQ==" spinCount="100000" sqref="IW92" name="Rango2_41_29"/>
    <protectedRange algorithmName="SHA-512" hashValue="Gqwr8n5jYbCESAqCFk8dpOzViQICBV+k0xoqBoQaZ5lHaRlvT9TZDB4yXtm+qC6OhD064ZDBOFWkwo+LHXu1sg==" saltValue="gEL9PCN2ekF2IxW9yqAGYA==" spinCount="100000" sqref="IS93:IS94" name="Rango2_40_2_30"/>
    <protectedRange algorithmName="SHA-512" hashValue="D8TacORwT7iz0mF9GEucchnMHfB5er2FFjQsxyeWWyeJkM6Bt3gYQ3LbcHPxZXFpVAYtFOuTrzYOCJrlZDx16g==" saltValue="QtCzIBktdS4NZkOEGcLTRQ==" spinCount="100000" sqref="IW93:IW94" name="Rango2_41_30"/>
    <protectedRange algorithmName="SHA-512" hashValue="Gqwr8n5jYbCESAqCFk8dpOzViQICBV+k0xoqBoQaZ5lHaRlvT9TZDB4yXtm+qC6OhD064ZDBOFWkwo+LHXu1sg==" saltValue="gEL9PCN2ekF2IxW9yqAGYA==" spinCount="100000" sqref="IS95" name="Rango2_40_2_31"/>
    <protectedRange algorithmName="SHA-512" hashValue="D8TacORwT7iz0mF9GEucchnMHfB5er2FFjQsxyeWWyeJkM6Bt3gYQ3LbcHPxZXFpVAYtFOuTrzYOCJrlZDx16g==" saltValue="QtCzIBktdS4NZkOEGcLTRQ==" spinCount="100000" sqref="IW95" name="Rango2_41_31"/>
    <protectedRange algorithmName="SHA-512" hashValue="Gqwr8n5jYbCESAqCFk8dpOzViQICBV+k0xoqBoQaZ5lHaRlvT9TZDB4yXtm+qC6OhD064ZDBOFWkwo+LHXu1sg==" saltValue="gEL9PCN2ekF2IxW9yqAGYA==" spinCount="100000" sqref="IS96" name="Rango2_40_2_32"/>
    <protectedRange algorithmName="SHA-512" hashValue="D8TacORwT7iz0mF9GEucchnMHfB5er2FFjQsxyeWWyeJkM6Bt3gYQ3LbcHPxZXFpVAYtFOuTrzYOCJrlZDx16g==" saltValue="QtCzIBktdS4NZkOEGcLTRQ==" spinCount="100000" sqref="IW96" name="Rango2_41_32"/>
    <protectedRange algorithmName="SHA-512" hashValue="Gqwr8n5jYbCESAqCFk8dpOzViQICBV+k0xoqBoQaZ5lHaRlvT9TZDB4yXtm+qC6OhD064ZDBOFWkwo+LHXu1sg==" saltValue="gEL9PCN2ekF2IxW9yqAGYA==" spinCount="100000" sqref="IS97" name="Rango2_40_2_33"/>
    <protectedRange algorithmName="SHA-512" hashValue="D8TacORwT7iz0mF9GEucchnMHfB5er2FFjQsxyeWWyeJkM6Bt3gYQ3LbcHPxZXFpVAYtFOuTrzYOCJrlZDx16g==" saltValue="QtCzIBktdS4NZkOEGcLTRQ==" spinCount="100000" sqref="IW97" name="Rango2_41_33"/>
    <protectedRange algorithmName="SHA-512" hashValue="Gqwr8n5jYbCESAqCFk8dpOzViQICBV+k0xoqBoQaZ5lHaRlvT9TZDB4yXtm+qC6OhD064ZDBOFWkwo+LHXu1sg==" saltValue="gEL9PCN2ekF2IxW9yqAGYA==" spinCount="100000" sqref="IS98:IS99" name="Rango2_40_2_34"/>
    <protectedRange algorithmName="SHA-512" hashValue="D8TacORwT7iz0mF9GEucchnMHfB5er2FFjQsxyeWWyeJkM6Bt3gYQ3LbcHPxZXFpVAYtFOuTrzYOCJrlZDx16g==" saltValue="QtCzIBktdS4NZkOEGcLTRQ==" spinCount="100000" sqref="IW98:IW99" name="Rango2_41_34"/>
    <protectedRange algorithmName="SHA-512" hashValue="Gqwr8n5jYbCESAqCFk8dpOzViQICBV+k0xoqBoQaZ5lHaRlvT9TZDB4yXtm+qC6OhD064ZDBOFWkwo+LHXu1sg==" saltValue="gEL9PCN2ekF2IxW9yqAGYA==" spinCount="100000" sqref="IS100:IS101" name="Rango2_40_2_35"/>
    <protectedRange algorithmName="SHA-512" hashValue="D8TacORwT7iz0mF9GEucchnMHfB5er2FFjQsxyeWWyeJkM6Bt3gYQ3LbcHPxZXFpVAYtFOuTrzYOCJrlZDx16g==" saltValue="QtCzIBktdS4NZkOEGcLTRQ==" spinCount="100000" sqref="IW100:IW101" name="Rango2_41_35"/>
    <protectedRange algorithmName="SHA-512" hashValue="Gqwr8n5jYbCESAqCFk8dpOzViQICBV+k0xoqBoQaZ5lHaRlvT9TZDB4yXtm+qC6OhD064ZDBOFWkwo+LHXu1sg==" saltValue="gEL9PCN2ekF2IxW9yqAGYA==" spinCount="100000" sqref="IS102:IS103" name="Rango2_40_2_36"/>
    <protectedRange algorithmName="SHA-512" hashValue="D8TacORwT7iz0mF9GEucchnMHfB5er2FFjQsxyeWWyeJkM6Bt3gYQ3LbcHPxZXFpVAYtFOuTrzYOCJrlZDx16g==" saltValue="QtCzIBktdS4NZkOEGcLTRQ==" spinCount="100000" sqref="IW102:IW103" name="Rango2_41_36"/>
    <protectedRange algorithmName="SHA-512" hashValue="Gqwr8n5jYbCESAqCFk8dpOzViQICBV+k0xoqBoQaZ5lHaRlvT9TZDB4yXtm+qC6OhD064ZDBOFWkwo+LHXu1sg==" saltValue="gEL9PCN2ekF2IxW9yqAGYA==" spinCount="100000" sqref="IS104:IS113" name="Rango2_40_2_37"/>
    <protectedRange algorithmName="SHA-512" hashValue="D8TacORwT7iz0mF9GEucchnMHfB5er2FFjQsxyeWWyeJkM6Bt3gYQ3LbcHPxZXFpVAYtFOuTrzYOCJrlZDx16g==" saltValue="QtCzIBktdS4NZkOEGcLTRQ==" spinCount="100000" sqref="IW104:IW113" name="Rango2_41_37"/>
    <protectedRange algorithmName="SHA-512" hashValue="Gqwr8n5jYbCESAqCFk8dpOzViQICBV+k0xoqBoQaZ5lHaRlvT9TZDB4yXtm+qC6OhD064ZDBOFWkwo+LHXu1sg==" saltValue="gEL9PCN2ekF2IxW9yqAGYA==" spinCount="100000" sqref="IS114:IS117" name="Rango2_40_2_38"/>
    <protectedRange algorithmName="SHA-512" hashValue="D8TacORwT7iz0mF9GEucchnMHfB5er2FFjQsxyeWWyeJkM6Bt3gYQ3LbcHPxZXFpVAYtFOuTrzYOCJrlZDx16g==" saltValue="QtCzIBktdS4NZkOEGcLTRQ==" spinCount="100000" sqref="IW114:IW117" name="Rango2_41_38"/>
    <protectedRange algorithmName="SHA-512" hashValue="Gqwr8n5jYbCESAqCFk8dpOzViQICBV+k0xoqBoQaZ5lHaRlvT9TZDB4yXtm+qC6OhD064ZDBOFWkwo+LHXu1sg==" saltValue="gEL9PCN2ekF2IxW9yqAGYA==" spinCount="100000" sqref="IS118:IS125" name="Rango2_40_2_39"/>
    <protectedRange algorithmName="SHA-512" hashValue="D8TacORwT7iz0mF9GEucchnMHfB5er2FFjQsxyeWWyeJkM6Bt3gYQ3LbcHPxZXFpVAYtFOuTrzYOCJrlZDx16g==" saltValue="QtCzIBktdS4NZkOEGcLTRQ==" spinCount="100000" sqref="IW118:IW125" name="Rango2_41_39"/>
    <protectedRange algorithmName="SHA-512" hashValue="RQ91b7oAw60DVtcgB2vRpial2kSdzJx5guGCTYUwXYkKrtrUHfiYnLf9R+SNpYXlJDYpyEJLhcWwP0EqNN86dQ==" saltValue="W3RbH3zrcY9sy39xNwXNxg==" spinCount="100000" sqref="BA126:BI126 BV126:BY126" name="Rango2_88_99_42"/>
    <protectedRange algorithmName="SHA-512" hashValue="fMbmUM1DQ7FuAPRNvFL5mPdHUYjQnlLFhkuaxvHguaqR7aWyDxcmJs0jLYQfQKY+oyhsMb4Lew4VL6i7um3/ew==" saltValue="ydaTm0CeH8+/cYqoL/AMaQ==" spinCount="100000" sqref="AU126 AW126:AZ126" name="Rango2_88_91_39"/>
    <protectedRange algorithmName="SHA-512" hashValue="CHipOQaT63FWw628cQcXXJRZlrbNZ7OgmnEbDx38UmmH7z19GRYEzXFiVOzHAy1OAaAbST7g2bHZHDKQp2qm3w==" saltValue="iRVuL+373yLHv0ZHzS9qog==" spinCount="100000" sqref="AG126:AH126 AJ126 AL126" name="Rango2_88_7_5_42"/>
    <protectedRange algorithmName="SHA-512" hashValue="NkG6oHuDGvGBEiLAAq8MEJHEfLQUMyjihfH+DBXhT+eQW0r1yri7tOJEFRM9nbOejjjXiviq9RFo7KB7wF+xJA==" saltValue="bpjB0AAANu2X/PeR3eiFkA==" spinCount="100000" sqref="AM126:AS126" name="Rango2_88_65_40"/>
    <protectedRange algorithmName="SHA-512" hashValue="fPHvtIAf3pQeZUoAI9C2/vdXMHBpqqEq+67P5Ypyu4+9IWqs3yc9TZcMWQ0THLxUwqseQPyVvakuYFtCwJHsxA==" saltValue="QHIogSs2PrwAfdqa9PAOFQ==" spinCount="100000" sqref="AC126" name="Rango2_88_5_5_40"/>
    <protectedRange algorithmName="SHA-512" hashValue="LEEeiU6pKqm7TAP46VGlz0q+evvFwpT/0iLpRuWuQ7MacbP0OGL1/FSmrIEOg2rb6M+Jla2bPbVWiGag27j87w==" saltValue="HEVt+pS5OloNDlqSnzGLLw==" spinCount="100000" sqref="AI126" name="Rango2_8_7_40"/>
    <protectedRange algorithmName="SHA-512" hashValue="q2z5hEFmXS0v2chiPTC/VCoDWNlnhp+Xe6Ybfxe48vIsnB/KTJQxJv+pFUnCXfZ9T6vyJopuqFFNROfQTW/JUw==" saltValue="IctfdGJb5tOTpq+KPi9vww==" spinCount="100000" sqref="AE126:AF126" name="Rango2_88_39_94"/>
    <protectedRange algorithmName="SHA-512" hashValue="AYYX88LSDB6RDNMvSqt0KPGWPjBqTk56tMxTOlv5QD61MGTKAAQnSnudvNDWPN0Bbllh2qRQC+P5uq7goxjdrw==" saltValue="i/iPMewnks1FoXYOjKMEVg==" spinCount="100000" sqref="AB126" name="Rango2_87_6_40"/>
    <protectedRange algorithmName="SHA-512" hashValue="NUll9P9xh7KbSfMYpMxsRZLfDw/y/AzW2LSWlpXVscBDqiAxmzo71xjs+a2lh+jRa7pceOC849slke4+ZKx8LA==" saltValue="8qbkKpQ+CiQuLnqgShNvXA==" spinCount="100000" sqref="T126" name="Rango2_88_6_40"/>
    <protectedRange algorithmName="SHA-512" hashValue="KHhv3JU/LRdRrRTxxkgFceEHPZ5UzadmpZRZR3zmQRnPvkUJZuanRafIJ+qde0IWwLZSvFIQDyUAHq6v6k7XIg==" saltValue="2GKG1kCzVNNcn+vbOPuhJA==" spinCount="100000" sqref="Q126" name="Rango2_2_5_40"/>
    <protectedRange algorithmName="SHA-512" hashValue="RQ91b7oAw60DVtcgB2vRpial2kSdzJx5guGCTYUwXYkKrtrUHfiYnLf9R+SNpYXlJDYpyEJLhcWwP0EqNN86dQ==" saltValue="W3RbH3zrcY9sy39xNwXNxg==" spinCount="100000" sqref="BA127:BI127 BV127:BY127" name="Rango2_88_99_43"/>
    <protectedRange algorithmName="SHA-512" hashValue="fMbmUM1DQ7FuAPRNvFL5mPdHUYjQnlLFhkuaxvHguaqR7aWyDxcmJs0jLYQfQKY+oyhsMb4Lew4VL6i7um3/ew==" saltValue="ydaTm0CeH8+/cYqoL/AMaQ==" spinCount="100000" sqref="AU127 AW127:AZ127" name="Rango2_88_91_40"/>
    <protectedRange algorithmName="SHA-512" hashValue="CHipOQaT63FWw628cQcXXJRZlrbNZ7OgmnEbDx38UmmH7z19GRYEzXFiVOzHAy1OAaAbST7g2bHZHDKQp2qm3w==" saltValue="iRVuL+373yLHv0ZHzS9qog==" spinCount="100000" sqref="AG127:AH127 AJ127 AL127" name="Rango2_88_7_5_43"/>
    <protectedRange algorithmName="SHA-512" hashValue="NkG6oHuDGvGBEiLAAq8MEJHEfLQUMyjihfH+DBXhT+eQW0r1yri7tOJEFRM9nbOejjjXiviq9RFo7KB7wF+xJA==" saltValue="bpjB0AAANu2X/PeR3eiFkA==" spinCount="100000" sqref="AM127:AS127" name="Rango2_88_65_41"/>
    <protectedRange algorithmName="SHA-512" hashValue="fPHvtIAf3pQeZUoAI9C2/vdXMHBpqqEq+67P5Ypyu4+9IWqs3yc9TZcMWQ0THLxUwqseQPyVvakuYFtCwJHsxA==" saltValue="QHIogSs2PrwAfdqa9PAOFQ==" spinCount="100000" sqref="AC127" name="Rango2_88_5_5_41"/>
    <protectedRange algorithmName="SHA-512" hashValue="LEEeiU6pKqm7TAP46VGlz0q+evvFwpT/0iLpRuWuQ7MacbP0OGL1/FSmrIEOg2rb6M+Jla2bPbVWiGag27j87w==" saltValue="HEVt+pS5OloNDlqSnzGLLw==" spinCount="100000" sqref="AI127" name="Rango2_8_7_41"/>
    <protectedRange algorithmName="SHA-512" hashValue="q2z5hEFmXS0v2chiPTC/VCoDWNlnhp+Xe6Ybfxe48vIsnB/KTJQxJv+pFUnCXfZ9T6vyJopuqFFNROfQTW/JUw==" saltValue="IctfdGJb5tOTpq+KPi9vww==" spinCount="100000" sqref="AE127:AF127" name="Rango2_88_39_95"/>
    <protectedRange algorithmName="SHA-512" hashValue="AYYX88LSDB6RDNMvSqt0KPGWPjBqTk56tMxTOlv5QD61MGTKAAQnSnudvNDWPN0Bbllh2qRQC+P5uq7goxjdrw==" saltValue="i/iPMewnks1FoXYOjKMEVg==" spinCount="100000" sqref="AB127" name="Rango2_87_6_41"/>
    <protectedRange algorithmName="SHA-512" hashValue="NUll9P9xh7KbSfMYpMxsRZLfDw/y/AzW2LSWlpXVscBDqiAxmzo71xjs+a2lh+jRa7pceOC849slke4+ZKx8LA==" saltValue="8qbkKpQ+CiQuLnqgShNvXA==" spinCount="100000" sqref="T127" name="Rango2_88_6_41"/>
    <protectedRange algorithmName="SHA-512" hashValue="KHhv3JU/LRdRrRTxxkgFceEHPZ5UzadmpZRZR3zmQRnPvkUJZuanRafIJ+qde0IWwLZSvFIQDyUAHq6v6k7XIg==" saltValue="2GKG1kCzVNNcn+vbOPuhJA==" spinCount="100000" sqref="Q127" name="Rango2_2_5_41"/>
    <protectedRange algorithmName="SHA-512" hashValue="RQ91b7oAw60DVtcgB2vRpial2kSdzJx5guGCTYUwXYkKrtrUHfiYnLf9R+SNpYXlJDYpyEJLhcWwP0EqNN86dQ==" saltValue="W3RbH3zrcY9sy39xNwXNxg==" spinCount="100000" sqref="BA128:BI128 BV128:BY128" name="Rango2_88_99_44"/>
    <protectedRange algorithmName="SHA-512" hashValue="fMbmUM1DQ7FuAPRNvFL5mPdHUYjQnlLFhkuaxvHguaqR7aWyDxcmJs0jLYQfQKY+oyhsMb4Lew4VL6i7um3/ew==" saltValue="ydaTm0CeH8+/cYqoL/AMaQ==" spinCount="100000" sqref="AU128 AW128:AZ128" name="Rango2_88_91_41"/>
    <protectedRange algorithmName="SHA-512" hashValue="CHipOQaT63FWw628cQcXXJRZlrbNZ7OgmnEbDx38UmmH7z19GRYEzXFiVOzHAy1OAaAbST7g2bHZHDKQp2qm3w==" saltValue="iRVuL+373yLHv0ZHzS9qog==" spinCount="100000" sqref="AG128:AH128 AJ128 AL128" name="Rango2_88_7_5_44"/>
    <protectedRange algorithmName="SHA-512" hashValue="NkG6oHuDGvGBEiLAAq8MEJHEfLQUMyjihfH+DBXhT+eQW0r1yri7tOJEFRM9nbOejjjXiviq9RFo7KB7wF+xJA==" saltValue="bpjB0AAANu2X/PeR3eiFkA==" spinCount="100000" sqref="AM128:AS128" name="Rango2_88_65_42"/>
    <protectedRange algorithmName="SHA-512" hashValue="fPHvtIAf3pQeZUoAI9C2/vdXMHBpqqEq+67P5Ypyu4+9IWqs3yc9TZcMWQ0THLxUwqseQPyVvakuYFtCwJHsxA==" saltValue="QHIogSs2PrwAfdqa9PAOFQ==" spinCount="100000" sqref="AC128" name="Rango2_88_5_5_42"/>
    <protectedRange algorithmName="SHA-512" hashValue="LEEeiU6pKqm7TAP46VGlz0q+evvFwpT/0iLpRuWuQ7MacbP0OGL1/FSmrIEOg2rb6M+Jla2bPbVWiGag27j87w==" saltValue="HEVt+pS5OloNDlqSnzGLLw==" spinCount="100000" sqref="AI128" name="Rango2_8_7_42"/>
    <protectedRange algorithmName="SHA-512" hashValue="q2z5hEFmXS0v2chiPTC/VCoDWNlnhp+Xe6Ybfxe48vIsnB/KTJQxJv+pFUnCXfZ9T6vyJopuqFFNROfQTW/JUw==" saltValue="IctfdGJb5tOTpq+KPi9vww==" spinCount="100000" sqref="AE128:AF128" name="Rango2_88_39_96"/>
    <protectedRange algorithmName="SHA-512" hashValue="AYYX88LSDB6RDNMvSqt0KPGWPjBqTk56tMxTOlv5QD61MGTKAAQnSnudvNDWPN0Bbllh2qRQC+P5uq7goxjdrw==" saltValue="i/iPMewnks1FoXYOjKMEVg==" spinCount="100000" sqref="AB128" name="Rango2_87_6_42"/>
    <protectedRange algorithmName="SHA-512" hashValue="NUll9P9xh7KbSfMYpMxsRZLfDw/y/AzW2LSWlpXVscBDqiAxmzo71xjs+a2lh+jRa7pceOC849slke4+ZKx8LA==" saltValue="8qbkKpQ+CiQuLnqgShNvXA==" spinCount="100000" sqref="T128" name="Rango2_88_6_42"/>
    <protectedRange algorithmName="SHA-512" hashValue="KHhv3JU/LRdRrRTxxkgFceEHPZ5UzadmpZRZR3zmQRnPvkUJZuanRafIJ+qde0IWwLZSvFIQDyUAHq6v6k7XIg==" saltValue="2GKG1kCzVNNcn+vbOPuhJA==" spinCount="100000" sqref="Q128" name="Rango2_2_5_42"/>
    <protectedRange algorithmName="SHA-512" hashValue="RQ91b7oAw60DVtcgB2vRpial2kSdzJx5guGCTYUwXYkKrtrUHfiYnLf9R+SNpYXlJDYpyEJLhcWwP0EqNN86dQ==" saltValue="W3RbH3zrcY9sy39xNwXNxg==" spinCount="100000" sqref="BA129:BI130 BV129:BY130" name="Rango2_88_99_45"/>
    <protectedRange algorithmName="SHA-512" hashValue="fMbmUM1DQ7FuAPRNvFL5mPdHUYjQnlLFhkuaxvHguaqR7aWyDxcmJs0jLYQfQKY+oyhsMb4Lew4VL6i7um3/ew==" saltValue="ydaTm0CeH8+/cYqoL/AMaQ==" spinCount="100000" sqref="AU129:AU130 AW129:AZ130" name="Rango2_88_91_42"/>
    <protectedRange algorithmName="SHA-512" hashValue="CHipOQaT63FWw628cQcXXJRZlrbNZ7OgmnEbDx38UmmH7z19GRYEzXFiVOzHAy1OAaAbST7g2bHZHDKQp2qm3w==" saltValue="iRVuL+373yLHv0ZHzS9qog==" spinCount="100000" sqref="AG129:AH130 AJ129:AJ130 AL129:AL130" name="Rango2_88_7_5_45"/>
    <protectedRange algorithmName="SHA-512" hashValue="NkG6oHuDGvGBEiLAAq8MEJHEfLQUMyjihfH+DBXhT+eQW0r1yri7tOJEFRM9nbOejjjXiviq9RFo7KB7wF+xJA==" saltValue="bpjB0AAANu2X/PeR3eiFkA==" spinCount="100000" sqref="AM129:AS130" name="Rango2_88_65_43"/>
    <protectedRange algorithmName="SHA-512" hashValue="fPHvtIAf3pQeZUoAI9C2/vdXMHBpqqEq+67P5Ypyu4+9IWqs3yc9TZcMWQ0THLxUwqseQPyVvakuYFtCwJHsxA==" saltValue="QHIogSs2PrwAfdqa9PAOFQ==" spinCount="100000" sqref="AC129:AC130" name="Rango2_88_5_5_43"/>
    <protectedRange algorithmName="SHA-512" hashValue="LEEeiU6pKqm7TAP46VGlz0q+evvFwpT/0iLpRuWuQ7MacbP0OGL1/FSmrIEOg2rb6M+Jla2bPbVWiGag27j87w==" saltValue="HEVt+pS5OloNDlqSnzGLLw==" spinCount="100000" sqref="AI129:AI130" name="Rango2_8_7_43"/>
    <protectedRange algorithmName="SHA-512" hashValue="q2z5hEFmXS0v2chiPTC/VCoDWNlnhp+Xe6Ybfxe48vIsnB/KTJQxJv+pFUnCXfZ9T6vyJopuqFFNROfQTW/JUw==" saltValue="IctfdGJb5tOTpq+KPi9vww==" spinCount="100000" sqref="AE129:AF130" name="Rango2_88_39_97"/>
    <protectedRange algorithmName="SHA-512" hashValue="AYYX88LSDB6RDNMvSqt0KPGWPjBqTk56tMxTOlv5QD61MGTKAAQnSnudvNDWPN0Bbllh2qRQC+P5uq7goxjdrw==" saltValue="i/iPMewnks1FoXYOjKMEVg==" spinCount="100000" sqref="AB129:AB130" name="Rango2_87_6_43"/>
    <protectedRange algorithmName="SHA-512" hashValue="NUll9P9xh7KbSfMYpMxsRZLfDw/y/AzW2LSWlpXVscBDqiAxmzo71xjs+a2lh+jRa7pceOC849slke4+ZKx8LA==" saltValue="8qbkKpQ+CiQuLnqgShNvXA==" spinCount="100000" sqref="T129:T130" name="Rango2_88_6_43"/>
    <protectedRange algorithmName="SHA-512" hashValue="KHhv3JU/LRdRrRTxxkgFceEHPZ5UzadmpZRZR3zmQRnPvkUJZuanRafIJ+qde0IWwLZSvFIQDyUAHq6v6k7XIg==" saltValue="2GKG1kCzVNNcn+vbOPuhJA==" spinCount="100000" sqref="Q129:Q130" name="Rango2_2_5_43"/>
    <protectedRange algorithmName="SHA-512" hashValue="RQ91b7oAw60DVtcgB2vRpial2kSdzJx5guGCTYUwXYkKrtrUHfiYnLf9R+SNpYXlJDYpyEJLhcWwP0EqNN86dQ==" saltValue="W3RbH3zrcY9sy39xNwXNxg==" spinCount="100000" sqref="BA131:BI131 BV131:BY131" name="Rango2_88_99_47"/>
    <protectedRange algorithmName="SHA-512" hashValue="fMbmUM1DQ7FuAPRNvFL5mPdHUYjQnlLFhkuaxvHguaqR7aWyDxcmJs0jLYQfQKY+oyhsMb4Lew4VL6i7um3/ew==" saltValue="ydaTm0CeH8+/cYqoL/AMaQ==" spinCount="100000" sqref="AU131 AW131:AZ131" name="Rango2_88_91_43"/>
    <protectedRange algorithmName="SHA-512" hashValue="CHipOQaT63FWw628cQcXXJRZlrbNZ7OgmnEbDx38UmmH7z19GRYEzXFiVOzHAy1OAaAbST7g2bHZHDKQp2qm3w==" saltValue="iRVuL+373yLHv0ZHzS9qog==" spinCount="100000" sqref="AG131:AH131 AJ131 AL131" name="Rango2_88_7_5_47"/>
    <protectedRange algorithmName="SHA-512" hashValue="NkG6oHuDGvGBEiLAAq8MEJHEfLQUMyjihfH+DBXhT+eQW0r1yri7tOJEFRM9nbOejjjXiviq9RFo7KB7wF+xJA==" saltValue="bpjB0AAANu2X/PeR3eiFkA==" spinCount="100000" sqref="AM131:AS131" name="Rango2_88_65_44"/>
    <protectedRange algorithmName="SHA-512" hashValue="fPHvtIAf3pQeZUoAI9C2/vdXMHBpqqEq+67P5Ypyu4+9IWqs3yc9TZcMWQ0THLxUwqseQPyVvakuYFtCwJHsxA==" saltValue="QHIogSs2PrwAfdqa9PAOFQ==" spinCount="100000" sqref="AC131" name="Rango2_88_5_5_44"/>
    <protectedRange algorithmName="SHA-512" hashValue="LEEeiU6pKqm7TAP46VGlz0q+evvFwpT/0iLpRuWuQ7MacbP0OGL1/FSmrIEOg2rb6M+Jla2bPbVWiGag27j87w==" saltValue="HEVt+pS5OloNDlqSnzGLLw==" spinCount="100000" sqref="AI131" name="Rango2_8_7_44"/>
    <protectedRange algorithmName="SHA-512" hashValue="q2z5hEFmXS0v2chiPTC/VCoDWNlnhp+Xe6Ybfxe48vIsnB/KTJQxJv+pFUnCXfZ9T6vyJopuqFFNROfQTW/JUw==" saltValue="IctfdGJb5tOTpq+KPi9vww==" spinCount="100000" sqref="AE131:AF131" name="Rango2_88_39_98"/>
    <protectedRange algorithmName="SHA-512" hashValue="AYYX88LSDB6RDNMvSqt0KPGWPjBqTk56tMxTOlv5QD61MGTKAAQnSnudvNDWPN0Bbllh2qRQC+P5uq7goxjdrw==" saltValue="i/iPMewnks1FoXYOjKMEVg==" spinCount="100000" sqref="AB131" name="Rango2_87_6_44"/>
    <protectedRange algorithmName="SHA-512" hashValue="NUll9P9xh7KbSfMYpMxsRZLfDw/y/AzW2LSWlpXVscBDqiAxmzo71xjs+a2lh+jRa7pceOC849slke4+ZKx8LA==" saltValue="8qbkKpQ+CiQuLnqgShNvXA==" spinCount="100000" sqref="T131" name="Rango2_88_6_44"/>
    <protectedRange algorithmName="SHA-512" hashValue="KHhv3JU/LRdRrRTxxkgFceEHPZ5UzadmpZRZR3zmQRnPvkUJZuanRafIJ+qde0IWwLZSvFIQDyUAHq6v6k7XIg==" saltValue="2GKG1kCzVNNcn+vbOPuhJA==" spinCount="100000" sqref="Q131" name="Rango2_2_5_44"/>
    <protectedRange algorithmName="SHA-512" hashValue="RQ91b7oAw60DVtcgB2vRpial2kSdzJx5guGCTYUwXYkKrtrUHfiYnLf9R+SNpYXlJDYpyEJLhcWwP0EqNN86dQ==" saltValue="W3RbH3zrcY9sy39xNwXNxg==" spinCount="100000" sqref="BA132:BI132 BV132:BY132" name="Rango2_88_99_48"/>
    <protectedRange algorithmName="SHA-512" hashValue="fMbmUM1DQ7FuAPRNvFL5mPdHUYjQnlLFhkuaxvHguaqR7aWyDxcmJs0jLYQfQKY+oyhsMb4Lew4VL6i7um3/ew==" saltValue="ydaTm0CeH8+/cYqoL/AMaQ==" spinCount="100000" sqref="AU132 AW132:AZ132" name="Rango2_88_91_44"/>
    <protectedRange algorithmName="SHA-512" hashValue="CHipOQaT63FWw628cQcXXJRZlrbNZ7OgmnEbDx38UmmH7z19GRYEzXFiVOzHAy1OAaAbST7g2bHZHDKQp2qm3w==" saltValue="iRVuL+373yLHv0ZHzS9qog==" spinCount="100000" sqref="AG132:AH132 AJ132 AL132" name="Rango2_88_7_5_48"/>
    <protectedRange algorithmName="SHA-512" hashValue="NkG6oHuDGvGBEiLAAq8MEJHEfLQUMyjihfH+DBXhT+eQW0r1yri7tOJEFRM9nbOejjjXiviq9RFo7KB7wF+xJA==" saltValue="bpjB0AAANu2X/PeR3eiFkA==" spinCount="100000" sqref="AM132:AS132" name="Rango2_88_65_45"/>
    <protectedRange algorithmName="SHA-512" hashValue="fPHvtIAf3pQeZUoAI9C2/vdXMHBpqqEq+67P5Ypyu4+9IWqs3yc9TZcMWQ0THLxUwqseQPyVvakuYFtCwJHsxA==" saltValue="QHIogSs2PrwAfdqa9PAOFQ==" spinCount="100000" sqref="AC132" name="Rango2_88_5_5_45"/>
    <protectedRange algorithmName="SHA-512" hashValue="LEEeiU6pKqm7TAP46VGlz0q+evvFwpT/0iLpRuWuQ7MacbP0OGL1/FSmrIEOg2rb6M+Jla2bPbVWiGag27j87w==" saltValue="HEVt+pS5OloNDlqSnzGLLw==" spinCount="100000" sqref="AI132" name="Rango2_8_7_45"/>
    <protectedRange algorithmName="SHA-512" hashValue="q2z5hEFmXS0v2chiPTC/VCoDWNlnhp+Xe6Ybfxe48vIsnB/KTJQxJv+pFUnCXfZ9T6vyJopuqFFNROfQTW/JUw==" saltValue="IctfdGJb5tOTpq+KPi9vww==" spinCount="100000" sqref="AE132:AF132" name="Rango2_88_39_99"/>
    <protectedRange algorithmName="SHA-512" hashValue="AYYX88LSDB6RDNMvSqt0KPGWPjBqTk56tMxTOlv5QD61MGTKAAQnSnudvNDWPN0Bbllh2qRQC+P5uq7goxjdrw==" saltValue="i/iPMewnks1FoXYOjKMEVg==" spinCount="100000" sqref="AB132" name="Rango2_87_6_45"/>
    <protectedRange algorithmName="SHA-512" hashValue="NUll9P9xh7KbSfMYpMxsRZLfDw/y/AzW2LSWlpXVscBDqiAxmzo71xjs+a2lh+jRa7pceOC849slke4+ZKx8LA==" saltValue="8qbkKpQ+CiQuLnqgShNvXA==" spinCount="100000" sqref="T132" name="Rango2_88_6_45"/>
    <protectedRange algorithmName="SHA-512" hashValue="KHhv3JU/LRdRrRTxxkgFceEHPZ5UzadmpZRZR3zmQRnPvkUJZuanRafIJ+qde0IWwLZSvFIQDyUAHq6v6k7XIg==" saltValue="2GKG1kCzVNNcn+vbOPuhJA==" spinCount="100000" sqref="Q132" name="Rango2_2_5_45"/>
    <protectedRange algorithmName="SHA-512" hashValue="RQ91b7oAw60DVtcgB2vRpial2kSdzJx5guGCTYUwXYkKrtrUHfiYnLf9R+SNpYXlJDYpyEJLhcWwP0EqNN86dQ==" saltValue="W3RbH3zrcY9sy39xNwXNxg==" spinCount="100000" sqref="BA133:BI133 BV133:BY133" name="Rango2_88_99_49"/>
    <protectedRange algorithmName="SHA-512" hashValue="fMbmUM1DQ7FuAPRNvFL5mPdHUYjQnlLFhkuaxvHguaqR7aWyDxcmJs0jLYQfQKY+oyhsMb4Lew4VL6i7um3/ew==" saltValue="ydaTm0CeH8+/cYqoL/AMaQ==" spinCount="100000" sqref="AU133 AW133:AZ133" name="Rango2_88_91_45"/>
    <protectedRange algorithmName="SHA-512" hashValue="CHipOQaT63FWw628cQcXXJRZlrbNZ7OgmnEbDx38UmmH7z19GRYEzXFiVOzHAy1OAaAbST7g2bHZHDKQp2qm3w==" saltValue="iRVuL+373yLHv0ZHzS9qog==" spinCount="100000" sqref="AG133:AH133 AJ133 AL133" name="Rango2_88_7_5_49"/>
    <protectedRange algorithmName="SHA-512" hashValue="NkG6oHuDGvGBEiLAAq8MEJHEfLQUMyjihfH+DBXhT+eQW0r1yri7tOJEFRM9nbOejjjXiviq9RFo7KB7wF+xJA==" saltValue="bpjB0AAANu2X/PeR3eiFkA==" spinCount="100000" sqref="AM133:AS133" name="Rango2_88_65_46"/>
    <protectedRange algorithmName="SHA-512" hashValue="fPHvtIAf3pQeZUoAI9C2/vdXMHBpqqEq+67P5Ypyu4+9IWqs3yc9TZcMWQ0THLxUwqseQPyVvakuYFtCwJHsxA==" saltValue="QHIogSs2PrwAfdqa9PAOFQ==" spinCount="100000" sqref="AC133" name="Rango2_88_5_5_46"/>
    <protectedRange algorithmName="SHA-512" hashValue="LEEeiU6pKqm7TAP46VGlz0q+evvFwpT/0iLpRuWuQ7MacbP0OGL1/FSmrIEOg2rb6M+Jla2bPbVWiGag27j87w==" saltValue="HEVt+pS5OloNDlqSnzGLLw==" spinCount="100000" sqref="AI133" name="Rango2_8_7_46"/>
    <protectedRange algorithmName="SHA-512" hashValue="AYYX88LSDB6RDNMvSqt0KPGWPjBqTk56tMxTOlv5QD61MGTKAAQnSnudvNDWPN0Bbllh2qRQC+P5uq7goxjdrw==" saltValue="i/iPMewnks1FoXYOjKMEVg==" spinCount="100000" sqref="AB133" name="Rango2_87_6_46"/>
    <protectedRange algorithmName="SHA-512" hashValue="NUll9P9xh7KbSfMYpMxsRZLfDw/y/AzW2LSWlpXVscBDqiAxmzo71xjs+a2lh+jRa7pceOC849slke4+ZKx8LA==" saltValue="8qbkKpQ+CiQuLnqgShNvXA==" spinCount="100000" sqref="T133" name="Rango2_88_6_46"/>
    <protectedRange algorithmName="SHA-512" hashValue="KHhv3JU/LRdRrRTxxkgFceEHPZ5UzadmpZRZR3zmQRnPvkUJZuanRafIJ+qde0IWwLZSvFIQDyUAHq6v6k7XIg==" saltValue="2GKG1kCzVNNcn+vbOPuhJA==" spinCount="100000" sqref="Q133" name="Rango2_2_5_46"/>
    <protectedRange algorithmName="SHA-512" hashValue="RQ91b7oAw60DVtcgB2vRpial2kSdzJx5guGCTYUwXYkKrtrUHfiYnLf9R+SNpYXlJDYpyEJLhcWwP0EqNN86dQ==" saltValue="W3RbH3zrcY9sy39xNwXNxg==" spinCount="100000" sqref="BA134:BI134 BV134:BY134" name="Rango2_88_99_50"/>
    <protectedRange algorithmName="SHA-512" hashValue="fMbmUM1DQ7FuAPRNvFL5mPdHUYjQnlLFhkuaxvHguaqR7aWyDxcmJs0jLYQfQKY+oyhsMb4Lew4VL6i7um3/ew==" saltValue="ydaTm0CeH8+/cYqoL/AMaQ==" spinCount="100000" sqref="AU134 AW134:AZ134" name="Rango2_88_91_46"/>
    <protectedRange algorithmName="SHA-512" hashValue="CHipOQaT63FWw628cQcXXJRZlrbNZ7OgmnEbDx38UmmH7z19GRYEzXFiVOzHAy1OAaAbST7g2bHZHDKQp2qm3w==" saltValue="iRVuL+373yLHv0ZHzS9qog==" spinCount="100000" sqref="AG134:AH134 AJ134 AL134" name="Rango2_88_7_5_50"/>
    <protectedRange algorithmName="SHA-512" hashValue="NkG6oHuDGvGBEiLAAq8MEJHEfLQUMyjihfH+DBXhT+eQW0r1yri7tOJEFRM9nbOejjjXiviq9RFo7KB7wF+xJA==" saltValue="bpjB0AAANu2X/PeR3eiFkA==" spinCount="100000" sqref="AM134:AS134" name="Rango2_88_65_47"/>
    <protectedRange algorithmName="SHA-512" hashValue="fPHvtIAf3pQeZUoAI9C2/vdXMHBpqqEq+67P5Ypyu4+9IWqs3yc9TZcMWQ0THLxUwqseQPyVvakuYFtCwJHsxA==" saltValue="QHIogSs2PrwAfdqa9PAOFQ==" spinCount="100000" sqref="AC134" name="Rango2_88_5_5_47"/>
    <protectedRange algorithmName="SHA-512" hashValue="LEEeiU6pKqm7TAP46VGlz0q+evvFwpT/0iLpRuWuQ7MacbP0OGL1/FSmrIEOg2rb6M+Jla2bPbVWiGag27j87w==" saltValue="HEVt+pS5OloNDlqSnzGLLw==" spinCount="100000" sqref="AI134" name="Rango2_8_7_47"/>
    <protectedRange algorithmName="SHA-512" hashValue="AYYX88LSDB6RDNMvSqt0KPGWPjBqTk56tMxTOlv5QD61MGTKAAQnSnudvNDWPN0Bbllh2qRQC+P5uq7goxjdrw==" saltValue="i/iPMewnks1FoXYOjKMEVg==" spinCount="100000" sqref="AB134" name="Rango2_87_6_47"/>
    <protectedRange algorithmName="SHA-512" hashValue="NUll9P9xh7KbSfMYpMxsRZLfDw/y/AzW2LSWlpXVscBDqiAxmzo71xjs+a2lh+jRa7pceOC849slke4+ZKx8LA==" saltValue="8qbkKpQ+CiQuLnqgShNvXA==" spinCount="100000" sqref="T134" name="Rango2_88_6_47"/>
    <protectedRange algorithmName="SHA-512" hashValue="KHhv3JU/LRdRrRTxxkgFceEHPZ5UzadmpZRZR3zmQRnPvkUJZuanRafIJ+qde0IWwLZSvFIQDyUAHq6v6k7XIg==" saltValue="2GKG1kCzVNNcn+vbOPuhJA==" spinCount="100000" sqref="Q134" name="Rango2_2_5_47"/>
    <protectedRange algorithmName="SHA-512" hashValue="RQ91b7oAw60DVtcgB2vRpial2kSdzJx5guGCTYUwXYkKrtrUHfiYnLf9R+SNpYXlJDYpyEJLhcWwP0EqNN86dQ==" saltValue="W3RbH3zrcY9sy39xNwXNxg==" spinCount="100000" sqref="BA135:BI135 BV135:BY135" name="Rango2_88_99_51"/>
    <protectedRange algorithmName="SHA-512" hashValue="fMbmUM1DQ7FuAPRNvFL5mPdHUYjQnlLFhkuaxvHguaqR7aWyDxcmJs0jLYQfQKY+oyhsMb4Lew4VL6i7um3/ew==" saltValue="ydaTm0CeH8+/cYqoL/AMaQ==" spinCount="100000" sqref="AU135 AW135:AZ135" name="Rango2_88_91_47"/>
    <protectedRange algorithmName="SHA-512" hashValue="CHipOQaT63FWw628cQcXXJRZlrbNZ7OgmnEbDx38UmmH7z19GRYEzXFiVOzHAy1OAaAbST7g2bHZHDKQp2qm3w==" saltValue="iRVuL+373yLHv0ZHzS9qog==" spinCount="100000" sqref="AG135:AH135 AJ135 AL135" name="Rango2_88_7_5_51"/>
    <protectedRange algorithmName="SHA-512" hashValue="NkG6oHuDGvGBEiLAAq8MEJHEfLQUMyjihfH+DBXhT+eQW0r1yri7tOJEFRM9nbOejjjXiviq9RFo7KB7wF+xJA==" saltValue="bpjB0AAANu2X/PeR3eiFkA==" spinCount="100000" sqref="AM135:AS135" name="Rango2_88_65_48"/>
    <protectedRange algorithmName="SHA-512" hashValue="fPHvtIAf3pQeZUoAI9C2/vdXMHBpqqEq+67P5Ypyu4+9IWqs3yc9TZcMWQ0THLxUwqseQPyVvakuYFtCwJHsxA==" saltValue="QHIogSs2PrwAfdqa9PAOFQ==" spinCount="100000" sqref="AC135" name="Rango2_88_5_5_48"/>
    <protectedRange algorithmName="SHA-512" hashValue="LEEeiU6pKqm7TAP46VGlz0q+evvFwpT/0iLpRuWuQ7MacbP0OGL1/FSmrIEOg2rb6M+Jla2bPbVWiGag27j87w==" saltValue="HEVt+pS5OloNDlqSnzGLLw==" spinCount="100000" sqref="AI135" name="Rango2_8_7_48"/>
    <protectedRange algorithmName="SHA-512" hashValue="AYYX88LSDB6RDNMvSqt0KPGWPjBqTk56tMxTOlv5QD61MGTKAAQnSnudvNDWPN0Bbllh2qRQC+P5uq7goxjdrw==" saltValue="i/iPMewnks1FoXYOjKMEVg==" spinCount="100000" sqref="AB135" name="Rango2_87_6_48"/>
    <protectedRange algorithmName="SHA-512" hashValue="NUll9P9xh7KbSfMYpMxsRZLfDw/y/AzW2LSWlpXVscBDqiAxmzo71xjs+a2lh+jRa7pceOC849slke4+ZKx8LA==" saltValue="8qbkKpQ+CiQuLnqgShNvXA==" spinCount="100000" sqref="T135" name="Rango2_88_6_48"/>
    <protectedRange algorithmName="SHA-512" hashValue="KHhv3JU/LRdRrRTxxkgFceEHPZ5UzadmpZRZR3zmQRnPvkUJZuanRafIJ+qde0IWwLZSvFIQDyUAHq6v6k7XIg==" saltValue="2GKG1kCzVNNcn+vbOPuhJA==" spinCount="100000" sqref="Q135" name="Rango2_2_5_48"/>
    <protectedRange algorithmName="SHA-512" hashValue="RQ91b7oAw60DVtcgB2vRpial2kSdzJx5guGCTYUwXYkKrtrUHfiYnLf9R+SNpYXlJDYpyEJLhcWwP0EqNN86dQ==" saltValue="W3RbH3zrcY9sy39xNwXNxg==" spinCount="100000" sqref="BA136:BI136 BV136:BY136" name="Rango2_88_99_52"/>
    <protectedRange algorithmName="SHA-512" hashValue="fMbmUM1DQ7FuAPRNvFL5mPdHUYjQnlLFhkuaxvHguaqR7aWyDxcmJs0jLYQfQKY+oyhsMb4Lew4VL6i7um3/ew==" saltValue="ydaTm0CeH8+/cYqoL/AMaQ==" spinCount="100000" sqref="AU136 AW136:AZ136" name="Rango2_88_91_48"/>
    <protectedRange algorithmName="SHA-512" hashValue="CHipOQaT63FWw628cQcXXJRZlrbNZ7OgmnEbDx38UmmH7z19GRYEzXFiVOzHAy1OAaAbST7g2bHZHDKQp2qm3w==" saltValue="iRVuL+373yLHv0ZHzS9qog==" spinCount="100000" sqref="AG136:AH136 AJ136 AL136" name="Rango2_88_7_5_52"/>
    <protectedRange algorithmName="SHA-512" hashValue="NkG6oHuDGvGBEiLAAq8MEJHEfLQUMyjihfH+DBXhT+eQW0r1yri7tOJEFRM9nbOejjjXiviq9RFo7KB7wF+xJA==" saltValue="bpjB0AAANu2X/PeR3eiFkA==" spinCount="100000" sqref="AM136:AS136" name="Rango2_88_65_49"/>
    <protectedRange algorithmName="SHA-512" hashValue="fPHvtIAf3pQeZUoAI9C2/vdXMHBpqqEq+67P5Ypyu4+9IWqs3yc9TZcMWQ0THLxUwqseQPyVvakuYFtCwJHsxA==" saltValue="QHIogSs2PrwAfdqa9PAOFQ==" spinCount="100000" sqref="AC136" name="Rango2_88_5_5_49"/>
    <protectedRange algorithmName="SHA-512" hashValue="LEEeiU6pKqm7TAP46VGlz0q+evvFwpT/0iLpRuWuQ7MacbP0OGL1/FSmrIEOg2rb6M+Jla2bPbVWiGag27j87w==" saltValue="HEVt+pS5OloNDlqSnzGLLw==" spinCount="100000" sqref="AI136" name="Rango2_8_7_49"/>
    <protectedRange algorithmName="SHA-512" hashValue="AYYX88LSDB6RDNMvSqt0KPGWPjBqTk56tMxTOlv5QD61MGTKAAQnSnudvNDWPN0Bbllh2qRQC+P5uq7goxjdrw==" saltValue="i/iPMewnks1FoXYOjKMEVg==" spinCount="100000" sqref="AB136" name="Rango2_87_6_49"/>
    <protectedRange algorithmName="SHA-512" hashValue="NUll9P9xh7KbSfMYpMxsRZLfDw/y/AzW2LSWlpXVscBDqiAxmzo71xjs+a2lh+jRa7pceOC849slke4+ZKx8LA==" saltValue="8qbkKpQ+CiQuLnqgShNvXA==" spinCount="100000" sqref="T136" name="Rango2_88_6_49"/>
    <protectedRange algorithmName="SHA-512" hashValue="KHhv3JU/LRdRrRTxxkgFceEHPZ5UzadmpZRZR3zmQRnPvkUJZuanRafIJ+qde0IWwLZSvFIQDyUAHq6v6k7XIg==" saltValue="2GKG1kCzVNNcn+vbOPuhJA==" spinCount="100000" sqref="Q136" name="Rango2_2_5_49"/>
    <protectedRange algorithmName="SHA-512" hashValue="RQ91b7oAw60DVtcgB2vRpial2kSdzJx5guGCTYUwXYkKrtrUHfiYnLf9R+SNpYXlJDYpyEJLhcWwP0EqNN86dQ==" saltValue="W3RbH3zrcY9sy39xNwXNxg==" spinCount="100000" sqref="BA137:BI139 BV137:BY139" name="Rango2_88_99_53"/>
    <protectedRange algorithmName="SHA-512" hashValue="fMbmUM1DQ7FuAPRNvFL5mPdHUYjQnlLFhkuaxvHguaqR7aWyDxcmJs0jLYQfQKY+oyhsMb4Lew4VL6i7um3/ew==" saltValue="ydaTm0CeH8+/cYqoL/AMaQ==" spinCount="100000" sqref="AU137:AU139 AW137:AZ139" name="Rango2_88_91_49"/>
    <protectedRange algorithmName="SHA-512" hashValue="CHipOQaT63FWw628cQcXXJRZlrbNZ7OgmnEbDx38UmmH7z19GRYEzXFiVOzHAy1OAaAbST7g2bHZHDKQp2qm3w==" saltValue="iRVuL+373yLHv0ZHzS9qog==" spinCount="100000" sqref="AG137:AH139 AJ137:AJ139 AL137:AL139" name="Rango2_88_7_5_53"/>
    <protectedRange algorithmName="SHA-512" hashValue="NkG6oHuDGvGBEiLAAq8MEJHEfLQUMyjihfH+DBXhT+eQW0r1yri7tOJEFRM9nbOejjjXiviq9RFo7KB7wF+xJA==" saltValue="bpjB0AAANu2X/PeR3eiFkA==" spinCount="100000" sqref="AM137:AS139" name="Rango2_88_65_50"/>
    <protectedRange algorithmName="SHA-512" hashValue="fPHvtIAf3pQeZUoAI9C2/vdXMHBpqqEq+67P5Ypyu4+9IWqs3yc9TZcMWQ0THLxUwqseQPyVvakuYFtCwJHsxA==" saltValue="QHIogSs2PrwAfdqa9PAOFQ==" spinCount="100000" sqref="AC137:AC139" name="Rango2_88_5_5_50"/>
    <protectedRange algorithmName="SHA-512" hashValue="LEEeiU6pKqm7TAP46VGlz0q+evvFwpT/0iLpRuWuQ7MacbP0OGL1/FSmrIEOg2rb6M+Jla2bPbVWiGag27j87w==" saltValue="HEVt+pS5OloNDlqSnzGLLw==" spinCount="100000" sqref="AI137:AI139" name="Rango2_8_7_50"/>
    <protectedRange algorithmName="SHA-512" hashValue="AYYX88LSDB6RDNMvSqt0KPGWPjBqTk56tMxTOlv5QD61MGTKAAQnSnudvNDWPN0Bbllh2qRQC+P5uq7goxjdrw==" saltValue="i/iPMewnks1FoXYOjKMEVg==" spinCount="100000" sqref="AB137:AB139" name="Rango2_87_6_50"/>
    <protectedRange algorithmName="SHA-512" hashValue="NUll9P9xh7KbSfMYpMxsRZLfDw/y/AzW2LSWlpXVscBDqiAxmzo71xjs+a2lh+jRa7pceOC849slke4+ZKx8LA==" saltValue="8qbkKpQ+CiQuLnqgShNvXA==" spinCount="100000" sqref="T137:T139" name="Rango2_88_6_50"/>
    <protectedRange algorithmName="SHA-512" hashValue="KHhv3JU/LRdRrRTxxkgFceEHPZ5UzadmpZRZR3zmQRnPvkUJZuanRafIJ+qde0IWwLZSvFIQDyUAHq6v6k7XIg==" saltValue="2GKG1kCzVNNcn+vbOPuhJA==" spinCount="100000" sqref="Q137:Q139" name="Rango2_2_5_50"/>
    <protectedRange algorithmName="SHA-512" hashValue="RQ91b7oAw60DVtcgB2vRpial2kSdzJx5guGCTYUwXYkKrtrUHfiYnLf9R+SNpYXlJDYpyEJLhcWwP0EqNN86dQ==" saltValue="W3RbH3zrcY9sy39xNwXNxg==" spinCount="100000" sqref="BA140:BI140 BV140:BY140" name="Rango2_88_99_54"/>
    <protectedRange algorithmName="SHA-512" hashValue="fMbmUM1DQ7FuAPRNvFL5mPdHUYjQnlLFhkuaxvHguaqR7aWyDxcmJs0jLYQfQKY+oyhsMb4Lew4VL6i7um3/ew==" saltValue="ydaTm0CeH8+/cYqoL/AMaQ==" spinCount="100000" sqref="AU140 AW140:AZ140" name="Rango2_88_91_50"/>
    <protectedRange algorithmName="SHA-512" hashValue="CHipOQaT63FWw628cQcXXJRZlrbNZ7OgmnEbDx38UmmH7z19GRYEzXFiVOzHAy1OAaAbST7g2bHZHDKQp2qm3w==" saltValue="iRVuL+373yLHv0ZHzS9qog==" spinCount="100000" sqref="AG140:AH140 AJ140 AL140" name="Rango2_88_7_5_54"/>
    <protectedRange algorithmName="SHA-512" hashValue="NkG6oHuDGvGBEiLAAq8MEJHEfLQUMyjihfH+DBXhT+eQW0r1yri7tOJEFRM9nbOejjjXiviq9RFo7KB7wF+xJA==" saltValue="bpjB0AAANu2X/PeR3eiFkA==" spinCount="100000" sqref="AM140:AS140" name="Rango2_88_65_51"/>
    <protectedRange algorithmName="SHA-512" hashValue="fPHvtIAf3pQeZUoAI9C2/vdXMHBpqqEq+67P5Ypyu4+9IWqs3yc9TZcMWQ0THLxUwqseQPyVvakuYFtCwJHsxA==" saltValue="QHIogSs2PrwAfdqa9PAOFQ==" spinCount="100000" sqref="AC140" name="Rango2_88_5_5_51"/>
    <protectedRange algorithmName="SHA-512" hashValue="LEEeiU6pKqm7TAP46VGlz0q+evvFwpT/0iLpRuWuQ7MacbP0OGL1/FSmrIEOg2rb6M+Jla2bPbVWiGag27j87w==" saltValue="HEVt+pS5OloNDlqSnzGLLw==" spinCount="100000" sqref="AI140" name="Rango2_8_7_51"/>
    <protectedRange algorithmName="SHA-512" hashValue="AYYX88LSDB6RDNMvSqt0KPGWPjBqTk56tMxTOlv5QD61MGTKAAQnSnudvNDWPN0Bbllh2qRQC+P5uq7goxjdrw==" saltValue="i/iPMewnks1FoXYOjKMEVg==" spinCount="100000" sqref="AB140" name="Rango2_87_6_51"/>
    <protectedRange algorithmName="SHA-512" hashValue="NUll9P9xh7KbSfMYpMxsRZLfDw/y/AzW2LSWlpXVscBDqiAxmzo71xjs+a2lh+jRa7pceOC849slke4+ZKx8LA==" saltValue="8qbkKpQ+CiQuLnqgShNvXA==" spinCount="100000" sqref="T140" name="Rango2_88_6_51"/>
    <protectedRange algorithmName="SHA-512" hashValue="KHhv3JU/LRdRrRTxxkgFceEHPZ5UzadmpZRZR3zmQRnPvkUJZuanRafIJ+qde0IWwLZSvFIQDyUAHq6v6k7XIg==" saltValue="2GKG1kCzVNNcn+vbOPuhJA==" spinCount="100000" sqref="Q140" name="Rango2_2_5_51"/>
    <protectedRange algorithmName="SHA-512" hashValue="RQ91b7oAw60DVtcgB2vRpial2kSdzJx5guGCTYUwXYkKrtrUHfiYnLf9R+SNpYXlJDYpyEJLhcWwP0EqNN86dQ==" saltValue="W3RbH3zrcY9sy39xNwXNxg==" spinCount="100000" sqref="BA141:BI141 BV141:BY141" name="Rango2_88_99_55"/>
    <protectedRange algorithmName="SHA-512" hashValue="fMbmUM1DQ7FuAPRNvFL5mPdHUYjQnlLFhkuaxvHguaqR7aWyDxcmJs0jLYQfQKY+oyhsMb4Lew4VL6i7um3/ew==" saltValue="ydaTm0CeH8+/cYqoL/AMaQ==" spinCount="100000" sqref="AU141 AW141:AZ141" name="Rango2_88_91_51"/>
    <protectedRange algorithmName="SHA-512" hashValue="CHipOQaT63FWw628cQcXXJRZlrbNZ7OgmnEbDx38UmmH7z19GRYEzXFiVOzHAy1OAaAbST7g2bHZHDKQp2qm3w==" saltValue="iRVuL+373yLHv0ZHzS9qog==" spinCount="100000" sqref="AG141:AH141 AJ141 AL141" name="Rango2_88_7_5_55"/>
    <protectedRange algorithmName="SHA-512" hashValue="NkG6oHuDGvGBEiLAAq8MEJHEfLQUMyjihfH+DBXhT+eQW0r1yri7tOJEFRM9nbOejjjXiviq9RFo7KB7wF+xJA==" saltValue="bpjB0AAANu2X/PeR3eiFkA==" spinCount="100000" sqref="AM141:AS141" name="Rango2_88_65_52"/>
    <protectedRange algorithmName="SHA-512" hashValue="fPHvtIAf3pQeZUoAI9C2/vdXMHBpqqEq+67P5Ypyu4+9IWqs3yc9TZcMWQ0THLxUwqseQPyVvakuYFtCwJHsxA==" saltValue="QHIogSs2PrwAfdqa9PAOFQ==" spinCount="100000" sqref="AC141" name="Rango2_88_5_5_52"/>
    <protectedRange algorithmName="SHA-512" hashValue="LEEeiU6pKqm7TAP46VGlz0q+evvFwpT/0iLpRuWuQ7MacbP0OGL1/FSmrIEOg2rb6M+Jla2bPbVWiGag27j87w==" saltValue="HEVt+pS5OloNDlqSnzGLLw==" spinCount="100000" sqref="AI141" name="Rango2_8_7_52"/>
    <protectedRange algorithmName="SHA-512" hashValue="AYYX88LSDB6RDNMvSqt0KPGWPjBqTk56tMxTOlv5QD61MGTKAAQnSnudvNDWPN0Bbllh2qRQC+P5uq7goxjdrw==" saltValue="i/iPMewnks1FoXYOjKMEVg==" spinCount="100000" sqref="AB141" name="Rango2_87_6_52"/>
    <protectedRange algorithmName="SHA-512" hashValue="NUll9P9xh7KbSfMYpMxsRZLfDw/y/AzW2LSWlpXVscBDqiAxmzo71xjs+a2lh+jRa7pceOC849slke4+ZKx8LA==" saltValue="8qbkKpQ+CiQuLnqgShNvXA==" spinCount="100000" sqref="T141" name="Rango2_88_6_52"/>
    <protectedRange algorithmName="SHA-512" hashValue="KHhv3JU/LRdRrRTxxkgFceEHPZ5UzadmpZRZR3zmQRnPvkUJZuanRafIJ+qde0IWwLZSvFIQDyUAHq6v6k7XIg==" saltValue="2GKG1kCzVNNcn+vbOPuhJA==" spinCount="100000" sqref="Q141" name="Rango2_2_5_52"/>
    <protectedRange algorithmName="SHA-512" hashValue="RQ91b7oAw60DVtcgB2vRpial2kSdzJx5guGCTYUwXYkKrtrUHfiYnLf9R+SNpYXlJDYpyEJLhcWwP0EqNN86dQ==" saltValue="W3RbH3zrcY9sy39xNwXNxg==" spinCount="100000" sqref="BA142:BI142 BV142:BY142" name="Rango2_88_99_56"/>
    <protectedRange algorithmName="SHA-512" hashValue="fMbmUM1DQ7FuAPRNvFL5mPdHUYjQnlLFhkuaxvHguaqR7aWyDxcmJs0jLYQfQKY+oyhsMb4Lew4VL6i7um3/ew==" saltValue="ydaTm0CeH8+/cYqoL/AMaQ==" spinCount="100000" sqref="AU142 AW142:AZ142" name="Rango2_88_91_52"/>
    <protectedRange algorithmName="SHA-512" hashValue="CHipOQaT63FWw628cQcXXJRZlrbNZ7OgmnEbDx38UmmH7z19GRYEzXFiVOzHAy1OAaAbST7g2bHZHDKQp2qm3w==" saltValue="iRVuL+373yLHv0ZHzS9qog==" spinCount="100000" sqref="AG142:AH142 AJ142 AL142" name="Rango2_88_7_5_56"/>
    <protectedRange algorithmName="SHA-512" hashValue="NkG6oHuDGvGBEiLAAq8MEJHEfLQUMyjihfH+DBXhT+eQW0r1yri7tOJEFRM9nbOejjjXiviq9RFo7KB7wF+xJA==" saltValue="bpjB0AAANu2X/PeR3eiFkA==" spinCount="100000" sqref="AM142:AS142" name="Rango2_88_65_53"/>
    <protectedRange algorithmName="SHA-512" hashValue="fPHvtIAf3pQeZUoAI9C2/vdXMHBpqqEq+67P5Ypyu4+9IWqs3yc9TZcMWQ0THLxUwqseQPyVvakuYFtCwJHsxA==" saltValue="QHIogSs2PrwAfdqa9PAOFQ==" spinCount="100000" sqref="AC142" name="Rango2_88_5_5_53"/>
    <protectedRange algorithmName="SHA-512" hashValue="LEEeiU6pKqm7TAP46VGlz0q+evvFwpT/0iLpRuWuQ7MacbP0OGL1/FSmrIEOg2rb6M+Jla2bPbVWiGag27j87w==" saltValue="HEVt+pS5OloNDlqSnzGLLw==" spinCount="100000" sqref="AI142" name="Rango2_8_7_53"/>
    <protectedRange algorithmName="SHA-512" hashValue="AYYX88LSDB6RDNMvSqt0KPGWPjBqTk56tMxTOlv5QD61MGTKAAQnSnudvNDWPN0Bbllh2qRQC+P5uq7goxjdrw==" saltValue="i/iPMewnks1FoXYOjKMEVg==" spinCount="100000" sqref="AB142" name="Rango2_87_6_53"/>
    <protectedRange algorithmName="SHA-512" hashValue="NUll9P9xh7KbSfMYpMxsRZLfDw/y/AzW2LSWlpXVscBDqiAxmzo71xjs+a2lh+jRa7pceOC849slke4+ZKx8LA==" saltValue="8qbkKpQ+CiQuLnqgShNvXA==" spinCount="100000" sqref="T142" name="Rango2_88_6_53"/>
    <protectedRange algorithmName="SHA-512" hashValue="KHhv3JU/LRdRrRTxxkgFceEHPZ5UzadmpZRZR3zmQRnPvkUJZuanRafIJ+qde0IWwLZSvFIQDyUAHq6v6k7XIg==" saltValue="2GKG1kCzVNNcn+vbOPuhJA==" spinCount="100000" sqref="Q142" name="Rango2_2_5_53"/>
    <protectedRange algorithmName="SHA-512" hashValue="EEHzbvEYwO1eufllBljOz0uf9BJ2ENtvOScQ7IsS321QhYbwKn7qhHKKP8cKj02rTDvVRMWvwQ1ZP0mZWsBprQ==" saltValue="CjXqBRFbKezlWOFV37MnDQ==" spinCount="100000" sqref="GQ126:GR126 GW126 GN126" name="Rango2_30_2_56"/>
    <protectedRange algorithmName="SHA-512" hashValue="Rgskw+AQdeJ5qbJdarzTa3SCkJfDGziy0Uan5N0F3IWn/H3Z/e+VcB56R7Nes7MPxNHewNP1sSSucVjz3iTLeA==" saltValue="qKZH3DnwaZHBzy3cBZo1qQ==" spinCount="100000" sqref="GF126" name="Rango2_31_28_39"/>
    <protectedRange algorithmName="SHA-512" hashValue="Umj9+5Ys20VQPxBFtc6qE5LtKKSgPKwit+B8dd4XnEUaLfBM2ozpkEC4YxwK0SbBiAHDDex+pY+LomQ0lyuamQ==" saltValue="N2/MCRws+mmA+NXw0axolg==" spinCount="100000" sqref="GJ126 GH126 GE126 GB126 GL126 FY126" name="Rango2_31_2_71"/>
    <protectedRange algorithmName="SHA-512" hashValue="YXHanhqXL0e4jPrzkCF8r/22WmlCviFUW909WKuG1JOcU0mp0/Huh0aP3EaGYxV2ep0WGu48HsShAy4Ka2uOiw==" saltValue="h/7U5iwJm7DLR4tRVfwZYw==" spinCount="100000" sqref="GI126 GC126" name="Rango2_33_47"/>
    <protectedRange algorithmName="SHA-512" hashValue="pL4tgTKqwEsWSIEGFTBd+4pvEhE7d5Q99Eijs+L/Y1rhA0saQGGRJw5Pv2HLOP0quglztFwB6WVnQ1YGxd4AiQ==" saltValue="IF5mhk2RcoEjrcYppes1VA==" spinCount="100000" sqref="FT126" name="Rango2_30_41"/>
    <protectedRange algorithmName="SHA-512" hashValue="EEHzbvEYwO1eufllBljOz0uf9BJ2ENtvOScQ7IsS321QhYbwKn7qhHKKP8cKj02rTDvVRMWvwQ1ZP0mZWsBprQ==" saltValue="CjXqBRFbKezlWOFV37MnDQ==" spinCount="100000" sqref="GQ127:GR127 GW127 GN127" name="Rango2_30_2_59"/>
    <protectedRange algorithmName="SHA-512" hashValue="Rgskw+AQdeJ5qbJdarzTa3SCkJfDGziy0Uan5N0F3IWn/H3Z/e+VcB56R7Nes7MPxNHewNP1sSSucVjz3iTLeA==" saltValue="qKZH3DnwaZHBzy3cBZo1qQ==" spinCount="100000" sqref="GF127" name="Rango2_31_28_40"/>
    <protectedRange algorithmName="SHA-512" hashValue="Umj9+5Ys20VQPxBFtc6qE5LtKKSgPKwit+B8dd4XnEUaLfBM2ozpkEC4YxwK0SbBiAHDDex+pY+LomQ0lyuamQ==" saltValue="N2/MCRws+mmA+NXw0axolg==" spinCount="100000" sqref="GJ127 GH127 GE127 GL127 FY127" name="Rango2_31_2_72"/>
    <protectedRange algorithmName="SHA-512" hashValue="YXHanhqXL0e4jPrzkCF8r/22WmlCviFUW909WKuG1JOcU0mp0/Huh0aP3EaGYxV2ep0WGu48HsShAy4Ka2uOiw==" saltValue="h/7U5iwJm7DLR4tRVfwZYw==" spinCount="100000" sqref="GI127 GC127" name="Rango2_33_48"/>
    <protectedRange algorithmName="SHA-512" hashValue="pL4tgTKqwEsWSIEGFTBd+4pvEhE7d5Q99Eijs+L/Y1rhA0saQGGRJw5Pv2HLOP0quglztFwB6WVnQ1YGxd4AiQ==" saltValue="IF5mhk2RcoEjrcYppes1VA==" spinCount="100000" sqref="FT127" name="Rango2_30_42"/>
    <protectedRange algorithmName="SHA-512" hashValue="EEHzbvEYwO1eufllBljOz0uf9BJ2ENtvOScQ7IsS321QhYbwKn7qhHKKP8cKj02rTDvVRMWvwQ1ZP0mZWsBprQ==" saltValue="CjXqBRFbKezlWOFV37MnDQ==" spinCount="100000" sqref="GQ128:GR128 GW128 GN128" name="Rango2_30_2_65"/>
    <protectedRange algorithmName="SHA-512" hashValue="Rgskw+AQdeJ5qbJdarzTa3SCkJfDGziy0Uan5N0F3IWn/H3Z/e+VcB56R7Nes7MPxNHewNP1sSSucVjz3iTLeA==" saltValue="qKZH3DnwaZHBzy3cBZo1qQ==" spinCount="100000" sqref="GF128" name="Rango2_31_28_41"/>
    <protectedRange algorithmName="SHA-512" hashValue="Umj9+5Ys20VQPxBFtc6qE5LtKKSgPKwit+B8dd4XnEUaLfBM2ozpkEC4YxwK0SbBiAHDDex+pY+LomQ0lyuamQ==" saltValue="N2/MCRws+mmA+NXw0axolg==" spinCount="100000" sqref="GJ128 GH128 GE128 GL128 FY128" name="Rango2_31_2_73"/>
    <protectedRange algorithmName="SHA-512" hashValue="YXHanhqXL0e4jPrzkCF8r/22WmlCviFUW909WKuG1JOcU0mp0/Huh0aP3EaGYxV2ep0WGu48HsShAy4Ka2uOiw==" saltValue="h/7U5iwJm7DLR4tRVfwZYw==" spinCount="100000" sqref="GI128 GC128" name="Rango2_33_49"/>
    <protectedRange algorithmName="SHA-512" hashValue="pL4tgTKqwEsWSIEGFTBd+4pvEhE7d5Q99Eijs+L/Y1rhA0saQGGRJw5Pv2HLOP0quglztFwB6WVnQ1YGxd4AiQ==" saltValue="IF5mhk2RcoEjrcYppes1VA==" spinCount="100000" sqref="FT128" name="Rango2_30_43"/>
    <protectedRange algorithmName="SHA-512" hashValue="EEHzbvEYwO1eufllBljOz0uf9BJ2ENtvOScQ7IsS321QhYbwKn7qhHKKP8cKj02rTDvVRMWvwQ1ZP0mZWsBprQ==" saltValue="CjXqBRFbKezlWOFV37MnDQ==" spinCount="100000" sqref="GQ129:GR130 GW129:GW130 GN129:GN130" name="Rango2_30_2_67"/>
    <protectedRange algorithmName="SHA-512" hashValue="Rgskw+AQdeJ5qbJdarzTa3SCkJfDGziy0Uan5N0F3IWn/H3Z/e+VcB56R7Nes7MPxNHewNP1sSSucVjz3iTLeA==" saltValue="qKZH3DnwaZHBzy3cBZo1qQ==" spinCount="100000" sqref="GF129:GF130" name="Rango2_31_28_42"/>
    <protectedRange algorithmName="SHA-512" hashValue="Umj9+5Ys20VQPxBFtc6qE5LtKKSgPKwit+B8dd4XnEUaLfBM2ozpkEC4YxwK0SbBiAHDDex+pY+LomQ0lyuamQ==" saltValue="N2/MCRws+mmA+NXw0axolg==" spinCount="100000" sqref="GJ129:GJ130 GH129:GH130 GE129:GE130 GB130 GL129:GL130 FY129:FY130" name="Rango2_31_2_74"/>
    <protectedRange algorithmName="SHA-512" hashValue="YXHanhqXL0e4jPrzkCF8r/22WmlCviFUW909WKuG1JOcU0mp0/Huh0aP3EaGYxV2ep0WGu48HsShAy4Ka2uOiw==" saltValue="h/7U5iwJm7DLR4tRVfwZYw==" spinCount="100000" sqref="GI129:GI130 GC129:GC130" name="Rango2_33_50"/>
    <protectedRange algorithmName="SHA-512" hashValue="pL4tgTKqwEsWSIEGFTBd+4pvEhE7d5Q99Eijs+L/Y1rhA0saQGGRJw5Pv2HLOP0quglztFwB6WVnQ1YGxd4AiQ==" saltValue="IF5mhk2RcoEjrcYppes1VA==" spinCount="100000" sqref="FT129:FT130" name="Rango2_30_44"/>
    <protectedRange algorithmName="SHA-512" hashValue="EEHzbvEYwO1eufllBljOz0uf9BJ2ENtvOScQ7IsS321QhYbwKn7qhHKKP8cKj02rTDvVRMWvwQ1ZP0mZWsBprQ==" saltValue="CjXqBRFbKezlWOFV37MnDQ==" spinCount="100000" sqref="GQ131:GR131 GW131 GN131" name="Rango2_30_2_68"/>
    <protectedRange algorithmName="SHA-512" hashValue="Rgskw+AQdeJ5qbJdarzTa3SCkJfDGziy0Uan5N0F3IWn/H3Z/e+VcB56R7Nes7MPxNHewNP1sSSucVjz3iTLeA==" saltValue="qKZH3DnwaZHBzy3cBZo1qQ==" spinCount="100000" sqref="GF131" name="Rango2_31_28_43"/>
    <protectedRange algorithmName="SHA-512" hashValue="Umj9+5Ys20VQPxBFtc6qE5LtKKSgPKwit+B8dd4XnEUaLfBM2ozpkEC4YxwK0SbBiAHDDex+pY+LomQ0lyuamQ==" saltValue="N2/MCRws+mmA+NXw0axolg==" spinCount="100000" sqref="GJ131 GH131 GE131 GB131 GL131 FY131" name="Rango2_31_2_75"/>
    <protectedRange algorithmName="SHA-512" hashValue="YXHanhqXL0e4jPrzkCF8r/22WmlCviFUW909WKuG1JOcU0mp0/Huh0aP3EaGYxV2ep0WGu48HsShAy4Ka2uOiw==" saltValue="h/7U5iwJm7DLR4tRVfwZYw==" spinCount="100000" sqref="GI131 GC131" name="Rango2_33_51"/>
    <protectedRange algorithmName="SHA-512" hashValue="pL4tgTKqwEsWSIEGFTBd+4pvEhE7d5Q99Eijs+L/Y1rhA0saQGGRJw5Pv2HLOP0quglztFwB6WVnQ1YGxd4AiQ==" saltValue="IF5mhk2RcoEjrcYppes1VA==" spinCount="100000" sqref="FT131" name="Rango2_30_45"/>
    <protectedRange algorithmName="SHA-512" hashValue="EEHzbvEYwO1eufllBljOz0uf9BJ2ENtvOScQ7IsS321QhYbwKn7qhHKKP8cKj02rTDvVRMWvwQ1ZP0mZWsBprQ==" saltValue="CjXqBRFbKezlWOFV37MnDQ==" spinCount="100000" sqref="GQ132:GR132 GW132 GN132" name="Rango2_30_2_69"/>
    <protectedRange algorithmName="SHA-512" hashValue="Rgskw+AQdeJ5qbJdarzTa3SCkJfDGziy0Uan5N0F3IWn/H3Z/e+VcB56R7Nes7MPxNHewNP1sSSucVjz3iTLeA==" saltValue="qKZH3DnwaZHBzy3cBZo1qQ==" spinCount="100000" sqref="GF132" name="Rango2_31_28_44"/>
    <protectedRange algorithmName="SHA-512" hashValue="Umj9+5Ys20VQPxBFtc6qE5LtKKSgPKwit+B8dd4XnEUaLfBM2ozpkEC4YxwK0SbBiAHDDex+pY+LomQ0lyuamQ==" saltValue="N2/MCRws+mmA+NXw0axolg==" spinCount="100000" sqref="GJ132 GH132 GE132 GB132 GL132 FY132" name="Rango2_31_2_76"/>
    <protectedRange algorithmName="SHA-512" hashValue="YXHanhqXL0e4jPrzkCF8r/22WmlCviFUW909WKuG1JOcU0mp0/Huh0aP3EaGYxV2ep0WGu48HsShAy4Ka2uOiw==" saltValue="h/7U5iwJm7DLR4tRVfwZYw==" spinCount="100000" sqref="GI132 GC132" name="Rango2_33_52"/>
    <protectedRange algorithmName="SHA-512" hashValue="pL4tgTKqwEsWSIEGFTBd+4pvEhE7d5Q99Eijs+L/Y1rhA0saQGGRJw5Pv2HLOP0quglztFwB6WVnQ1YGxd4AiQ==" saltValue="IF5mhk2RcoEjrcYppes1VA==" spinCount="100000" sqref="FT132" name="Rango2_30_46"/>
    <protectedRange algorithmName="SHA-512" hashValue="EEHzbvEYwO1eufllBljOz0uf9BJ2ENtvOScQ7IsS321QhYbwKn7qhHKKP8cKj02rTDvVRMWvwQ1ZP0mZWsBprQ==" saltValue="CjXqBRFbKezlWOFV37MnDQ==" spinCount="100000" sqref="GQ133:GR133 GW133 GN133" name="Rango2_30_2_70"/>
    <protectedRange algorithmName="SHA-512" hashValue="Rgskw+AQdeJ5qbJdarzTa3SCkJfDGziy0Uan5N0F3IWn/H3Z/e+VcB56R7Nes7MPxNHewNP1sSSucVjz3iTLeA==" saltValue="qKZH3DnwaZHBzy3cBZo1qQ==" spinCount="100000" sqref="GF133" name="Rango2_31_28_45"/>
    <protectedRange algorithmName="SHA-512" hashValue="Umj9+5Ys20VQPxBFtc6qE5LtKKSgPKwit+B8dd4XnEUaLfBM2ozpkEC4YxwK0SbBiAHDDex+pY+LomQ0lyuamQ==" saltValue="N2/MCRws+mmA+NXw0axolg==" spinCount="100000" sqref="GJ133 GH133 GE133 GB133 GL133 FY133" name="Rango2_31_2_77"/>
    <protectedRange algorithmName="SHA-512" hashValue="YXHanhqXL0e4jPrzkCF8r/22WmlCviFUW909WKuG1JOcU0mp0/Huh0aP3EaGYxV2ep0WGu48HsShAy4Ka2uOiw==" saltValue="h/7U5iwJm7DLR4tRVfwZYw==" spinCount="100000" sqref="GI133 GC133" name="Rango2_33_53"/>
    <protectedRange algorithmName="SHA-512" hashValue="pL4tgTKqwEsWSIEGFTBd+4pvEhE7d5Q99Eijs+L/Y1rhA0saQGGRJw5Pv2HLOP0quglztFwB6WVnQ1YGxd4AiQ==" saltValue="IF5mhk2RcoEjrcYppes1VA==" spinCount="100000" sqref="FT133" name="Rango2_30_47"/>
    <protectedRange algorithmName="SHA-512" hashValue="EEHzbvEYwO1eufllBljOz0uf9BJ2ENtvOScQ7IsS321QhYbwKn7qhHKKP8cKj02rTDvVRMWvwQ1ZP0mZWsBprQ==" saltValue="CjXqBRFbKezlWOFV37MnDQ==" spinCount="100000" sqref="GQ134:GR134 GW134 GN134" name="Rango2_30_2_71"/>
    <protectedRange algorithmName="SHA-512" hashValue="Rgskw+AQdeJ5qbJdarzTa3SCkJfDGziy0Uan5N0F3IWn/H3Z/e+VcB56R7Nes7MPxNHewNP1sSSucVjz3iTLeA==" saltValue="qKZH3DnwaZHBzy3cBZo1qQ==" spinCount="100000" sqref="GF134" name="Rango2_31_28_46"/>
    <protectedRange algorithmName="SHA-512" hashValue="Umj9+5Ys20VQPxBFtc6qE5LtKKSgPKwit+B8dd4XnEUaLfBM2ozpkEC4YxwK0SbBiAHDDex+pY+LomQ0lyuamQ==" saltValue="N2/MCRws+mmA+NXw0axolg==" spinCount="100000" sqref="GJ134 GH134 GE134 GL134 FY134" name="Rango2_31_2_78"/>
    <protectedRange algorithmName="SHA-512" hashValue="YXHanhqXL0e4jPrzkCF8r/22WmlCviFUW909WKuG1JOcU0mp0/Huh0aP3EaGYxV2ep0WGu48HsShAy4Ka2uOiw==" saltValue="h/7U5iwJm7DLR4tRVfwZYw==" spinCount="100000" sqref="GI134 GC134" name="Rango2_33_54"/>
    <protectedRange algorithmName="SHA-512" hashValue="pL4tgTKqwEsWSIEGFTBd+4pvEhE7d5Q99Eijs+L/Y1rhA0saQGGRJw5Pv2HLOP0quglztFwB6WVnQ1YGxd4AiQ==" saltValue="IF5mhk2RcoEjrcYppes1VA==" spinCount="100000" sqref="FT134" name="Rango2_30_48"/>
    <protectedRange algorithmName="SHA-512" hashValue="EEHzbvEYwO1eufllBljOz0uf9BJ2ENtvOScQ7IsS321QhYbwKn7qhHKKP8cKj02rTDvVRMWvwQ1ZP0mZWsBprQ==" saltValue="CjXqBRFbKezlWOFV37MnDQ==" spinCount="100000" sqref="GQ135:GR135 GW135 GN135" name="Rango2_30_2_72"/>
    <protectedRange algorithmName="SHA-512" hashValue="Rgskw+AQdeJ5qbJdarzTa3SCkJfDGziy0Uan5N0F3IWn/H3Z/e+VcB56R7Nes7MPxNHewNP1sSSucVjz3iTLeA==" saltValue="qKZH3DnwaZHBzy3cBZo1qQ==" spinCount="100000" sqref="GF135" name="Rango2_31_28_47"/>
    <protectedRange algorithmName="SHA-512" hashValue="Umj9+5Ys20VQPxBFtc6qE5LtKKSgPKwit+B8dd4XnEUaLfBM2ozpkEC4YxwK0SbBiAHDDex+pY+LomQ0lyuamQ==" saltValue="N2/MCRws+mmA+NXw0axolg==" spinCount="100000" sqref="GJ135 GH135 GE135 GL135 FY135" name="Rango2_31_2_79"/>
    <protectedRange algorithmName="SHA-512" hashValue="YXHanhqXL0e4jPrzkCF8r/22WmlCviFUW909WKuG1JOcU0mp0/Huh0aP3EaGYxV2ep0WGu48HsShAy4Ka2uOiw==" saltValue="h/7U5iwJm7DLR4tRVfwZYw==" spinCount="100000" sqref="GI135 GC135" name="Rango2_33_55"/>
    <protectedRange algorithmName="SHA-512" hashValue="pL4tgTKqwEsWSIEGFTBd+4pvEhE7d5Q99Eijs+L/Y1rhA0saQGGRJw5Pv2HLOP0quglztFwB6WVnQ1YGxd4AiQ==" saltValue="IF5mhk2RcoEjrcYppes1VA==" spinCount="100000" sqref="FT135" name="Rango2_30_49"/>
    <protectedRange algorithmName="SHA-512" hashValue="EEHzbvEYwO1eufllBljOz0uf9BJ2ENtvOScQ7IsS321QhYbwKn7qhHKKP8cKj02rTDvVRMWvwQ1ZP0mZWsBprQ==" saltValue="CjXqBRFbKezlWOFV37MnDQ==" spinCount="100000" sqref="GQ136:GR136 GW136 GN136" name="Rango2_30_2_73"/>
    <protectedRange algorithmName="SHA-512" hashValue="Rgskw+AQdeJ5qbJdarzTa3SCkJfDGziy0Uan5N0F3IWn/H3Z/e+VcB56R7Nes7MPxNHewNP1sSSucVjz3iTLeA==" saltValue="qKZH3DnwaZHBzy3cBZo1qQ==" spinCount="100000" sqref="GF136" name="Rango2_31_28_48"/>
    <protectedRange algorithmName="SHA-512" hashValue="Umj9+5Ys20VQPxBFtc6qE5LtKKSgPKwit+B8dd4XnEUaLfBM2ozpkEC4YxwK0SbBiAHDDex+pY+LomQ0lyuamQ==" saltValue="N2/MCRws+mmA+NXw0axolg==" spinCount="100000" sqref="GJ136 GH136 GE136 GL136 FY136" name="Rango2_31_2_80"/>
    <protectedRange algorithmName="SHA-512" hashValue="YXHanhqXL0e4jPrzkCF8r/22WmlCviFUW909WKuG1JOcU0mp0/Huh0aP3EaGYxV2ep0WGu48HsShAy4Ka2uOiw==" saltValue="h/7U5iwJm7DLR4tRVfwZYw==" spinCount="100000" sqref="GI136 GC136" name="Rango2_33_56"/>
    <protectedRange algorithmName="SHA-512" hashValue="pL4tgTKqwEsWSIEGFTBd+4pvEhE7d5Q99Eijs+L/Y1rhA0saQGGRJw5Pv2HLOP0quglztFwB6WVnQ1YGxd4AiQ==" saltValue="IF5mhk2RcoEjrcYppes1VA==" spinCount="100000" sqref="FT136" name="Rango2_30_50"/>
    <protectedRange algorithmName="SHA-512" hashValue="EEHzbvEYwO1eufllBljOz0uf9BJ2ENtvOScQ7IsS321QhYbwKn7qhHKKP8cKj02rTDvVRMWvwQ1ZP0mZWsBprQ==" saltValue="CjXqBRFbKezlWOFV37MnDQ==" spinCount="100000" sqref="GQ137:GR139 GW137:GW139 GN137:GN139" name="Rango2_30_2_74"/>
    <protectedRange algorithmName="SHA-512" hashValue="Rgskw+AQdeJ5qbJdarzTa3SCkJfDGziy0Uan5N0F3IWn/H3Z/e+VcB56R7Nes7MPxNHewNP1sSSucVjz3iTLeA==" saltValue="qKZH3DnwaZHBzy3cBZo1qQ==" spinCount="100000" sqref="GF137:GF139" name="Rango2_31_28_49"/>
    <protectedRange algorithmName="SHA-512" hashValue="Umj9+5Ys20VQPxBFtc6qE5LtKKSgPKwit+B8dd4XnEUaLfBM2ozpkEC4YxwK0SbBiAHDDex+pY+LomQ0lyuamQ==" saltValue="N2/MCRws+mmA+NXw0axolg==" spinCount="100000" sqref="GJ137:GJ139 GH137:GH139 GE137:GE139 GB137 GL137:GL139 FY137:FY139" name="Rango2_31_2_81"/>
    <protectedRange algorithmName="SHA-512" hashValue="YXHanhqXL0e4jPrzkCF8r/22WmlCviFUW909WKuG1JOcU0mp0/Huh0aP3EaGYxV2ep0WGu48HsShAy4Ka2uOiw==" saltValue="h/7U5iwJm7DLR4tRVfwZYw==" spinCount="100000" sqref="GI137:GI139 GC137:GC139" name="Rango2_33_57"/>
    <protectedRange algorithmName="SHA-512" hashValue="pL4tgTKqwEsWSIEGFTBd+4pvEhE7d5Q99Eijs+L/Y1rhA0saQGGRJw5Pv2HLOP0quglztFwB6WVnQ1YGxd4AiQ==" saltValue="IF5mhk2RcoEjrcYppes1VA==" spinCount="100000" sqref="FT137:FT139" name="Rango2_30_51"/>
    <protectedRange algorithmName="SHA-512" hashValue="EEHzbvEYwO1eufllBljOz0uf9BJ2ENtvOScQ7IsS321QhYbwKn7qhHKKP8cKj02rTDvVRMWvwQ1ZP0mZWsBprQ==" saltValue="CjXqBRFbKezlWOFV37MnDQ==" spinCount="100000" sqref="GQ140:GR140 GW140 GN140" name="Rango2_30_2_75"/>
    <protectedRange algorithmName="SHA-512" hashValue="Rgskw+AQdeJ5qbJdarzTa3SCkJfDGziy0Uan5N0F3IWn/H3Z/e+VcB56R7Nes7MPxNHewNP1sSSucVjz3iTLeA==" saltValue="qKZH3DnwaZHBzy3cBZo1qQ==" spinCount="100000" sqref="GF140" name="Rango2_31_28_50"/>
    <protectedRange algorithmName="SHA-512" hashValue="Umj9+5Ys20VQPxBFtc6qE5LtKKSgPKwit+B8dd4XnEUaLfBM2ozpkEC4YxwK0SbBiAHDDex+pY+LomQ0lyuamQ==" saltValue="N2/MCRws+mmA+NXw0axolg==" spinCount="100000" sqref="GJ140 GH140 GE140 GB140 GL140 FY140" name="Rango2_31_2_82"/>
    <protectedRange algorithmName="SHA-512" hashValue="YXHanhqXL0e4jPrzkCF8r/22WmlCviFUW909WKuG1JOcU0mp0/Huh0aP3EaGYxV2ep0WGu48HsShAy4Ka2uOiw==" saltValue="h/7U5iwJm7DLR4tRVfwZYw==" spinCount="100000" sqref="GI140 GC140" name="Rango2_33_58"/>
    <protectedRange algorithmName="SHA-512" hashValue="pL4tgTKqwEsWSIEGFTBd+4pvEhE7d5Q99Eijs+L/Y1rhA0saQGGRJw5Pv2HLOP0quglztFwB6WVnQ1YGxd4AiQ==" saltValue="IF5mhk2RcoEjrcYppes1VA==" spinCount="100000" sqref="FT140" name="Rango2_30_52"/>
    <protectedRange algorithmName="SHA-512" hashValue="EEHzbvEYwO1eufllBljOz0uf9BJ2ENtvOScQ7IsS321QhYbwKn7qhHKKP8cKj02rTDvVRMWvwQ1ZP0mZWsBprQ==" saltValue="CjXqBRFbKezlWOFV37MnDQ==" spinCount="100000" sqref="GQ141:GR141 GW141 GN141" name="Rango2_30_2_76"/>
    <protectedRange algorithmName="SHA-512" hashValue="Rgskw+AQdeJ5qbJdarzTa3SCkJfDGziy0Uan5N0F3IWn/H3Z/e+VcB56R7Nes7MPxNHewNP1sSSucVjz3iTLeA==" saltValue="qKZH3DnwaZHBzy3cBZo1qQ==" spinCount="100000" sqref="GF141" name="Rango2_31_28_51"/>
    <protectedRange algorithmName="SHA-512" hashValue="Umj9+5Ys20VQPxBFtc6qE5LtKKSgPKwit+B8dd4XnEUaLfBM2ozpkEC4YxwK0SbBiAHDDex+pY+LomQ0lyuamQ==" saltValue="N2/MCRws+mmA+NXw0axolg==" spinCount="100000" sqref="GJ141 GH141 GE141 GB141 GL141 FY141" name="Rango2_31_2_83"/>
    <protectedRange algorithmName="SHA-512" hashValue="YXHanhqXL0e4jPrzkCF8r/22WmlCviFUW909WKuG1JOcU0mp0/Huh0aP3EaGYxV2ep0WGu48HsShAy4Ka2uOiw==" saltValue="h/7U5iwJm7DLR4tRVfwZYw==" spinCount="100000" sqref="GI141 GC141" name="Rango2_33_59"/>
    <protectedRange algorithmName="SHA-512" hashValue="pL4tgTKqwEsWSIEGFTBd+4pvEhE7d5Q99Eijs+L/Y1rhA0saQGGRJw5Pv2HLOP0quglztFwB6WVnQ1YGxd4AiQ==" saltValue="IF5mhk2RcoEjrcYppes1VA==" spinCount="100000" sqref="FT141" name="Rango2_30_53"/>
    <protectedRange algorithmName="SHA-512" hashValue="EEHzbvEYwO1eufllBljOz0uf9BJ2ENtvOScQ7IsS321QhYbwKn7qhHKKP8cKj02rTDvVRMWvwQ1ZP0mZWsBprQ==" saltValue="CjXqBRFbKezlWOFV37MnDQ==" spinCount="100000" sqref="GQ142:GR142 GW142 GN142" name="Rango2_30_2_77"/>
    <protectedRange algorithmName="SHA-512" hashValue="Rgskw+AQdeJ5qbJdarzTa3SCkJfDGziy0Uan5N0F3IWn/H3Z/e+VcB56R7Nes7MPxNHewNP1sSSucVjz3iTLeA==" saltValue="qKZH3DnwaZHBzy3cBZo1qQ==" spinCount="100000" sqref="GF142" name="Rango2_31_28_52"/>
    <protectedRange algorithmName="SHA-512" hashValue="Umj9+5Ys20VQPxBFtc6qE5LtKKSgPKwit+B8dd4XnEUaLfBM2ozpkEC4YxwK0SbBiAHDDex+pY+LomQ0lyuamQ==" saltValue="N2/MCRws+mmA+NXw0axolg==" spinCount="100000" sqref="GJ142 GH142 GE142 GB142 GL142 FY142" name="Rango2_31_2_84"/>
    <protectedRange algorithmName="SHA-512" hashValue="YXHanhqXL0e4jPrzkCF8r/22WmlCviFUW909WKuG1JOcU0mp0/Huh0aP3EaGYxV2ep0WGu48HsShAy4Ka2uOiw==" saltValue="h/7U5iwJm7DLR4tRVfwZYw==" spinCount="100000" sqref="GI142 GC142" name="Rango2_33_60"/>
    <protectedRange algorithmName="SHA-512" hashValue="pL4tgTKqwEsWSIEGFTBd+4pvEhE7d5Q99Eijs+L/Y1rhA0saQGGRJw5Pv2HLOP0quglztFwB6WVnQ1YGxd4AiQ==" saltValue="IF5mhk2RcoEjrcYppes1VA==" spinCount="100000" sqref="FT142" name="Rango2_30_54"/>
    <protectedRange algorithmName="SHA-512" hashValue="Gqwr8n5jYbCESAqCFk8dpOzViQICBV+k0xoqBoQaZ5lHaRlvT9TZDB4yXtm+qC6OhD064ZDBOFWkwo+LHXu1sg==" saltValue="gEL9PCN2ekF2IxW9yqAGYA==" spinCount="100000" sqref="IS126" name="Rango2_40_2_40"/>
    <protectedRange algorithmName="SHA-512" hashValue="D8TacORwT7iz0mF9GEucchnMHfB5er2FFjQsxyeWWyeJkM6Bt3gYQ3LbcHPxZXFpVAYtFOuTrzYOCJrlZDx16g==" saltValue="QtCzIBktdS4NZkOEGcLTRQ==" spinCount="100000" sqref="IW126" name="Rango2_41_40"/>
    <protectedRange algorithmName="SHA-512" hashValue="Gqwr8n5jYbCESAqCFk8dpOzViQICBV+k0xoqBoQaZ5lHaRlvT9TZDB4yXtm+qC6OhD064ZDBOFWkwo+LHXu1sg==" saltValue="gEL9PCN2ekF2IxW9yqAGYA==" spinCount="100000" sqref="IS127" name="Rango2_40_2_41"/>
    <protectedRange algorithmName="SHA-512" hashValue="D8TacORwT7iz0mF9GEucchnMHfB5er2FFjQsxyeWWyeJkM6Bt3gYQ3LbcHPxZXFpVAYtFOuTrzYOCJrlZDx16g==" saltValue="QtCzIBktdS4NZkOEGcLTRQ==" spinCount="100000" sqref="IW127" name="Rango2_41_41"/>
    <protectedRange algorithmName="SHA-512" hashValue="Gqwr8n5jYbCESAqCFk8dpOzViQICBV+k0xoqBoQaZ5lHaRlvT9TZDB4yXtm+qC6OhD064ZDBOFWkwo+LHXu1sg==" saltValue="gEL9PCN2ekF2IxW9yqAGYA==" spinCount="100000" sqref="IS128" name="Rango2_40_2_42"/>
    <protectedRange algorithmName="SHA-512" hashValue="D8TacORwT7iz0mF9GEucchnMHfB5er2FFjQsxyeWWyeJkM6Bt3gYQ3LbcHPxZXFpVAYtFOuTrzYOCJrlZDx16g==" saltValue="QtCzIBktdS4NZkOEGcLTRQ==" spinCount="100000" sqref="IW128" name="Rango2_41_42"/>
    <protectedRange algorithmName="SHA-512" hashValue="Gqwr8n5jYbCESAqCFk8dpOzViQICBV+k0xoqBoQaZ5lHaRlvT9TZDB4yXtm+qC6OhD064ZDBOFWkwo+LHXu1sg==" saltValue="gEL9PCN2ekF2IxW9yqAGYA==" spinCount="100000" sqref="IS129:IS130" name="Rango2_40_2_43"/>
    <protectedRange algorithmName="SHA-512" hashValue="D8TacORwT7iz0mF9GEucchnMHfB5er2FFjQsxyeWWyeJkM6Bt3gYQ3LbcHPxZXFpVAYtFOuTrzYOCJrlZDx16g==" saltValue="QtCzIBktdS4NZkOEGcLTRQ==" spinCount="100000" sqref="IW129:IW130" name="Rango2_41_43"/>
    <protectedRange algorithmName="SHA-512" hashValue="Gqwr8n5jYbCESAqCFk8dpOzViQICBV+k0xoqBoQaZ5lHaRlvT9TZDB4yXtm+qC6OhD064ZDBOFWkwo+LHXu1sg==" saltValue="gEL9PCN2ekF2IxW9yqAGYA==" spinCount="100000" sqref="IS131" name="Rango2_40_2_44"/>
    <protectedRange algorithmName="SHA-512" hashValue="D8TacORwT7iz0mF9GEucchnMHfB5er2FFjQsxyeWWyeJkM6Bt3gYQ3LbcHPxZXFpVAYtFOuTrzYOCJrlZDx16g==" saltValue="QtCzIBktdS4NZkOEGcLTRQ==" spinCount="100000" sqref="IW131" name="Rango2_41_44"/>
    <protectedRange algorithmName="SHA-512" hashValue="Gqwr8n5jYbCESAqCFk8dpOzViQICBV+k0xoqBoQaZ5lHaRlvT9TZDB4yXtm+qC6OhD064ZDBOFWkwo+LHXu1sg==" saltValue="gEL9PCN2ekF2IxW9yqAGYA==" spinCount="100000" sqref="IS132" name="Rango2_40_2_45"/>
    <protectedRange algorithmName="SHA-512" hashValue="D8TacORwT7iz0mF9GEucchnMHfB5er2FFjQsxyeWWyeJkM6Bt3gYQ3LbcHPxZXFpVAYtFOuTrzYOCJrlZDx16g==" saltValue="QtCzIBktdS4NZkOEGcLTRQ==" spinCount="100000" sqref="IW132" name="Rango2_41_45"/>
    <protectedRange algorithmName="SHA-512" hashValue="Gqwr8n5jYbCESAqCFk8dpOzViQICBV+k0xoqBoQaZ5lHaRlvT9TZDB4yXtm+qC6OhD064ZDBOFWkwo+LHXu1sg==" saltValue="gEL9PCN2ekF2IxW9yqAGYA==" spinCount="100000" sqref="IS133" name="Rango2_40_2_46"/>
    <protectedRange algorithmName="SHA-512" hashValue="D8TacORwT7iz0mF9GEucchnMHfB5er2FFjQsxyeWWyeJkM6Bt3gYQ3LbcHPxZXFpVAYtFOuTrzYOCJrlZDx16g==" saltValue="QtCzIBktdS4NZkOEGcLTRQ==" spinCount="100000" sqref="IW133" name="Rango2_41_46"/>
    <protectedRange algorithmName="SHA-512" hashValue="Gqwr8n5jYbCESAqCFk8dpOzViQICBV+k0xoqBoQaZ5lHaRlvT9TZDB4yXtm+qC6OhD064ZDBOFWkwo+LHXu1sg==" saltValue="gEL9PCN2ekF2IxW9yqAGYA==" spinCount="100000" sqref="IS134" name="Rango2_40_2_47"/>
    <protectedRange algorithmName="SHA-512" hashValue="D8TacORwT7iz0mF9GEucchnMHfB5er2FFjQsxyeWWyeJkM6Bt3gYQ3LbcHPxZXFpVAYtFOuTrzYOCJrlZDx16g==" saltValue="QtCzIBktdS4NZkOEGcLTRQ==" spinCount="100000" sqref="IW134" name="Rango2_41_47"/>
    <protectedRange algorithmName="SHA-512" hashValue="Gqwr8n5jYbCESAqCFk8dpOzViQICBV+k0xoqBoQaZ5lHaRlvT9TZDB4yXtm+qC6OhD064ZDBOFWkwo+LHXu1sg==" saltValue="gEL9PCN2ekF2IxW9yqAGYA==" spinCount="100000" sqref="IS135" name="Rango2_40_2_48"/>
    <protectedRange algorithmName="SHA-512" hashValue="D8TacORwT7iz0mF9GEucchnMHfB5er2FFjQsxyeWWyeJkM6Bt3gYQ3LbcHPxZXFpVAYtFOuTrzYOCJrlZDx16g==" saltValue="QtCzIBktdS4NZkOEGcLTRQ==" spinCount="100000" sqref="IW135" name="Rango2_41_48"/>
    <protectedRange algorithmName="SHA-512" hashValue="Gqwr8n5jYbCESAqCFk8dpOzViQICBV+k0xoqBoQaZ5lHaRlvT9TZDB4yXtm+qC6OhD064ZDBOFWkwo+LHXu1sg==" saltValue="gEL9PCN2ekF2IxW9yqAGYA==" spinCount="100000" sqref="IS136" name="Rango2_40_2_49"/>
    <protectedRange algorithmName="SHA-512" hashValue="D8TacORwT7iz0mF9GEucchnMHfB5er2FFjQsxyeWWyeJkM6Bt3gYQ3LbcHPxZXFpVAYtFOuTrzYOCJrlZDx16g==" saltValue="QtCzIBktdS4NZkOEGcLTRQ==" spinCount="100000" sqref="IW136" name="Rango2_41_49"/>
    <protectedRange algorithmName="SHA-512" hashValue="Gqwr8n5jYbCESAqCFk8dpOzViQICBV+k0xoqBoQaZ5lHaRlvT9TZDB4yXtm+qC6OhD064ZDBOFWkwo+LHXu1sg==" saltValue="gEL9PCN2ekF2IxW9yqAGYA==" spinCount="100000" sqref="IS137:IS139" name="Rango2_40_2_50"/>
    <protectedRange algorithmName="SHA-512" hashValue="D8TacORwT7iz0mF9GEucchnMHfB5er2FFjQsxyeWWyeJkM6Bt3gYQ3LbcHPxZXFpVAYtFOuTrzYOCJrlZDx16g==" saltValue="QtCzIBktdS4NZkOEGcLTRQ==" spinCount="100000" sqref="IW137:IW139" name="Rango2_41_50"/>
    <protectedRange algorithmName="SHA-512" hashValue="Gqwr8n5jYbCESAqCFk8dpOzViQICBV+k0xoqBoQaZ5lHaRlvT9TZDB4yXtm+qC6OhD064ZDBOFWkwo+LHXu1sg==" saltValue="gEL9PCN2ekF2IxW9yqAGYA==" spinCount="100000" sqref="IS140" name="Rango2_40_2_51"/>
    <protectedRange algorithmName="SHA-512" hashValue="D8TacORwT7iz0mF9GEucchnMHfB5er2FFjQsxyeWWyeJkM6Bt3gYQ3LbcHPxZXFpVAYtFOuTrzYOCJrlZDx16g==" saltValue="QtCzIBktdS4NZkOEGcLTRQ==" spinCount="100000" sqref="IW140" name="Rango2_41_51"/>
    <protectedRange algorithmName="SHA-512" hashValue="Gqwr8n5jYbCESAqCFk8dpOzViQICBV+k0xoqBoQaZ5lHaRlvT9TZDB4yXtm+qC6OhD064ZDBOFWkwo+LHXu1sg==" saltValue="gEL9PCN2ekF2IxW9yqAGYA==" spinCount="100000" sqref="IS141" name="Rango2_40_2_52"/>
    <protectedRange algorithmName="SHA-512" hashValue="D8TacORwT7iz0mF9GEucchnMHfB5er2FFjQsxyeWWyeJkM6Bt3gYQ3LbcHPxZXFpVAYtFOuTrzYOCJrlZDx16g==" saltValue="QtCzIBktdS4NZkOEGcLTRQ==" spinCount="100000" sqref="IW141" name="Rango2_41_52"/>
    <protectedRange algorithmName="SHA-512" hashValue="Gqwr8n5jYbCESAqCFk8dpOzViQICBV+k0xoqBoQaZ5lHaRlvT9TZDB4yXtm+qC6OhD064ZDBOFWkwo+LHXu1sg==" saltValue="gEL9PCN2ekF2IxW9yqAGYA==" spinCount="100000" sqref="IS142" name="Rango2_40_2_53"/>
    <protectedRange algorithmName="SHA-512" hashValue="D8TacORwT7iz0mF9GEucchnMHfB5er2FFjQsxyeWWyeJkM6Bt3gYQ3LbcHPxZXFpVAYtFOuTrzYOCJrlZDx16g==" saltValue="QtCzIBktdS4NZkOEGcLTRQ==" spinCount="100000" sqref="IW142" name="Rango2_41_53"/>
    <protectedRange algorithmName="SHA-512" hashValue="6a5oYwZw9WJcgjqXpleUXH8uaqNEuymPPpeOb7lKBc1WoM6IG/DNyDLWmj2lYwxnZO2yhl+B61kwrxD9m9AdhQ==" saltValue="tdNQPzLQd+n9Ww064QJIaQ==" spinCount="100000" sqref="I143:I144" name="Rango2_61_29"/>
    <protectedRange algorithmName="SHA-512" hashValue="XM8+0Jh5zLWw02PI0Lt8dLqjTcW5ulySion19FAnruDN6QRp4UwcVqdfQxnOQAItgpWG7rNsELzjwy0iXOonxw==" saltValue="Sd4WFUedDfLKoMQTDrxJuQ==" spinCount="100000" sqref="K143:K144" name="Rango2_88_4_4_29"/>
    <protectedRange algorithmName="SHA-512" hashValue="EMMPgE8t/az1rHHzaZAQIhz+GQV0k2O/tQGA96sJqEEMzz1efIRa4CcLzC7iY9CCscto3g7dwz41haOE28iXYg==" saltValue="CVzFsG4X4LXUMo7796PiDQ==" spinCount="100000" sqref="L143:M144 J143:J144 B143:H143 B144 D144:H144 C144:C188" name="Rango2_10_29"/>
    <protectedRange algorithmName="SHA-512" hashValue="6a5oYwZw9WJcgjqXpleUXH8uaqNEuymPPpeOb7lKBc1WoM6IG/DNyDLWmj2lYwxnZO2yhl+B61kwrxD9m9AdhQ==" saltValue="tdNQPzLQd+n9Ww064QJIaQ==" spinCount="100000" sqref="I145" name="Rango2_61_30"/>
    <protectedRange algorithmName="SHA-512" hashValue="XM8+0Jh5zLWw02PI0Lt8dLqjTcW5ulySion19FAnruDN6QRp4UwcVqdfQxnOQAItgpWG7rNsELzjwy0iXOonxw==" saltValue="Sd4WFUedDfLKoMQTDrxJuQ==" spinCount="100000" sqref="K145" name="Rango2_88_4_4_30"/>
    <protectedRange algorithmName="SHA-512" hashValue="EMMPgE8t/az1rHHzaZAQIhz+GQV0k2O/tQGA96sJqEEMzz1efIRa4CcLzC7iY9CCscto3g7dwz41haOE28iXYg==" saltValue="CVzFsG4X4LXUMo7796PiDQ==" spinCount="100000" sqref="L145:M145 J145 B145 D145:H145" name="Rango2_10_30"/>
    <protectedRange algorithmName="SHA-512" hashValue="6a5oYwZw9WJcgjqXpleUXH8uaqNEuymPPpeOb7lKBc1WoM6IG/DNyDLWmj2lYwxnZO2yhl+B61kwrxD9m9AdhQ==" saltValue="tdNQPzLQd+n9Ww064QJIaQ==" spinCount="100000" sqref="I146" name="Rango2_61_31"/>
    <protectedRange algorithmName="SHA-512" hashValue="XM8+0Jh5zLWw02PI0Lt8dLqjTcW5ulySion19FAnruDN6QRp4UwcVqdfQxnOQAItgpWG7rNsELzjwy0iXOonxw==" saltValue="Sd4WFUedDfLKoMQTDrxJuQ==" spinCount="100000" sqref="K146" name="Rango2_88_4_4_31"/>
    <protectedRange algorithmName="SHA-512" hashValue="EMMPgE8t/az1rHHzaZAQIhz+GQV0k2O/tQGA96sJqEEMzz1efIRa4CcLzC7iY9CCscto3g7dwz41haOE28iXYg==" saltValue="CVzFsG4X4LXUMo7796PiDQ==" spinCount="100000" sqref="L146:M146 J146 B146 D146:H146" name="Rango2_10_31"/>
    <protectedRange algorithmName="SHA-512" hashValue="6a5oYwZw9WJcgjqXpleUXH8uaqNEuymPPpeOb7lKBc1WoM6IG/DNyDLWmj2lYwxnZO2yhl+B61kwrxD9m9AdhQ==" saltValue="tdNQPzLQd+n9Ww064QJIaQ==" spinCount="100000" sqref="I147:I148" name="Rango2_61_32"/>
    <protectedRange algorithmName="SHA-512" hashValue="XM8+0Jh5zLWw02PI0Lt8dLqjTcW5ulySion19FAnruDN6QRp4UwcVqdfQxnOQAItgpWG7rNsELzjwy0iXOonxw==" saltValue="Sd4WFUedDfLKoMQTDrxJuQ==" spinCount="100000" sqref="K147:K148" name="Rango2_88_4_4_32"/>
    <protectedRange algorithmName="SHA-512" hashValue="EMMPgE8t/az1rHHzaZAQIhz+GQV0k2O/tQGA96sJqEEMzz1efIRa4CcLzC7iY9CCscto3g7dwz41haOE28iXYg==" saltValue="CVzFsG4X4LXUMo7796PiDQ==" spinCount="100000" sqref="L147:M148 J147:J148 B147:B148 D147:H148" name="Rango2_10_32"/>
    <protectedRange algorithmName="SHA-512" hashValue="6a5oYwZw9WJcgjqXpleUXH8uaqNEuymPPpeOb7lKBc1WoM6IG/DNyDLWmj2lYwxnZO2yhl+B61kwrxD9m9AdhQ==" saltValue="tdNQPzLQd+n9Ww064QJIaQ==" spinCount="100000" sqref="I149:I150" name="Rango2_61_33"/>
    <protectedRange algorithmName="SHA-512" hashValue="XM8+0Jh5zLWw02PI0Lt8dLqjTcW5ulySion19FAnruDN6QRp4UwcVqdfQxnOQAItgpWG7rNsELzjwy0iXOonxw==" saltValue="Sd4WFUedDfLKoMQTDrxJuQ==" spinCount="100000" sqref="K149:K150" name="Rango2_88_4_4_33"/>
    <protectedRange algorithmName="SHA-512" hashValue="EMMPgE8t/az1rHHzaZAQIhz+GQV0k2O/tQGA96sJqEEMzz1efIRa4CcLzC7iY9CCscto3g7dwz41haOE28iXYg==" saltValue="CVzFsG4X4LXUMo7796PiDQ==" spinCount="100000" sqref="L149:M150 J149:J150 B149:B150 D149:H150" name="Rango2_10_33"/>
    <protectedRange algorithmName="SHA-512" hashValue="6a5oYwZw9WJcgjqXpleUXH8uaqNEuymPPpeOb7lKBc1WoM6IG/DNyDLWmj2lYwxnZO2yhl+B61kwrxD9m9AdhQ==" saltValue="tdNQPzLQd+n9Ww064QJIaQ==" spinCount="100000" sqref="I151" name="Rango2_61_34"/>
    <protectedRange algorithmName="SHA-512" hashValue="XM8+0Jh5zLWw02PI0Lt8dLqjTcW5ulySion19FAnruDN6QRp4UwcVqdfQxnOQAItgpWG7rNsELzjwy0iXOonxw==" saltValue="Sd4WFUedDfLKoMQTDrxJuQ==" spinCount="100000" sqref="K151" name="Rango2_88_4_4_34"/>
    <protectedRange algorithmName="SHA-512" hashValue="EMMPgE8t/az1rHHzaZAQIhz+GQV0k2O/tQGA96sJqEEMzz1efIRa4CcLzC7iY9CCscto3g7dwz41haOE28iXYg==" saltValue="CVzFsG4X4LXUMo7796PiDQ==" spinCount="100000" sqref="L151:M151 J151 B151 D151:H151" name="Rango2_10_34"/>
    <protectedRange algorithmName="SHA-512" hashValue="6a5oYwZw9WJcgjqXpleUXH8uaqNEuymPPpeOb7lKBc1WoM6IG/DNyDLWmj2lYwxnZO2yhl+B61kwrxD9m9AdhQ==" saltValue="tdNQPzLQd+n9Ww064QJIaQ==" spinCount="100000" sqref="I152" name="Rango2_61_35"/>
    <protectedRange algorithmName="SHA-512" hashValue="XM8+0Jh5zLWw02PI0Lt8dLqjTcW5ulySion19FAnruDN6QRp4UwcVqdfQxnOQAItgpWG7rNsELzjwy0iXOonxw==" saltValue="Sd4WFUedDfLKoMQTDrxJuQ==" spinCount="100000" sqref="K152" name="Rango2_88_4_4_35"/>
    <protectedRange algorithmName="SHA-512" hashValue="EMMPgE8t/az1rHHzaZAQIhz+GQV0k2O/tQGA96sJqEEMzz1efIRa4CcLzC7iY9CCscto3g7dwz41haOE28iXYg==" saltValue="CVzFsG4X4LXUMo7796PiDQ==" spinCount="100000" sqref="L152:M152 J152 B152 D152:H152" name="Rango2_10_35"/>
    <protectedRange algorithmName="SHA-512" hashValue="6a5oYwZw9WJcgjqXpleUXH8uaqNEuymPPpeOb7lKBc1WoM6IG/DNyDLWmj2lYwxnZO2yhl+B61kwrxD9m9AdhQ==" saltValue="tdNQPzLQd+n9Ww064QJIaQ==" spinCount="100000" sqref="I153" name="Rango2_61_36"/>
    <protectedRange algorithmName="SHA-512" hashValue="XM8+0Jh5zLWw02PI0Lt8dLqjTcW5ulySion19FAnruDN6QRp4UwcVqdfQxnOQAItgpWG7rNsELzjwy0iXOonxw==" saltValue="Sd4WFUedDfLKoMQTDrxJuQ==" spinCount="100000" sqref="K153" name="Rango2_88_4_4_36"/>
    <protectedRange algorithmName="SHA-512" hashValue="EMMPgE8t/az1rHHzaZAQIhz+GQV0k2O/tQGA96sJqEEMzz1efIRa4CcLzC7iY9CCscto3g7dwz41haOE28iXYg==" saltValue="CVzFsG4X4LXUMo7796PiDQ==" spinCount="100000" sqref="L153:M153 J153 B153 D153:H153" name="Rango2_10_36"/>
    <protectedRange algorithmName="SHA-512" hashValue="6a5oYwZw9WJcgjqXpleUXH8uaqNEuymPPpeOb7lKBc1WoM6IG/DNyDLWmj2lYwxnZO2yhl+B61kwrxD9m9AdhQ==" saltValue="tdNQPzLQd+n9Ww064QJIaQ==" spinCount="100000" sqref="I154" name="Rango2_61_37"/>
    <protectedRange algorithmName="SHA-512" hashValue="XM8+0Jh5zLWw02PI0Lt8dLqjTcW5ulySion19FAnruDN6QRp4UwcVqdfQxnOQAItgpWG7rNsELzjwy0iXOonxw==" saltValue="Sd4WFUedDfLKoMQTDrxJuQ==" spinCount="100000" sqref="K154" name="Rango2_88_4_4_37"/>
    <protectedRange algorithmName="SHA-512" hashValue="EMMPgE8t/az1rHHzaZAQIhz+GQV0k2O/tQGA96sJqEEMzz1efIRa4CcLzC7iY9CCscto3g7dwz41haOE28iXYg==" saltValue="CVzFsG4X4LXUMo7796PiDQ==" spinCount="100000" sqref="L154:M154 J154 B154 D154:H154" name="Rango2_10_37"/>
    <protectedRange algorithmName="SHA-512" hashValue="6a5oYwZw9WJcgjqXpleUXH8uaqNEuymPPpeOb7lKBc1WoM6IG/DNyDLWmj2lYwxnZO2yhl+B61kwrxD9m9AdhQ==" saltValue="tdNQPzLQd+n9Ww064QJIaQ==" spinCount="100000" sqref="I155" name="Rango2_61_38"/>
    <protectedRange algorithmName="SHA-512" hashValue="XM8+0Jh5zLWw02PI0Lt8dLqjTcW5ulySion19FAnruDN6QRp4UwcVqdfQxnOQAItgpWG7rNsELzjwy0iXOonxw==" saltValue="Sd4WFUedDfLKoMQTDrxJuQ==" spinCount="100000" sqref="K155" name="Rango2_88_4_4_38"/>
    <protectedRange algorithmName="SHA-512" hashValue="EMMPgE8t/az1rHHzaZAQIhz+GQV0k2O/tQGA96sJqEEMzz1efIRa4CcLzC7iY9CCscto3g7dwz41haOE28iXYg==" saltValue="CVzFsG4X4LXUMo7796PiDQ==" spinCount="100000" sqref="L155:M155 J155 B155 D155:H155" name="Rango2_10_38"/>
    <protectedRange algorithmName="SHA-512" hashValue="6a5oYwZw9WJcgjqXpleUXH8uaqNEuymPPpeOb7lKBc1WoM6IG/DNyDLWmj2lYwxnZO2yhl+B61kwrxD9m9AdhQ==" saltValue="tdNQPzLQd+n9Ww064QJIaQ==" spinCount="100000" sqref="I156:I157" name="Rango2_61_39"/>
    <protectedRange algorithmName="SHA-512" hashValue="XM8+0Jh5zLWw02PI0Lt8dLqjTcW5ulySion19FAnruDN6QRp4UwcVqdfQxnOQAItgpWG7rNsELzjwy0iXOonxw==" saltValue="Sd4WFUedDfLKoMQTDrxJuQ==" spinCount="100000" sqref="K156:K157" name="Rango2_88_4_4_39"/>
    <protectedRange algorithmName="SHA-512" hashValue="EMMPgE8t/az1rHHzaZAQIhz+GQV0k2O/tQGA96sJqEEMzz1efIRa4CcLzC7iY9CCscto3g7dwz41haOE28iXYg==" saltValue="CVzFsG4X4LXUMo7796PiDQ==" spinCount="100000" sqref="L156:M157 J156:J157 B156:B157 D156:H157" name="Rango2_10_39"/>
    <protectedRange algorithmName="SHA-512" hashValue="6a5oYwZw9WJcgjqXpleUXH8uaqNEuymPPpeOb7lKBc1WoM6IG/DNyDLWmj2lYwxnZO2yhl+B61kwrxD9m9AdhQ==" saltValue="tdNQPzLQd+n9Ww064QJIaQ==" spinCount="100000" sqref="I158" name="Rango2_61_40"/>
    <protectedRange algorithmName="SHA-512" hashValue="XM8+0Jh5zLWw02PI0Lt8dLqjTcW5ulySion19FAnruDN6QRp4UwcVqdfQxnOQAItgpWG7rNsELzjwy0iXOonxw==" saltValue="Sd4WFUedDfLKoMQTDrxJuQ==" spinCount="100000" sqref="K158" name="Rango2_88_4_4_40"/>
    <protectedRange algorithmName="SHA-512" hashValue="EMMPgE8t/az1rHHzaZAQIhz+GQV0k2O/tQGA96sJqEEMzz1efIRa4CcLzC7iY9CCscto3g7dwz41haOE28iXYg==" saltValue="CVzFsG4X4LXUMo7796PiDQ==" spinCount="100000" sqref="L158:M158 J158 B158 D158:H158" name="Rango2_10_40"/>
    <protectedRange algorithmName="SHA-512" hashValue="6a5oYwZw9WJcgjqXpleUXH8uaqNEuymPPpeOb7lKBc1WoM6IG/DNyDLWmj2lYwxnZO2yhl+B61kwrxD9m9AdhQ==" saltValue="tdNQPzLQd+n9Ww064QJIaQ==" spinCount="100000" sqref="I159:I162" name="Rango2_61_41"/>
    <protectedRange algorithmName="SHA-512" hashValue="XM8+0Jh5zLWw02PI0Lt8dLqjTcW5ulySion19FAnruDN6QRp4UwcVqdfQxnOQAItgpWG7rNsELzjwy0iXOonxw==" saltValue="Sd4WFUedDfLKoMQTDrxJuQ==" spinCount="100000" sqref="K159:K162" name="Rango2_88_4_4_41"/>
    <protectedRange algorithmName="SHA-512" hashValue="EMMPgE8t/az1rHHzaZAQIhz+GQV0k2O/tQGA96sJqEEMzz1efIRa4CcLzC7iY9CCscto3g7dwz41haOE28iXYg==" saltValue="CVzFsG4X4LXUMo7796PiDQ==" spinCount="100000" sqref="L159:M162 J159:J162 B159:B162 D159:H162" name="Rango2_10_41"/>
    <protectedRange algorithmName="SHA-512" hashValue="6a5oYwZw9WJcgjqXpleUXH8uaqNEuymPPpeOb7lKBc1WoM6IG/DNyDLWmj2lYwxnZO2yhl+B61kwrxD9m9AdhQ==" saltValue="tdNQPzLQd+n9Ww064QJIaQ==" spinCount="100000" sqref="I163" name="Rango2_61_42"/>
    <protectedRange algorithmName="SHA-512" hashValue="XM8+0Jh5zLWw02PI0Lt8dLqjTcW5ulySion19FAnruDN6QRp4UwcVqdfQxnOQAItgpWG7rNsELzjwy0iXOonxw==" saltValue="Sd4WFUedDfLKoMQTDrxJuQ==" spinCount="100000" sqref="K163" name="Rango2_88_4_4_42"/>
    <protectedRange algorithmName="SHA-512" hashValue="EMMPgE8t/az1rHHzaZAQIhz+GQV0k2O/tQGA96sJqEEMzz1efIRa4CcLzC7iY9CCscto3g7dwz41haOE28iXYg==" saltValue="CVzFsG4X4LXUMo7796PiDQ==" spinCount="100000" sqref="L163:M163 J163 B163 D163:H163" name="Rango2_10_42"/>
    <protectedRange algorithmName="SHA-512" hashValue="6a5oYwZw9WJcgjqXpleUXH8uaqNEuymPPpeOb7lKBc1WoM6IG/DNyDLWmj2lYwxnZO2yhl+B61kwrxD9m9AdhQ==" saltValue="tdNQPzLQd+n9Ww064QJIaQ==" spinCount="100000" sqref="I164" name="Rango2_61_43"/>
    <protectedRange algorithmName="SHA-512" hashValue="XM8+0Jh5zLWw02PI0Lt8dLqjTcW5ulySion19FAnruDN6QRp4UwcVqdfQxnOQAItgpWG7rNsELzjwy0iXOonxw==" saltValue="Sd4WFUedDfLKoMQTDrxJuQ==" spinCount="100000" sqref="K164" name="Rango2_88_4_4_43"/>
    <protectedRange algorithmName="SHA-512" hashValue="EMMPgE8t/az1rHHzaZAQIhz+GQV0k2O/tQGA96sJqEEMzz1efIRa4CcLzC7iY9CCscto3g7dwz41haOE28iXYg==" saltValue="CVzFsG4X4LXUMo7796PiDQ==" spinCount="100000" sqref="L164:M164 J164 B164 D164:H164" name="Rango2_10_43"/>
    <protectedRange algorithmName="SHA-512" hashValue="6a5oYwZw9WJcgjqXpleUXH8uaqNEuymPPpeOb7lKBc1WoM6IG/DNyDLWmj2lYwxnZO2yhl+B61kwrxD9m9AdhQ==" saltValue="tdNQPzLQd+n9Ww064QJIaQ==" spinCount="100000" sqref="I165:I166" name="Rango2_61_44"/>
    <protectedRange algorithmName="SHA-512" hashValue="XM8+0Jh5zLWw02PI0Lt8dLqjTcW5ulySion19FAnruDN6QRp4UwcVqdfQxnOQAItgpWG7rNsELzjwy0iXOonxw==" saltValue="Sd4WFUedDfLKoMQTDrxJuQ==" spinCount="100000" sqref="K165:K166" name="Rango2_88_4_4_44"/>
    <protectedRange algorithmName="SHA-512" hashValue="EMMPgE8t/az1rHHzaZAQIhz+GQV0k2O/tQGA96sJqEEMzz1efIRa4CcLzC7iY9CCscto3g7dwz41haOE28iXYg==" saltValue="CVzFsG4X4LXUMo7796PiDQ==" spinCount="100000" sqref="L165:M166 J165:J166 B165:B166 D165:H166" name="Rango2_10_44"/>
    <protectedRange algorithmName="SHA-512" hashValue="6a5oYwZw9WJcgjqXpleUXH8uaqNEuymPPpeOb7lKBc1WoM6IG/DNyDLWmj2lYwxnZO2yhl+B61kwrxD9m9AdhQ==" saltValue="tdNQPzLQd+n9Ww064QJIaQ==" spinCount="100000" sqref="I167" name="Rango2_61_45"/>
    <protectedRange algorithmName="SHA-512" hashValue="XM8+0Jh5zLWw02PI0Lt8dLqjTcW5ulySion19FAnruDN6QRp4UwcVqdfQxnOQAItgpWG7rNsELzjwy0iXOonxw==" saltValue="Sd4WFUedDfLKoMQTDrxJuQ==" spinCount="100000" sqref="K167" name="Rango2_88_4_4_45"/>
    <protectedRange algorithmName="SHA-512" hashValue="EMMPgE8t/az1rHHzaZAQIhz+GQV0k2O/tQGA96sJqEEMzz1efIRa4CcLzC7iY9CCscto3g7dwz41haOE28iXYg==" saltValue="CVzFsG4X4LXUMo7796PiDQ==" spinCount="100000" sqref="L167:M167 J167 B167 D167:H167" name="Rango2_10_45"/>
    <protectedRange algorithmName="SHA-512" hashValue="6a5oYwZw9WJcgjqXpleUXH8uaqNEuymPPpeOb7lKBc1WoM6IG/DNyDLWmj2lYwxnZO2yhl+B61kwrxD9m9AdhQ==" saltValue="tdNQPzLQd+n9Ww064QJIaQ==" spinCount="100000" sqref="I168" name="Rango2_61_46"/>
    <protectedRange algorithmName="SHA-512" hashValue="XM8+0Jh5zLWw02PI0Lt8dLqjTcW5ulySion19FAnruDN6QRp4UwcVqdfQxnOQAItgpWG7rNsELzjwy0iXOonxw==" saltValue="Sd4WFUedDfLKoMQTDrxJuQ==" spinCount="100000" sqref="K168" name="Rango2_88_4_4_46"/>
    <protectedRange algorithmName="SHA-512" hashValue="EMMPgE8t/az1rHHzaZAQIhz+GQV0k2O/tQGA96sJqEEMzz1efIRa4CcLzC7iY9CCscto3g7dwz41haOE28iXYg==" saltValue="CVzFsG4X4LXUMo7796PiDQ==" spinCount="100000" sqref="L168:M168 J168 B168 D168:H168" name="Rango2_10_46"/>
    <protectedRange algorithmName="SHA-512" hashValue="6a5oYwZw9WJcgjqXpleUXH8uaqNEuymPPpeOb7lKBc1WoM6IG/DNyDLWmj2lYwxnZO2yhl+B61kwrxD9m9AdhQ==" saltValue="tdNQPzLQd+n9Ww064QJIaQ==" spinCount="100000" sqref="I169" name="Rango2_61_47"/>
    <protectedRange algorithmName="SHA-512" hashValue="XM8+0Jh5zLWw02PI0Lt8dLqjTcW5ulySion19FAnruDN6QRp4UwcVqdfQxnOQAItgpWG7rNsELzjwy0iXOonxw==" saltValue="Sd4WFUedDfLKoMQTDrxJuQ==" spinCount="100000" sqref="K169" name="Rango2_88_4_4_47"/>
    <protectedRange algorithmName="SHA-512" hashValue="EMMPgE8t/az1rHHzaZAQIhz+GQV0k2O/tQGA96sJqEEMzz1efIRa4CcLzC7iY9CCscto3g7dwz41haOE28iXYg==" saltValue="CVzFsG4X4LXUMo7796PiDQ==" spinCount="100000" sqref="L169:M169 J169 B169 D169:H169" name="Rango2_10_47"/>
    <protectedRange algorithmName="SHA-512" hashValue="6a5oYwZw9WJcgjqXpleUXH8uaqNEuymPPpeOb7lKBc1WoM6IG/DNyDLWmj2lYwxnZO2yhl+B61kwrxD9m9AdhQ==" saltValue="tdNQPzLQd+n9Ww064QJIaQ==" spinCount="100000" sqref="I170" name="Rango2_61_48"/>
    <protectedRange algorithmName="SHA-512" hashValue="XM8+0Jh5zLWw02PI0Lt8dLqjTcW5ulySion19FAnruDN6QRp4UwcVqdfQxnOQAItgpWG7rNsELzjwy0iXOonxw==" saltValue="Sd4WFUedDfLKoMQTDrxJuQ==" spinCount="100000" sqref="K170" name="Rango2_88_4_4_48"/>
    <protectedRange algorithmName="SHA-512" hashValue="EMMPgE8t/az1rHHzaZAQIhz+GQV0k2O/tQGA96sJqEEMzz1efIRa4CcLzC7iY9CCscto3g7dwz41haOE28iXYg==" saltValue="CVzFsG4X4LXUMo7796PiDQ==" spinCount="100000" sqref="L170:M170 J170 B170 D170:H170" name="Rango2_10_48"/>
    <protectedRange algorithmName="SHA-512" hashValue="6a5oYwZw9WJcgjqXpleUXH8uaqNEuymPPpeOb7lKBc1WoM6IG/DNyDLWmj2lYwxnZO2yhl+B61kwrxD9m9AdhQ==" saltValue="tdNQPzLQd+n9Ww064QJIaQ==" spinCount="100000" sqref="I171" name="Rango2_61_49"/>
    <protectedRange algorithmName="SHA-512" hashValue="XM8+0Jh5zLWw02PI0Lt8dLqjTcW5ulySion19FAnruDN6QRp4UwcVqdfQxnOQAItgpWG7rNsELzjwy0iXOonxw==" saltValue="Sd4WFUedDfLKoMQTDrxJuQ==" spinCount="100000" sqref="K171" name="Rango2_88_4_4_49"/>
    <protectedRange algorithmName="SHA-512" hashValue="EMMPgE8t/az1rHHzaZAQIhz+GQV0k2O/tQGA96sJqEEMzz1efIRa4CcLzC7iY9CCscto3g7dwz41haOE28iXYg==" saltValue="CVzFsG4X4LXUMo7796PiDQ==" spinCount="100000" sqref="L171:M171 J171 B171 D171:H171" name="Rango2_10_49"/>
    <protectedRange algorithmName="SHA-512" hashValue="6a5oYwZw9WJcgjqXpleUXH8uaqNEuymPPpeOb7lKBc1WoM6IG/DNyDLWmj2lYwxnZO2yhl+B61kwrxD9m9AdhQ==" saltValue="tdNQPzLQd+n9Ww064QJIaQ==" spinCount="100000" sqref="I172:I173" name="Rango2_61_50"/>
    <protectedRange algorithmName="SHA-512" hashValue="XM8+0Jh5zLWw02PI0Lt8dLqjTcW5ulySion19FAnruDN6QRp4UwcVqdfQxnOQAItgpWG7rNsELzjwy0iXOonxw==" saltValue="Sd4WFUedDfLKoMQTDrxJuQ==" spinCount="100000" sqref="K172:K173" name="Rango2_88_4_4_50"/>
    <protectedRange algorithmName="SHA-512" hashValue="EMMPgE8t/az1rHHzaZAQIhz+GQV0k2O/tQGA96sJqEEMzz1efIRa4CcLzC7iY9CCscto3g7dwz41haOE28iXYg==" saltValue="CVzFsG4X4LXUMo7796PiDQ==" spinCount="100000" sqref="L172:M173 J172:J173 B172:B173 D172:H173" name="Rango2_10_50"/>
    <protectedRange algorithmName="SHA-512" hashValue="6a5oYwZw9WJcgjqXpleUXH8uaqNEuymPPpeOb7lKBc1WoM6IG/DNyDLWmj2lYwxnZO2yhl+B61kwrxD9m9AdhQ==" saltValue="tdNQPzLQd+n9Ww064QJIaQ==" spinCount="100000" sqref="I174:I176" name="Rango2_61_51"/>
    <protectedRange algorithmName="SHA-512" hashValue="XM8+0Jh5zLWw02PI0Lt8dLqjTcW5ulySion19FAnruDN6QRp4UwcVqdfQxnOQAItgpWG7rNsELzjwy0iXOonxw==" saltValue="Sd4WFUedDfLKoMQTDrxJuQ==" spinCount="100000" sqref="K174:K176" name="Rango2_88_4_4_51"/>
    <protectedRange algorithmName="SHA-512" hashValue="EMMPgE8t/az1rHHzaZAQIhz+GQV0k2O/tQGA96sJqEEMzz1efIRa4CcLzC7iY9CCscto3g7dwz41haOE28iXYg==" saltValue="CVzFsG4X4LXUMo7796PiDQ==" spinCount="100000" sqref="L174:M176 J174:J176 B174:B176 D174:H176" name="Rango2_10_51"/>
    <protectedRange algorithmName="SHA-512" hashValue="6a5oYwZw9WJcgjqXpleUXH8uaqNEuymPPpeOb7lKBc1WoM6IG/DNyDLWmj2lYwxnZO2yhl+B61kwrxD9m9AdhQ==" saltValue="tdNQPzLQd+n9Ww064QJIaQ==" spinCount="100000" sqref="I177" name="Rango2_61_52"/>
    <protectedRange algorithmName="SHA-512" hashValue="XM8+0Jh5zLWw02PI0Lt8dLqjTcW5ulySion19FAnruDN6QRp4UwcVqdfQxnOQAItgpWG7rNsELzjwy0iXOonxw==" saltValue="Sd4WFUedDfLKoMQTDrxJuQ==" spinCount="100000" sqref="K177" name="Rango2_88_4_4_52"/>
    <protectedRange algorithmName="SHA-512" hashValue="EMMPgE8t/az1rHHzaZAQIhz+GQV0k2O/tQGA96sJqEEMzz1efIRa4CcLzC7iY9CCscto3g7dwz41haOE28iXYg==" saltValue="CVzFsG4X4LXUMo7796PiDQ==" spinCount="100000" sqref="L177:M177 J177 B177 D177:H177" name="Rango2_10_52"/>
    <protectedRange algorithmName="SHA-512" hashValue="6a5oYwZw9WJcgjqXpleUXH8uaqNEuymPPpeOb7lKBc1WoM6IG/DNyDLWmj2lYwxnZO2yhl+B61kwrxD9m9AdhQ==" saltValue="tdNQPzLQd+n9Ww064QJIaQ==" spinCount="100000" sqref="I178:I179" name="Rango2_61_53"/>
    <protectedRange algorithmName="SHA-512" hashValue="XM8+0Jh5zLWw02PI0Lt8dLqjTcW5ulySion19FAnruDN6QRp4UwcVqdfQxnOQAItgpWG7rNsELzjwy0iXOonxw==" saltValue="Sd4WFUedDfLKoMQTDrxJuQ==" spinCount="100000" sqref="K178:K179" name="Rango2_88_4_4_53"/>
    <protectedRange algorithmName="SHA-512" hashValue="EMMPgE8t/az1rHHzaZAQIhz+GQV0k2O/tQGA96sJqEEMzz1efIRa4CcLzC7iY9CCscto3g7dwz41haOE28iXYg==" saltValue="CVzFsG4X4LXUMo7796PiDQ==" spinCount="100000" sqref="L178:M179 J178:J179 B178:B179 D178:H179" name="Rango2_10_53"/>
    <protectedRange algorithmName="SHA-512" hashValue="6a5oYwZw9WJcgjqXpleUXH8uaqNEuymPPpeOb7lKBc1WoM6IG/DNyDLWmj2lYwxnZO2yhl+B61kwrxD9m9AdhQ==" saltValue="tdNQPzLQd+n9Ww064QJIaQ==" spinCount="100000" sqref="I180" name="Rango2_61_54"/>
    <protectedRange algorithmName="SHA-512" hashValue="XM8+0Jh5zLWw02PI0Lt8dLqjTcW5ulySion19FAnruDN6QRp4UwcVqdfQxnOQAItgpWG7rNsELzjwy0iXOonxw==" saltValue="Sd4WFUedDfLKoMQTDrxJuQ==" spinCount="100000" sqref="K180" name="Rango2_88_4_4_54"/>
    <protectedRange algorithmName="SHA-512" hashValue="EMMPgE8t/az1rHHzaZAQIhz+GQV0k2O/tQGA96sJqEEMzz1efIRa4CcLzC7iY9CCscto3g7dwz41haOE28iXYg==" saltValue="CVzFsG4X4LXUMo7796PiDQ==" spinCount="100000" sqref="L180:M180 J180 B180 D180:H180" name="Rango2_10_54"/>
    <protectedRange algorithmName="SHA-512" hashValue="6a5oYwZw9WJcgjqXpleUXH8uaqNEuymPPpeOb7lKBc1WoM6IG/DNyDLWmj2lYwxnZO2yhl+B61kwrxD9m9AdhQ==" saltValue="tdNQPzLQd+n9Ww064QJIaQ==" spinCount="100000" sqref="I181" name="Rango2_61_55"/>
    <protectedRange algorithmName="SHA-512" hashValue="XM8+0Jh5zLWw02PI0Lt8dLqjTcW5ulySion19FAnruDN6QRp4UwcVqdfQxnOQAItgpWG7rNsELzjwy0iXOonxw==" saltValue="Sd4WFUedDfLKoMQTDrxJuQ==" spinCount="100000" sqref="K181" name="Rango2_88_4_4_55"/>
    <protectedRange algorithmName="SHA-512" hashValue="EMMPgE8t/az1rHHzaZAQIhz+GQV0k2O/tQGA96sJqEEMzz1efIRa4CcLzC7iY9CCscto3g7dwz41haOE28iXYg==" saltValue="CVzFsG4X4LXUMo7796PiDQ==" spinCount="100000" sqref="L181:M181 J181 B181 D181:H181" name="Rango2_10_55"/>
    <protectedRange algorithmName="SHA-512" hashValue="6a5oYwZw9WJcgjqXpleUXH8uaqNEuymPPpeOb7lKBc1WoM6IG/DNyDLWmj2lYwxnZO2yhl+B61kwrxD9m9AdhQ==" saltValue="tdNQPzLQd+n9Ww064QJIaQ==" spinCount="100000" sqref="I182" name="Rango2_61_56"/>
    <protectedRange algorithmName="SHA-512" hashValue="XM8+0Jh5zLWw02PI0Lt8dLqjTcW5ulySion19FAnruDN6QRp4UwcVqdfQxnOQAItgpWG7rNsELzjwy0iXOonxw==" saltValue="Sd4WFUedDfLKoMQTDrxJuQ==" spinCount="100000" sqref="K182" name="Rango2_88_4_4_56"/>
    <protectedRange algorithmName="SHA-512" hashValue="EMMPgE8t/az1rHHzaZAQIhz+GQV0k2O/tQGA96sJqEEMzz1efIRa4CcLzC7iY9CCscto3g7dwz41haOE28iXYg==" saltValue="CVzFsG4X4LXUMo7796PiDQ==" spinCount="100000" sqref="L182:M182 J182 B182 D182:H182" name="Rango2_10_56"/>
    <protectedRange algorithmName="SHA-512" hashValue="6a5oYwZw9WJcgjqXpleUXH8uaqNEuymPPpeOb7lKBc1WoM6IG/DNyDLWmj2lYwxnZO2yhl+B61kwrxD9m9AdhQ==" saltValue="tdNQPzLQd+n9Ww064QJIaQ==" spinCount="100000" sqref="I183" name="Rango2_61_57"/>
    <protectedRange algorithmName="SHA-512" hashValue="XM8+0Jh5zLWw02PI0Lt8dLqjTcW5ulySion19FAnruDN6QRp4UwcVqdfQxnOQAItgpWG7rNsELzjwy0iXOonxw==" saltValue="Sd4WFUedDfLKoMQTDrxJuQ==" spinCount="100000" sqref="K183" name="Rango2_88_4_4_57"/>
    <protectedRange algorithmName="SHA-512" hashValue="EMMPgE8t/az1rHHzaZAQIhz+GQV0k2O/tQGA96sJqEEMzz1efIRa4CcLzC7iY9CCscto3g7dwz41haOE28iXYg==" saltValue="CVzFsG4X4LXUMo7796PiDQ==" spinCount="100000" sqref="L183:M183 J183 B183 D183:H183" name="Rango2_10_57"/>
    <protectedRange algorithmName="SHA-512" hashValue="6a5oYwZw9WJcgjqXpleUXH8uaqNEuymPPpeOb7lKBc1WoM6IG/DNyDLWmj2lYwxnZO2yhl+B61kwrxD9m9AdhQ==" saltValue="tdNQPzLQd+n9Ww064QJIaQ==" spinCount="100000" sqref="I184" name="Rango2_61_58"/>
    <protectedRange algorithmName="SHA-512" hashValue="XM8+0Jh5zLWw02PI0Lt8dLqjTcW5ulySion19FAnruDN6QRp4UwcVqdfQxnOQAItgpWG7rNsELzjwy0iXOonxw==" saltValue="Sd4WFUedDfLKoMQTDrxJuQ==" spinCount="100000" sqref="K184" name="Rango2_88_4_4_58"/>
    <protectedRange algorithmName="SHA-512" hashValue="EMMPgE8t/az1rHHzaZAQIhz+GQV0k2O/tQGA96sJqEEMzz1efIRa4CcLzC7iY9CCscto3g7dwz41haOE28iXYg==" saltValue="CVzFsG4X4LXUMo7796PiDQ==" spinCount="100000" sqref="L184:M184 J184 B184 D184:H184" name="Rango2_10_58"/>
    <protectedRange algorithmName="SHA-512" hashValue="6a5oYwZw9WJcgjqXpleUXH8uaqNEuymPPpeOb7lKBc1WoM6IG/DNyDLWmj2lYwxnZO2yhl+B61kwrxD9m9AdhQ==" saltValue="tdNQPzLQd+n9Ww064QJIaQ==" spinCount="100000" sqref="I185:I188" name="Rango2_61_59"/>
    <protectedRange algorithmName="SHA-512" hashValue="XM8+0Jh5zLWw02PI0Lt8dLqjTcW5ulySion19FAnruDN6QRp4UwcVqdfQxnOQAItgpWG7rNsELzjwy0iXOonxw==" saltValue="Sd4WFUedDfLKoMQTDrxJuQ==" spinCount="100000" sqref="K185:K188" name="Rango2_88_4_4_59"/>
    <protectedRange algorithmName="SHA-512" hashValue="EMMPgE8t/az1rHHzaZAQIhz+GQV0k2O/tQGA96sJqEEMzz1efIRa4CcLzC7iY9CCscto3g7dwz41haOE28iXYg==" saltValue="CVzFsG4X4LXUMo7796PiDQ==" spinCount="100000" sqref="L185:M188 J185:J188 B185:B188 D185:H188" name="Rango2_10_59"/>
    <protectedRange algorithmName="SHA-512" hashValue="RQ91b7oAw60DVtcgB2vRpial2kSdzJx5guGCTYUwXYkKrtrUHfiYnLf9R+SNpYXlJDYpyEJLhcWwP0EqNN86dQ==" saltValue="W3RbH3zrcY9sy39xNwXNxg==" spinCount="100000" sqref="BA143:BI144 BV143:BY144" name="Rango2_88_99_57"/>
    <protectedRange algorithmName="SHA-512" hashValue="fMbmUM1DQ7FuAPRNvFL5mPdHUYjQnlLFhkuaxvHguaqR7aWyDxcmJs0jLYQfQKY+oyhsMb4Lew4VL6i7um3/ew==" saltValue="ydaTm0CeH8+/cYqoL/AMaQ==" spinCount="100000" sqref="AU143:AU144 AW143:AZ144" name="Rango2_88_91_53"/>
    <protectedRange algorithmName="SHA-512" hashValue="CHipOQaT63FWw628cQcXXJRZlrbNZ7OgmnEbDx38UmmH7z19GRYEzXFiVOzHAy1OAaAbST7g2bHZHDKQp2qm3w==" saltValue="iRVuL+373yLHv0ZHzS9qog==" spinCount="100000" sqref="AJ143:AJ144 AG143:AH144 AL143:AL144" name="Rango2_88_7_5_57"/>
    <protectedRange algorithmName="SHA-512" hashValue="NkG6oHuDGvGBEiLAAq8MEJHEfLQUMyjihfH+DBXhT+eQW0r1yri7tOJEFRM9nbOejjjXiviq9RFo7KB7wF+xJA==" saltValue="bpjB0AAANu2X/PeR3eiFkA==" spinCount="100000" sqref="AM143:AS144" name="Rango2_88_65_54"/>
    <protectedRange algorithmName="SHA-512" hashValue="fPHvtIAf3pQeZUoAI9C2/vdXMHBpqqEq+67P5Ypyu4+9IWqs3yc9TZcMWQ0THLxUwqseQPyVvakuYFtCwJHsxA==" saltValue="QHIogSs2PrwAfdqa9PAOFQ==" spinCount="100000" sqref="AC143:AC144" name="Rango2_88_5_5_54"/>
    <protectedRange algorithmName="SHA-512" hashValue="LEEeiU6pKqm7TAP46VGlz0q+evvFwpT/0iLpRuWuQ7MacbP0OGL1/FSmrIEOg2rb6M+Jla2bPbVWiGag27j87w==" saltValue="HEVt+pS5OloNDlqSnzGLLw==" spinCount="100000" sqref="AI143:AI144" name="Rango2_8_7_54"/>
    <protectedRange algorithmName="SHA-512" hashValue="AYYX88LSDB6RDNMvSqt0KPGWPjBqTk56tMxTOlv5QD61MGTKAAQnSnudvNDWPN0Bbllh2qRQC+P5uq7goxjdrw==" saltValue="i/iPMewnks1FoXYOjKMEVg==" spinCount="100000" sqref="AB143:AB144" name="Rango2_87_6_54"/>
    <protectedRange algorithmName="SHA-512" hashValue="NUll9P9xh7KbSfMYpMxsRZLfDw/y/AzW2LSWlpXVscBDqiAxmzo71xjs+a2lh+jRa7pceOC849slke4+ZKx8LA==" saltValue="8qbkKpQ+CiQuLnqgShNvXA==" spinCount="100000" sqref="T143:T144" name="Rango2_88_6_54"/>
    <protectedRange algorithmName="SHA-512" hashValue="KHhv3JU/LRdRrRTxxkgFceEHPZ5UzadmpZRZR3zmQRnPvkUJZuanRafIJ+qde0IWwLZSvFIQDyUAHq6v6k7XIg==" saltValue="2GKG1kCzVNNcn+vbOPuhJA==" spinCount="100000" sqref="Q143:Q144" name="Rango2_2_5_54"/>
    <protectedRange algorithmName="SHA-512" hashValue="RQ91b7oAw60DVtcgB2vRpial2kSdzJx5guGCTYUwXYkKrtrUHfiYnLf9R+SNpYXlJDYpyEJLhcWwP0EqNN86dQ==" saltValue="W3RbH3zrcY9sy39xNwXNxg==" spinCount="100000" sqref="BA145:BI145 BV145:BY145" name="Rango2_88_99_58"/>
    <protectedRange algorithmName="SHA-512" hashValue="fMbmUM1DQ7FuAPRNvFL5mPdHUYjQnlLFhkuaxvHguaqR7aWyDxcmJs0jLYQfQKY+oyhsMb4Lew4VL6i7um3/ew==" saltValue="ydaTm0CeH8+/cYqoL/AMaQ==" spinCount="100000" sqref="AU145 AW145:AZ145" name="Rango2_88_91_54"/>
    <protectedRange algorithmName="SHA-512" hashValue="CHipOQaT63FWw628cQcXXJRZlrbNZ7OgmnEbDx38UmmH7z19GRYEzXFiVOzHAy1OAaAbST7g2bHZHDKQp2qm3w==" saltValue="iRVuL+373yLHv0ZHzS9qog==" spinCount="100000" sqref="AJ145 AG145:AH145 AL145" name="Rango2_88_7_5_58"/>
    <protectedRange algorithmName="SHA-512" hashValue="NkG6oHuDGvGBEiLAAq8MEJHEfLQUMyjihfH+DBXhT+eQW0r1yri7tOJEFRM9nbOejjjXiviq9RFo7KB7wF+xJA==" saltValue="bpjB0AAANu2X/PeR3eiFkA==" spinCount="100000" sqref="AM145:AS145" name="Rango2_88_65_55"/>
    <protectedRange algorithmName="SHA-512" hashValue="fPHvtIAf3pQeZUoAI9C2/vdXMHBpqqEq+67P5Ypyu4+9IWqs3yc9TZcMWQ0THLxUwqseQPyVvakuYFtCwJHsxA==" saltValue="QHIogSs2PrwAfdqa9PAOFQ==" spinCount="100000" sqref="AC145" name="Rango2_88_5_5_55"/>
    <protectedRange algorithmName="SHA-512" hashValue="LEEeiU6pKqm7TAP46VGlz0q+evvFwpT/0iLpRuWuQ7MacbP0OGL1/FSmrIEOg2rb6M+Jla2bPbVWiGag27j87w==" saltValue="HEVt+pS5OloNDlqSnzGLLw==" spinCount="100000" sqref="AI145" name="Rango2_8_7_55"/>
    <protectedRange algorithmName="SHA-512" hashValue="AYYX88LSDB6RDNMvSqt0KPGWPjBqTk56tMxTOlv5QD61MGTKAAQnSnudvNDWPN0Bbllh2qRQC+P5uq7goxjdrw==" saltValue="i/iPMewnks1FoXYOjKMEVg==" spinCount="100000" sqref="AB145" name="Rango2_87_6_55"/>
    <protectedRange algorithmName="SHA-512" hashValue="NUll9P9xh7KbSfMYpMxsRZLfDw/y/AzW2LSWlpXVscBDqiAxmzo71xjs+a2lh+jRa7pceOC849slke4+ZKx8LA==" saltValue="8qbkKpQ+CiQuLnqgShNvXA==" spinCount="100000" sqref="T145" name="Rango2_88_6_55"/>
    <protectedRange algorithmName="SHA-512" hashValue="KHhv3JU/LRdRrRTxxkgFceEHPZ5UzadmpZRZR3zmQRnPvkUJZuanRafIJ+qde0IWwLZSvFIQDyUAHq6v6k7XIg==" saltValue="2GKG1kCzVNNcn+vbOPuhJA==" spinCount="100000" sqref="Q145" name="Rango2_2_5_55"/>
    <protectedRange algorithmName="SHA-512" hashValue="RQ91b7oAw60DVtcgB2vRpial2kSdzJx5guGCTYUwXYkKrtrUHfiYnLf9R+SNpYXlJDYpyEJLhcWwP0EqNN86dQ==" saltValue="W3RbH3zrcY9sy39xNwXNxg==" spinCount="100000" sqref="BA146:BI146 BV146:BY146" name="Rango2_88_99_59"/>
    <protectedRange algorithmName="SHA-512" hashValue="fMbmUM1DQ7FuAPRNvFL5mPdHUYjQnlLFhkuaxvHguaqR7aWyDxcmJs0jLYQfQKY+oyhsMb4Lew4VL6i7um3/ew==" saltValue="ydaTm0CeH8+/cYqoL/AMaQ==" spinCount="100000" sqref="AU146 AW146:AZ146" name="Rango2_88_91_55"/>
    <protectedRange algorithmName="SHA-512" hashValue="CHipOQaT63FWw628cQcXXJRZlrbNZ7OgmnEbDx38UmmH7z19GRYEzXFiVOzHAy1OAaAbST7g2bHZHDKQp2qm3w==" saltValue="iRVuL+373yLHv0ZHzS9qog==" spinCount="100000" sqref="AJ146 AG146:AH146 AL146" name="Rango2_88_7_5_59"/>
    <protectedRange algorithmName="SHA-512" hashValue="NkG6oHuDGvGBEiLAAq8MEJHEfLQUMyjihfH+DBXhT+eQW0r1yri7tOJEFRM9nbOejjjXiviq9RFo7KB7wF+xJA==" saltValue="bpjB0AAANu2X/PeR3eiFkA==" spinCount="100000" sqref="AM146:AS146" name="Rango2_88_65_56"/>
    <protectedRange algorithmName="SHA-512" hashValue="fPHvtIAf3pQeZUoAI9C2/vdXMHBpqqEq+67P5Ypyu4+9IWqs3yc9TZcMWQ0THLxUwqseQPyVvakuYFtCwJHsxA==" saltValue="QHIogSs2PrwAfdqa9PAOFQ==" spinCount="100000" sqref="AC146" name="Rango2_88_5_5_56"/>
    <protectedRange algorithmName="SHA-512" hashValue="LEEeiU6pKqm7TAP46VGlz0q+evvFwpT/0iLpRuWuQ7MacbP0OGL1/FSmrIEOg2rb6M+Jla2bPbVWiGag27j87w==" saltValue="HEVt+pS5OloNDlqSnzGLLw==" spinCount="100000" sqref="AI146" name="Rango2_8_7_56"/>
    <protectedRange algorithmName="SHA-512" hashValue="AYYX88LSDB6RDNMvSqt0KPGWPjBqTk56tMxTOlv5QD61MGTKAAQnSnudvNDWPN0Bbllh2qRQC+P5uq7goxjdrw==" saltValue="i/iPMewnks1FoXYOjKMEVg==" spinCount="100000" sqref="AB146" name="Rango2_87_6_56"/>
    <protectedRange algorithmName="SHA-512" hashValue="NUll9P9xh7KbSfMYpMxsRZLfDw/y/AzW2LSWlpXVscBDqiAxmzo71xjs+a2lh+jRa7pceOC849slke4+ZKx8LA==" saltValue="8qbkKpQ+CiQuLnqgShNvXA==" spinCount="100000" sqref="T146" name="Rango2_88_6_56"/>
    <protectedRange algorithmName="SHA-512" hashValue="KHhv3JU/LRdRrRTxxkgFceEHPZ5UzadmpZRZR3zmQRnPvkUJZuanRafIJ+qde0IWwLZSvFIQDyUAHq6v6k7XIg==" saltValue="2GKG1kCzVNNcn+vbOPuhJA==" spinCount="100000" sqref="Q146" name="Rango2_2_5_56"/>
    <protectedRange algorithmName="SHA-512" hashValue="RQ91b7oAw60DVtcgB2vRpial2kSdzJx5guGCTYUwXYkKrtrUHfiYnLf9R+SNpYXlJDYpyEJLhcWwP0EqNN86dQ==" saltValue="W3RbH3zrcY9sy39xNwXNxg==" spinCount="100000" sqref="BA147:BI148 BV147:BY148" name="Rango2_88_99_60"/>
    <protectedRange algorithmName="SHA-512" hashValue="fMbmUM1DQ7FuAPRNvFL5mPdHUYjQnlLFhkuaxvHguaqR7aWyDxcmJs0jLYQfQKY+oyhsMb4Lew4VL6i7um3/ew==" saltValue="ydaTm0CeH8+/cYqoL/AMaQ==" spinCount="100000" sqref="AU147:AU148 AW147:AZ148" name="Rango2_88_91_56"/>
    <protectedRange algorithmName="SHA-512" hashValue="CHipOQaT63FWw628cQcXXJRZlrbNZ7OgmnEbDx38UmmH7z19GRYEzXFiVOzHAy1OAaAbST7g2bHZHDKQp2qm3w==" saltValue="iRVuL+373yLHv0ZHzS9qog==" spinCount="100000" sqref="AJ147:AJ148 AG147:AH148 AL147:AL148" name="Rango2_88_7_5_60"/>
    <protectedRange algorithmName="SHA-512" hashValue="NkG6oHuDGvGBEiLAAq8MEJHEfLQUMyjihfH+DBXhT+eQW0r1yri7tOJEFRM9nbOejjjXiviq9RFo7KB7wF+xJA==" saltValue="bpjB0AAANu2X/PeR3eiFkA==" spinCount="100000" sqref="AM147:AS148" name="Rango2_88_65_57"/>
    <protectedRange algorithmName="SHA-512" hashValue="fPHvtIAf3pQeZUoAI9C2/vdXMHBpqqEq+67P5Ypyu4+9IWqs3yc9TZcMWQ0THLxUwqseQPyVvakuYFtCwJHsxA==" saltValue="QHIogSs2PrwAfdqa9PAOFQ==" spinCount="100000" sqref="AC147:AC148" name="Rango2_88_5_5_57"/>
    <protectedRange algorithmName="SHA-512" hashValue="LEEeiU6pKqm7TAP46VGlz0q+evvFwpT/0iLpRuWuQ7MacbP0OGL1/FSmrIEOg2rb6M+Jla2bPbVWiGag27j87w==" saltValue="HEVt+pS5OloNDlqSnzGLLw==" spinCount="100000" sqref="AI147:AI148" name="Rango2_8_7_57"/>
    <protectedRange algorithmName="SHA-512" hashValue="AYYX88LSDB6RDNMvSqt0KPGWPjBqTk56tMxTOlv5QD61MGTKAAQnSnudvNDWPN0Bbllh2qRQC+P5uq7goxjdrw==" saltValue="i/iPMewnks1FoXYOjKMEVg==" spinCount="100000" sqref="AB147:AB148" name="Rango2_87_6_57"/>
    <protectedRange algorithmName="SHA-512" hashValue="NUll9P9xh7KbSfMYpMxsRZLfDw/y/AzW2LSWlpXVscBDqiAxmzo71xjs+a2lh+jRa7pceOC849slke4+ZKx8LA==" saltValue="8qbkKpQ+CiQuLnqgShNvXA==" spinCount="100000" sqref="T147:T148" name="Rango2_88_6_57"/>
    <protectedRange algorithmName="SHA-512" hashValue="KHhv3JU/LRdRrRTxxkgFceEHPZ5UzadmpZRZR3zmQRnPvkUJZuanRafIJ+qde0IWwLZSvFIQDyUAHq6v6k7XIg==" saltValue="2GKG1kCzVNNcn+vbOPuhJA==" spinCount="100000" sqref="Q147:Q148" name="Rango2_2_5_57"/>
    <protectedRange algorithmName="SHA-512" hashValue="RQ91b7oAw60DVtcgB2vRpial2kSdzJx5guGCTYUwXYkKrtrUHfiYnLf9R+SNpYXlJDYpyEJLhcWwP0EqNN86dQ==" saltValue="W3RbH3zrcY9sy39xNwXNxg==" spinCount="100000" sqref="BA149:BI150 BV149:BY150" name="Rango2_88_99_61"/>
    <protectedRange algorithmName="SHA-512" hashValue="fMbmUM1DQ7FuAPRNvFL5mPdHUYjQnlLFhkuaxvHguaqR7aWyDxcmJs0jLYQfQKY+oyhsMb4Lew4VL6i7um3/ew==" saltValue="ydaTm0CeH8+/cYqoL/AMaQ==" spinCount="100000" sqref="AU149:AU150 AW149:AZ150" name="Rango2_88_91_57"/>
    <protectedRange algorithmName="SHA-512" hashValue="CHipOQaT63FWw628cQcXXJRZlrbNZ7OgmnEbDx38UmmH7z19GRYEzXFiVOzHAy1OAaAbST7g2bHZHDKQp2qm3w==" saltValue="iRVuL+373yLHv0ZHzS9qog==" spinCount="100000" sqref="AJ149:AJ150 AG149:AH150 AL149:AL150" name="Rango2_88_7_5_61"/>
    <protectedRange algorithmName="SHA-512" hashValue="NkG6oHuDGvGBEiLAAq8MEJHEfLQUMyjihfH+DBXhT+eQW0r1yri7tOJEFRM9nbOejjjXiviq9RFo7KB7wF+xJA==" saltValue="bpjB0AAANu2X/PeR3eiFkA==" spinCount="100000" sqref="AM149:AS150" name="Rango2_88_65_58"/>
    <protectedRange algorithmName="SHA-512" hashValue="fPHvtIAf3pQeZUoAI9C2/vdXMHBpqqEq+67P5Ypyu4+9IWqs3yc9TZcMWQ0THLxUwqseQPyVvakuYFtCwJHsxA==" saltValue="QHIogSs2PrwAfdqa9PAOFQ==" spinCount="100000" sqref="AC149:AC150" name="Rango2_88_5_5_58"/>
    <protectedRange algorithmName="SHA-512" hashValue="LEEeiU6pKqm7TAP46VGlz0q+evvFwpT/0iLpRuWuQ7MacbP0OGL1/FSmrIEOg2rb6M+Jla2bPbVWiGag27j87w==" saltValue="HEVt+pS5OloNDlqSnzGLLw==" spinCount="100000" sqref="AI149:AI150" name="Rango2_8_7_58"/>
    <protectedRange algorithmName="SHA-512" hashValue="AYYX88LSDB6RDNMvSqt0KPGWPjBqTk56tMxTOlv5QD61MGTKAAQnSnudvNDWPN0Bbllh2qRQC+P5uq7goxjdrw==" saltValue="i/iPMewnks1FoXYOjKMEVg==" spinCount="100000" sqref="AB149:AB150" name="Rango2_87_6_58"/>
    <protectedRange algorithmName="SHA-512" hashValue="NUll9P9xh7KbSfMYpMxsRZLfDw/y/AzW2LSWlpXVscBDqiAxmzo71xjs+a2lh+jRa7pceOC849slke4+ZKx8LA==" saltValue="8qbkKpQ+CiQuLnqgShNvXA==" spinCount="100000" sqref="T149:T150" name="Rango2_88_6_58"/>
    <protectedRange algorithmName="SHA-512" hashValue="KHhv3JU/LRdRrRTxxkgFceEHPZ5UzadmpZRZR3zmQRnPvkUJZuanRafIJ+qde0IWwLZSvFIQDyUAHq6v6k7XIg==" saltValue="2GKG1kCzVNNcn+vbOPuhJA==" spinCount="100000" sqref="Q149:Q150" name="Rango2_2_5_58"/>
    <protectedRange algorithmName="SHA-512" hashValue="RQ91b7oAw60DVtcgB2vRpial2kSdzJx5guGCTYUwXYkKrtrUHfiYnLf9R+SNpYXlJDYpyEJLhcWwP0EqNN86dQ==" saltValue="W3RbH3zrcY9sy39xNwXNxg==" spinCount="100000" sqref="BA151:BI151 BV151:BY151" name="Rango2_88_99_62"/>
    <protectedRange algorithmName="SHA-512" hashValue="fMbmUM1DQ7FuAPRNvFL5mPdHUYjQnlLFhkuaxvHguaqR7aWyDxcmJs0jLYQfQKY+oyhsMb4Lew4VL6i7um3/ew==" saltValue="ydaTm0CeH8+/cYqoL/AMaQ==" spinCount="100000" sqref="AU151 AW151:AZ151" name="Rango2_88_91_58"/>
    <protectedRange algorithmName="SHA-512" hashValue="CHipOQaT63FWw628cQcXXJRZlrbNZ7OgmnEbDx38UmmH7z19GRYEzXFiVOzHAy1OAaAbST7g2bHZHDKQp2qm3w==" saltValue="iRVuL+373yLHv0ZHzS9qog==" spinCount="100000" sqref="AJ151 AG151:AH151 AL151" name="Rango2_88_7_5_62"/>
    <protectedRange algorithmName="SHA-512" hashValue="NkG6oHuDGvGBEiLAAq8MEJHEfLQUMyjihfH+DBXhT+eQW0r1yri7tOJEFRM9nbOejjjXiviq9RFo7KB7wF+xJA==" saltValue="bpjB0AAANu2X/PeR3eiFkA==" spinCount="100000" sqref="AM151:AS151" name="Rango2_88_65_59"/>
    <protectedRange algorithmName="SHA-512" hashValue="fPHvtIAf3pQeZUoAI9C2/vdXMHBpqqEq+67P5Ypyu4+9IWqs3yc9TZcMWQ0THLxUwqseQPyVvakuYFtCwJHsxA==" saltValue="QHIogSs2PrwAfdqa9PAOFQ==" spinCount="100000" sqref="AC151" name="Rango2_88_5_5_59"/>
    <protectedRange algorithmName="SHA-512" hashValue="LEEeiU6pKqm7TAP46VGlz0q+evvFwpT/0iLpRuWuQ7MacbP0OGL1/FSmrIEOg2rb6M+Jla2bPbVWiGag27j87w==" saltValue="HEVt+pS5OloNDlqSnzGLLw==" spinCount="100000" sqref="AI151" name="Rango2_8_7_59"/>
    <protectedRange algorithmName="SHA-512" hashValue="AYYX88LSDB6RDNMvSqt0KPGWPjBqTk56tMxTOlv5QD61MGTKAAQnSnudvNDWPN0Bbllh2qRQC+P5uq7goxjdrw==" saltValue="i/iPMewnks1FoXYOjKMEVg==" spinCount="100000" sqref="AB151" name="Rango2_87_6_59"/>
    <protectedRange algorithmName="SHA-512" hashValue="NUll9P9xh7KbSfMYpMxsRZLfDw/y/AzW2LSWlpXVscBDqiAxmzo71xjs+a2lh+jRa7pceOC849slke4+ZKx8LA==" saltValue="8qbkKpQ+CiQuLnqgShNvXA==" spinCount="100000" sqref="T151" name="Rango2_88_6_59"/>
    <protectedRange algorithmName="SHA-512" hashValue="KHhv3JU/LRdRrRTxxkgFceEHPZ5UzadmpZRZR3zmQRnPvkUJZuanRafIJ+qde0IWwLZSvFIQDyUAHq6v6k7XIg==" saltValue="2GKG1kCzVNNcn+vbOPuhJA==" spinCount="100000" sqref="Q151" name="Rango2_2_5_59"/>
    <protectedRange algorithmName="SHA-512" hashValue="RQ91b7oAw60DVtcgB2vRpial2kSdzJx5guGCTYUwXYkKrtrUHfiYnLf9R+SNpYXlJDYpyEJLhcWwP0EqNN86dQ==" saltValue="W3RbH3zrcY9sy39xNwXNxg==" spinCount="100000" sqref="BA152:BI152 BV152:BY152" name="Rango2_88_99_63"/>
    <protectedRange algorithmName="SHA-512" hashValue="fMbmUM1DQ7FuAPRNvFL5mPdHUYjQnlLFhkuaxvHguaqR7aWyDxcmJs0jLYQfQKY+oyhsMb4Lew4VL6i7um3/ew==" saltValue="ydaTm0CeH8+/cYqoL/AMaQ==" spinCount="100000" sqref="AU152 AW152:AZ152" name="Rango2_88_91_59"/>
    <protectedRange algorithmName="SHA-512" hashValue="CHipOQaT63FWw628cQcXXJRZlrbNZ7OgmnEbDx38UmmH7z19GRYEzXFiVOzHAy1OAaAbST7g2bHZHDKQp2qm3w==" saltValue="iRVuL+373yLHv0ZHzS9qog==" spinCount="100000" sqref="AJ152 AG152:AH152 AL152" name="Rango2_88_7_5_63"/>
    <protectedRange algorithmName="SHA-512" hashValue="NkG6oHuDGvGBEiLAAq8MEJHEfLQUMyjihfH+DBXhT+eQW0r1yri7tOJEFRM9nbOejjjXiviq9RFo7KB7wF+xJA==" saltValue="bpjB0AAANu2X/PeR3eiFkA==" spinCount="100000" sqref="AM152:AS152" name="Rango2_88_65_60"/>
    <protectedRange algorithmName="SHA-512" hashValue="fPHvtIAf3pQeZUoAI9C2/vdXMHBpqqEq+67P5Ypyu4+9IWqs3yc9TZcMWQ0THLxUwqseQPyVvakuYFtCwJHsxA==" saltValue="QHIogSs2PrwAfdqa9PAOFQ==" spinCount="100000" sqref="AC152" name="Rango2_88_5_5_60"/>
    <protectedRange algorithmName="SHA-512" hashValue="LEEeiU6pKqm7TAP46VGlz0q+evvFwpT/0iLpRuWuQ7MacbP0OGL1/FSmrIEOg2rb6M+Jla2bPbVWiGag27j87w==" saltValue="HEVt+pS5OloNDlqSnzGLLw==" spinCount="100000" sqref="AI152" name="Rango2_8_7_60"/>
    <protectedRange algorithmName="SHA-512" hashValue="AYYX88LSDB6RDNMvSqt0KPGWPjBqTk56tMxTOlv5QD61MGTKAAQnSnudvNDWPN0Bbllh2qRQC+P5uq7goxjdrw==" saltValue="i/iPMewnks1FoXYOjKMEVg==" spinCount="100000" sqref="AB152" name="Rango2_87_6_60"/>
    <protectedRange algorithmName="SHA-512" hashValue="NUll9P9xh7KbSfMYpMxsRZLfDw/y/AzW2LSWlpXVscBDqiAxmzo71xjs+a2lh+jRa7pceOC849slke4+ZKx8LA==" saltValue="8qbkKpQ+CiQuLnqgShNvXA==" spinCount="100000" sqref="T152" name="Rango2_88_6_60"/>
    <protectedRange algorithmName="SHA-512" hashValue="KHhv3JU/LRdRrRTxxkgFceEHPZ5UzadmpZRZR3zmQRnPvkUJZuanRafIJ+qde0IWwLZSvFIQDyUAHq6v6k7XIg==" saltValue="2GKG1kCzVNNcn+vbOPuhJA==" spinCount="100000" sqref="Q152" name="Rango2_2_5_60"/>
    <protectedRange algorithmName="SHA-512" hashValue="RQ91b7oAw60DVtcgB2vRpial2kSdzJx5guGCTYUwXYkKrtrUHfiYnLf9R+SNpYXlJDYpyEJLhcWwP0EqNN86dQ==" saltValue="W3RbH3zrcY9sy39xNwXNxg==" spinCount="100000" sqref="BA153:BI153 BV153:BY153" name="Rango2_88_99_64"/>
    <protectedRange algorithmName="SHA-512" hashValue="fMbmUM1DQ7FuAPRNvFL5mPdHUYjQnlLFhkuaxvHguaqR7aWyDxcmJs0jLYQfQKY+oyhsMb4Lew4VL6i7um3/ew==" saltValue="ydaTm0CeH8+/cYqoL/AMaQ==" spinCount="100000" sqref="AU153 AW153:AZ153" name="Rango2_88_91_60"/>
    <protectedRange algorithmName="SHA-512" hashValue="CHipOQaT63FWw628cQcXXJRZlrbNZ7OgmnEbDx38UmmH7z19GRYEzXFiVOzHAy1OAaAbST7g2bHZHDKQp2qm3w==" saltValue="iRVuL+373yLHv0ZHzS9qog==" spinCount="100000" sqref="AJ153 AG153:AH153 AL153" name="Rango2_88_7_5_64"/>
    <protectedRange algorithmName="SHA-512" hashValue="NkG6oHuDGvGBEiLAAq8MEJHEfLQUMyjihfH+DBXhT+eQW0r1yri7tOJEFRM9nbOejjjXiviq9RFo7KB7wF+xJA==" saltValue="bpjB0AAANu2X/PeR3eiFkA==" spinCount="100000" sqref="AM153:AS153" name="Rango2_88_65_61"/>
    <protectedRange algorithmName="SHA-512" hashValue="fPHvtIAf3pQeZUoAI9C2/vdXMHBpqqEq+67P5Ypyu4+9IWqs3yc9TZcMWQ0THLxUwqseQPyVvakuYFtCwJHsxA==" saltValue="QHIogSs2PrwAfdqa9PAOFQ==" spinCount="100000" sqref="AC153" name="Rango2_88_5_5_61"/>
    <protectedRange algorithmName="SHA-512" hashValue="LEEeiU6pKqm7TAP46VGlz0q+evvFwpT/0iLpRuWuQ7MacbP0OGL1/FSmrIEOg2rb6M+Jla2bPbVWiGag27j87w==" saltValue="HEVt+pS5OloNDlqSnzGLLw==" spinCount="100000" sqref="AI153" name="Rango2_8_7_61"/>
    <protectedRange algorithmName="SHA-512" hashValue="AYYX88LSDB6RDNMvSqt0KPGWPjBqTk56tMxTOlv5QD61MGTKAAQnSnudvNDWPN0Bbllh2qRQC+P5uq7goxjdrw==" saltValue="i/iPMewnks1FoXYOjKMEVg==" spinCount="100000" sqref="AB153" name="Rango2_87_6_61"/>
    <protectedRange algorithmName="SHA-512" hashValue="NUll9P9xh7KbSfMYpMxsRZLfDw/y/AzW2LSWlpXVscBDqiAxmzo71xjs+a2lh+jRa7pceOC849slke4+ZKx8LA==" saltValue="8qbkKpQ+CiQuLnqgShNvXA==" spinCount="100000" sqref="T153" name="Rango2_88_6_61"/>
    <protectedRange algorithmName="SHA-512" hashValue="KHhv3JU/LRdRrRTxxkgFceEHPZ5UzadmpZRZR3zmQRnPvkUJZuanRafIJ+qde0IWwLZSvFIQDyUAHq6v6k7XIg==" saltValue="2GKG1kCzVNNcn+vbOPuhJA==" spinCount="100000" sqref="Q153" name="Rango2_2_5_61"/>
    <protectedRange algorithmName="SHA-512" hashValue="RQ91b7oAw60DVtcgB2vRpial2kSdzJx5guGCTYUwXYkKrtrUHfiYnLf9R+SNpYXlJDYpyEJLhcWwP0EqNN86dQ==" saltValue="W3RbH3zrcY9sy39xNwXNxg==" spinCount="100000" sqref="BA154:BI154 BV154:BY154" name="Rango2_88_99_65"/>
    <protectedRange algorithmName="SHA-512" hashValue="fMbmUM1DQ7FuAPRNvFL5mPdHUYjQnlLFhkuaxvHguaqR7aWyDxcmJs0jLYQfQKY+oyhsMb4Lew4VL6i7um3/ew==" saltValue="ydaTm0CeH8+/cYqoL/AMaQ==" spinCount="100000" sqref="AU154 AW154:AZ154" name="Rango2_88_91_61"/>
    <protectedRange algorithmName="SHA-512" hashValue="CHipOQaT63FWw628cQcXXJRZlrbNZ7OgmnEbDx38UmmH7z19GRYEzXFiVOzHAy1OAaAbST7g2bHZHDKQp2qm3w==" saltValue="iRVuL+373yLHv0ZHzS9qog==" spinCount="100000" sqref="AJ154 AG154:AH154 AL154" name="Rango2_88_7_5_65"/>
    <protectedRange algorithmName="SHA-512" hashValue="NkG6oHuDGvGBEiLAAq8MEJHEfLQUMyjihfH+DBXhT+eQW0r1yri7tOJEFRM9nbOejjjXiviq9RFo7KB7wF+xJA==" saltValue="bpjB0AAANu2X/PeR3eiFkA==" spinCount="100000" sqref="AM154:AS154" name="Rango2_88_65_62"/>
    <protectedRange algorithmName="SHA-512" hashValue="fPHvtIAf3pQeZUoAI9C2/vdXMHBpqqEq+67P5Ypyu4+9IWqs3yc9TZcMWQ0THLxUwqseQPyVvakuYFtCwJHsxA==" saltValue="QHIogSs2PrwAfdqa9PAOFQ==" spinCount="100000" sqref="AC154" name="Rango2_88_5_5_62"/>
    <protectedRange algorithmName="SHA-512" hashValue="LEEeiU6pKqm7TAP46VGlz0q+evvFwpT/0iLpRuWuQ7MacbP0OGL1/FSmrIEOg2rb6M+Jla2bPbVWiGag27j87w==" saltValue="HEVt+pS5OloNDlqSnzGLLw==" spinCount="100000" sqref="AI154" name="Rango2_8_7_62"/>
    <protectedRange algorithmName="SHA-512" hashValue="AYYX88LSDB6RDNMvSqt0KPGWPjBqTk56tMxTOlv5QD61MGTKAAQnSnudvNDWPN0Bbllh2qRQC+P5uq7goxjdrw==" saltValue="i/iPMewnks1FoXYOjKMEVg==" spinCount="100000" sqref="AB154" name="Rango2_87_6_62"/>
    <protectedRange algorithmName="SHA-512" hashValue="NUll9P9xh7KbSfMYpMxsRZLfDw/y/AzW2LSWlpXVscBDqiAxmzo71xjs+a2lh+jRa7pceOC849slke4+ZKx8LA==" saltValue="8qbkKpQ+CiQuLnqgShNvXA==" spinCount="100000" sqref="T154" name="Rango2_88_6_62"/>
    <protectedRange algorithmName="SHA-512" hashValue="KHhv3JU/LRdRrRTxxkgFceEHPZ5UzadmpZRZR3zmQRnPvkUJZuanRafIJ+qde0IWwLZSvFIQDyUAHq6v6k7XIg==" saltValue="2GKG1kCzVNNcn+vbOPuhJA==" spinCount="100000" sqref="Q154" name="Rango2_2_5_62"/>
    <protectedRange algorithmName="SHA-512" hashValue="RQ91b7oAw60DVtcgB2vRpial2kSdzJx5guGCTYUwXYkKrtrUHfiYnLf9R+SNpYXlJDYpyEJLhcWwP0EqNN86dQ==" saltValue="W3RbH3zrcY9sy39xNwXNxg==" spinCount="100000" sqref="BA155:BI155 BV155:BY155" name="Rango2_88_99_66"/>
    <protectedRange algorithmName="SHA-512" hashValue="fMbmUM1DQ7FuAPRNvFL5mPdHUYjQnlLFhkuaxvHguaqR7aWyDxcmJs0jLYQfQKY+oyhsMb4Lew4VL6i7um3/ew==" saltValue="ydaTm0CeH8+/cYqoL/AMaQ==" spinCount="100000" sqref="AU155 AW155:AZ155" name="Rango2_88_91_62"/>
    <protectedRange algorithmName="SHA-512" hashValue="CHipOQaT63FWw628cQcXXJRZlrbNZ7OgmnEbDx38UmmH7z19GRYEzXFiVOzHAy1OAaAbST7g2bHZHDKQp2qm3w==" saltValue="iRVuL+373yLHv0ZHzS9qog==" spinCount="100000" sqref="AJ155 AG155:AH155 AL155" name="Rango2_88_7_5_66"/>
    <protectedRange algorithmName="SHA-512" hashValue="NkG6oHuDGvGBEiLAAq8MEJHEfLQUMyjihfH+DBXhT+eQW0r1yri7tOJEFRM9nbOejjjXiviq9RFo7KB7wF+xJA==" saltValue="bpjB0AAANu2X/PeR3eiFkA==" spinCount="100000" sqref="AM155:AS155" name="Rango2_88_65_63"/>
    <protectedRange algorithmName="SHA-512" hashValue="fPHvtIAf3pQeZUoAI9C2/vdXMHBpqqEq+67P5Ypyu4+9IWqs3yc9TZcMWQ0THLxUwqseQPyVvakuYFtCwJHsxA==" saltValue="QHIogSs2PrwAfdqa9PAOFQ==" spinCount="100000" sqref="AC155" name="Rango2_88_5_5_63"/>
    <protectedRange algorithmName="SHA-512" hashValue="LEEeiU6pKqm7TAP46VGlz0q+evvFwpT/0iLpRuWuQ7MacbP0OGL1/FSmrIEOg2rb6M+Jla2bPbVWiGag27j87w==" saltValue="HEVt+pS5OloNDlqSnzGLLw==" spinCount="100000" sqref="AI155" name="Rango2_8_7_63"/>
    <protectedRange algorithmName="SHA-512" hashValue="AYYX88LSDB6RDNMvSqt0KPGWPjBqTk56tMxTOlv5QD61MGTKAAQnSnudvNDWPN0Bbllh2qRQC+P5uq7goxjdrw==" saltValue="i/iPMewnks1FoXYOjKMEVg==" spinCount="100000" sqref="AB155" name="Rango2_87_6_63"/>
    <protectedRange algorithmName="SHA-512" hashValue="NUll9P9xh7KbSfMYpMxsRZLfDw/y/AzW2LSWlpXVscBDqiAxmzo71xjs+a2lh+jRa7pceOC849slke4+ZKx8LA==" saltValue="8qbkKpQ+CiQuLnqgShNvXA==" spinCount="100000" sqref="T155" name="Rango2_88_6_63"/>
    <protectedRange algorithmName="SHA-512" hashValue="KHhv3JU/LRdRrRTxxkgFceEHPZ5UzadmpZRZR3zmQRnPvkUJZuanRafIJ+qde0IWwLZSvFIQDyUAHq6v6k7XIg==" saltValue="2GKG1kCzVNNcn+vbOPuhJA==" spinCount="100000" sqref="Q155" name="Rango2_2_5_63"/>
    <protectedRange algorithmName="SHA-512" hashValue="RQ91b7oAw60DVtcgB2vRpial2kSdzJx5guGCTYUwXYkKrtrUHfiYnLf9R+SNpYXlJDYpyEJLhcWwP0EqNN86dQ==" saltValue="W3RbH3zrcY9sy39xNwXNxg==" spinCount="100000" sqref="BA156:BI157 BV156:BY157" name="Rango2_88_99_67"/>
    <protectedRange algorithmName="SHA-512" hashValue="fMbmUM1DQ7FuAPRNvFL5mPdHUYjQnlLFhkuaxvHguaqR7aWyDxcmJs0jLYQfQKY+oyhsMb4Lew4VL6i7um3/ew==" saltValue="ydaTm0CeH8+/cYqoL/AMaQ==" spinCount="100000" sqref="AU156:AU157 AW156:AZ157" name="Rango2_88_91_63"/>
    <protectedRange algorithmName="SHA-512" hashValue="CHipOQaT63FWw628cQcXXJRZlrbNZ7OgmnEbDx38UmmH7z19GRYEzXFiVOzHAy1OAaAbST7g2bHZHDKQp2qm3w==" saltValue="iRVuL+373yLHv0ZHzS9qog==" spinCount="100000" sqref="AJ156:AJ157 AG156:AH157 AL156:AL157" name="Rango2_88_7_5_67"/>
    <protectedRange algorithmName="SHA-512" hashValue="NkG6oHuDGvGBEiLAAq8MEJHEfLQUMyjihfH+DBXhT+eQW0r1yri7tOJEFRM9nbOejjjXiviq9RFo7KB7wF+xJA==" saltValue="bpjB0AAANu2X/PeR3eiFkA==" spinCount="100000" sqref="AM156:AS157" name="Rango2_88_65_64"/>
    <protectedRange algorithmName="SHA-512" hashValue="fPHvtIAf3pQeZUoAI9C2/vdXMHBpqqEq+67P5Ypyu4+9IWqs3yc9TZcMWQ0THLxUwqseQPyVvakuYFtCwJHsxA==" saltValue="QHIogSs2PrwAfdqa9PAOFQ==" spinCount="100000" sqref="AC156:AC157" name="Rango2_88_5_5_64"/>
    <protectedRange algorithmName="SHA-512" hashValue="LEEeiU6pKqm7TAP46VGlz0q+evvFwpT/0iLpRuWuQ7MacbP0OGL1/FSmrIEOg2rb6M+Jla2bPbVWiGag27j87w==" saltValue="HEVt+pS5OloNDlqSnzGLLw==" spinCount="100000" sqref="AI156:AI157" name="Rango2_8_7_64"/>
    <protectedRange algorithmName="SHA-512" hashValue="AYYX88LSDB6RDNMvSqt0KPGWPjBqTk56tMxTOlv5QD61MGTKAAQnSnudvNDWPN0Bbllh2qRQC+P5uq7goxjdrw==" saltValue="i/iPMewnks1FoXYOjKMEVg==" spinCount="100000" sqref="AB156:AB157" name="Rango2_87_6_64"/>
    <protectedRange algorithmName="SHA-512" hashValue="NUll9P9xh7KbSfMYpMxsRZLfDw/y/AzW2LSWlpXVscBDqiAxmzo71xjs+a2lh+jRa7pceOC849slke4+ZKx8LA==" saltValue="8qbkKpQ+CiQuLnqgShNvXA==" spinCount="100000" sqref="T156:T157" name="Rango2_88_6_64"/>
    <protectedRange algorithmName="SHA-512" hashValue="KHhv3JU/LRdRrRTxxkgFceEHPZ5UzadmpZRZR3zmQRnPvkUJZuanRafIJ+qde0IWwLZSvFIQDyUAHq6v6k7XIg==" saltValue="2GKG1kCzVNNcn+vbOPuhJA==" spinCount="100000" sqref="Q156:Q157" name="Rango2_2_5_64"/>
    <protectedRange algorithmName="SHA-512" hashValue="RQ91b7oAw60DVtcgB2vRpial2kSdzJx5guGCTYUwXYkKrtrUHfiYnLf9R+SNpYXlJDYpyEJLhcWwP0EqNN86dQ==" saltValue="W3RbH3zrcY9sy39xNwXNxg==" spinCount="100000" sqref="BA158:BI158 BV158:BY158" name="Rango2_88_99_68"/>
    <protectedRange algorithmName="SHA-512" hashValue="fMbmUM1DQ7FuAPRNvFL5mPdHUYjQnlLFhkuaxvHguaqR7aWyDxcmJs0jLYQfQKY+oyhsMb4Lew4VL6i7um3/ew==" saltValue="ydaTm0CeH8+/cYqoL/AMaQ==" spinCount="100000" sqref="AU158 AW158:AZ158" name="Rango2_88_91_64"/>
    <protectedRange algorithmName="SHA-512" hashValue="CHipOQaT63FWw628cQcXXJRZlrbNZ7OgmnEbDx38UmmH7z19GRYEzXFiVOzHAy1OAaAbST7g2bHZHDKQp2qm3w==" saltValue="iRVuL+373yLHv0ZHzS9qog==" spinCount="100000" sqref="AJ158 AG158:AH158 AL158" name="Rango2_88_7_5_68"/>
    <protectedRange algorithmName="SHA-512" hashValue="NkG6oHuDGvGBEiLAAq8MEJHEfLQUMyjihfH+DBXhT+eQW0r1yri7tOJEFRM9nbOejjjXiviq9RFo7KB7wF+xJA==" saltValue="bpjB0AAANu2X/PeR3eiFkA==" spinCount="100000" sqref="AM158:AS158" name="Rango2_88_65_65"/>
    <protectedRange algorithmName="SHA-512" hashValue="fPHvtIAf3pQeZUoAI9C2/vdXMHBpqqEq+67P5Ypyu4+9IWqs3yc9TZcMWQ0THLxUwqseQPyVvakuYFtCwJHsxA==" saltValue="QHIogSs2PrwAfdqa9PAOFQ==" spinCount="100000" sqref="AC158" name="Rango2_88_5_5_65"/>
    <protectedRange algorithmName="SHA-512" hashValue="LEEeiU6pKqm7TAP46VGlz0q+evvFwpT/0iLpRuWuQ7MacbP0OGL1/FSmrIEOg2rb6M+Jla2bPbVWiGag27j87w==" saltValue="HEVt+pS5OloNDlqSnzGLLw==" spinCount="100000" sqref="AI158" name="Rango2_8_7_65"/>
    <protectedRange algorithmName="SHA-512" hashValue="AYYX88LSDB6RDNMvSqt0KPGWPjBqTk56tMxTOlv5QD61MGTKAAQnSnudvNDWPN0Bbllh2qRQC+P5uq7goxjdrw==" saltValue="i/iPMewnks1FoXYOjKMEVg==" spinCount="100000" sqref="AB158" name="Rango2_87_6_65"/>
    <protectedRange algorithmName="SHA-512" hashValue="NUll9P9xh7KbSfMYpMxsRZLfDw/y/AzW2LSWlpXVscBDqiAxmzo71xjs+a2lh+jRa7pceOC849slke4+ZKx8LA==" saltValue="8qbkKpQ+CiQuLnqgShNvXA==" spinCount="100000" sqref="T158" name="Rango2_88_6_65"/>
    <protectedRange algorithmName="SHA-512" hashValue="KHhv3JU/LRdRrRTxxkgFceEHPZ5UzadmpZRZR3zmQRnPvkUJZuanRafIJ+qde0IWwLZSvFIQDyUAHq6v6k7XIg==" saltValue="2GKG1kCzVNNcn+vbOPuhJA==" spinCount="100000" sqref="Q158" name="Rango2_2_5_65"/>
    <protectedRange algorithmName="SHA-512" hashValue="RQ91b7oAw60DVtcgB2vRpial2kSdzJx5guGCTYUwXYkKrtrUHfiYnLf9R+SNpYXlJDYpyEJLhcWwP0EqNN86dQ==" saltValue="W3RbH3zrcY9sy39xNwXNxg==" spinCount="100000" sqref="BA159:BI162 BV159:BY162" name="Rango2_88_99_69"/>
    <protectedRange algorithmName="SHA-512" hashValue="fMbmUM1DQ7FuAPRNvFL5mPdHUYjQnlLFhkuaxvHguaqR7aWyDxcmJs0jLYQfQKY+oyhsMb4Lew4VL6i7um3/ew==" saltValue="ydaTm0CeH8+/cYqoL/AMaQ==" spinCount="100000" sqref="AU159:AU162 AW159:AZ162" name="Rango2_88_91_65"/>
    <protectedRange algorithmName="SHA-512" hashValue="CHipOQaT63FWw628cQcXXJRZlrbNZ7OgmnEbDx38UmmH7z19GRYEzXFiVOzHAy1OAaAbST7g2bHZHDKQp2qm3w==" saltValue="iRVuL+373yLHv0ZHzS9qog==" spinCount="100000" sqref="AJ159:AJ162 AG159:AH162 AL159:AL162" name="Rango2_88_7_5_69"/>
    <protectedRange algorithmName="SHA-512" hashValue="NkG6oHuDGvGBEiLAAq8MEJHEfLQUMyjihfH+DBXhT+eQW0r1yri7tOJEFRM9nbOejjjXiviq9RFo7KB7wF+xJA==" saltValue="bpjB0AAANu2X/PeR3eiFkA==" spinCount="100000" sqref="AM159:AS162" name="Rango2_88_65_66"/>
    <protectedRange algorithmName="SHA-512" hashValue="fPHvtIAf3pQeZUoAI9C2/vdXMHBpqqEq+67P5Ypyu4+9IWqs3yc9TZcMWQ0THLxUwqseQPyVvakuYFtCwJHsxA==" saltValue="QHIogSs2PrwAfdqa9PAOFQ==" spinCount="100000" sqref="AC159:AC162" name="Rango2_88_5_5_66"/>
    <protectedRange algorithmName="SHA-512" hashValue="LEEeiU6pKqm7TAP46VGlz0q+evvFwpT/0iLpRuWuQ7MacbP0OGL1/FSmrIEOg2rb6M+Jla2bPbVWiGag27j87w==" saltValue="HEVt+pS5OloNDlqSnzGLLw==" spinCount="100000" sqref="AI159:AI162" name="Rango2_8_7_66"/>
    <protectedRange algorithmName="SHA-512" hashValue="AYYX88LSDB6RDNMvSqt0KPGWPjBqTk56tMxTOlv5QD61MGTKAAQnSnudvNDWPN0Bbllh2qRQC+P5uq7goxjdrw==" saltValue="i/iPMewnks1FoXYOjKMEVg==" spinCount="100000" sqref="AB159:AB162" name="Rango2_87_6_66"/>
    <protectedRange algorithmName="SHA-512" hashValue="NUll9P9xh7KbSfMYpMxsRZLfDw/y/AzW2LSWlpXVscBDqiAxmzo71xjs+a2lh+jRa7pceOC849slke4+ZKx8LA==" saltValue="8qbkKpQ+CiQuLnqgShNvXA==" spinCount="100000" sqref="T159:T162" name="Rango2_88_6_66"/>
    <protectedRange algorithmName="SHA-512" hashValue="KHhv3JU/LRdRrRTxxkgFceEHPZ5UzadmpZRZR3zmQRnPvkUJZuanRafIJ+qde0IWwLZSvFIQDyUAHq6v6k7XIg==" saltValue="2GKG1kCzVNNcn+vbOPuhJA==" spinCount="100000" sqref="Q159:Q162" name="Rango2_2_5_66"/>
    <protectedRange algorithmName="SHA-512" hashValue="RQ91b7oAw60DVtcgB2vRpial2kSdzJx5guGCTYUwXYkKrtrUHfiYnLf9R+SNpYXlJDYpyEJLhcWwP0EqNN86dQ==" saltValue="W3RbH3zrcY9sy39xNwXNxg==" spinCount="100000" sqref="BA163:BI163 BV163:BY163" name="Rango2_88_99_70"/>
    <protectedRange algorithmName="SHA-512" hashValue="fMbmUM1DQ7FuAPRNvFL5mPdHUYjQnlLFhkuaxvHguaqR7aWyDxcmJs0jLYQfQKY+oyhsMb4Lew4VL6i7um3/ew==" saltValue="ydaTm0CeH8+/cYqoL/AMaQ==" spinCount="100000" sqref="AU163 AW163:AZ163" name="Rango2_88_91_66"/>
    <protectedRange algorithmName="SHA-512" hashValue="CHipOQaT63FWw628cQcXXJRZlrbNZ7OgmnEbDx38UmmH7z19GRYEzXFiVOzHAy1OAaAbST7g2bHZHDKQp2qm3w==" saltValue="iRVuL+373yLHv0ZHzS9qog==" spinCount="100000" sqref="AJ163 AG163:AH163 AL163" name="Rango2_88_7_5_70"/>
    <protectedRange algorithmName="SHA-512" hashValue="NkG6oHuDGvGBEiLAAq8MEJHEfLQUMyjihfH+DBXhT+eQW0r1yri7tOJEFRM9nbOejjjXiviq9RFo7KB7wF+xJA==" saltValue="bpjB0AAANu2X/PeR3eiFkA==" spinCount="100000" sqref="AM163:AS163" name="Rango2_88_65_67"/>
    <protectedRange algorithmName="SHA-512" hashValue="fPHvtIAf3pQeZUoAI9C2/vdXMHBpqqEq+67P5Ypyu4+9IWqs3yc9TZcMWQ0THLxUwqseQPyVvakuYFtCwJHsxA==" saltValue="QHIogSs2PrwAfdqa9PAOFQ==" spinCount="100000" sqref="AC163" name="Rango2_88_5_5_67"/>
    <protectedRange algorithmName="SHA-512" hashValue="LEEeiU6pKqm7TAP46VGlz0q+evvFwpT/0iLpRuWuQ7MacbP0OGL1/FSmrIEOg2rb6M+Jla2bPbVWiGag27j87w==" saltValue="HEVt+pS5OloNDlqSnzGLLw==" spinCount="100000" sqref="AI163" name="Rango2_8_7_67"/>
    <protectedRange algorithmName="SHA-512" hashValue="AYYX88LSDB6RDNMvSqt0KPGWPjBqTk56tMxTOlv5QD61MGTKAAQnSnudvNDWPN0Bbllh2qRQC+P5uq7goxjdrw==" saltValue="i/iPMewnks1FoXYOjKMEVg==" spinCount="100000" sqref="AB163" name="Rango2_87_6_67"/>
    <protectedRange algorithmName="SHA-512" hashValue="NUll9P9xh7KbSfMYpMxsRZLfDw/y/AzW2LSWlpXVscBDqiAxmzo71xjs+a2lh+jRa7pceOC849slke4+ZKx8LA==" saltValue="8qbkKpQ+CiQuLnqgShNvXA==" spinCount="100000" sqref="T163" name="Rango2_88_6_67"/>
    <protectedRange algorithmName="SHA-512" hashValue="KHhv3JU/LRdRrRTxxkgFceEHPZ5UzadmpZRZR3zmQRnPvkUJZuanRafIJ+qde0IWwLZSvFIQDyUAHq6v6k7XIg==" saltValue="2GKG1kCzVNNcn+vbOPuhJA==" spinCount="100000" sqref="Q163" name="Rango2_2_5_67"/>
    <protectedRange algorithmName="SHA-512" hashValue="RQ91b7oAw60DVtcgB2vRpial2kSdzJx5guGCTYUwXYkKrtrUHfiYnLf9R+SNpYXlJDYpyEJLhcWwP0EqNN86dQ==" saltValue="W3RbH3zrcY9sy39xNwXNxg==" spinCount="100000" sqref="BA164:BI164 BV164:BY164" name="Rango2_88_99_71"/>
    <protectedRange algorithmName="SHA-512" hashValue="fMbmUM1DQ7FuAPRNvFL5mPdHUYjQnlLFhkuaxvHguaqR7aWyDxcmJs0jLYQfQKY+oyhsMb4Lew4VL6i7um3/ew==" saltValue="ydaTm0CeH8+/cYqoL/AMaQ==" spinCount="100000" sqref="AU164 AW164:AZ164" name="Rango2_88_91_67"/>
    <protectedRange algorithmName="SHA-512" hashValue="CHipOQaT63FWw628cQcXXJRZlrbNZ7OgmnEbDx38UmmH7z19GRYEzXFiVOzHAy1OAaAbST7g2bHZHDKQp2qm3w==" saltValue="iRVuL+373yLHv0ZHzS9qog==" spinCount="100000" sqref="AJ164 AG164:AH164 AL164" name="Rango2_88_7_5_71"/>
    <protectedRange algorithmName="SHA-512" hashValue="NkG6oHuDGvGBEiLAAq8MEJHEfLQUMyjihfH+DBXhT+eQW0r1yri7tOJEFRM9nbOejjjXiviq9RFo7KB7wF+xJA==" saltValue="bpjB0AAANu2X/PeR3eiFkA==" spinCount="100000" sqref="AM164:AS164" name="Rango2_88_65_68"/>
    <protectedRange algorithmName="SHA-512" hashValue="fPHvtIAf3pQeZUoAI9C2/vdXMHBpqqEq+67P5Ypyu4+9IWqs3yc9TZcMWQ0THLxUwqseQPyVvakuYFtCwJHsxA==" saltValue="QHIogSs2PrwAfdqa9PAOFQ==" spinCount="100000" sqref="AC164" name="Rango2_88_5_5_68"/>
    <protectedRange algorithmName="SHA-512" hashValue="LEEeiU6pKqm7TAP46VGlz0q+evvFwpT/0iLpRuWuQ7MacbP0OGL1/FSmrIEOg2rb6M+Jla2bPbVWiGag27j87w==" saltValue="HEVt+pS5OloNDlqSnzGLLw==" spinCount="100000" sqref="AI164" name="Rango2_8_7_68"/>
    <protectedRange algorithmName="SHA-512" hashValue="AYYX88LSDB6RDNMvSqt0KPGWPjBqTk56tMxTOlv5QD61MGTKAAQnSnudvNDWPN0Bbllh2qRQC+P5uq7goxjdrw==" saltValue="i/iPMewnks1FoXYOjKMEVg==" spinCount="100000" sqref="AB164" name="Rango2_87_6_68"/>
    <protectedRange algorithmName="SHA-512" hashValue="NUll9P9xh7KbSfMYpMxsRZLfDw/y/AzW2LSWlpXVscBDqiAxmzo71xjs+a2lh+jRa7pceOC849slke4+ZKx8LA==" saltValue="8qbkKpQ+CiQuLnqgShNvXA==" spinCount="100000" sqref="T164" name="Rango2_88_6_68"/>
    <protectedRange algorithmName="SHA-512" hashValue="KHhv3JU/LRdRrRTxxkgFceEHPZ5UzadmpZRZR3zmQRnPvkUJZuanRafIJ+qde0IWwLZSvFIQDyUAHq6v6k7XIg==" saltValue="2GKG1kCzVNNcn+vbOPuhJA==" spinCount="100000" sqref="Q164" name="Rango2_2_5_68"/>
    <protectedRange algorithmName="SHA-512" hashValue="RQ91b7oAw60DVtcgB2vRpial2kSdzJx5guGCTYUwXYkKrtrUHfiYnLf9R+SNpYXlJDYpyEJLhcWwP0EqNN86dQ==" saltValue="W3RbH3zrcY9sy39xNwXNxg==" spinCount="100000" sqref="BA165:BI166 BV165:BY166" name="Rango2_88_99_72"/>
    <protectedRange algorithmName="SHA-512" hashValue="fMbmUM1DQ7FuAPRNvFL5mPdHUYjQnlLFhkuaxvHguaqR7aWyDxcmJs0jLYQfQKY+oyhsMb4Lew4VL6i7um3/ew==" saltValue="ydaTm0CeH8+/cYqoL/AMaQ==" spinCount="100000" sqref="AU165:AU166 AW165:AZ166" name="Rango2_88_91_68"/>
    <protectedRange algorithmName="SHA-512" hashValue="CHipOQaT63FWw628cQcXXJRZlrbNZ7OgmnEbDx38UmmH7z19GRYEzXFiVOzHAy1OAaAbST7g2bHZHDKQp2qm3w==" saltValue="iRVuL+373yLHv0ZHzS9qog==" spinCount="100000" sqref="AJ165:AJ166 AG165:AH166 AL165:AL166" name="Rango2_88_7_5_72"/>
    <protectedRange algorithmName="SHA-512" hashValue="NkG6oHuDGvGBEiLAAq8MEJHEfLQUMyjihfH+DBXhT+eQW0r1yri7tOJEFRM9nbOejjjXiviq9RFo7KB7wF+xJA==" saltValue="bpjB0AAANu2X/PeR3eiFkA==" spinCount="100000" sqref="AM165:AS166" name="Rango2_88_65_69"/>
    <protectedRange algorithmName="SHA-512" hashValue="fPHvtIAf3pQeZUoAI9C2/vdXMHBpqqEq+67P5Ypyu4+9IWqs3yc9TZcMWQ0THLxUwqseQPyVvakuYFtCwJHsxA==" saltValue="QHIogSs2PrwAfdqa9PAOFQ==" spinCount="100000" sqref="AC165:AC166" name="Rango2_88_5_5_69"/>
    <protectedRange algorithmName="SHA-512" hashValue="LEEeiU6pKqm7TAP46VGlz0q+evvFwpT/0iLpRuWuQ7MacbP0OGL1/FSmrIEOg2rb6M+Jla2bPbVWiGag27j87w==" saltValue="HEVt+pS5OloNDlqSnzGLLw==" spinCount="100000" sqref="AI165:AI166" name="Rango2_8_7_69"/>
    <protectedRange algorithmName="SHA-512" hashValue="AYYX88LSDB6RDNMvSqt0KPGWPjBqTk56tMxTOlv5QD61MGTKAAQnSnudvNDWPN0Bbllh2qRQC+P5uq7goxjdrw==" saltValue="i/iPMewnks1FoXYOjKMEVg==" spinCount="100000" sqref="AB165:AB166" name="Rango2_87_6_69"/>
    <protectedRange algorithmName="SHA-512" hashValue="NUll9P9xh7KbSfMYpMxsRZLfDw/y/AzW2LSWlpXVscBDqiAxmzo71xjs+a2lh+jRa7pceOC849slke4+ZKx8LA==" saltValue="8qbkKpQ+CiQuLnqgShNvXA==" spinCount="100000" sqref="T165:T166" name="Rango2_88_6_69"/>
    <protectedRange algorithmName="SHA-512" hashValue="KHhv3JU/LRdRrRTxxkgFceEHPZ5UzadmpZRZR3zmQRnPvkUJZuanRafIJ+qde0IWwLZSvFIQDyUAHq6v6k7XIg==" saltValue="2GKG1kCzVNNcn+vbOPuhJA==" spinCount="100000" sqref="Q165:Q166" name="Rango2_2_5_69"/>
    <protectedRange algorithmName="SHA-512" hashValue="RQ91b7oAw60DVtcgB2vRpial2kSdzJx5guGCTYUwXYkKrtrUHfiYnLf9R+SNpYXlJDYpyEJLhcWwP0EqNN86dQ==" saltValue="W3RbH3zrcY9sy39xNwXNxg==" spinCount="100000" sqref="BA167:BI167 BV167:BY167" name="Rango2_88_99_73"/>
    <protectedRange algorithmName="SHA-512" hashValue="fMbmUM1DQ7FuAPRNvFL5mPdHUYjQnlLFhkuaxvHguaqR7aWyDxcmJs0jLYQfQKY+oyhsMb4Lew4VL6i7um3/ew==" saltValue="ydaTm0CeH8+/cYqoL/AMaQ==" spinCount="100000" sqref="AU167 AW167:AZ167" name="Rango2_88_91_69"/>
    <protectedRange algorithmName="SHA-512" hashValue="CHipOQaT63FWw628cQcXXJRZlrbNZ7OgmnEbDx38UmmH7z19GRYEzXFiVOzHAy1OAaAbST7g2bHZHDKQp2qm3w==" saltValue="iRVuL+373yLHv0ZHzS9qog==" spinCount="100000" sqref="AJ167 AG167:AH167 AL167" name="Rango2_88_7_5_73"/>
    <protectedRange algorithmName="SHA-512" hashValue="NkG6oHuDGvGBEiLAAq8MEJHEfLQUMyjihfH+DBXhT+eQW0r1yri7tOJEFRM9nbOejjjXiviq9RFo7KB7wF+xJA==" saltValue="bpjB0AAANu2X/PeR3eiFkA==" spinCount="100000" sqref="AM167:AS167" name="Rango2_88_65_70"/>
    <protectedRange algorithmName="SHA-512" hashValue="fPHvtIAf3pQeZUoAI9C2/vdXMHBpqqEq+67P5Ypyu4+9IWqs3yc9TZcMWQ0THLxUwqseQPyVvakuYFtCwJHsxA==" saltValue="QHIogSs2PrwAfdqa9PAOFQ==" spinCount="100000" sqref="AC167" name="Rango2_88_5_5_70"/>
    <protectedRange algorithmName="SHA-512" hashValue="LEEeiU6pKqm7TAP46VGlz0q+evvFwpT/0iLpRuWuQ7MacbP0OGL1/FSmrIEOg2rb6M+Jla2bPbVWiGag27j87w==" saltValue="HEVt+pS5OloNDlqSnzGLLw==" spinCount="100000" sqref="AI167" name="Rango2_8_7_70"/>
    <protectedRange algorithmName="SHA-512" hashValue="AYYX88LSDB6RDNMvSqt0KPGWPjBqTk56tMxTOlv5QD61MGTKAAQnSnudvNDWPN0Bbllh2qRQC+P5uq7goxjdrw==" saltValue="i/iPMewnks1FoXYOjKMEVg==" spinCount="100000" sqref="AB167" name="Rango2_87_6_70"/>
    <protectedRange algorithmName="SHA-512" hashValue="NUll9P9xh7KbSfMYpMxsRZLfDw/y/AzW2LSWlpXVscBDqiAxmzo71xjs+a2lh+jRa7pceOC849slke4+ZKx8LA==" saltValue="8qbkKpQ+CiQuLnqgShNvXA==" spinCount="100000" sqref="T167" name="Rango2_88_6_70"/>
    <protectedRange algorithmName="SHA-512" hashValue="KHhv3JU/LRdRrRTxxkgFceEHPZ5UzadmpZRZR3zmQRnPvkUJZuanRafIJ+qde0IWwLZSvFIQDyUAHq6v6k7XIg==" saltValue="2GKG1kCzVNNcn+vbOPuhJA==" spinCount="100000" sqref="Q167" name="Rango2_2_5_70"/>
    <protectedRange algorithmName="SHA-512" hashValue="RQ91b7oAw60DVtcgB2vRpial2kSdzJx5guGCTYUwXYkKrtrUHfiYnLf9R+SNpYXlJDYpyEJLhcWwP0EqNN86dQ==" saltValue="W3RbH3zrcY9sy39xNwXNxg==" spinCount="100000" sqref="BA168:BI168 BV168:BY168" name="Rango2_88_99_74"/>
    <protectedRange algorithmName="SHA-512" hashValue="fMbmUM1DQ7FuAPRNvFL5mPdHUYjQnlLFhkuaxvHguaqR7aWyDxcmJs0jLYQfQKY+oyhsMb4Lew4VL6i7um3/ew==" saltValue="ydaTm0CeH8+/cYqoL/AMaQ==" spinCount="100000" sqref="AU168 AW168:AZ168" name="Rango2_88_91_70"/>
    <protectedRange algorithmName="SHA-512" hashValue="CHipOQaT63FWw628cQcXXJRZlrbNZ7OgmnEbDx38UmmH7z19GRYEzXFiVOzHAy1OAaAbST7g2bHZHDKQp2qm3w==" saltValue="iRVuL+373yLHv0ZHzS9qog==" spinCount="100000" sqref="AJ168 AG168:AH168 AL168" name="Rango2_88_7_5_74"/>
    <protectedRange algorithmName="SHA-512" hashValue="NkG6oHuDGvGBEiLAAq8MEJHEfLQUMyjihfH+DBXhT+eQW0r1yri7tOJEFRM9nbOejjjXiviq9RFo7KB7wF+xJA==" saltValue="bpjB0AAANu2X/PeR3eiFkA==" spinCount="100000" sqref="AM168:AS168" name="Rango2_88_65_71"/>
    <protectedRange algorithmName="SHA-512" hashValue="fPHvtIAf3pQeZUoAI9C2/vdXMHBpqqEq+67P5Ypyu4+9IWqs3yc9TZcMWQ0THLxUwqseQPyVvakuYFtCwJHsxA==" saltValue="QHIogSs2PrwAfdqa9PAOFQ==" spinCount="100000" sqref="AC168" name="Rango2_88_5_5_71"/>
    <protectedRange algorithmName="SHA-512" hashValue="LEEeiU6pKqm7TAP46VGlz0q+evvFwpT/0iLpRuWuQ7MacbP0OGL1/FSmrIEOg2rb6M+Jla2bPbVWiGag27j87w==" saltValue="HEVt+pS5OloNDlqSnzGLLw==" spinCount="100000" sqref="AI168" name="Rango2_8_7_71"/>
    <protectedRange algorithmName="SHA-512" hashValue="AYYX88LSDB6RDNMvSqt0KPGWPjBqTk56tMxTOlv5QD61MGTKAAQnSnudvNDWPN0Bbllh2qRQC+P5uq7goxjdrw==" saltValue="i/iPMewnks1FoXYOjKMEVg==" spinCount="100000" sqref="AB168" name="Rango2_87_6_71"/>
    <protectedRange algorithmName="SHA-512" hashValue="NUll9P9xh7KbSfMYpMxsRZLfDw/y/AzW2LSWlpXVscBDqiAxmzo71xjs+a2lh+jRa7pceOC849slke4+ZKx8LA==" saltValue="8qbkKpQ+CiQuLnqgShNvXA==" spinCount="100000" sqref="T168" name="Rango2_88_6_71"/>
    <protectedRange algorithmName="SHA-512" hashValue="KHhv3JU/LRdRrRTxxkgFceEHPZ5UzadmpZRZR3zmQRnPvkUJZuanRafIJ+qde0IWwLZSvFIQDyUAHq6v6k7XIg==" saltValue="2GKG1kCzVNNcn+vbOPuhJA==" spinCount="100000" sqref="Q168" name="Rango2_2_5_71"/>
    <protectedRange algorithmName="SHA-512" hashValue="RQ91b7oAw60DVtcgB2vRpial2kSdzJx5guGCTYUwXYkKrtrUHfiYnLf9R+SNpYXlJDYpyEJLhcWwP0EqNN86dQ==" saltValue="W3RbH3zrcY9sy39xNwXNxg==" spinCount="100000" sqref="BA169:BI169 BV169:BY169" name="Rango2_88_99_75"/>
    <protectedRange algorithmName="SHA-512" hashValue="fMbmUM1DQ7FuAPRNvFL5mPdHUYjQnlLFhkuaxvHguaqR7aWyDxcmJs0jLYQfQKY+oyhsMb4Lew4VL6i7um3/ew==" saltValue="ydaTm0CeH8+/cYqoL/AMaQ==" spinCount="100000" sqref="AU169 AW169:AZ169" name="Rango2_88_91_71"/>
    <protectedRange algorithmName="SHA-512" hashValue="CHipOQaT63FWw628cQcXXJRZlrbNZ7OgmnEbDx38UmmH7z19GRYEzXFiVOzHAy1OAaAbST7g2bHZHDKQp2qm3w==" saltValue="iRVuL+373yLHv0ZHzS9qog==" spinCount="100000" sqref="AJ169 AG169:AH169 AL169" name="Rango2_88_7_5_75"/>
    <protectedRange algorithmName="SHA-512" hashValue="NkG6oHuDGvGBEiLAAq8MEJHEfLQUMyjihfH+DBXhT+eQW0r1yri7tOJEFRM9nbOejjjXiviq9RFo7KB7wF+xJA==" saltValue="bpjB0AAANu2X/PeR3eiFkA==" spinCount="100000" sqref="AM169:AS169" name="Rango2_88_65_72"/>
    <protectedRange algorithmName="SHA-512" hashValue="fPHvtIAf3pQeZUoAI9C2/vdXMHBpqqEq+67P5Ypyu4+9IWqs3yc9TZcMWQ0THLxUwqseQPyVvakuYFtCwJHsxA==" saltValue="QHIogSs2PrwAfdqa9PAOFQ==" spinCount="100000" sqref="AC169" name="Rango2_88_5_5_72"/>
    <protectedRange algorithmName="SHA-512" hashValue="LEEeiU6pKqm7TAP46VGlz0q+evvFwpT/0iLpRuWuQ7MacbP0OGL1/FSmrIEOg2rb6M+Jla2bPbVWiGag27j87w==" saltValue="HEVt+pS5OloNDlqSnzGLLw==" spinCount="100000" sqref="AI169" name="Rango2_8_7_72"/>
    <protectedRange algorithmName="SHA-512" hashValue="AYYX88LSDB6RDNMvSqt0KPGWPjBqTk56tMxTOlv5QD61MGTKAAQnSnudvNDWPN0Bbllh2qRQC+P5uq7goxjdrw==" saltValue="i/iPMewnks1FoXYOjKMEVg==" spinCount="100000" sqref="AB169" name="Rango2_87_6_72"/>
    <protectedRange algorithmName="SHA-512" hashValue="NUll9P9xh7KbSfMYpMxsRZLfDw/y/AzW2LSWlpXVscBDqiAxmzo71xjs+a2lh+jRa7pceOC849slke4+ZKx8LA==" saltValue="8qbkKpQ+CiQuLnqgShNvXA==" spinCount="100000" sqref="T169" name="Rango2_88_6_72"/>
    <protectedRange algorithmName="SHA-512" hashValue="KHhv3JU/LRdRrRTxxkgFceEHPZ5UzadmpZRZR3zmQRnPvkUJZuanRafIJ+qde0IWwLZSvFIQDyUAHq6v6k7XIg==" saltValue="2GKG1kCzVNNcn+vbOPuhJA==" spinCount="100000" sqref="Q169" name="Rango2_2_5_72"/>
    <protectedRange algorithmName="SHA-512" hashValue="RQ91b7oAw60DVtcgB2vRpial2kSdzJx5guGCTYUwXYkKrtrUHfiYnLf9R+SNpYXlJDYpyEJLhcWwP0EqNN86dQ==" saltValue="W3RbH3zrcY9sy39xNwXNxg==" spinCount="100000" sqref="BA170:BI170 BV170:BY170" name="Rango2_88_99_76"/>
    <protectedRange algorithmName="SHA-512" hashValue="fMbmUM1DQ7FuAPRNvFL5mPdHUYjQnlLFhkuaxvHguaqR7aWyDxcmJs0jLYQfQKY+oyhsMb4Lew4VL6i7um3/ew==" saltValue="ydaTm0CeH8+/cYqoL/AMaQ==" spinCount="100000" sqref="AU170 AW170:AZ170" name="Rango2_88_91_72"/>
    <protectedRange algorithmName="SHA-512" hashValue="CHipOQaT63FWw628cQcXXJRZlrbNZ7OgmnEbDx38UmmH7z19GRYEzXFiVOzHAy1OAaAbST7g2bHZHDKQp2qm3w==" saltValue="iRVuL+373yLHv0ZHzS9qog==" spinCount="100000" sqref="AJ170 AG170:AH170 AL170" name="Rango2_88_7_5_76"/>
    <protectedRange algorithmName="SHA-512" hashValue="NkG6oHuDGvGBEiLAAq8MEJHEfLQUMyjihfH+DBXhT+eQW0r1yri7tOJEFRM9nbOejjjXiviq9RFo7KB7wF+xJA==" saltValue="bpjB0AAANu2X/PeR3eiFkA==" spinCount="100000" sqref="AM170:AS170" name="Rango2_88_65_73"/>
    <protectedRange algorithmName="SHA-512" hashValue="fPHvtIAf3pQeZUoAI9C2/vdXMHBpqqEq+67P5Ypyu4+9IWqs3yc9TZcMWQ0THLxUwqseQPyVvakuYFtCwJHsxA==" saltValue="QHIogSs2PrwAfdqa9PAOFQ==" spinCount="100000" sqref="AC170" name="Rango2_88_5_5_73"/>
    <protectedRange algorithmName="SHA-512" hashValue="LEEeiU6pKqm7TAP46VGlz0q+evvFwpT/0iLpRuWuQ7MacbP0OGL1/FSmrIEOg2rb6M+Jla2bPbVWiGag27j87w==" saltValue="HEVt+pS5OloNDlqSnzGLLw==" spinCount="100000" sqref="AI170" name="Rango2_8_7_73"/>
    <protectedRange algorithmName="SHA-512" hashValue="AYYX88LSDB6RDNMvSqt0KPGWPjBqTk56tMxTOlv5QD61MGTKAAQnSnudvNDWPN0Bbllh2qRQC+P5uq7goxjdrw==" saltValue="i/iPMewnks1FoXYOjKMEVg==" spinCount="100000" sqref="AB170" name="Rango2_87_6_73"/>
    <protectedRange algorithmName="SHA-512" hashValue="NUll9P9xh7KbSfMYpMxsRZLfDw/y/AzW2LSWlpXVscBDqiAxmzo71xjs+a2lh+jRa7pceOC849slke4+ZKx8LA==" saltValue="8qbkKpQ+CiQuLnqgShNvXA==" spinCount="100000" sqref="T170" name="Rango2_88_6_73"/>
    <protectedRange algorithmName="SHA-512" hashValue="KHhv3JU/LRdRrRTxxkgFceEHPZ5UzadmpZRZR3zmQRnPvkUJZuanRafIJ+qde0IWwLZSvFIQDyUAHq6v6k7XIg==" saltValue="2GKG1kCzVNNcn+vbOPuhJA==" spinCount="100000" sqref="Q170" name="Rango2_2_5_73"/>
    <protectedRange algorithmName="SHA-512" hashValue="RQ91b7oAw60DVtcgB2vRpial2kSdzJx5guGCTYUwXYkKrtrUHfiYnLf9R+SNpYXlJDYpyEJLhcWwP0EqNN86dQ==" saltValue="W3RbH3zrcY9sy39xNwXNxg==" spinCount="100000" sqref="BA171:BI171 BV171:BY171" name="Rango2_88_99_77"/>
    <protectedRange algorithmName="SHA-512" hashValue="fMbmUM1DQ7FuAPRNvFL5mPdHUYjQnlLFhkuaxvHguaqR7aWyDxcmJs0jLYQfQKY+oyhsMb4Lew4VL6i7um3/ew==" saltValue="ydaTm0CeH8+/cYqoL/AMaQ==" spinCount="100000" sqref="AU171 AW171:AZ171" name="Rango2_88_91_73"/>
    <protectedRange algorithmName="SHA-512" hashValue="CHipOQaT63FWw628cQcXXJRZlrbNZ7OgmnEbDx38UmmH7z19GRYEzXFiVOzHAy1OAaAbST7g2bHZHDKQp2qm3w==" saltValue="iRVuL+373yLHv0ZHzS9qog==" spinCount="100000" sqref="AJ171 AG171:AH171 AL171" name="Rango2_88_7_5_77"/>
    <protectedRange algorithmName="SHA-512" hashValue="NkG6oHuDGvGBEiLAAq8MEJHEfLQUMyjihfH+DBXhT+eQW0r1yri7tOJEFRM9nbOejjjXiviq9RFo7KB7wF+xJA==" saltValue="bpjB0AAANu2X/PeR3eiFkA==" spinCount="100000" sqref="AM171:AS171" name="Rango2_88_65_74"/>
    <protectedRange algorithmName="SHA-512" hashValue="fPHvtIAf3pQeZUoAI9C2/vdXMHBpqqEq+67P5Ypyu4+9IWqs3yc9TZcMWQ0THLxUwqseQPyVvakuYFtCwJHsxA==" saltValue="QHIogSs2PrwAfdqa9PAOFQ==" spinCount="100000" sqref="AC171" name="Rango2_88_5_5_74"/>
    <protectedRange algorithmName="SHA-512" hashValue="LEEeiU6pKqm7TAP46VGlz0q+evvFwpT/0iLpRuWuQ7MacbP0OGL1/FSmrIEOg2rb6M+Jla2bPbVWiGag27j87w==" saltValue="HEVt+pS5OloNDlqSnzGLLw==" spinCount="100000" sqref="AI171" name="Rango2_8_7_74"/>
    <protectedRange algorithmName="SHA-512" hashValue="AYYX88LSDB6RDNMvSqt0KPGWPjBqTk56tMxTOlv5QD61MGTKAAQnSnudvNDWPN0Bbllh2qRQC+P5uq7goxjdrw==" saltValue="i/iPMewnks1FoXYOjKMEVg==" spinCount="100000" sqref="AB171" name="Rango2_87_6_74"/>
    <protectedRange algorithmName="SHA-512" hashValue="NUll9P9xh7KbSfMYpMxsRZLfDw/y/AzW2LSWlpXVscBDqiAxmzo71xjs+a2lh+jRa7pceOC849slke4+ZKx8LA==" saltValue="8qbkKpQ+CiQuLnqgShNvXA==" spinCount="100000" sqref="T171" name="Rango2_88_6_74"/>
    <protectedRange algorithmName="SHA-512" hashValue="KHhv3JU/LRdRrRTxxkgFceEHPZ5UzadmpZRZR3zmQRnPvkUJZuanRafIJ+qde0IWwLZSvFIQDyUAHq6v6k7XIg==" saltValue="2GKG1kCzVNNcn+vbOPuhJA==" spinCount="100000" sqref="Q171" name="Rango2_2_5_74"/>
    <protectedRange algorithmName="SHA-512" hashValue="RQ91b7oAw60DVtcgB2vRpial2kSdzJx5guGCTYUwXYkKrtrUHfiYnLf9R+SNpYXlJDYpyEJLhcWwP0EqNN86dQ==" saltValue="W3RbH3zrcY9sy39xNwXNxg==" spinCount="100000" sqref="BA172:BI173 BV172:BY173" name="Rango2_88_99_78"/>
    <protectedRange algorithmName="SHA-512" hashValue="fMbmUM1DQ7FuAPRNvFL5mPdHUYjQnlLFhkuaxvHguaqR7aWyDxcmJs0jLYQfQKY+oyhsMb4Lew4VL6i7um3/ew==" saltValue="ydaTm0CeH8+/cYqoL/AMaQ==" spinCount="100000" sqref="AU172:AU173 AW172:AZ173" name="Rango2_88_91_74"/>
    <protectedRange algorithmName="SHA-512" hashValue="CHipOQaT63FWw628cQcXXJRZlrbNZ7OgmnEbDx38UmmH7z19GRYEzXFiVOzHAy1OAaAbST7g2bHZHDKQp2qm3w==" saltValue="iRVuL+373yLHv0ZHzS9qog==" spinCount="100000" sqref="AJ172:AJ173 AG172:AH173 AL172:AL173" name="Rango2_88_7_5_78"/>
    <protectedRange algorithmName="SHA-512" hashValue="NkG6oHuDGvGBEiLAAq8MEJHEfLQUMyjihfH+DBXhT+eQW0r1yri7tOJEFRM9nbOejjjXiviq9RFo7KB7wF+xJA==" saltValue="bpjB0AAANu2X/PeR3eiFkA==" spinCount="100000" sqref="AM172:AS173" name="Rango2_88_65_75"/>
    <protectedRange algorithmName="SHA-512" hashValue="fPHvtIAf3pQeZUoAI9C2/vdXMHBpqqEq+67P5Ypyu4+9IWqs3yc9TZcMWQ0THLxUwqseQPyVvakuYFtCwJHsxA==" saltValue="QHIogSs2PrwAfdqa9PAOFQ==" spinCount="100000" sqref="AC172:AC173" name="Rango2_88_5_5_75"/>
    <protectedRange algorithmName="SHA-512" hashValue="LEEeiU6pKqm7TAP46VGlz0q+evvFwpT/0iLpRuWuQ7MacbP0OGL1/FSmrIEOg2rb6M+Jla2bPbVWiGag27j87w==" saltValue="HEVt+pS5OloNDlqSnzGLLw==" spinCount="100000" sqref="AI172:AI173" name="Rango2_8_7_75"/>
    <protectedRange algorithmName="SHA-512" hashValue="AYYX88LSDB6RDNMvSqt0KPGWPjBqTk56tMxTOlv5QD61MGTKAAQnSnudvNDWPN0Bbllh2qRQC+P5uq7goxjdrw==" saltValue="i/iPMewnks1FoXYOjKMEVg==" spinCount="100000" sqref="AB172:AB173" name="Rango2_87_6_75"/>
    <protectedRange algorithmName="SHA-512" hashValue="NUll9P9xh7KbSfMYpMxsRZLfDw/y/AzW2LSWlpXVscBDqiAxmzo71xjs+a2lh+jRa7pceOC849slke4+ZKx8LA==" saltValue="8qbkKpQ+CiQuLnqgShNvXA==" spinCount="100000" sqref="T172:T173" name="Rango2_88_6_75"/>
    <protectedRange algorithmName="SHA-512" hashValue="KHhv3JU/LRdRrRTxxkgFceEHPZ5UzadmpZRZR3zmQRnPvkUJZuanRafIJ+qde0IWwLZSvFIQDyUAHq6v6k7XIg==" saltValue="2GKG1kCzVNNcn+vbOPuhJA==" spinCount="100000" sqref="Q172:Q173" name="Rango2_2_5_75"/>
    <protectedRange algorithmName="SHA-512" hashValue="RQ91b7oAw60DVtcgB2vRpial2kSdzJx5guGCTYUwXYkKrtrUHfiYnLf9R+SNpYXlJDYpyEJLhcWwP0EqNN86dQ==" saltValue="W3RbH3zrcY9sy39xNwXNxg==" spinCount="100000" sqref="BA174:BI176 BV174:BY176" name="Rango2_88_99_79"/>
    <protectedRange algorithmName="SHA-512" hashValue="fMbmUM1DQ7FuAPRNvFL5mPdHUYjQnlLFhkuaxvHguaqR7aWyDxcmJs0jLYQfQKY+oyhsMb4Lew4VL6i7um3/ew==" saltValue="ydaTm0CeH8+/cYqoL/AMaQ==" spinCount="100000" sqref="AU174:AU176 AW174:AZ176" name="Rango2_88_91_75"/>
    <protectedRange algorithmName="SHA-512" hashValue="CHipOQaT63FWw628cQcXXJRZlrbNZ7OgmnEbDx38UmmH7z19GRYEzXFiVOzHAy1OAaAbST7g2bHZHDKQp2qm3w==" saltValue="iRVuL+373yLHv0ZHzS9qog==" spinCount="100000" sqref="AJ174:AJ176 AG174:AH176 AL174:AL176" name="Rango2_88_7_5_79"/>
    <protectedRange algorithmName="SHA-512" hashValue="NkG6oHuDGvGBEiLAAq8MEJHEfLQUMyjihfH+DBXhT+eQW0r1yri7tOJEFRM9nbOejjjXiviq9RFo7KB7wF+xJA==" saltValue="bpjB0AAANu2X/PeR3eiFkA==" spinCount="100000" sqref="AM174:AS176" name="Rango2_88_65_76"/>
    <protectedRange algorithmName="SHA-512" hashValue="fPHvtIAf3pQeZUoAI9C2/vdXMHBpqqEq+67P5Ypyu4+9IWqs3yc9TZcMWQ0THLxUwqseQPyVvakuYFtCwJHsxA==" saltValue="QHIogSs2PrwAfdqa9PAOFQ==" spinCount="100000" sqref="AC174:AC176" name="Rango2_88_5_5_76"/>
    <protectedRange algorithmName="SHA-512" hashValue="LEEeiU6pKqm7TAP46VGlz0q+evvFwpT/0iLpRuWuQ7MacbP0OGL1/FSmrIEOg2rb6M+Jla2bPbVWiGag27j87w==" saltValue="HEVt+pS5OloNDlqSnzGLLw==" spinCount="100000" sqref="AI174:AI176" name="Rango2_8_7_76"/>
    <protectedRange algorithmName="SHA-512" hashValue="AYYX88LSDB6RDNMvSqt0KPGWPjBqTk56tMxTOlv5QD61MGTKAAQnSnudvNDWPN0Bbllh2qRQC+P5uq7goxjdrw==" saltValue="i/iPMewnks1FoXYOjKMEVg==" spinCount="100000" sqref="AB174:AB176" name="Rango2_87_6_76"/>
    <protectedRange algorithmName="SHA-512" hashValue="NUll9P9xh7KbSfMYpMxsRZLfDw/y/AzW2LSWlpXVscBDqiAxmzo71xjs+a2lh+jRa7pceOC849slke4+ZKx8LA==" saltValue="8qbkKpQ+CiQuLnqgShNvXA==" spinCount="100000" sqref="T174:T176" name="Rango2_88_6_76"/>
    <protectedRange algorithmName="SHA-512" hashValue="KHhv3JU/LRdRrRTxxkgFceEHPZ5UzadmpZRZR3zmQRnPvkUJZuanRafIJ+qde0IWwLZSvFIQDyUAHq6v6k7XIg==" saltValue="2GKG1kCzVNNcn+vbOPuhJA==" spinCount="100000" sqref="Q174:Q176" name="Rango2_2_5_76"/>
    <protectedRange algorithmName="SHA-512" hashValue="RQ91b7oAw60DVtcgB2vRpial2kSdzJx5guGCTYUwXYkKrtrUHfiYnLf9R+SNpYXlJDYpyEJLhcWwP0EqNN86dQ==" saltValue="W3RbH3zrcY9sy39xNwXNxg==" spinCount="100000" sqref="BA177:BI177 BV177:BY177" name="Rango2_88_99_80"/>
    <protectedRange algorithmName="SHA-512" hashValue="fMbmUM1DQ7FuAPRNvFL5mPdHUYjQnlLFhkuaxvHguaqR7aWyDxcmJs0jLYQfQKY+oyhsMb4Lew4VL6i7um3/ew==" saltValue="ydaTm0CeH8+/cYqoL/AMaQ==" spinCount="100000" sqref="AU177 AW177:AZ177" name="Rango2_88_91_76"/>
    <protectedRange algorithmName="SHA-512" hashValue="CHipOQaT63FWw628cQcXXJRZlrbNZ7OgmnEbDx38UmmH7z19GRYEzXFiVOzHAy1OAaAbST7g2bHZHDKQp2qm3w==" saltValue="iRVuL+373yLHv0ZHzS9qog==" spinCount="100000" sqref="AJ177 AG177:AH177 AL177" name="Rango2_88_7_5_80"/>
    <protectedRange algorithmName="SHA-512" hashValue="NkG6oHuDGvGBEiLAAq8MEJHEfLQUMyjihfH+DBXhT+eQW0r1yri7tOJEFRM9nbOejjjXiviq9RFo7KB7wF+xJA==" saltValue="bpjB0AAANu2X/PeR3eiFkA==" spinCount="100000" sqref="AM177:AS177" name="Rango2_88_65_77"/>
    <protectedRange algorithmName="SHA-512" hashValue="fPHvtIAf3pQeZUoAI9C2/vdXMHBpqqEq+67P5Ypyu4+9IWqs3yc9TZcMWQ0THLxUwqseQPyVvakuYFtCwJHsxA==" saltValue="QHIogSs2PrwAfdqa9PAOFQ==" spinCount="100000" sqref="AC177" name="Rango2_88_5_5_77"/>
    <protectedRange algorithmName="SHA-512" hashValue="LEEeiU6pKqm7TAP46VGlz0q+evvFwpT/0iLpRuWuQ7MacbP0OGL1/FSmrIEOg2rb6M+Jla2bPbVWiGag27j87w==" saltValue="HEVt+pS5OloNDlqSnzGLLw==" spinCount="100000" sqref="AI177" name="Rango2_8_7_77"/>
    <protectedRange algorithmName="SHA-512" hashValue="AYYX88LSDB6RDNMvSqt0KPGWPjBqTk56tMxTOlv5QD61MGTKAAQnSnudvNDWPN0Bbllh2qRQC+P5uq7goxjdrw==" saltValue="i/iPMewnks1FoXYOjKMEVg==" spinCount="100000" sqref="AB177" name="Rango2_87_6_77"/>
    <protectedRange algorithmName="SHA-512" hashValue="NUll9P9xh7KbSfMYpMxsRZLfDw/y/AzW2LSWlpXVscBDqiAxmzo71xjs+a2lh+jRa7pceOC849slke4+ZKx8LA==" saltValue="8qbkKpQ+CiQuLnqgShNvXA==" spinCount="100000" sqref="T177" name="Rango2_88_6_77"/>
    <protectedRange algorithmName="SHA-512" hashValue="KHhv3JU/LRdRrRTxxkgFceEHPZ5UzadmpZRZR3zmQRnPvkUJZuanRafIJ+qde0IWwLZSvFIQDyUAHq6v6k7XIg==" saltValue="2GKG1kCzVNNcn+vbOPuhJA==" spinCount="100000" sqref="Q177" name="Rango2_2_5_77"/>
    <protectedRange algorithmName="SHA-512" hashValue="RQ91b7oAw60DVtcgB2vRpial2kSdzJx5guGCTYUwXYkKrtrUHfiYnLf9R+SNpYXlJDYpyEJLhcWwP0EqNN86dQ==" saltValue="W3RbH3zrcY9sy39xNwXNxg==" spinCount="100000" sqref="BA178:BI179 BV178:BY179" name="Rango2_88_99_81"/>
    <protectedRange algorithmName="SHA-512" hashValue="fMbmUM1DQ7FuAPRNvFL5mPdHUYjQnlLFhkuaxvHguaqR7aWyDxcmJs0jLYQfQKY+oyhsMb4Lew4VL6i7um3/ew==" saltValue="ydaTm0CeH8+/cYqoL/AMaQ==" spinCount="100000" sqref="AU178:AU179 AW178:AZ179" name="Rango2_88_91_77"/>
    <protectedRange algorithmName="SHA-512" hashValue="CHipOQaT63FWw628cQcXXJRZlrbNZ7OgmnEbDx38UmmH7z19GRYEzXFiVOzHAy1OAaAbST7g2bHZHDKQp2qm3w==" saltValue="iRVuL+373yLHv0ZHzS9qog==" spinCount="100000" sqref="AJ178:AJ179 AG178:AH179 AL178:AL179" name="Rango2_88_7_5_81"/>
    <protectedRange algorithmName="SHA-512" hashValue="NkG6oHuDGvGBEiLAAq8MEJHEfLQUMyjihfH+DBXhT+eQW0r1yri7tOJEFRM9nbOejjjXiviq9RFo7KB7wF+xJA==" saltValue="bpjB0AAANu2X/PeR3eiFkA==" spinCount="100000" sqref="AM178:AS179" name="Rango2_88_65_78"/>
    <protectedRange algorithmName="SHA-512" hashValue="fPHvtIAf3pQeZUoAI9C2/vdXMHBpqqEq+67P5Ypyu4+9IWqs3yc9TZcMWQ0THLxUwqseQPyVvakuYFtCwJHsxA==" saltValue="QHIogSs2PrwAfdqa9PAOFQ==" spinCount="100000" sqref="AC178:AC179" name="Rango2_88_5_5_78"/>
    <protectedRange algorithmName="SHA-512" hashValue="LEEeiU6pKqm7TAP46VGlz0q+evvFwpT/0iLpRuWuQ7MacbP0OGL1/FSmrIEOg2rb6M+Jla2bPbVWiGag27j87w==" saltValue="HEVt+pS5OloNDlqSnzGLLw==" spinCount="100000" sqref="AI178:AI179" name="Rango2_8_7_78"/>
    <protectedRange algorithmName="SHA-512" hashValue="AYYX88LSDB6RDNMvSqt0KPGWPjBqTk56tMxTOlv5QD61MGTKAAQnSnudvNDWPN0Bbllh2qRQC+P5uq7goxjdrw==" saltValue="i/iPMewnks1FoXYOjKMEVg==" spinCount="100000" sqref="AB178:AB179" name="Rango2_87_6_78"/>
    <protectedRange algorithmName="SHA-512" hashValue="NUll9P9xh7KbSfMYpMxsRZLfDw/y/AzW2LSWlpXVscBDqiAxmzo71xjs+a2lh+jRa7pceOC849slke4+ZKx8LA==" saltValue="8qbkKpQ+CiQuLnqgShNvXA==" spinCount="100000" sqref="T178:T179" name="Rango2_88_6_78"/>
    <protectedRange algorithmName="SHA-512" hashValue="KHhv3JU/LRdRrRTxxkgFceEHPZ5UzadmpZRZR3zmQRnPvkUJZuanRafIJ+qde0IWwLZSvFIQDyUAHq6v6k7XIg==" saltValue="2GKG1kCzVNNcn+vbOPuhJA==" spinCount="100000" sqref="Q178:Q179" name="Rango2_2_5_78"/>
    <protectedRange algorithmName="SHA-512" hashValue="RQ91b7oAw60DVtcgB2vRpial2kSdzJx5guGCTYUwXYkKrtrUHfiYnLf9R+SNpYXlJDYpyEJLhcWwP0EqNN86dQ==" saltValue="W3RbH3zrcY9sy39xNwXNxg==" spinCount="100000" sqref="BA180:BI180 BV180:BY180" name="Rango2_88_99_82"/>
    <protectedRange algorithmName="SHA-512" hashValue="fMbmUM1DQ7FuAPRNvFL5mPdHUYjQnlLFhkuaxvHguaqR7aWyDxcmJs0jLYQfQKY+oyhsMb4Lew4VL6i7um3/ew==" saltValue="ydaTm0CeH8+/cYqoL/AMaQ==" spinCount="100000" sqref="AU180 AW180:AZ180" name="Rango2_88_91_78"/>
    <protectedRange algorithmName="SHA-512" hashValue="CHipOQaT63FWw628cQcXXJRZlrbNZ7OgmnEbDx38UmmH7z19GRYEzXFiVOzHAy1OAaAbST7g2bHZHDKQp2qm3w==" saltValue="iRVuL+373yLHv0ZHzS9qog==" spinCount="100000" sqref="AJ180 AG180:AH180 AL180" name="Rango2_88_7_5_82"/>
    <protectedRange algorithmName="SHA-512" hashValue="NkG6oHuDGvGBEiLAAq8MEJHEfLQUMyjihfH+DBXhT+eQW0r1yri7tOJEFRM9nbOejjjXiviq9RFo7KB7wF+xJA==" saltValue="bpjB0AAANu2X/PeR3eiFkA==" spinCount="100000" sqref="AM180:AS180" name="Rango2_88_65_79"/>
    <protectedRange algorithmName="SHA-512" hashValue="fPHvtIAf3pQeZUoAI9C2/vdXMHBpqqEq+67P5Ypyu4+9IWqs3yc9TZcMWQ0THLxUwqseQPyVvakuYFtCwJHsxA==" saltValue="QHIogSs2PrwAfdqa9PAOFQ==" spinCount="100000" sqref="AC180" name="Rango2_88_5_5_79"/>
    <protectedRange algorithmName="SHA-512" hashValue="LEEeiU6pKqm7TAP46VGlz0q+evvFwpT/0iLpRuWuQ7MacbP0OGL1/FSmrIEOg2rb6M+Jla2bPbVWiGag27j87w==" saltValue="HEVt+pS5OloNDlqSnzGLLw==" spinCount="100000" sqref="AI180" name="Rango2_8_7_79"/>
    <protectedRange algorithmName="SHA-512" hashValue="AYYX88LSDB6RDNMvSqt0KPGWPjBqTk56tMxTOlv5QD61MGTKAAQnSnudvNDWPN0Bbllh2qRQC+P5uq7goxjdrw==" saltValue="i/iPMewnks1FoXYOjKMEVg==" spinCount="100000" sqref="AB180" name="Rango2_87_6_79"/>
    <protectedRange algorithmName="SHA-512" hashValue="NUll9P9xh7KbSfMYpMxsRZLfDw/y/AzW2LSWlpXVscBDqiAxmzo71xjs+a2lh+jRa7pceOC849slke4+ZKx8LA==" saltValue="8qbkKpQ+CiQuLnqgShNvXA==" spinCount="100000" sqref="T180" name="Rango2_88_6_79"/>
    <protectedRange algorithmName="SHA-512" hashValue="KHhv3JU/LRdRrRTxxkgFceEHPZ5UzadmpZRZR3zmQRnPvkUJZuanRafIJ+qde0IWwLZSvFIQDyUAHq6v6k7XIg==" saltValue="2GKG1kCzVNNcn+vbOPuhJA==" spinCount="100000" sqref="Q180" name="Rango2_2_5_79"/>
    <protectedRange algorithmName="SHA-512" hashValue="RQ91b7oAw60DVtcgB2vRpial2kSdzJx5guGCTYUwXYkKrtrUHfiYnLf9R+SNpYXlJDYpyEJLhcWwP0EqNN86dQ==" saltValue="W3RbH3zrcY9sy39xNwXNxg==" spinCount="100000" sqref="BA181:BI181 BV181:BY181" name="Rango2_88_99_83"/>
    <protectedRange algorithmName="SHA-512" hashValue="fMbmUM1DQ7FuAPRNvFL5mPdHUYjQnlLFhkuaxvHguaqR7aWyDxcmJs0jLYQfQKY+oyhsMb4Lew4VL6i7um3/ew==" saltValue="ydaTm0CeH8+/cYqoL/AMaQ==" spinCount="100000" sqref="AU181 AW181:AZ181" name="Rango2_88_91_79"/>
    <protectedRange algorithmName="SHA-512" hashValue="CHipOQaT63FWw628cQcXXJRZlrbNZ7OgmnEbDx38UmmH7z19GRYEzXFiVOzHAy1OAaAbST7g2bHZHDKQp2qm3w==" saltValue="iRVuL+373yLHv0ZHzS9qog==" spinCount="100000" sqref="AJ181 AG181:AH181 AL181" name="Rango2_88_7_5_83"/>
    <protectedRange algorithmName="SHA-512" hashValue="NkG6oHuDGvGBEiLAAq8MEJHEfLQUMyjihfH+DBXhT+eQW0r1yri7tOJEFRM9nbOejjjXiviq9RFo7KB7wF+xJA==" saltValue="bpjB0AAANu2X/PeR3eiFkA==" spinCount="100000" sqref="AM181:AS181" name="Rango2_88_65_80"/>
    <protectedRange algorithmName="SHA-512" hashValue="fPHvtIAf3pQeZUoAI9C2/vdXMHBpqqEq+67P5Ypyu4+9IWqs3yc9TZcMWQ0THLxUwqseQPyVvakuYFtCwJHsxA==" saltValue="QHIogSs2PrwAfdqa9PAOFQ==" spinCount="100000" sqref="AC181" name="Rango2_88_5_5_80"/>
    <protectedRange algorithmName="SHA-512" hashValue="LEEeiU6pKqm7TAP46VGlz0q+evvFwpT/0iLpRuWuQ7MacbP0OGL1/FSmrIEOg2rb6M+Jla2bPbVWiGag27j87w==" saltValue="HEVt+pS5OloNDlqSnzGLLw==" spinCount="100000" sqref="AI181" name="Rango2_8_7_80"/>
    <protectedRange algorithmName="SHA-512" hashValue="AYYX88LSDB6RDNMvSqt0KPGWPjBqTk56tMxTOlv5QD61MGTKAAQnSnudvNDWPN0Bbllh2qRQC+P5uq7goxjdrw==" saltValue="i/iPMewnks1FoXYOjKMEVg==" spinCount="100000" sqref="AB181" name="Rango2_87_6_80"/>
    <protectedRange algorithmName="SHA-512" hashValue="NUll9P9xh7KbSfMYpMxsRZLfDw/y/AzW2LSWlpXVscBDqiAxmzo71xjs+a2lh+jRa7pceOC849slke4+ZKx8LA==" saltValue="8qbkKpQ+CiQuLnqgShNvXA==" spinCount="100000" sqref="T181" name="Rango2_88_6_80"/>
    <protectedRange algorithmName="SHA-512" hashValue="KHhv3JU/LRdRrRTxxkgFceEHPZ5UzadmpZRZR3zmQRnPvkUJZuanRafIJ+qde0IWwLZSvFIQDyUAHq6v6k7XIg==" saltValue="2GKG1kCzVNNcn+vbOPuhJA==" spinCount="100000" sqref="Q181" name="Rango2_2_5_80"/>
    <protectedRange algorithmName="SHA-512" hashValue="RQ91b7oAw60DVtcgB2vRpial2kSdzJx5guGCTYUwXYkKrtrUHfiYnLf9R+SNpYXlJDYpyEJLhcWwP0EqNN86dQ==" saltValue="W3RbH3zrcY9sy39xNwXNxg==" spinCount="100000" sqref="BA182:BI182 BV182:BY182" name="Rango2_88_99_84"/>
    <protectedRange algorithmName="SHA-512" hashValue="fMbmUM1DQ7FuAPRNvFL5mPdHUYjQnlLFhkuaxvHguaqR7aWyDxcmJs0jLYQfQKY+oyhsMb4Lew4VL6i7um3/ew==" saltValue="ydaTm0CeH8+/cYqoL/AMaQ==" spinCount="100000" sqref="AU182 AW182:AZ182" name="Rango2_88_91_80"/>
    <protectedRange algorithmName="SHA-512" hashValue="CHipOQaT63FWw628cQcXXJRZlrbNZ7OgmnEbDx38UmmH7z19GRYEzXFiVOzHAy1OAaAbST7g2bHZHDKQp2qm3w==" saltValue="iRVuL+373yLHv0ZHzS9qog==" spinCount="100000" sqref="AJ182 AG182:AH182 AL182" name="Rango2_88_7_5_84"/>
    <protectedRange algorithmName="SHA-512" hashValue="NkG6oHuDGvGBEiLAAq8MEJHEfLQUMyjihfH+DBXhT+eQW0r1yri7tOJEFRM9nbOejjjXiviq9RFo7KB7wF+xJA==" saltValue="bpjB0AAANu2X/PeR3eiFkA==" spinCount="100000" sqref="AM182:AS182" name="Rango2_88_65_81"/>
    <protectedRange algorithmName="SHA-512" hashValue="fPHvtIAf3pQeZUoAI9C2/vdXMHBpqqEq+67P5Ypyu4+9IWqs3yc9TZcMWQ0THLxUwqseQPyVvakuYFtCwJHsxA==" saltValue="QHIogSs2PrwAfdqa9PAOFQ==" spinCount="100000" sqref="AC182" name="Rango2_88_5_5_81"/>
    <protectedRange algorithmName="SHA-512" hashValue="LEEeiU6pKqm7TAP46VGlz0q+evvFwpT/0iLpRuWuQ7MacbP0OGL1/FSmrIEOg2rb6M+Jla2bPbVWiGag27j87w==" saltValue="HEVt+pS5OloNDlqSnzGLLw==" spinCount="100000" sqref="AI182" name="Rango2_8_7_81"/>
    <protectedRange algorithmName="SHA-512" hashValue="AYYX88LSDB6RDNMvSqt0KPGWPjBqTk56tMxTOlv5QD61MGTKAAQnSnudvNDWPN0Bbllh2qRQC+P5uq7goxjdrw==" saltValue="i/iPMewnks1FoXYOjKMEVg==" spinCount="100000" sqref="AB182" name="Rango2_87_6_81"/>
    <protectedRange algorithmName="SHA-512" hashValue="NUll9P9xh7KbSfMYpMxsRZLfDw/y/AzW2LSWlpXVscBDqiAxmzo71xjs+a2lh+jRa7pceOC849slke4+ZKx8LA==" saltValue="8qbkKpQ+CiQuLnqgShNvXA==" spinCount="100000" sqref="T182" name="Rango2_88_6_81"/>
    <protectedRange algorithmName="SHA-512" hashValue="KHhv3JU/LRdRrRTxxkgFceEHPZ5UzadmpZRZR3zmQRnPvkUJZuanRafIJ+qde0IWwLZSvFIQDyUAHq6v6k7XIg==" saltValue="2GKG1kCzVNNcn+vbOPuhJA==" spinCount="100000" sqref="Q182" name="Rango2_2_5_81"/>
    <protectedRange algorithmName="SHA-512" hashValue="RQ91b7oAw60DVtcgB2vRpial2kSdzJx5guGCTYUwXYkKrtrUHfiYnLf9R+SNpYXlJDYpyEJLhcWwP0EqNN86dQ==" saltValue="W3RbH3zrcY9sy39xNwXNxg==" spinCount="100000" sqref="BA183:BI183 BV183:BY183" name="Rango2_88_99_85"/>
    <protectedRange algorithmName="SHA-512" hashValue="fMbmUM1DQ7FuAPRNvFL5mPdHUYjQnlLFhkuaxvHguaqR7aWyDxcmJs0jLYQfQKY+oyhsMb4Lew4VL6i7um3/ew==" saltValue="ydaTm0CeH8+/cYqoL/AMaQ==" spinCount="100000" sqref="AU183 AW183:AZ183" name="Rango2_88_91_81"/>
    <protectedRange algorithmName="SHA-512" hashValue="CHipOQaT63FWw628cQcXXJRZlrbNZ7OgmnEbDx38UmmH7z19GRYEzXFiVOzHAy1OAaAbST7g2bHZHDKQp2qm3w==" saltValue="iRVuL+373yLHv0ZHzS9qog==" spinCount="100000" sqref="AJ183 AG183:AH183 AL183" name="Rango2_88_7_5_85"/>
    <protectedRange algorithmName="SHA-512" hashValue="NkG6oHuDGvGBEiLAAq8MEJHEfLQUMyjihfH+DBXhT+eQW0r1yri7tOJEFRM9nbOejjjXiviq9RFo7KB7wF+xJA==" saltValue="bpjB0AAANu2X/PeR3eiFkA==" spinCount="100000" sqref="AM183:AS183" name="Rango2_88_65_82"/>
    <protectedRange algorithmName="SHA-512" hashValue="fPHvtIAf3pQeZUoAI9C2/vdXMHBpqqEq+67P5Ypyu4+9IWqs3yc9TZcMWQ0THLxUwqseQPyVvakuYFtCwJHsxA==" saltValue="QHIogSs2PrwAfdqa9PAOFQ==" spinCount="100000" sqref="AC183" name="Rango2_88_5_5_82"/>
    <protectedRange algorithmName="SHA-512" hashValue="LEEeiU6pKqm7TAP46VGlz0q+evvFwpT/0iLpRuWuQ7MacbP0OGL1/FSmrIEOg2rb6M+Jla2bPbVWiGag27j87w==" saltValue="HEVt+pS5OloNDlqSnzGLLw==" spinCount="100000" sqref="AI183" name="Rango2_8_7_82"/>
    <protectedRange algorithmName="SHA-512" hashValue="AYYX88LSDB6RDNMvSqt0KPGWPjBqTk56tMxTOlv5QD61MGTKAAQnSnudvNDWPN0Bbllh2qRQC+P5uq7goxjdrw==" saltValue="i/iPMewnks1FoXYOjKMEVg==" spinCount="100000" sqref="AB183" name="Rango2_87_6_82"/>
    <protectedRange algorithmName="SHA-512" hashValue="NUll9P9xh7KbSfMYpMxsRZLfDw/y/AzW2LSWlpXVscBDqiAxmzo71xjs+a2lh+jRa7pceOC849slke4+ZKx8LA==" saltValue="8qbkKpQ+CiQuLnqgShNvXA==" spinCount="100000" sqref="T183" name="Rango2_88_6_82"/>
    <protectedRange algorithmName="SHA-512" hashValue="KHhv3JU/LRdRrRTxxkgFceEHPZ5UzadmpZRZR3zmQRnPvkUJZuanRafIJ+qde0IWwLZSvFIQDyUAHq6v6k7XIg==" saltValue="2GKG1kCzVNNcn+vbOPuhJA==" spinCount="100000" sqref="Q183" name="Rango2_2_5_82"/>
    <protectedRange algorithmName="SHA-512" hashValue="RQ91b7oAw60DVtcgB2vRpial2kSdzJx5guGCTYUwXYkKrtrUHfiYnLf9R+SNpYXlJDYpyEJLhcWwP0EqNN86dQ==" saltValue="W3RbH3zrcY9sy39xNwXNxg==" spinCount="100000" sqref="BA184:BI184 BV184:BY184" name="Rango2_88_99_86"/>
    <protectedRange algorithmName="SHA-512" hashValue="fMbmUM1DQ7FuAPRNvFL5mPdHUYjQnlLFhkuaxvHguaqR7aWyDxcmJs0jLYQfQKY+oyhsMb4Lew4VL6i7um3/ew==" saltValue="ydaTm0CeH8+/cYqoL/AMaQ==" spinCount="100000" sqref="AU184 AW184:AZ184" name="Rango2_88_91_82"/>
    <protectedRange algorithmName="SHA-512" hashValue="CHipOQaT63FWw628cQcXXJRZlrbNZ7OgmnEbDx38UmmH7z19GRYEzXFiVOzHAy1OAaAbST7g2bHZHDKQp2qm3w==" saltValue="iRVuL+373yLHv0ZHzS9qog==" spinCount="100000" sqref="AJ184 AG184:AH184 AL184" name="Rango2_88_7_5_86"/>
    <protectedRange algorithmName="SHA-512" hashValue="NkG6oHuDGvGBEiLAAq8MEJHEfLQUMyjihfH+DBXhT+eQW0r1yri7tOJEFRM9nbOejjjXiviq9RFo7KB7wF+xJA==" saltValue="bpjB0AAANu2X/PeR3eiFkA==" spinCount="100000" sqref="AM184:AS184" name="Rango2_88_65_83"/>
    <protectedRange algorithmName="SHA-512" hashValue="fPHvtIAf3pQeZUoAI9C2/vdXMHBpqqEq+67P5Ypyu4+9IWqs3yc9TZcMWQ0THLxUwqseQPyVvakuYFtCwJHsxA==" saltValue="QHIogSs2PrwAfdqa9PAOFQ==" spinCount="100000" sqref="AC184" name="Rango2_88_5_5_83"/>
    <protectedRange algorithmName="SHA-512" hashValue="LEEeiU6pKqm7TAP46VGlz0q+evvFwpT/0iLpRuWuQ7MacbP0OGL1/FSmrIEOg2rb6M+Jla2bPbVWiGag27j87w==" saltValue="HEVt+pS5OloNDlqSnzGLLw==" spinCount="100000" sqref="AI184" name="Rango2_8_7_83"/>
    <protectedRange algorithmName="SHA-512" hashValue="AYYX88LSDB6RDNMvSqt0KPGWPjBqTk56tMxTOlv5QD61MGTKAAQnSnudvNDWPN0Bbllh2qRQC+P5uq7goxjdrw==" saltValue="i/iPMewnks1FoXYOjKMEVg==" spinCount="100000" sqref="AB184" name="Rango2_87_6_83"/>
    <protectedRange algorithmName="SHA-512" hashValue="NUll9P9xh7KbSfMYpMxsRZLfDw/y/AzW2LSWlpXVscBDqiAxmzo71xjs+a2lh+jRa7pceOC849slke4+ZKx8LA==" saltValue="8qbkKpQ+CiQuLnqgShNvXA==" spinCount="100000" sqref="T184" name="Rango2_88_6_83"/>
    <protectedRange algorithmName="SHA-512" hashValue="KHhv3JU/LRdRrRTxxkgFceEHPZ5UzadmpZRZR3zmQRnPvkUJZuanRafIJ+qde0IWwLZSvFIQDyUAHq6v6k7XIg==" saltValue="2GKG1kCzVNNcn+vbOPuhJA==" spinCount="100000" sqref="Q184" name="Rango2_2_5_83"/>
    <protectedRange algorithmName="SHA-512" hashValue="RQ91b7oAw60DVtcgB2vRpial2kSdzJx5guGCTYUwXYkKrtrUHfiYnLf9R+SNpYXlJDYpyEJLhcWwP0EqNN86dQ==" saltValue="W3RbH3zrcY9sy39xNwXNxg==" spinCount="100000" sqref="BA185:BI188 BV185:BY188" name="Rango2_88_99_87"/>
    <protectedRange algorithmName="SHA-512" hashValue="fMbmUM1DQ7FuAPRNvFL5mPdHUYjQnlLFhkuaxvHguaqR7aWyDxcmJs0jLYQfQKY+oyhsMb4Lew4VL6i7um3/ew==" saltValue="ydaTm0CeH8+/cYqoL/AMaQ==" spinCount="100000" sqref="AU185:AU188 AW185:AZ188" name="Rango2_88_91_83"/>
    <protectedRange algorithmName="SHA-512" hashValue="CHipOQaT63FWw628cQcXXJRZlrbNZ7OgmnEbDx38UmmH7z19GRYEzXFiVOzHAy1OAaAbST7g2bHZHDKQp2qm3w==" saltValue="iRVuL+373yLHv0ZHzS9qog==" spinCount="100000" sqref="AJ185:AJ188 AG185:AH188 AL185:AL188" name="Rango2_88_7_5_87"/>
    <protectedRange algorithmName="SHA-512" hashValue="NkG6oHuDGvGBEiLAAq8MEJHEfLQUMyjihfH+DBXhT+eQW0r1yri7tOJEFRM9nbOejjjXiviq9RFo7KB7wF+xJA==" saltValue="bpjB0AAANu2X/PeR3eiFkA==" spinCount="100000" sqref="AM185:AS188" name="Rango2_88_65_84"/>
    <protectedRange algorithmName="SHA-512" hashValue="fPHvtIAf3pQeZUoAI9C2/vdXMHBpqqEq+67P5Ypyu4+9IWqs3yc9TZcMWQ0THLxUwqseQPyVvakuYFtCwJHsxA==" saltValue="QHIogSs2PrwAfdqa9PAOFQ==" spinCount="100000" sqref="AC185:AC188" name="Rango2_88_5_5_84"/>
    <protectedRange algorithmName="SHA-512" hashValue="LEEeiU6pKqm7TAP46VGlz0q+evvFwpT/0iLpRuWuQ7MacbP0OGL1/FSmrIEOg2rb6M+Jla2bPbVWiGag27j87w==" saltValue="HEVt+pS5OloNDlqSnzGLLw==" spinCount="100000" sqref="AI185:AI188" name="Rango2_8_7_84"/>
    <protectedRange algorithmName="SHA-512" hashValue="AYYX88LSDB6RDNMvSqt0KPGWPjBqTk56tMxTOlv5QD61MGTKAAQnSnudvNDWPN0Bbllh2qRQC+P5uq7goxjdrw==" saltValue="i/iPMewnks1FoXYOjKMEVg==" spinCount="100000" sqref="AB185:AB188" name="Rango2_87_6_84"/>
    <protectedRange algorithmName="SHA-512" hashValue="NUll9P9xh7KbSfMYpMxsRZLfDw/y/AzW2LSWlpXVscBDqiAxmzo71xjs+a2lh+jRa7pceOC849slke4+ZKx8LA==" saltValue="8qbkKpQ+CiQuLnqgShNvXA==" spinCount="100000" sqref="T185:T188" name="Rango2_88_6_84"/>
    <protectedRange algorithmName="SHA-512" hashValue="KHhv3JU/LRdRrRTxxkgFceEHPZ5UzadmpZRZR3zmQRnPvkUJZuanRafIJ+qde0IWwLZSvFIQDyUAHq6v6k7XIg==" saltValue="2GKG1kCzVNNcn+vbOPuhJA==" spinCount="100000" sqref="Q185:Q188" name="Rango2_2_5_84"/>
    <protectedRange algorithmName="SHA-512" hashValue="9+DNppQbWrLYYUMoJ+lyQctV2bX3Vq9kZnegLbpjTLP49It2ovUbcartuoQTeXgP+TGpY//7mDH/UQlFCKDGiA==" saltValue="KUnni6YEm00anzSSvyLqQA==" spinCount="100000" sqref="FN143" name="Rango2_20_2"/>
    <protectedRange algorithmName="SHA-512" hashValue="9+DNppQbWrLYYUMoJ+lyQctV2bX3Vq9kZnegLbpjTLP49It2ovUbcartuoQTeXgP+TGpY//7mDH/UQlFCKDGiA==" saltValue="KUnni6YEm00anzSSvyLqQA==" spinCount="100000" sqref="FK143" name="Rango2_19_2"/>
    <protectedRange algorithmName="SHA-512" hashValue="9+DNppQbWrLYYUMoJ+lyQctV2bX3Vq9kZnegLbpjTLP49It2ovUbcartuoQTeXgP+TGpY//7mDH/UQlFCKDGiA==" saltValue="KUnni6YEm00anzSSvyLqQA==" spinCount="100000" sqref="FH143" name="Rango2_18_2"/>
    <protectedRange algorithmName="SHA-512" hashValue="9+DNppQbWrLYYUMoJ+lyQctV2bX3Vq9kZnegLbpjTLP49It2ovUbcartuoQTeXgP+TGpY//7mDH/UQlFCKDGiA==" saltValue="KUnni6YEm00anzSSvyLqQA==" spinCount="100000" sqref="FE143" name="Rango2_17_2"/>
    <protectedRange algorithmName="SHA-512" hashValue="9+DNppQbWrLYYUMoJ+lyQctV2bX3Vq9kZnegLbpjTLP49It2ovUbcartuoQTeXgP+TGpY//7mDH/UQlFCKDGiA==" saltValue="KUnni6YEm00anzSSvyLqQA==" spinCount="100000" sqref="HD143:HI143" name="Rango2_15_2"/>
    <protectedRange algorithmName="SHA-512" hashValue="EEHzbvEYwO1eufllBljOz0uf9BJ2ENtvOScQ7IsS321QhYbwKn7qhHKKP8cKj02rTDvVRMWvwQ1ZP0mZWsBprQ==" saltValue="CjXqBRFbKezlWOFV37MnDQ==" spinCount="100000" sqref="GW143:GW144 GN143:GN144 GQ143:GR144" name="Rango2_30_2_78"/>
    <protectedRange algorithmName="SHA-512" hashValue="Rgskw+AQdeJ5qbJdarzTa3SCkJfDGziy0Uan5N0F3IWn/H3Z/e+VcB56R7Nes7MPxNHewNP1sSSucVjz3iTLeA==" saltValue="qKZH3DnwaZHBzy3cBZo1qQ==" spinCount="100000" sqref="GF143:GF144" name="Rango2_31_28_53"/>
    <protectedRange algorithmName="SHA-512" hashValue="Umj9+5Ys20VQPxBFtc6qE5LtKKSgPKwit+B8dd4XnEUaLfBM2ozpkEC4YxwK0SbBiAHDDex+pY+LomQ0lyuamQ==" saltValue="N2/MCRws+mmA+NXw0axolg==" spinCount="100000" sqref="GJ143:GJ144 GH143:GH144 GE143:GE144 GL143:GL144 FY143:FY144 GB143" name="Rango2_31_2_85"/>
    <protectedRange algorithmName="SHA-512" hashValue="YXHanhqXL0e4jPrzkCF8r/22WmlCviFUW909WKuG1JOcU0mp0/Huh0aP3EaGYxV2ep0WGu48HsShAy4Ka2uOiw==" saltValue="h/7U5iwJm7DLR4tRVfwZYw==" spinCount="100000" sqref="GI143:GI144 GC143:GC144" name="Rango2_33_61"/>
    <protectedRange algorithmName="SHA-512" hashValue="pL4tgTKqwEsWSIEGFTBd+4pvEhE7d5Q99Eijs+L/Y1rhA0saQGGRJw5Pv2HLOP0quglztFwB6WVnQ1YGxd4AiQ==" saltValue="IF5mhk2RcoEjrcYppes1VA==" spinCount="100000" sqref="FT143:FT144" name="Rango2_30_55"/>
    <protectedRange algorithmName="SHA-512" hashValue="EEHzbvEYwO1eufllBljOz0uf9BJ2ENtvOScQ7IsS321QhYbwKn7qhHKKP8cKj02rTDvVRMWvwQ1ZP0mZWsBprQ==" saltValue="CjXqBRFbKezlWOFV37MnDQ==" spinCount="100000" sqref="GW145 GN145 GQ145:GR145" name="Rango2_30_2_79"/>
    <protectedRange algorithmName="SHA-512" hashValue="Rgskw+AQdeJ5qbJdarzTa3SCkJfDGziy0Uan5N0F3IWn/H3Z/e+VcB56R7Nes7MPxNHewNP1sSSucVjz3iTLeA==" saltValue="qKZH3DnwaZHBzy3cBZo1qQ==" spinCount="100000" sqref="GF145" name="Rango2_31_28_54"/>
    <protectedRange algorithmName="SHA-512" hashValue="Umj9+5Ys20VQPxBFtc6qE5LtKKSgPKwit+B8dd4XnEUaLfBM2ozpkEC4YxwK0SbBiAHDDex+pY+LomQ0lyuamQ==" saltValue="N2/MCRws+mmA+NXw0axolg==" spinCount="100000" sqref="GJ145 GH145 GE145 GL145 FY145 GB145" name="Rango2_31_2_86"/>
    <protectedRange algorithmName="SHA-512" hashValue="YXHanhqXL0e4jPrzkCF8r/22WmlCviFUW909WKuG1JOcU0mp0/Huh0aP3EaGYxV2ep0WGu48HsShAy4Ka2uOiw==" saltValue="h/7U5iwJm7DLR4tRVfwZYw==" spinCount="100000" sqref="GI145 GC145" name="Rango2_33_62"/>
    <protectedRange algorithmName="SHA-512" hashValue="pL4tgTKqwEsWSIEGFTBd+4pvEhE7d5Q99Eijs+L/Y1rhA0saQGGRJw5Pv2HLOP0quglztFwB6WVnQ1YGxd4AiQ==" saltValue="IF5mhk2RcoEjrcYppes1VA==" spinCount="100000" sqref="FT145" name="Rango2_30_56"/>
    <protectedRange algorithmName="SHA-512" hashValue="EEHzbvEYwO1eufllBljOz0uf9BJ2ENtvOScQ7IsS321QhYbwKn7qhHKKP8cKj02rTDvVRMWvwQ1ZP0mZWsBprQ==" saltValue="CjXqBRFbKezlWOFV37MnDQ==" spinCount="100000" sqref="GW146 GN146 GQ146:GR146" name="Rango2_30_2_80"/>
    <protectedRange algorithmName="SHA-512" hashValue="Rgskw+AQdeJ5qbJdarzTa3SCkJfDGziy0Uan5N0F3IWn/H3Z/e+VcB56R7Nes7MPxNHewNP1sSSucVjz3iTLeA==" saltValue="qKZH3DnwaZHBzy3cBZo1qQ==" spinCount="100000" sqref="GF146" name="Rango2_31_28_55"/>
    <protectedRange algorithmName="SHA-512" hashValue="Umj9+5Ys20VQPxBFtc6qE5LtKKSgPKwit+B8dd4XnEUaLfBM2ozpkEC4YxwK0SbBiAHDDex+pY+LomQ0lyuamQ==" saltValue="N2/MCRws+mmA+NXw0axolg==" spinCount="100000" sqref="GJ146 GH146 GE146 GL146 FY146 GB146" name="Rango2_31_2_87"/>
    <protectedRange algorithmName="SHA-512" hashValue="YXHanhqXL0e4jPrzkCF8r/22WmlCviFUW909WKuG1JOcU0mp0/Huh0aP3EaGYxV2ep0WGu48HsShAy4Ka2uOiw==" saltValue="h/7U5iwJm7DLR4tRVfwZYw==" spinCount="100000" sqref="GI146 GC146" name="Rango2_33_63"/>
    <protectedRange algorithmName="SHA-512" hashValue="pL4tgTKqwEsWSIEGFTBd+4pvEhE7d5Q99Eijs+L/Y1rhA0saQGGRJw5Pv2HLOP0quglztFwB6WVnQ1YGxd4AiQ==" saltValue="IF5mhk2RcoEjrcYppes1VA==" spinCount="100000" sqref="FT146" name="Rango2_30_57"/>
    <protectedRange algorithmName="SHA-512" hashValue="EEHzbvEYwO1eufllBljOz0uf9BJ2ENtvOScQ7IsS321QhYbwKn7qhHKKP8cKj02rTDvVRMWvwQ1ZP0mZWsBprQ==" saltValue="CjXqBRFbKezlWOFV37MnDQ==" spinCount="100000" sqref="GW147:GW148 GN147:GN148 GQ147:GR148" name="Rango2_30_2_81"/>
    <protectedRange algorithmName="SHA-512" hashValue="Rgskw+AQdeJ5qbJdarzTa3SCkJfDGziy0Uan5N0F3IWn/H3Z/e+VcB56R7Nes7MPxNHewNP1sSSucVjz3iTLeA==" saltValue="qKZH3DnwaZHBzy3cBZo1qQ==" spinCount="100000" sqref="GF147:GF148" name="Rango2_31_28_56"/>
    <protectedRange algorithmName="SHA-512" hashValue="Umj9+5Ys20VQPxBFtc6qE5LtKKSgPKwit+B8dd4XnEUaLfBM2ozpkEC4YxwK0SbBiAHDDex+pY+LomQ0lyuamQ==" saltValue="N2/MCRws+mmA+NXw0axolg==" spinCount="100000" sqref="GJ147:GJ148 GH147:GH148 GE147:GE148 GL147:GL148 FY147:FY148 GB148" name="Rango2_31_2_88"/>
    <protectedRange algorithmName="SHA-512" hashValue="YXHanhqXL0e4jPrzkCF8r/22WmlCviFUW909WKuG1JOcU0mp0/Huh0aP3EaGYxV2ep0WGu48HsShAy4Ka2uOiw==" saltValue="h/7U5iwJm7DLR4tRVfwZYw==" spinCount="100000" sqref="GI147:GI148 GC147:GC148" name="Rango2_33_64"/>
    <protectedRange algorithmName="SHA-512" hashValue="pL4tgTKqwEsWSIEGFTBd+4pvEhE7d5Q99Eijs+L/Y1rhA0saQGGRJw5Pv2HLOP0quglztFwB6WVnQ1YGxd4AiQ==" saltValue="IF5mhk2RcoEjrcYppes1VA==" spinCount="100000" sqref="FT147:FT148" name="Rango2_30_58"/>
    <protectedRange algorithmName="SHA-512" hashValue="EEHzbvEYwO1eufllBljOz0uf9BJ2ENtvOScQ7IsS321QhYbwKn7qhHKKP8cKj02rTDvVRMWvwQ1ZP0mZWsBprQ==" saltValue="CjXqBRFbKezlWOFV37MnDQ==" spinCount="100000" sqref="GW149:GW150 GN149:GN150 GQ149:GR150" name="Rango2_30_2_82"/>
    <protectedRange algorithmName="SHA-512" hashValue="Rgskw+AQdeJ5qbJdarzTa3SCkJfDGziy0Uan5N0F3IWn/H3Z/e+VcB56R7Nes7MPxNHewNP1sSSucVjz3iTLeA==" saltValue="qKZH3DnwaZHBzy3cBZo1qQ==" spinCount="100000" sqref="GF149:GF150" name="Rango2_31_28_57"/>
    <protectedRange algorithmName="SHA-512" hashValue="Umj9+5Ys20VQPxBFtc6qE5LtKKSgPKwit+B8dd4XnEUaLfBM2ozpkEC4YxwK0SbBiAHDDex+pY+LomQ0lyuamQ==" saltValue="N2/MCRws+mmA+NXw0axolg==" spinCount="100000" sqref="GJ149:GJ150 GH149:GH150 GE149:GE150 GL149:GL150 FY149:FY150" name="Rango2_31_2_89"/>
    <protectedRange algorithmName="SHA-512" hashValue="YXHanhqXL0e4jPrzkCF8r/22WmlCviFUW909WKuG1JOcU0mp0/Huh0aP3EaGYxV2ep0WGu48HsShAy4Ka2uOiw==" saltValue="h/7U5iwJm7DLR4tRVfwZYw==" spinCount="100000" sqref="GI149:GI150 GC149:GC150" name="Rango2_33_65"/>
    <protectedRange algorithmName="SHA-512" hashValue="pL4tgTKqwEsWSIEGFTBd+4pvEhE7d5Q99Eijs+L/Y1rhA0saQGGRJw5Pv2HLOP0quglztFwB6WVnQ1YGxd4AiQ==" saltValue="IF5mhk2RcoEjrcYppes1VA==" spinCount="100000" sqref="FT149:FT150" name="Rango2_30_59"/>
    <protectedRange algorithmName="SHA-512" hashValue="EEHzbvEYwO1eufllBljOz0uf9BJ2ENtvOScQ7IsS321QhYbwKn7qhHKKP8cKj02rTDvVRMWvwQ1ZP0mZWsBprQ==" saltValue="CjXqBRFbKezlWOFV37MnDQ==" spinCount="100000" sqref="GW151 GN151 GQ151:GR151" name="Rango2_30_2_83"/>
    <protectedRange algorithmName="SHA-512" hashValue="Rgskw+AQdeJ5qbJdarzTa3SCkJfDGziy0Uan5N0F3IWn/H3Z/e+VcB56R7Nes7MPxNHewNP1sSSucVjz3iTLeA==" saltValue="qKZH3DnwaZHBzy3cBZo1qQ==" spinCount="100000" sqref="GF151" name="Rango2_31_28_58"/>
    <protectedRange algorithmName="SHA-512" hashValue="Umj9+5Ys20VQPxBFtc6qE5LtKKSgPKwit+B8dd4XnEUaLfBM2ozpkEC4YxwK0SbBiAHDDex+pY+LomQ0lyuamQ==" saltValue="N2/MCRws+mmA+NXw0axolg==" spinCount="100000" sqref="GJ151 GH151 GE151 GL151 FY151 GB151" name="Rango2_31_2_90"/>
    <protectedRange algorithmName="SHA-512" hashValue="YXHanhqXL0e4jPrzkCF8r/22WmlCviFUW909WKuG1JOcU0mp0/Huh0aP3EaGYxV2ep0WGu48HsShAy4Ka2uOiw==" saltValue="h/7U5iwJm7DLR4tRVfwZYw==" spinCount="100000" sqref="GI151 GC151" name="Rango2_33_66"/>
    <protectedRange algorithmName="SHA-512" hashValue="pL4tgTKqwEsWSIEGFTBd+4pvEhE7d5Q99Eijs+L/Y1rhA0saQGGRJw5Pv2HLOP0quglztFwB6WVnQ1YGxd4AiQ==" saltValue="IF5mhk2RcoEjrcYppes1VA==" spinCount="100000" sqref="FT151" name="Rango2_30_60"/>
    <protectedRange algorithmName="SHA-512" hashValue="EEHzbvEYwO1eufllBljOz0uf9BJ2ENtvOScQ7IsS321QhYbwKn7qhHKKP8cKj02rTDvVRMWvwQ1ZP0mZWsBprQ==" saltValue="CjXqBRFbKezlWOFV37MnDQ==" spinCount="100000" sqref="GW152 GN152 GQ152:GR152" name="Rango2_30_2_84"/>
    <protectedRange algorithmName="SHA-512" hashValue="Rgskw+AQdeJ5qbJdarzTa3SCkJfDGziy0Uan5N0F3IWn/H3Z/e+VcB56R7Nes7MPxNHewNP1sSSucVjz3iTLeA==" saltValue="qKZH3DnwaZHBzy3cBZo1qQ==" spinCount="100000" sqref="GF152" name="Rango2_31_28_59"/>
    <protectedRange algorithmName="SHA-512" hashValue="Umj9+5Ys20VQPxBFtc6qE5LtKKSgPKwit+B8dd4XnEUaLfBM2ozpkEC4YxwK0SbBiAHDDex+pY+LomQ0lyuamQ==" saltValue="N2/MCRws+mmA+NXw0axolg==" spinCount="100000" sqref="GJ152 GH152 GE152 GL152 FY152 GB152" name="Rango2_31_2_91"/>
    <protectedRange algorithmName="SHA-512" hashValue="YXHanhqXL0e4jPrzkCF8r/22WmlCviFUW909WKuG1JOcU0mp0/Huh0aP3EaGYxV2ep0WGu48HsShAy4Ka2uOiw==" saltValue="h/7U5iwJm7DLR4tRVfwZYw==" spinCount="100000" sqref="GI152 GC152" name="Rango2_33_67"/>
    <protectedRange algorithmName="SHA-512" hashValue="pL4tgTKqwEsWSIEGFTBd+4pvEhE7d5Q99Eijs+L/Y1rhA0saQGGRJw5Pv2HLOP0quglztFwB6WVnQ1YGxd4AiQ==" saltValue="IF5mhk2RcoEjrcYppes1VA==" spinCount="100000" sqref="FT152" name="Rango2_30_61"/>
    <protectedRange algorithmName="SHA-512" hashValue="EEHzbvEYwO1eufllBljOz0uf9BJ2ENtvOScQ7IsS321QhYbwKn7qhHKKP8cKj02rTDvVRMWvwQ1ZP0mZWsBprQ==" saltValue="CjXqBRFbKezlWOFV37MnDQ==" spinCount="100000" sqref="GW153 GN153 GQ153:GR153" name="Rango2_30_2_85"/>
    <protectedRange algorithmName="SHA-512" hashValue="Rgskw+AQdeJ5qbJdarzTa3SCkJfDGziy0Uan5N0F3IWn/H3Z/e+VcB56R7Nes7MPxNHewNP1sSSucVjz3iTLeA==" saltValue="qKZH3DnwaZHBzy3cBZo1qQ==" spinCount="100000" sqref="GF153" name="Rango2_31_28_60"/>
    <protectedRange algorithmName="SHA-512" hashValue="Umj9+5Ys20VQPxBFtc6qE5LtKKSgPKwit+B8dd4XnEUaLfBM2ozpkEC4YxwK0SbBiAHDDex+pY+LomQ0lyuamQ==" saltValue="N2/MCRws+mmA+NXw0axolg==" spinCount="100000" sqref="GJ153 GH153 GE153 GL153 FY153" name="Rango2_31_2_92"/>
    <protectedRange algorithmName="SHA-512" hashValue="YXHanhqXL0e4jPrzkCF8r/22WmlCviFUW909WKuG1JOcU0mp0/Huh0aP3EaGYxV2ep0WGu48HsShAy4Ka2uOiw==" saltValue="h/7U5iwJm7DLR4tRVfwZYw==" spinCount="100000" sqref="GI153 GC153" name="Rango2_33_68"/>
    <protectedRange algorithmName="SHA-512" hashValue="pL4tgTKqwEsWSIEGFTBd+4pvEhE7d5Q99Eijs+L/Y1rhA0saQGGRJw5Pv2HLOP0quglztFwB6WVnQ1YGxd4AiQ==" saltValue="IF5mhk2RcoEjrcYppes1VA==" spinCount="100000" sqref="FT153" name="Rango2_30_62"/>
    <protectedRange algorithmName="SHA-512" hashValue="EEHzbvEYwO1eufllBljOz0uf9BJ2ENtvOScQ7IsS321QhYbwKn7qhHKKP8cKj02rTDvVRMWvwQ1ZP0mZWsBprQ==" saltValue="CjXqBRFbKezlWOFV37MnDQ==" spinCount="100000" sqref="GW154 GN154 GQ154:GR154" name="Rango2_30_2_86"/>
    <protectedRange algorithmName="SHA-512" hashValue="Rgskw+AQdeJ5qbJdarzTa3SCkJfDGziy0Uan5N0F3IWn/H3Z/e+VcB56R7Nes7MPxNHewNP1sSSucVjz3iTLeA==" saltValue="qKZH3DnwaZHBzy3cBZo1qQ==" spinCount="100000" sqref="GF154" name="Rango2_31_28_61"/>
    <protectedRange algorithmName="SHA-512" hashValue="Umj9+5Ys20VQPxBFtc6qE5LtKKSgPKwit+B8dd4XnEUaLfBM2ozpkEC4YxwK0SbBiAHDDex+pY+LomQ0lyuamQ==" saltValue="N2/MCRws+mmA+NXw0axolg==" spinCount="100000" sqref="GJ154 GH154 GE154 GL154 FY154" name="Rango2_31_2_93"/>
    <protectedRange algorithmName="SHA-512" hashValue="YXHanhqXL0e4jPrzkCF8r/22WmlCviFUW909WKuG1JOcU0mp0/Huh0aP3EaGYxV2ep0WGu48HsShAy4Ka2uOiw==" saltValue="h/7U5iwJm7DLR4tRVfwZYw==" spinCount="100000" sqref="GI154 GC154" name="Rango2_33_69"/>
    <protectedRange algorithmName="SHA-512" hashValue="pL4tgTKqwEsWSIEGFTBd+4pvEhE7d5Q99Eijs+L/Y1rhA0saQGGRJw5Pv2HLOP0quglztFwB6WVnQ1YGxd4AiQ==" saltValue="IF5mhk2RcoEjrcYppes1VA==" spinCount="100000" sqref="FT154" name="Rango2_30_63"/>
    <protectedRange algorithmName="SHA-512" hashValue="EEHzbvEYwO1eufllBljOz0uf9BJ2ENtvOScQ7IsS321QhYbwKn7qhHKKP8cKj02rTDvVRMWvwQ1ZP0mZWsBprQ==" saltValue="CjXqBRFbKezlWOFV37MnDQ==" spinCount="100000" sqref="GW155 GN155 GQ155:GR155" name="Rango2_30_2_87"/>
    <protectedRange algorithmName="SHA-512" hashValue="Rgskw+AQdeJ5qbJdarzTa3SCkJfDGziy0Uan5N0F3IWn/H3Z/e+VcB56R7Nes7MPxNHewNP1sSSucVjz3iTLeA==" saltValue="qKZH3DnwaZHBzy3cBZo1qQ==" spinCount="100000" sqref="GF155" name="Rango2_31_28_62"/>
    <protectedRange algorithmName="SHA-512" hashValue="Umj9+5Ys20VQPxBFtc6qE5LtKKSgPKwit+B8dd4XnEUaLfBM2ozpkEC4YxwK0SbBiAHDDex+pY+LomQ0lyuamQ==" saltValue="N2/MCRws+mmA+NXw0axolg==" spinCount="100000" sqref="GJ155 GH155 GE155 GL155 FY155 GB155" name="Rango2_31_2_94"/>
    <protectedRange algorithmName="SHA-512" hashValue="YXHanhqXL0e4jPrzkCF8r/22WmlCviFUW909WKuG1JOcU0mp0/Huh0aP3EaGYxV2ep0WGu48HsShAy4Ka2uOiw==" saltValue="h/7U5iwJm7DLR4tRVfwZYw==" spinCount="100000" sqref="GI155 GC155" name="Rango2_33_70"/>
    <protectedRange algorithmName="SHA-512" hashValue="pL4tgTKqwEsWSIEGFTBd+4pvEhE7d5Q99Eijs+L/Y1rhA0saQGGRJw5Pv2HLOP0quglztFwB6WVnQ1YGxd4AiQ==" saltValue="IF5mhk2RcoEjrcYppes1VA==" spinCount="100000" sqref="FT155" name="Rango2_30_64"/>
    <protectedRange algorithmName="SHA-512" hashValue="EEHzbvEYwO1eufllBljOz0uf9BJ2ENtvOScQ7IsS321QhYbwKn7qhHKKP8cKj02rTDvVRMWvwQ1ZP0mZWsBprQ==" saltValue="CjXqBRFbKezlWOFV37MnDQ==" spinCount="100000" sqref="GW156:GW157 GN156:GN157 GQ156:GR157" name="Rango2_30_2_88"/>
    <protectedRange algorithmName="SHA-512" hashValue="Rgskw+AQdeJ5qbJdarzTa3SCkJfDGziy0Uan5N0F3IWn/H3Z/e+VcB56R7Nes7MPxNHewNP1sSSucVjz3iTLeA==" saltValue="qKZH3DnwaZHBzy3cBZo1qQ==" spinCount="100000" sqref="GF156:GF157" name="Rango2_31_28_63"/>
    <protectedRange algorithmName="SHA-512" hashValue="Umj9+5Ys20VQPxBFtc6qE5LtKKSgPKwit+B8dd4XnEUaLfBM2ozpkEC4YxwK0SbBiAHDDex+pY+LomQ0lyuamQ==" saltValue="N2/MCRws+mmA+NXw0axolg==" spinCount="100000" sqref="GJ156:GJ157 GH156:GH157 GE156:GE157 GL156:GL157 FY156:FY157 GB157" name="Rango2_31_2_95"/>
    <protectedRange algorithmName="SHA-512" hashValue="YXHanhqXL0e4jPrzkCF8r/22WmlCviFUW909WKuG1JOcU0mp0/Huh0aP3EaGYxV2ep0WGu48HsShAy4Ka2uOiw==" saltValue="h/7U5iwJm7DLR4tRVfwZYw==" spinCount="100000" sqref="GI156:GI157 GC156:GC157" name="Rango2_33_71"/>
    <protectedRange algorithmName="SHA-512" hashValue="pL4tgTKqwEsWSIEGFTBd+4pvEhE7d5Q99Eijs+L/Y1rhA0saQGGRJw5Pv2HLOP0quglztFwB6WVnQ1YGxd4AiQ==" saltValue="IF5mhk2RcoEjrcYppes1VA==" spinCount="100000" sqref="FT156:FT157" name="Rango2_30_65"/>
    <protectedRange algorithmName="SHA-512" hashValue="EEHzbvEYwO1eufllBljOz0uf9BJ2ENtvOScQ7IsS321QhYbwKn7qhHKKP8cKj02rTDvVRMWvwQ1ZP0mZWsBprQ==" saltValue="CjXqBRFbKezlWOFV37MnDQ==" spinCount="100000" sqref="GW158 GN158 GQ158:GR158" name="Rango2_30_2_89"/>
    <protectedRange algorithmName="SHA-512" hashValue="Rgskw+AQdeJ5qbJdarzTa3SCkJfDGziy0Uan5N0F3IWn/H3Z/e+VcB56R7Nes7MPxNHewNP1sSSucVjz3iTLeA==" saltValue="qKZH3DnwaZHBzy3cBZo1qQ==" spinCount="100000" sqref="GF158" name="Rango2_31_28_64"/>
    <protectedRange algorithmName="SHA-512" hashValue="Umj9+5Ys20VQPxBFtc6qE5LtKKSgPKwit+B8dd4XnEUaLfBM2ozpkEC4YxwK0SbBiAHDDex+pY+LomQ0lyuamQ==" saltValue="N2/MCRws+mmA+NXw0axolg==" spinCount="100000" sqref="GJ158 GH158 GE158 GL158 FY158" name="Rango2_31_2_96"/>
    <protectedRange algorithmName="SHA-512" hashValue="YXHanhqXL0e4jPrzkCF8r/22WmlCviFUW909WKuG1JOcU0mp0/Huh0aP3EaGYxV2ep0WGu48HsShAy4Ka2uOiw==" saltValue="h/7U5iwJm7DLR4tRVfwZYw==" spinCount="100000" sqref="GI158 GC158" name="Rango2_33_72"/>
    <protectedRange algorithmName="SHA-512" hashValue="pL4tgTKqwEsWSIEGFTBd+4pvEhE7d5Q99Eijs+L/Y1rhA0saQGGRJw5Pv2HLOP0quglztFwB6WVnQ1YGxd4AiQ==" saltValue="IF5mhk2RcoEjrcYppes1VA==" spinCount="100000" sqref="FT158" name="Rango2_30_66"/>
    <protectedRange algorithmName="SHA-512" hashValue="EEHzbvEYwO1eufllBljOz0uf9BJ2ENtvOScQ7IsS321QhYbwKn7qhHKKP8cKj02rTDvVRMWvwQ1ZP0mZWsBprQ==" saltValue="CjXqBRFbKezlWOFV37MnDQ==" spinCount="100000" sqref="GW159:GW162 GN159:GN162 GQ159:GR162" name="Rango2_30_2_90"/>
    <protectedRange algorithmName="SHA-512" hashValue="Rgskw+AQdeJ5qbJdarzTa3SCkJfDGziy0Uan5N0F3IWn/H3Z/e+VcB56R7Nes7MPxNHewNP1sSSucVjz3iTLeA==" saltValue="qKZH3DnwaZHBzy3cBZo1qQ==" spinCount="100000" sqref="GF159:GF162" name="Rango2_31_28_65"/>
    <protectedRange algorithmName="SHA-512" hashValue="Umj9+5Ys20VQPxBFtc6qE5LtKKSgPKwit+B8dd4XnEUaLfBM2ozpkEC4YxwK0SbBiAHDDex+pY+LomQ0lyuamQ==" saltValue="N2/MCRws+mmA+NXw0axolg==" spinCount="100000" sqref="GJ159:GJ162 GH159:GH162 GE159:GE162 GL159:GL162 FY159:FY162 GB162" name="Rango2_31_2_97"/>
    <protectedRange algorithmName="SHA-512" hashValue="YXHanhqXL0e4jPrzkCF8r/22WmlCviFUW909WKuG1JOcU0mp0/Huh0aP3EaGYxV2ep0WGu48HsShAy4Ka2uOiw==" saltValue="h/7U5iwJm7DLR4tRVfwZYw==" spinCount="100000" sqref="GI159:GI162 GC159:GC160 GC162" name="Rango2_33_73"/>
    <protectedRange algorithmName="SHA-512" hashValue="pL4tgTKqwEsWSIEGFTBd+4pvEhE7d5Q99Eijs+L/Y1rhA0saQGGRJw5Pv2HLOP0quglztFwB6WVnQ1YGxd4AiQ==" saltValue="IF5mhk2RcoEjrcYppes1VA==" spinCount="100000" sqref="FT159:FT162" name="Rango2_30_67"/>
    <protectedRange algorithmName="SHA-512" hashValue="EEHzbvEYwO1eufllBljOz0uf9BJ2ENtvOScQ7IsS321QhYbwKn7qhHKKP8cKj02rTDvVRMWvwQ1ZP0mZWsBprQ==" saltValue="CjXqBRFbKezlWOFV37MnDQ==" spinCount="100000" sqref="GW163 GN163 GQ163:GR163" name="Rango2_30_2_91"/>
    <protectedRange algorithmName="SHA-512" hashValue="Rgskw+AQdeJ5qbJdarzTa3SCkJfDGziy0Uan5N0F3IWn/H3Z/e+VcB56R7Nes7MPxNHewNP1sSSucVjz3iTLeA==" saltValue="qKZH3DnwaZHBzy3cBZo1qQ==" spinCount="100000" sqref="GF163" name="Rango2_31_28_66"/>
    <protectedRange algorithmName="SHA-512" hashValue="Umj9+5Ys20VQPxBFtc6qE5LtKKSgPKwit+B8dd4XnEUaLfBM2ozpkEC4YxwK0SbBiAHDDex+pY+LomQ0lyuamQ==" saltValue="N2/MCRws+mmA+NXw0axolg==" spinCount="100000" sqref="GJ163 GH163 GE163 GL163 FY163" name="Rango2_31_2_98"/>
    <protectedRange algorithmName="SHA-512" hashValue="YXHanhqXL0e4jPrzkCF8r/22WmlCviFUW909WKuG1JOcU0mp0/Huh0aP3EaGYxV2ep0WGu48HsShAy4Ka2uOiw==" saltValue="h/7U5iwJm7DLR4tRVfwZYw==" spinCount="100000" sqref="GI163 GC163" name="Rango2_33_74"/>
    <protectedRange algorithmName="SHA-512" hashValue="pL4tgTKqwEsWSIEGFTBd+4pvEhE7d5Q99Eijs+L/Y1rhA0saQGGRJw5Pv2HLOP0quglztFwB6WVnQ1YGxd4AiQ==" saltValue="IF5mhk2RcoEjrcYppes1VA==" spinCount="100000" sqref="FT163" name="Rango2_30_68"/>
    <protectedRange algorithmName="SHA-512" hashValue="EEHzbvEYwO1eufllBljOz0uf9BJ2ENtvOScQ7IsS321QhYbwKn7qhHKKP8cKj02rTDvVRMWvwQ1ZP0mZWsBprQ==" saltValue="CjXqBRFbKezlWOFV37MnDQ==" spinCount="100000" sqref="GW164 GN164 GQ164:GR164" name="Rango2_30_2_92"/>
    <protectedRange algorithmName="SHA-512" hashValue="Rgskw+AQdeJ5qbJdarzTa3SCkJfDGziy0Uan5N0F3IWn/H3Z/e+VcB56R7Nes7MPxNHewNP1sSSucVjz3iTLeA==" saltValue="qKZH3DnwaZHBzy3cBZo1qQ==" spinCount="100000" sqref="GF164" name="Rango2_31_28_67"/>
    <protectedRange algorithmName="SHA-512" hashValue="Umj9+5Ys20VQPxBFtc6qE5LtKKSgPKwit+B8dd4XnEUaLfBM2ozpkEC4YxwK0SbBiAHDDex+pY+LomQ0lyuamQ==" saltValue="N2/MCRws+mmA+NXw0axolg==" spinCount="100000" sqref="GJ164 GH164 GE164 GL164 FY164 GB164" name="Rango2_31_2_99"/>
    <protectedRange algorithmName="SHA-512" hashValue="YXHanhqXL0e4jPrzkCF8r/22WmlCviFUW909WKuG1JOcU0mp0/Huh0aP3EaGYxV2ep0WGu48HsShAy4Ka2uOiw==" saltValue="h/7U5iwJm7DLR4tRVfwZYw==" spinCount="100000" sqref="GI164 GC164" name="Rango2_33_75"/>
    <protectedRange algorithmName="SHA-512" hashValue="pL4tgTKqwEsWSIEGFTBd+4pvEhE7d5Q99Eijs+L/Y1rhA0saQGGRJw5Pv2HLOP0quglztFwB6WVnQ1YGxd4AiQ==" saltValue="IF5mhk2RcoEjrcYppes1VA==" spinCount="100000" sqref="FT164" name="Rango2_30_69"/>
    <protectedRange algorithmName="SHA-512" hashValue="EEHzbvEYwO1eufllBljOz0uf9BJ2ENtvOScQ7IsS321QhYbwKn7qhHKKP8cKj02rTDvVRMWvwQ1ZP0mZWsBprQ==" saltValue="CjXqBRFbKezlWOFV37MnDQ==" spinCount="100000" sqref="GW165:GW166 GN165:GN166 GQ165:GR166" name="Rango2_30_2_93"/>
    <protectedRange algorithmName="SHA-512" hashValue="Rgskw+AQdeJ5qbJdarzTa3SCkJfDGziy0Uan5N0F3IWn/H3Z/e+VcB56R7Nes7MPxNHewNP1sSSucVjz3iTLeA==" saltValue="qKZH3DnwaZHBzy3cBZo1qQ==" spinCount="100000" sqref="GF166" name="Rango2_31_28_68"/>
    <protectedRange algorithmName="SHA-512" hashValue="YXHanhqXL0e4jPrzkCF8r/22WmlCviFUW909WKuG1JOcU0mp0/Huh0aP3EaGYxV2ep0WGu48HsShAy4Ka2uOiw==" saltValue="h/7U5iwJm7DLR4tRVfwZYw==" spinCount="100000" sqref="GI165:GI166 GC165:GC166" name="Rango2_33_76"/>
    <protectedRange algorithmName="SHA-512" hashValue="pL4tgTKqwEsWSIEGFTBd+4pvEhE7d5Q99Eijs+L/Y1rhA0saQGGRJw5Pv2HLOP0quglztFwB6WVnQ1YGxd4AiQ==" saltValue="IF5mhk2RcoEjrcYppes1VA==" spinCount="100000" sqref="FT165:FT166" name="Rango2_30_70"/>
    <protectedRange algorithmName="SHA-512" hashValue="EEHzbvEYwO1eufllBljOz0uf9BJ2ENtvOScQ7IsS321QhYbwKn7qhHKKP8cKj02rTDvVRMWvwQ1ZP0mZWsBprQ==" saltValue="CjXqBRFbKezlWOFV37MnDQ==" spinCount="100000" sqref="GW167 GN167 GQ167:GR167" name="Rango2_30_2_94"/>
    <protectedRange algorithmName="SHA-512" hashValue="Rgskw+AQdeJ5qbJdarzTa3SCkJfDGziy0Uan5N0F3IWn/H3Z/e+VcB56R7Nes7MPxNHewNP1sSSucVjz3iTLeA==" saltValue="qKZH3DnwaZHBzy3cBZo1qQ==" spinCount="100000" sqref="GF167" name="Rango2_31_28_69"/>
    <protectedRange algorithmName="SHA-512" hashValue="YXHanhqXL0e4jPrzkCF8r/22WmlCviFUW909WKuG1JOcU0mp0/Huh0aP3EaGYxV2ep0WGu48HsShAy4Ka2uOiw==" saltValue="h/7U5iwJm7DLR4tRVfwZYw==" spinCount="100000" sqref="GI167" name="Rango2_33_77"/>
    <protectedRange algorithmName="SHA-512" hashValue="pL4tgTKqwEsWSIEGFTBd+4pvEhE7d5Q99Eijs+L/Y1rhA0saQGGRJw5Pv2HLOP0quglztFwB6WVnQ1YGxd4AiQ==" saltValue="IF5mhk2RcoEjrcYppes1VA==" spinCount="100000" sqref="FT167" name="Rango2_30_71"/>
    <protectedRange algorithmName="SHA-512" hashValue="EEHzbvEYwO1eufllBljOz0uf9BJ2ENtvOScQ7IsS321QhYbwKn7qhHKKP8cKj02rTDvVRMWvwQ1ZP0mZWsBprQ==" saltValue="CjXqBRFbKezlWOFV37MnDQ==" spinCount="100000" sqref="GW168 GN168 GQ168:GR168" name="Rango2_30_2_95"/>
    <protectedRange algorithmName="SHA-512" hashValue="Rgskw+AQdeJ5qbJdarzTa3SCkJfDGziy0Uan5N0F3IWn/H3Z/e+VcB56R7Nes7MPxNHewNP1sSSucVjz3iTLeA==" saltValue="qKZH3DnwaZHBzy3cBZo1qQ==" spinCount="100000" sqref="GF168" name="Rango2_31_28_70"/>
    <protectedRange algorithmName="SHA-512" hashValue="YXHanhqXL0e4jPrzkCF8r/22WmlCviFUW909WKuG1JOcU0mp0/Huh0aP3EaGYxV2ep0WGu48HsShAy4Ka2uOiw==" saltValue="h/7U5iwJm7DLR4tRVfwZYw==" spinCount="100000" sqref="GI168" name="Rango2_33_78"/>
    <protectedRange algorithmName="SHA-512" hashValue="pL4tgTKqwEsWSIEGFTBd+4pvEhE7d5Q99Eijs+L/Y1rhA0saQGGRJw5Pv2HLOP0quglztFwB6WVnQ1YGxd4AiQ==" saltValue="IF5mhk2RcoEjrcYppes1VA==" spinCount="100000" sqref="FT168" name="Rango2_30_72"/>
    <protectedRange algorithmName="SHA-512" hashValue="EEHzbvEYwO1eufllBljOz0uf9BJ2ENtvOScQ7IsS321QhYbwKn7qhHKKP8cKj02rTDvVRMWvwQ1ZP0mZWsBprQ==" saltValue="CjXqBRFbKezlWOFV37MnDQ==" spinCount="100000" sqref="GW169 GN169 GQ169:GR169" name="Rango2_30_2_96"/>
    <protectedRange algorithmName="SHA-512" hashValue="Rgskw+AQdeJ5qbJdarzTa3SCkJfDGziy0Uan5N0F3IWn/H3Z/e+VcB56R7Nes7MPxNHewNP1sSSucVjz3iTLeA==" saltValue="qKZH3DnwaZHBzy3cBZo1qQ==" spinCount="100000" sqref="GF169" name="Rango2_31_28_71"/>
    <protectedRange algorithmName="SHA-512" hashValue="YXHanhqXL0e4jPrzkCF8r/22WmlCviFUW909WKuG1JOcU0mp0/Huh0aP3EaGYxV2ep0WGu48HsShAy4Ka2uOiw==" saltValue="h/7U5iwJm7DLR4tRVfwZYw==" spinCount="100000" sqref="GI169 GC169" name="Rango2_33_79"/>
    <protectedRange algorithmName="SHA-512" hashValue="pL4tgTKqwEsWSIEGFTBd+4pvEhE7d5Q99Eijs+L/Y1rhA0saQGGRJw5Pv2HLOP0quglztFwB6WVnQ1YGxd4AiQ==" saltValue="IF5mhk2RcoEjrcYppes1VA==" spinCount="100000" sqref="FT169" name="Rango2_30_73"/>
    <protectedRange algorithmName="SHA-512" hashValue="EEHzbvEYwO1eufllBljOz0uf9BJ2ENtvOScQ7IsS321QhYbwKn7qhHKKP8cKj02rTDvVRMWvwQ1ZP0mZWsBprQ==" saltValue="CjXqBRFbKezlWOFV37MnDQ==" spinCount="100000" sqref="GW170 GN170 GQ170:GR170" name="Rango2_30_2_97"/>
    <protectedRange algorithmName="SHA-512" hashValue="Rgskw+AQdeJ5qbJdarzTa3SCkJfDGziy0Uan5N0F3IWn/H3Z/e+VcB56R7Nes7MPxNHewNP1sSSucVjz3iTLeA==" saltValue="qKZH3DnwaZHBzy3cBZo1qQ==" spinCount="100000" sqref="GF170" name="Rango2_31_28_72"/>
    <protectedRange algorithmName="SHA-512" hashValue="YXHanhqXL0e4jPrzkCF8r/22WmlCviFUW909WKuG1JOcU0mp0/Huh0aP3EaGYxV2ep0WGu48HsShAy4Ka2uOiw==" saltValue="h/7U5iwJm7DLR4tRVfwZYw==" spinCount="100000" sqref="GI170 GC170" name="Rango2_33_80"/>
    <protectedRange algorithmName="SHA-512" hashValue="pL4tgTKqwEsWSIEGFTBd+4pvEhE7d5Q99Eijs+L/Y1rhA0saQGGRJw5Pv2HLOP0quglztFwB6WVnQ1YGxd4AiQ==" saltValue="IF5mhk2RcoEjrcYppes1VA==" spinCount="100000" sqref="FT170" name="Rango2_30_74"/>
    <protectedRange algorithmName="SHA-512" hashValue="EEHzbvEYwO1eufllBljOz0uf9BJ2ENtvOScQ7IsS321QhYbwKn7qhHKKP8cKj02rTDvVRMWvwQ1ZP0mZWsBprQ==" saltValue="CjXqBRFbKezlWOFV37MnDQ==" spinCount="100000" sqref="GW171 GN171 GQ171:GR171" name="Rango2_30_2_98"/>
    <protectedRange algorithmName="SHA-512" hashValue="Rgskw+AQdeJ5qbJdarzTa3SCkJfDGziy0Uan5N0F3IWn/H3Z/e+VcB56R7Nes7MPxNHewNP1sSSucVjz3iTLeA==" saltValue="qKZH3DnwaZHBzy3cBZo1qQ==" spinCount="100000" sqref="GF171" name="Rango2_31_28_73"/>
    <protectedRange algorithmName="SHA-512" hashValue="YXHanhqXL0e4jPrzkCF8r/22WmlCviFUW909WKuG1JOcU0mp0/Huh0aP3EaGYxV2ep0WGu48HsShAy4Ka2uOiw==" saltValue="h/7U5iwJm7DLR4tRVfwZYw==" spinCount="100000" sqref="GI171" name="Rango2_33_81"/>
    <protectedRange algorithmName="SHA-512" hashValue="pL4tgTKqwEsWSIEGFTBd+4pvEhE7d5Q99Eijs+L/Y1rhA0saQGGRJw5Pv2HLOP0quglztFwB6WVnQ1YGxd4AiQ==" saltValue="IF5mhk2RcoEjrcYppes1VA==" spinCount="100000" sqref="FT171" name="Rango2_30_75"/>
    <protectedRange algorithmName="SHA-512" hashValue="EEHzbvEYwO1eufllBljOz0uf9BJ2ENtvOScQ7IsS321QhYbwKn7qhHKKP8cKj02rTDvVRMWvwQ1ZP0mZWsBprQ==" saltValue="CjXqBRFbKezlWOFV37MnDQ==" spinCount="100000" sqref="GW172:GW173 GN172:GN173 GQ172:GR173" name="Rango2_30_2_99"/>
    <protectedRange algorithmName="SHA-512" hashValue="Rgskw+AQdeJ5qbJdarzTa3SCkJfDGziy0Uan5N0F3IWn/H3Z/e+VcB56R7Nes7MPxNHewNP1sSSucVjz3iTLeA==" saltValue="qKZH3DnwaZHBzy3cBZo1qQ==" spinCount="100000" sqref="GF172:GF173" name="Rango2_31_28_74"/>
    <protectedRange algorithmName="SHA-512" hashValue="YXHanhqXL0e4jPrzkCF8r/22WmlCviFUW909WKuG1JOcU0mp0/Huh0aP3EaGYxV2ep0WGu48HsShAy4Ka2uOiw==" saltValue="h/7U5iwJm7DLR4tRVfwZYw==" spinCount="100000" sqref="GI172:GI173 GC172:GC173" name="Rango2_33_82"/>
    <protectedRange algorithmName="SHA-512" hashValue="pL4tgTKqwEsWSIEGFTBd+4pvEhE7d5Q99Eijs+L/Y1rhA0saQGGRJw5Pv2HLOP0quglztFwB6WVnQ1YGxd4AiQ==" saltValue="IF5mhk2RcoEjrcYppes1VA==" spinCount="100000" sqref="FT172:FT173" name="Rango2_30_76"/>
    <protectedRange algorithmName="SHA-512" hashValue="Rgskw+AQdeJ5qbJdarzTa3SCkJfDGziy0Uan5N0F3IWn/H3Z/e+VcB56R7Nes7MPxNHewNP1sSSucVjz3iTLeA==" saltValue="qKZH3DnwaZHBzy3cBZo1qQ==" spinCount="100000" sqref="GF174:GF176" name="Rango2_31_28_75"/>
    <protectedRange algorithmName="SHA-512" hashValue="YXHanhqXL0e4jPrzkCF8r/22WmlCviFUW909WKuG1JOcU0mp0/Huh0aP3EaGYxV2ep0WGu48HsShAy4Ka2uOiw==" saltValue="h/7U5iwJm7DLR4tRVfwZYw==" spinCount="100000" sqref="GI174:GI176 GC175:GC176" name="Rango2_33_83"/>
    <protectedRange algorithmName="SHA-512" hashValue="pL4tgTKqwEsWSIEGFTBd+4pvEhE7d5Q99Eijs+L/Y1rhA0saQGGRJw5Pv2HLOP0quglztFwB6WVnQ1YGxd4AiQ==" saltValue="IF5mhk2RcoEjrcYppes1VA==" spinCount="100000" sqref="FT174:FT176" name="Rango2_30_77"/>
    <protectedRange algorithmName="SHA-512" hashValue="Rgskw+AQdeJ5qbJdarzTa3SCkJfDGziy0Uan5N0F3IWn/H3Z/e+VcB56R7Nes7MPxNHewNP1sSSucVjz3iTLeA==" saltValue="qKZH3DnwaZHBzy3cBZo1qQ==" spinCount="100000" sqref="GF177" name="Rango2_31_28_76"/>
    <protectedRange algorithmName="SHA-512" hashValue="YXHanhqXL0e4jPrzkCF8r/22WmlCviFUW909WKuG1JOcU0mp0/Huh0aP3EaGYxV2ep0WGu48HsShAy4Ka2uOiw==" saltValue="h/7U5iwJm7DLR4tRVfwZYw==" spinCount="100000" sqref="GI177 GC177" name="Rango2_33_84"/>
    <protectedRange algorithmName="SHA-512" hashValue="pL4tgTKqwEsWSIEGFTBd+4pvEhE7d5Q99Eijs+L/Y1rhA0saQGGRJw5Pv2HLOP0quglztFwB6WVnQ1YGxd4AiQ==" saltValue="IF5mhk2RcoEjrcYppes1VA==" spinCount="100000" sqref="FT177" name="Rango2_30_78"/>
    <protectedRange algorithmName="SHA-512" hashValue="Rgskw+AQdeJ5qbJdarzTa3SCkJfDGziy0Uan5N0F3IWn/H3Z/e+VcB56R7Nes7MPxNHewNP1sSSucVjz3iTLeA==" saltValue="qKZH3DnwaZHBzy3cBZo1qQ==" spinCount="100000" sqref="GF178:GF179" name="Rango2_31_28_77"/>
    <protectedRange algorithmName="SHA-512" hashValue="YXHanhqXL0e4jPrzkCF8r/22WmlCviFUW909WKuG1JOcU0mp0/Huh0aP3EaGYxV2ep0WGu48HsShAy4Ka2uOiw==" saltValue="h/7U5iwJm7DLR4tRVfwZYw==" spinCount="100000" sqref="GI178:GI179 GC178" name="Rango2_33_85"/>
    <protectedRange algorithmName="SHA-512" hashValue="pL4tgTKqwEsWSIEGFTBd+4pvEhE7d5Q99Eijs+L/Y1rhA0saQGGRJw5Pv2HLOP0quglztFwB6WVnQ1YGxd4AiQ==" saltValue="IF5mhk2RcoEjrcYppes1VA==" spinCount="100000" sqref="FT178:FT179" name="Rango2_30_79"/>
    <protectedRange algorithmName="SHA-512" hashValue="Rgskw+AQdeJ5qbJdarzTa3SCkJfDGziy0Uan5N0F3IWn/H3Z/e+VcB56R7Nes7MPxNHewNP1sSSucVjz3iTLeA==" saltValue="qKZH3DnwaZHBzy3cBZo1qQ==" spinCount="100000" sqref="GF180" name="Rango2_31_28_78"/>
    <protectedRange algorithmName="SHA-512" hashValue="YXHanhqXL0e4jPrzkCF8r/22WmlCviFUW909WKuG1JOcU0mp0/Huh0aP3EaGYxV2ep0WGu48HsShAy4Ka2uOiw==" saltValue="h/7U5iwJm7DLR4tRVfwZYw==" spinCount="100000" sqref="GI180 GC180" name="Rango2_33_86"/>
    <protectedRange algorithmName="SHA-512" hashValue="pL4tgTKqwEsWSIEGFTBd+4pvEhE7d5Q99Eijs+L/Y1rhA0saQGGRJw5Pv2HLOP0quglztFwB6WVnQ1YGxd4AiQ==" saltValue="IF5mhk2RcoEjrcYppes1VA==" spinCount="100000" sqref="FT180" name="Rango2_30_80"/>
    <protectedRange algorithmName="SHA-512" hashValue="Rgskw+AQdeJ5qbJdarzTa3SCkJfDGziy0Uan5N0F3IWn/H3Z/e+VcB56R7Nes7MPxNHewNP1sSSucVjz3iTLeA==" saltValue="qKZH3DnwaZHBzy3cBZo1qQ==" spinCount="100000" sqref="GF181" name="Rango2_31_28_79"/>
    <protectedRange algorithmName="SHA-512" hashValue="YXHanhqXL0e4jPrzkCF8r/22WmlCviFUW909WKuG1JOcU0mp0/Huh0aP3EaGYxV2ep0WGu48HsShAy4Ka2uOiw==" saltValue="h/7U5iwJm7DLR4tRVfwZYw==" spinCount="100000" sqref="GI181 GC181" name="Rango2_33_87"/>
    <protectedRange algorithmName="SHA-512" hashValue="pL4tgTKqwEsWSIEGFTBd+4pvEhE7d5Q99Eijs+L/Y1rhA0saQGGRJw5Pv2HLOP0quglztFwB6WVnQ1YGxd4AiQ==" saltValue="IF5mhk2RcoEjrcYppes1VA==" spinCount="100000" sqref="FT181" name="Rango2_30_81"/>
    <protectedRange algorithmName="SHA-512" hashValue="Rgskw+AQdeJ5qbJdarzTa3SCkJfDGziy0Uan5N0F3IWn/H3Z/e+VcB56R7Nes7MPxNHewNP1sSSucVjz3iTLeA==" saltValue="qKZH3DnwaZHBzy3cBZo1qQ==" spinCount="100000" sqref="GF182" name="Rango2_31_28_80"/>
    <protectedRange algorithmName="SHA-512" hashValue="YXHanhqXL0e4jPrzkCF8r/22WmlCviFUW909WKuG1JOcU0mp0/Huh0aP3EaGYxV2ep0WGu48HsShAy4Ka2uOiw==" saltValue="h/7U5iwJm7DLR4tRVfwZYw==" spinCount="100000" sqref="GI182 GC182" name="Rango2_33_88"/>
    <protectedRange algorithmName="SHA-512" hashValue="pL4tgTKqwEsWSIEGFTBd+4pvEhE7d5Q99Eijs+L/Y1rhA0saQGGRJw5Pv2HLOP0quglztFwB6WVnQ1YGxd4AiQ==" saltValue="IF5mhk2RcoEjrcYppes1VA==" spinCount="100000" sqref="FT182" name="Rango2_30_82"/>
    <protectedRange algorithmName="SHA-512" hashValue="Rgskw+AQdeJ5qbJdarzTa3SCkJfDGziy0Uan5N0F3IWn/H3Z/e+VcB56R7Nes7MPxNHewNP1sSSucVjz3iTLeA==" saltValue="qKZH3DnwaZHBzy3cBZo1qQ==" spinCount="100000" sqref="GF183" name="Rango2_31_28_81"/>
    <protectedRange algorithmName="SHA-512" hashValue="YXHanhqXL0e4jPrzkCF8r/22WmlCviFUW909WKuG1JOcU0mp0/Huh0aP3EaGYxV2ep0WGu48HsShAy4Ka2uOiw==" saltValue="h/7U5iwJm7DLR4tRVfwZYw==" spinCount="100000" sqref="GI183 GC183" name="Rango2_33_89"/>
    <protectedRange algorithmName="SHA-512" hashValue="pL4tgTKqwEsWSIEGFTBd+4pvEhE7d5Q99Eijs+L/Y1rhA0saQGGRJw5Pv2HLOP0quglztFwB6WVnQ1YGxd4AiQ==" saltValue="IF5mhk2RcoEjrcYppes1VA==" spinCount="100000" sqref="FT183" name="Rango2_30_83"/>
    <protectedRange algorithmName="SHA-512" hashValue="Rgskw+AQdeJ5qbJdarzTa3SCkJfDGziy0Uan5N0F3IWn/H3Z/e+VcB56R7Nes7MPxNHewNP1sSSucVjz3iTLeA==" saltValue="qKZH3DnwaZHBzy3cBZo1qQ==" spinCount="100000" sqref="GF184" name="Rango2_31_28_82"/>
    <protectedRange algorithmName="SHA-512" hashValue="YXHanhqXL0e4jPrzkCF8r/22WmlCviFUW909WKuG1JOcU0mp0/Huh0aP3EaGYxV2ep0WGu48HsShAy4Ka2uOiw==" saltValue="h/7U5iwJm7DLR4tRVfwZYw==" spinCount="100000" sqref="GI184 GC184" name="Rango2_33_90"/>
    <protectedRange algorithmName="SHA-512" hashValue="pL4tgTKqwEsWSIEGFTBd+4pvEhE7d5Q99Eijs+L/Y1rhA0saQGGRJw5Pv2HLOP0quglztFwB6WVnQ1YGxd4AiQ==" saltValue="IF5mhk2RcoEjrcYppes1VA==" spinCount="100000" sqref="FT184" name="Rango2_30_84"/>
    <protectedRange algorithmName="SHA-512" hashValue="Rgskw+AQdeJ5qbJdarzTa3SCkJfDGziy0Uan5N0F3IWn/H3Z/e+VcB56R7Nes7MPxNHewNP1sSSucVjz3iTLeA==" saltValue="qKZH3DnwaZHBzy3cBZo1qQ==" spinCount="100000" sqref="GF185:GF188" name="Rango2_31_28_83"/>
    <protectedRange algorithmName="SHA-512" hashValue="YXHanhqXL0e4jPrzkCF8r/22WmlCviFUW909WKuG1JOcU0mp0/Huh0aP3EaGYxV2ep0WGu48HsShAy4Ka2uOiw==" saltValue="h/7U5iwJm7DLR4tRVfwZYw==" spinCount="100000" sqref="GI185:GI188 GC185:GC188" name="Rango2_33_91"/>
    <protectedRange algorithmName="SHA-512" hashValue="pL4tgTKqwEsWSIEGFTBd+4pvEhE7d5Q99Eijs+L/Y1rhA0saQGGRJw5Pv2HLOP0quglztFwB6WVnQ1YGxd4AiQ==" saltValue="IF5mhk2RcoEjrcYppes1VA==" spinCount="100000" sqref="FT185:FT188" name="Rango2_30_85"/>
    <protectedRange algorithmName="SHA-512" hashValue="9+DNppQbWrLYYUMoJ+lyQctV2bX3Vq9kZnegLbpjTLP49It2ovUbcartuoQTeXgP+TGpY//7mDH/UQlFCKDGiA==" saltValue="KUnni6YEm00anzSSvyLqQA==" spinCount="100000" sqref="JC143" name="Rango2_21_2"/>
    <protectedRange algorithmName="SHA-512" hashValue="Gqwr8n5jYbCESAqCFk8dpOzViQICBV+k0xoqBoQaZ5lHaRlvT9TZDB4yXtm+qC6OhD064ZDBOFWkwo+LHXu1sg==" saltValue="gEL9PCN2ekF2IxW9yqAGYA==" spinCount="100000" sqref="IS143:IS144" name="Rango2_40_2_54"/>
    <protectedRange algorithmName="SHA-512" hashValue="D8TacORwT7iz0mF9GEucchnMHfB5er2FFjQsxyeWWyeJkM6Bt3gYQ3LbcHPxZXFpVAYtFOuTrzYOCJrlZDx16g==" saltValue="QtCzIBktdS4NZkOEGcLTRQ==" spinCount="100000" sqref="IW143:IW144" name="Rango2_41_54"/>
    <protectedRange algorithmName="SHA-512" hashValue="Gqwr8n5jYbCESAqCFk8dpOzViQICBV+k0xoqBoQaZ5lHaRlvT9TZDB4yXtm+qC6OhD064ZDBOFWkwo+LHXu1sg==" saltValue="gEL9PCN2ekF2IxW9yqAGYA==" spinCount="100000" sqref="IS145" name="Rango2_40_2_55"/>
    <protectedRange algorithmName="SHA-512" hashValue="D8TacORwT7iz0mF9GEucchnMHfB5er2FFjQsxyeWWyeJkM6Bt3gYQ3LbcHPxZXFpVAYtFOuTrzYOCJrlZDx16g==" saltValue="QtCzIBktdS4NZkOEGcLTRQ==" spinCount="100000" sqref="IW145" name="Rango2_41_55"/>
    <protectedRange algorithmName="SHA-512" hashValue="Gqwr8n5jYbCESAqCFk8dpOzViQICBV+k0xoqBoQaZ5lHaRlvT9TZDB4yXtm+qC6OhD064ZDBOFWkwo+LHXu1sg==" saltValue="gEL9PCN2ekF2IxW9yqAGYA==" spinCount="100000" sqref="IS146" name="Rango2_40_2_56"/>
    <protectedRange algorithmName="SHA-512" hashValue="D8TacORwT7iz0mF9GEucchnMHfB5er2FFjQsxyeWWyeJkM6Bt3gYQ3LbcHPxZXFpVAYtFOuTrzYOCJrlZDx16g==" saltValue="QtCzIBktdS4NZkOEGcLTRQ==" spinCount="100000" sqref="IW146" name="Rango2_41_56"/>
    <protectedRange algorithmName="SHA-512" hashValue="Gqwr8n5jYbCESAqCFk8dpOzViQICBV+k0xoqBoQaZ5lHaRlvT9TZDB4yXtm+qC6OhD064ZDBOFWkwo+LHXu1sg==" saltValue="gEL9PCN2ekF2IxW9yqAGYA==" spinCount="100000" sqref="IS147:IS148" name="Rango2_40_2_57"/>
    <protectedRange algorithmName="SHA-512" hashValue="D8TacORwT7iz0mF9GEucchnMHfB5er2FFjQsxyeWWyeJkM6Bt3gYQ3LbcHPxZXFpVAYtFOuTrzYOCJrlZDx16g==" saltValue="QtCzIBktdS4NZkOEGcLTRQ==" spinCount="100000" sqref="IW147:IW148" name="Rango2_41_57"/>
    <protectedRange algorithmName="SHA-512" hashValue="Gqwr8n5jYbCESAqCFk8dpOzViQICBV+k0xoqBoQaZ5lHaRlvT9TZDB4yXtm+qC6OhD064ZDBOFWkwo+LHXu1sg==" saltValue="gEL9PCN2ekF2IxW9yqAGYA==" spinCount="100000" sqref="IS149:IS150" name="Rango2_40_2_58"/>
    <protectedRange algorithmName="SHA-512" hashValue="D8TacORwT7iz0mF9GEucchnMHfB5er2FFjQsxyeWWyeJkM6Bt3gYQ3LbcHPxZXFpVAYtFOuTrzYOCJrlZDx16g==" saltValue="QtCzIBktdS4NZkOEGcLTRQ==" spinCount="100000" sqref="IW149:IW150" name="Rango2_41_58"/>
    <protectedRange algorithmName="SHA-512" hashValue="Gqwr8n5jYbCESAqCFk8dpOzViQICBV+k0xoqBoQaZ5lHaRlvT9TZDB4yXtm+qC6OhD064ZDBOFWkwo+LHXu1sg==" saltValue="gEL9PCN2ekF2IxW9yqAGYA==" spinCount="100000" sqref="IS151" name="Rango2_40_2_59"/>
    <protectedRange algorithmName="SHA-512" hashValue="D8TacORwT7iz0mF9GEucchnMHfB5er2FFjQsxyeWWyeJkM6Bt3gYQ3LbcHPxZXFpVAYtFOuTrzYOCJrlZDx16g==" saltValue="QtCzIBktdS4NZkOEGcLTRQ==" spinCount="100000" sqref="IW151" name="Rango2_41_59"/>
    <protectedRange algorithmName="SHA-512" hashValue="Gqwr8n5jYbCESAqCFk8dpOzViQICBV+k0xoqBoQaZ5lHaRlvT9TZDB4yXtm+qC6OhD064ZDBOFWkwo+LHXu1sg==" saltValue="gEL9PCN2ekF2IxW9yqAGYA==" spinCount="100000" sqref="IS152" name="Rango2_40_2_60"/>
    <protectedRange algorithmName="SHA-512" hashValue="D8TacORwT7iz0mF9GEucchnMHfB5er2FFjQsxyeWWyeJkM6Bt3gYQ3LbcHPxZXFpVAYtFOuTrzYOCJrlZDx16g==" saltValue="QtCzIBktdS4NZkOEGcLTRQ==" spinCount="100000" sqref="IW152" name="Rango2_41_60"/>
    <protectedRange algorithmName="SHA-512" hashValue="Gqwr8n5jYbCESAqCFk8dpOzViQICBV+k0xoqBoQaZ5lHaRlvT9TZDB4yXtm+qC6OhD064ZDBOFWkwo+LHXu1sg==" saltValue="gEL9PCN2ekF2IxW9yqAGYA==" spinCount="100000" sqref="IS153" name="Rango2_40_2_61"/>
    <protectedRange algorithmName="SHA-512" hashValue="D8TacORwT7iz0mF9GEucchnMHfB5er2FFjQsxyeWWyeJkM6Bt3gYQ3LbcHPxZXFpVAYtFOuTrzYOCJrlZDx16g==" saltValue="QtCzIBktdS4NZkOEGcLTRQ==" spinCount="100000" sqref="IW153" name="Rango2_41_61"/>
    <protectedRange algorithmName="SHA-512" hashValue="Gqwr8n5jYbCESAqCFk8dpOzViQICBV+k0xoqBoQaZ5lHaRlvT9TZDB4yXtm+qC6OhD064ZDBOFWkwo+LHXu1sg==" saltValue="gEL9PCN2ekF2IxW9yqAGYA==" spinCount="100000" sqref="IS154" name="Rango2_40_2_62"/>
    <protectedRange algorithmName="SHA-512" hashValue="D8TacORwT7iz0mF9GEucchnMHfB5er2FFjQsxyeWWyeJkM6Bt3gYQ3LbcHPxZXFpVAYtFOuTrzYOCJrlZDx16g==" saltValue="QtCzIBktdS4NZkOEGcLTRQ==" spinCount="100000" sqref="IW154" name="Rango2_41_62"/>
    <protectedRange algorithmName="SHA-512" hashValue="Gqwr8n5jYbCESAqCFk8dpOzViQICBV+k0xoqBoQaZ5lHaRlvT9TZDB4yXtm+qC6OhD064ZDBOFWkwo+LHXu1sg==" saltValue="gEL9PCN2ekF2IxW9yqAGYA==" spinCount="100000" sqref="IS155" name="Rango2_40_2_63"/>
    <protectedRange algorithmName="SHA-512" hashValue="D8TacORwT7iz0mF9GEucchnMHfB5er2FFjQsxyeWWyeJkM6Bt3gYQ3LbcHPxZXFpVAYtFOuTrzYOCJrlZDx16g==" saltValue="QtCzIBktdS4NZkOEGcLTRQ==" spinCount="100000" sqref="IW155" name="Rango2_41_63"/>
    <protectedRange algorithmName="SHA-512" hashValue="Gqwr8n5jYbCESAqCFk8dpOzViQICBV+k0xoqBoQaZ5lHaRlvT9TZDB4yXtm+qC6OhD064ZDBOFWkwo+LHXu1sg==" saltValue="gEL9PCN2ekF2IxW9yqAGYA==" spinCount="100000" sqref="IS156:IS157" name="Rango2_40_2_64"/>
    <protectedRange algorithmName="SHA-512" hashValue="D8TacORwT7iz0mF9GEucchnMHfB5er2FFjQsxyeWWyeJkM6Bt3gYQ3LbcHPxZXFpVAYtFOuTrzYOCJrlZDx16g==" saltValue="QtCzIBktdS4NZkOEGcLTRQ==" spinCount="100000" sqref="IW156:IW157" name="Rango2_41_64"/>
    <protectedRange algorithmName="SHA-512" hashValue="Gqwr8n5jYbCESAqCFk8dpOzViQICBV+k0xoqBoQaZ5lHaRlvT9TZDB4yXtm+qC6OhD064ZDBOFWkwo+LHXu1sg==" saltValue="gEL9PCN2ekF2IxW9yqAGYA==" spinCount="100000" sqref="IS158" name="Rango2_40_2_65"/>
    <protectedRange algorithmName="SHA-512" hashValue="D8TacORwT7iz0mF9GEucchnMHfB5er2FFjQsxyeWWyeJkM6Bt3gYQ3LbcHPxZXFpVAYtFOuTrzYOCJrlZDx16g==" saltValue="QtCzIBktdS4NZkOEGcLTRQ==" spinCount="100000" sqref="IW158" name="Rango2_41_65"/>
    <protectedRange algorithmName="SHA-512" hashValue="Gqwr8n5jYbCESAqCFk8dpOzViQICBV+k0xoqBoQaZ5lHaRlvT9TZDB4yXtm+qC6OhD064ZDBOFWkwo+LHXu1sg==" saltValue="gEL9PCN2ekF2IxW9yqAGYA==" spinCount="100000" sqref="IS159:IS162" name="Rango2_40_2_66"/>
    <protectedRange algorithmName="SHA-512" hashValue="D8TacORwT7iz0mF9GEucchnMHfB5er2FFjQsxyeWWyeJkM6Bt3gYQ3LbcHPxZXFpVAYtFOuTrzYOCJrlZDx16g==" saltValue="QtCzIBktdS4NZkOEGcLTRQ==" spinCount="100000" sqref="IW159:IW162" name="Rango2_41_66"/>
    <protectedRange algorithmName="SHA-512" hashValue="Gqwr8n5jYbCESAqCFk8dpOzViQICBV+k0xoqBoQaZ5lHaRlvT9TZDB4yXtm+qC6OhD064ZDBOFWkwo+LHXu1sg==" saltValue="gEL9PCN2ekF2IxW9yqAGYA==" spinCount="100000" sqref="IS163" name="Rango2_40_2_67"/>
    <protectedRange algorithmName="SHA-512" hashValue="D8TacORwT7iz0mF9GEucchnMHfB5er2FFjQsxyeWWyeJkM6Bt3gYQ3LbcHPxZXFpVAYtFOuTrzYOCJrlZDx16g==" saltValue="QtCzIBktdS4NZkOEGcLTRQ==" spinCount="100000" sqref="IW163" name="Rango2_41_67"/>
    <protectedRange algorithmName="SHA-512" hashValue="Gqwr8n5jYbCESAqCFk8dpOzViQICBV+k0xoqBoQaZ5lHaRlvT9TZDB4yXtm+qC6OhD064ZDBOFWkwo+LHXu1sg==" saltValue="gEL9PCN2ekF2IxW9yqAGYA==" spinCount="100000" sqref="IS164" name="Rango2_40_2_68"/>
    <protectedRange algorithmName="SHA-512" hashValue="D8TacORwT7iz0mF9GEucchnMHfB5er2FFjQsxyeWWyeJkM6Bt3gYQ3LbcHPxZXFpVAYtFOuTrzYOCJrlZDx16g==" saltValue="QtCzIBktdS4NZkOEGcLTRQ==" spinCount="100000" sqref="IW164" name="Rango2_41_68"/>
    <protectedRange algorithmName="SHA-512" hashValue="Gqwr8n5jYbCESAqCFk8dpOzViQICBV+k0xoqBoQaZ5lHaRlvT9TZDB4yXtm+qC6OhD064ZDBOFWkwo+LHXu1sg==" saltValue="gEL9PCN2ekF2IxW9yqAGYA==" spinCount="100000" sqref="IS165:IS166" name="Rango2_40_2_69"/>
    <protectedRange algorithmName="SHA-512" hashValue="D8TacORwT7iz0mF9GEucchnMHfB5er2FFjQsxyeWWyeJkM6Bt3gYQ3LbcHPxZXFpVAYtFOuTrzYOCJrlZDx16g==" saltValue="QtCzIBktdS4NZkOEGcLTRQ==" spinCount="100000" sqref="IW165:IW166" name="Rango2_41_69"/>
    <protectedRange algorithmName="SHA-512" hashValue="Gqwr8n5jYbCESAqCFk8dpOzViQICBV+k0xoqBoQaZ5lHaRlvT9TZDB4yXtm+qC6OhD064ZDBOFWkwo+LHXu1sg==" saltValue="gEL9PCN2ekF2IxW9yqAGYA==" spinCount="100000" sqref="IS167" name="Rango2_40_2_70"/>
    <protectedRange algorithmName="SHA-512" hashValue="D8TacORwT7iz0mF9GEucchnMHfB5er2FFjQsxyeWWyeJkM6Bt3gYQ3LbcHPxZXFpVAYtFOuTrzYOCJrlZDx16g==" saltValue="QtCzIBktdS4NZkOEGcLTRQ==" spinCount="100000" sqref="IW167" name="Rango2_41_70"/>
    <protectedRange algorithmName="SHA-512" hashValue="Gqwr8n5jYbCESAqCFk8dpOzViQICBV+k0xoqBoQaZ5lHaRlvT9TZDB4yXtm+qC6OhD064ZDBOFWkwo+LHXu1sg==" saltValue="gEL9PCN2ekF2IxW9yqAGYA==" spinCount="100000" sqref="IS168" name="Rango2_40_2_71"/>
    <protectedRange algorithmName="SHA-512" hashValue="D8TacORwT7iz0mF9GEucchnMHfB5er2FFjQsxyeWWyeJkM6Bt3gYQ3LbcHPxZXFpVAYtFOuTrzYOCJrlZDx16g==" saltValue="QtCzIBktdS4NZkOEGcLTRQ==" spinCount="100000" sqref="IW168" name="Rango2_41_71"/>
    <protectedRange algorithmName="SHA-512" hashValue="Gqwr8n5jYbCESAqCFk8dpOzViQICBV+k0xoqBoQaZ5lHaRlvT9TZDB4yXtm+qC6OhD064ZDBOFWkwo+LHXu1sg==" saltValue="gEL9PCN2ekF2IxW9yqAGYA==" spinCount="100000" sqref="IS169" name="Rango2_40_2_72"/>
    <protectedRange algorithmName="SHA-512" hashValue="D8TacORwT7iz0mF9GEucchnMHfB5er2FFjQsxyeWWyeJkM6Bt3gYQ3LbcHPxZXFpVAYtFOuTrzYOCJrlZDx16g==" saltValue="QtCzIBktdS4NZkOEGcLTRQ==" spinCount="100000" sqref="IW169" name="Rango2_41_72"/>
    <protectedRange algorithmName="SHA-512" hashValue="Gqwr8n5jYbCESAqCFk8dpOzViQICBV+k0xoqBoQaZ5lHaRlvT9TZDB4yXtm+qC6OhD064ZDBOFWkwo+LHXu1sg==" saltValue="gEL9PCN2ekF2IxW9yqAGYA==" spinCount="100000" sqref="IS170" name="Rango2_40_2_73"/>
    <protectedRange algorithmName="SHA-512" hashValue="D8TacORwT7iz0mF9GEucchnMHfB5er2FFjQsxyeWWyeJkM6Bt3gYQ3LbcHPxZXFpVAYtFOuTrzYOCJrlZDx16g==" saltValue="QtCzIBktdS4NZkOEGcLTRQ==" spinCount="100000" sqref="IW170" name="Rango2_41_73"/>
    <protectedRange algorithmName="SHA-512" hashValue="Gqwr8n5jYbCESAqCFk8dpOzViQICBV+k0xoqBoQaZ5lHaRlvT9TZDB4yXtm+qC6OhD064ZDBOFWkwo+LHXu1sg==" saltValue="gEL9PCN2ekF2IxW9yqAGYA==" spinCount="100000" sqref="IS171" name="Rango2_40_2_74"/>
    <protectedRange algorithmName="SHA-512" hashValue="D8TacORwT7iz0mF9GEucchnMHfB5er2FFjQsxyeWWyeJkM6Bt3gYQ3LbcHPxZXFpVAYtFOuTrzYOCJrlZDx16g==" saltValue="QtCzIBktdS4NZkOEGcLTRQ==" spinCount="100000" sqref="IW171" name="Rango2_41_74"/>
    <protectedRange algorithmName="SHA-512" hashValue="Gqwr8n5jYbCESAqCFk8dpOzViQICBV+k0xoqBoQaZ5lHaRlvT9TZDB4yXtm+qC6OhD064ZDBOFWkwo+LHXu1sg==" saltValue="gEL9PCN2ekF2IxW9yqAGYA==" spinCount="100000" sqref="IS172:IS173" name="Rango2_40_2_75"/>
    <protectedRange algorithmName="SHA-512" hashValue="D8TacORwT7iz0mF9GEucchnMHfB5er2FFjQsxyeWWyeJkM6Bt3gYQ3LbcHPxZXFpVAYtFOuTrzYOCJrlZDx16g==" saltValue="QtCzIBktdS4NZkOEGcLTRQ==" spinCount="100000" sqref="IW172:IW173" name="Rango2_41_75"/>
    <protectedRange algorithmName="SHA-512" hashValue="Gqwr8n5jYbCESAqCFk8dpOzViQICBV+k0xoqBoQaZ5lHaRlvT9TZDB4yXtm+qC6OhD064ZDBOFWkwo+LHXu1sg==" saltValue="gEL9PCN2ekF2IxW9yqAGYA==" spinCount="100000" sqref="IS174:IS176" name="Rango2_40_2_76"/>
    <protectedRange algorithmName="SHA-512" hashValue="D8TacORwT7iz0mF9GEucchnMHfB5er2FFjQsxyeWWyeJkM6Bt3gYQ3LbcHPxZXFpVAYtFOuTrzYOCJrlZDx16g==" saltValue="QtCzIBktdS4NZkOEGcLTRQ==" spinCount="100000" sqref="IW174:IW176" name="Rango2_41_76"/>
    <protectedRange algorithmName="SHA-512" hashValue="Gqwr8n5jYbCESAqCFk8dpOzViQICBV+k0xoqBoQaZ5lHaRlvT9TZDB4yXtm+qC6OhD064ZDBOFWkwo+LHXu1sg==" saltValue="gEL9PCN2ekF2IxW9yqAGYA==" spinCount="100000" sqref="IS177" name="Rango2_40_2_77"/>
    <protectedRange algorithmName="SHA-512" hashValue="D8TacORwT7iz0mF9GEucchnMHfB5er2FFjQsxyeWWyeJkM6Bt3gYQ3LbcHPxZXFpVAYtFOuTrzYOCJrlZDx16g==" saltValue="QtCzIBktdS4NZkOEGcLTRQ==" spinCount="100000" sqref="IW177" name="Rango2_41_77"/>
    <protectedRange algorithmName="SHA-512" hashValue="Gqwr8n5jYbCESAqCFk8dpOzViQICBV+k0xoqBoQaZ5lHaRlvT9TZDB4yXtm+qC6OhD064ZDBOFWkwo+LHXu1sg==" saltValue="gEL9PCN2ekF2IxW9yqAGYA==" spinCount="100000" sqref="IS178:IS179" name="Rango2_40_2_78"/>
    <protectedRange algorithmName="SHA-512" hashValue="D8TacORwT7iz0mF9GEucchnMHfB5er2FFjQsxyeWWyeJkM6Bt3gYQ3LbcHPxZXFpVAYtFOuTrzYOCJrlZDx16g==" saltValue="QtCzIBktdS4NZkOEGcLTRQ==" spinCount="100000" sqref="IW178:IW179" name="Rango2_41_78"/>
    <protectedRange algorithmName="SHA-512" hashValue="Gqwr8n5jYbCESAqCFk8dpOzViQICBV+k0xoqBoQaZ5lHaRlvT9TZDB4yXtm+qC6OhD064ZDBOFWkwo+LHXu1sg==" saltValue="gEL9PCN2ekF2IxW9yqAGYA==" spinCount="100000" sqref="IS180" name="Rango2_40_2_79"/>
    <protectedRange algorithmName="SHA-512" hashValue="D8TacORwT7iz0mF9GEucchnMHfB5er2FFjQsxyeWWyeJkM6Bt3gYQ3LbcHPxZXFpVAYtFOuTrzYOCJrlZDx16g==" saltValue="QtCzIBktdS4NZkOEGcLTRQ==" spinCount="100000" sqref="IW180" name="Rango2_41_79"/>
    <protectedRange algorithmName="SHA-512" hashValue="Gqwr8n5jYbCESAqCFk8dpOzViQICBV+k0xoqBoQaZ5lHaRlvT9TZDB4yXtm+qC6OhD064ZDBOFWkwo+LHXu1sg==" saltValue="gEL9PCN2ekF2IxW9yqAGYA==" spinCount="100000" sqref="IS181" name="Rango2_40_2_80"/>
    <protectedRange algorithmName="SHA-512" hashValue="D8TacORwT7iz0mF9GEucchnMHfB5er2FFjQsxyeWWyeJkM6Bt3gYQ3LbcHPxZXFpVAYtFOuTrzYOCJrlZDx16g==" saltValue="QtCzIBktdS4NZkOEGcLTRQ==" spinCount="100000" sqref="IW181" name="Rango2_41_80"/>
    <protectedRange algorithmName="SHA-512" hashValue="Gqwr8n5jYbCESAqCFk8dpOzViQICBV+k0xoqBoQaZ5lHaRlvT9TZDB4yXtm+qC6OhD064ZDBOFWkwo+LHXu1sg==" saltValue="gEL9PCN2ekF2IxW9yqAGYA==" spinCount="100000" sqref="IS182" name="Rango2_40_2_81"/>
    <protectedRange algorithmName="SHA-512" hashValue="D8TacORwT7iz0mF9GEucchnMHfB5er2FFjQsxyeWWyeJkM6Bt3gYQ3LbcHPxZXFpVAYtFOuTrzYOCJrlZDx16g==" saltValue="QtCzIBktdS4NZkOEGcLTRQ==" spinCount="100000" sqref="IW182" name="Rango2_41_81"/>
    <protectedRange algorithmName="SHA-512" hashValue="Gqwr8n5jYbCESAqCFk8dpOzViQICBV+k0xoqBoQaZ5lHaRlvT9TZDB4yXtm+qC6OhD064ZDBOFWkwo+LHXu1sg==" saltValue="gEL9PCN2ekF2IxW9yqAGYA==" spinCount="100000" sqref="IS183" name="Rango2_40_2_82"/>
    <protectedRange algorithmName="SHA-512" hashValue="D8TacORwT7iz0mF9GEucchnMHfB5er2FFjQsxyeWWyeJkM6Bt3gYQ3LbcHPxZXFpVAYtFOuTrzYOCJrlZDx16g==" saltValue="QtCzIBktdS4NZkOEGcLTRQ==" spinCount="100000" sqref="IW183" name="Rango2_41_82"/>
    <protectedRange algorithmName="SHA-512" hashValue="Gqwr8n5jYbCESAqCFk8dpOzViQICBV+k0xoqBoQaZ5lHaRlvT9TZDB4yXtm+qC6OhD064ZDBOFWkwo+LHXu1sg==" saltValue="gEL9PCN2ekF2IxW9yqAGYA==" spinCount="100000" sqref="IS184" name="Rango2_40_2_83"/>
    <protectedRange algorithmName="SHA-512" hashValue="D8TacORwT7iz0mF9GEucchnMHfB5er2FFjQsxyeWWyeJkM6Bt3gYQ3LbcHPxZXFpVAYtFOuTrzYOCJrlZDx16g==" saltValue="QtCzIBktdS4NZkOEGcLTRQ==" spinCount="100000" sqref="IW184" name="Rango2_41_83"/>
    <protectedRange algorithmName="SHA-512" hashValue="Gqwr8n5jYbCESAqCFk8dpOzViQICBV+k0xoqBoQaZ5lHaRlvT9TZDB4yXtm+qC6OhD064ZDBOFWkwo+LHXu1sg==" saltValue="gEL9PCN2ekF2IxW9yqAGYA==" spinCount="100000" sqref="IS185:IS188" name="Rango2_40_2_84"/>
    <protectedRange algorithmName="SHA-512" hashValue="D8TacORwT7iz0mF9GEucchnMHfB5er2FFjQsxyeWWyeJkM6Bt3gYQ3LbcHPxZXFpVAYtFOuTrzYOCJrlZDx16g==" saltValue="QtCzIBktdS4NZkOEGcLTRQ==" spinCount="100000" sqref="IW185:IW188" name="Rango2_41_84"/>
    <protectedRange algorithmName="SHA-512" hashValue="6a5oYwZw9WJcgjqXpleUXH8uaqNEuymPPpeOb7lKBc1WoM6IG/DNyDLWmj2lYwxnZO2yhl+B61kwrxD9m9AdhQ==" saltValue="tdNQPzLQd+n9Ww064QJIaQ==" spinCount="100000" sqref="I189" name="Rango2_61_60"/>
    <protectedRange algorithmName="SHA-512" hashValue="XM8+0Jh5zLWw02PI0Lt8dLqjTcW5ulySion19FAnruDN6QRp4UwcVqdfQxnOQAItgpWG7rNsELzjwy0iXOonxw==" saltValue="Sd4WFUedDfLKoMQTDrxJuQ==" spinCount="100000" sqref="K189" name="Rango2_88_4_4_60"/>
    <protectedRange algorithmName="SHA-512" hashValue="EMMPgE8t/az1rHHzaZAQIhz+GQV0k2O/tQGA96sJqEEMzz1efIRa4CcLzC7iY9CCscto3g7dwz41haOE28iXYg==" saltValue="CVzFsG4X4LXUMo7796PiDQ==" spinCount="100000" sqref="L189:M189 J189 B189:H189 C190:C229" name="Rango2_10_60"/>
    <protectedRange algorithmName="SHA-512" hashValue="6a5oYwZw9WJcgjqXpleUXH8uaqNEuymPPpeOb7lKBc1WoM6IG/DNyDLWmj2lYwxnZO2yhl+B61kwrxD9m9AdhQ==" saltValue="tdNQPzLQd+n9Ww064QJIaQ==" spinCount="100000" sqref="I190" name="Rango2_61_61"/>
    <protectedRange algorithmName="SHA-512" hashValue="XM8+0Jh5zLWw02PI0Lt8dLqjTcW5ulySion19FAnruDN6QRp4UwcVqdfQxnOQAItgpWG7rNsELzjwy0iXOonxw==" saltValue="Sd4WFUedDfLKoMQTDrxJuQ==" spinCount="100000" sqref="K190" name="Rango2_88_4_4_61"/>
    <protectedRange algorithmName="SHA-512" hashValue="EMMPgE8t/az1rHHzaZAQIhz+GQV0k2O/tQGA96sJqEEMzz1efIRa4CcLzC7iY9CCscto3g7dwz41haOE28iXYg==" saltValue="CVzFsG4X4LXUMo7796PiDQ==" spinCount="100000" sqref="L190:M190 J190 B190 D190:H190" name="Rango2_10_61"/>
    <protectedRange algorithmName="SHA-512" hashValue="6a5oYwZw9WJcgjqXpleUXH8uaqNEuymPPpeOb7lKBc1WoM6IG/DNyDLWmj2lYwxnZO2yhl+B61kwrxD9m9AdhQ==" saltValue="tdNQPzLQd+n9Ww064QJIaQ==" spinCount="100000" sqref="I191" name="Rango2_61_62"/>
    <protectedRange algorithmName="SHA-512" hashValue="XM8+0Jh5zLWw02PI0Lt8dLqjTcW5ulySion19FAnruDN6QRp4UwcVqdfQxnOQAItgpWG7rNsELzjwy0iXOonxw==" saltValue="Sd4WFUedDfLKoMQTDrxJuQ==" spinCount="100000" sqref="K191" name="Rango2_88_4_4_62"/>
    <protectedRange algorithmName="SHA-512" hashValue="EMMPgE8t/az1rHHzaZAQIhz+GQV0k2O/tQGA96sJqEEMzz1efIRa4CcLzC7iY9CCscto3g7dwz41haOE28iXYg==" saltValue="CVzFsG4X4LXUMo7796PiDQ==" spinCount="100000" sqref="L191:M191 J191 B191 D191:H191" name="Rango2_10_62"/>
    <protectedRange algorithmName="SHA-512" hashValue="6a5oYwZw9WJcgjqXpleUXH8uaqNEuymPPpeOb7lKBc1WoM6IG/DNyDLWmj2lYwxnZO2yhl+B61kwrxD9m9AdhQ==" saltValue="tdNQPzLQd+n9Ww064QJIaQ==" spinCount="100000" sqref="I192" name="Rango2_61_63"/>
    <protectedRange algorithmName="SHA-512" hashValue="XM8+0Jh5zLWw02PI0Lt8dLqjTcW5ulySion19FAnruDN6QRp4UwcVqdfQxnOQAItgpWG7rNsELzjwy0iXOonxw==" saltValue="Sd4WFUedDfLKoMQTDrxJuQ==" spinCount="100000" sqref="K192" name="Rango2_88_4_4_63"/>
    <protectedRange algorithmName="SHA-512" hashValue="EMMPgE8t/az1rHHzaZAQIhz+GQV0k2O/tQGA96sJqEEMzz1efIRa4CcLzC7iY9CCscto3g7dwz41haOE28iXYg==" saltValue="CVzFsG4X4LXUMo7796PiDQ==" spinCount="100000" sqref="L192:M192 J192 B192 D192:H192" name="Rango2_10_63"/>
    <protectedRange algorithmName="SHA-512" hashValue="6a5oYwZw9WJcgjqXpleUXH8uaqNEuymPPpeOb7lKBc1WoM6IG/DNyDLWmj2lYwxnZO2yhl+B61kwrxD9m9AdhQ==" saltValue="tdNQPzLQd+n9Ww064QJIaQ==" spinCount="100000" sqref="I193" name="Rango2_61_64"/>
    <protectedRange algorithmName="SHA-512" hashValue="XM8+0Jh5zLWw02PI0Lt8dLqjTcW5ulySion19FAnruDN6QRp4UwcVqdfQxnOQAItgpWG7rNsELzjwy0iXOonxw==" saltValue="Sd4WFUedDfLKoMQTDrxJuQ==" spinCount="100000" sqref="K193" name="Rango2_88_4_4_64"/>
    <protectedRange algorithmName="SHA-512" hashValue="EMMPgE8t/az1rHHzaZAQIhz+GQV0k2O/tQGA96sJqEEMzz1efIRa4CcLzC7iY9CCscto3g7dwz41haOE28iXYg==" saltValue="CVzFsG4X4LXUMo7796PiDQ==" spinCount="100000" sqref="L193:M193 J193 B193 D193:H193" name="Rango2_10_64"/>
    <protectedRange algorithmName="SHA-512" hashValue="6a5oYwZw9WJcgjqXpleUXH8uaqNEuymPPpeOb7lKBc1WoM6IG/DNyDLWmj2lYwxnZO2yhl+B61kwrxD9m9AdhQ==" saltValue="tdNQPzLQd+n9Ww064QJIaQ==" spinCount="100000" sqref="I194:I195" name="Rango2_61_65"/>
    <protectedRange algorithmName="SHA-512" hashValue="XM8+0Jh5zLWw02PI0Lt8dLqjTcW5ulySion19FAnruDN6QRp4UwcVqdfQxnOQAItgpWG7rNsELzjwy0iXOonxw==" saltValue="Sd4WFUedDfLKoMQTDrxJuQ==" spinCount="100000" sqref="K194:K195" name="Rango2_88_4_4_65"/>
    <protectedRange algorithmName="SHA-512" hashValue="EMMPgE8t/az1rHHzaZAQIhz+GQV0k2O/tQGA96sJqEEMzz1efIRa4CcLzC7iY9CCscto3g7dwz41haOE28iXYg==" saltValue="CVzFsG4X4LXUMo7796PiDQ==" spinCount="100000" sqref="L194:M195 J194:J195 B194:B195 D194:H195" name="Rango2_10_65"/>
    <protectedRange algorithmName="SHA-512" hashValue="6a5oYwZw9WJcgjqXpleUXH8uaqNEuymPPpeOb7lKBc1WoM6IG/DNyDLWmj2lYwxnZO2yhl+B61kwrxD9m9AdhQ==" saltValue="tdNQPzLQd+n9Ww064QJIaQ==" spinCount="100000" sqref="I196:I197" name="Rango2_61_66"/>
    <protectedRange algorithmName="SHA-512" hashValue="XM8+0Jh5zLWw02PI0Lt8dLqjTcW5ulySion19FAnruDN6QRp4UwcVqdfQxnOQAItgpWG7rNsELzjwy0iXOonxw==" saltValue="Sd4WFUedDfLKoMQTDrxJuQ==" spinCount="100000" sqref="K196:K197" name="Rango2_88_4_4_66"/>
    <protectedRange algorithmName="SHA-512" hashValue="EMMPgE8t/az1rHHzaZAQIhz+GQV0k2O/tQGA96sJqEEMzz1efIRa4CcLzC7iY9CCscto3g7dwz41haOE28iXYg==" saltValue="CVzFsG4X4LXUMo7796PiDQ==" spinCount="100000" sqref="L196:M197 J196:J197 B196:B197 D196:H197" name="Rango2_10_66"/>
    <protectedRange algorithmName="SHA-512" hashValue="6a5oYwZw9WJcgjqXpleUXH8uaqNEuymPPpeOb7lKBc1WoM6IG/DNyDLWmj2lYwxnZO2yhl+B61kwrxD9m9AdhQ==" saltValue="tdNQPzLQd+n9Ww064QJIaQ==" spinCount="100000" sqref="I198" name="Rango2_61_67"/>
    <protectedRange algorithmName="SHA-512" hashValue="XM8+0Jh5zLWw02PI0Lt8dLqjTcW5ulySion19FAnruDN6QRp4UwcVqdfQxnOQAItgpWG7rNsELzjwy0iXOonxw==" saltValue="Sd4WFUedDfLKoMQTDrxJuQ==" spinCount="100000" sqref="K198" name="Rango2_88_4_4_67"/>
    <protectedRange algorithmName="SHA-512" hashValue="EMMPgE8t/az1rHHzaZAQIhz+GQV0k2O/tQGA96sJqEEMzz1efIRa4CcLzC7iY9CCscto3g7dwz41haOE28iXYg==" saltValue="CVzFsG4X4LXUMo7796PiDQ==" spinCount="100000" sqref="L198:M198 J198 B198 D198:H198" name="Rango2_10_67"/>
    <protectedRange algorithmName="SHA-512" hashValue="6a5oYwZw9WJcgjqXpleUXH8uaqNEuymPPpeOb7lKBc1WoM6IG/DNyDLWmj2lYwxnZO2yhl+B61kwrxD9m9AdhQ==" saltValue="tdNQPzLQd+n9Ww064QJIaQ==" spinCount="100000" sqref="I199" name="Rango2_61_68"/>
    <protectedRange algorithmName="SHA-512" hashValue="XM8+0Jh5zLWw02PI0Lt8dLqjTcW5ulySion19FAnruDN6QRp4UwcVqdfQxnOQAItgpWG7rNsELzjwy0iXOonxw==" saltValue="Sd4WFUedDfLKoMQTDrxJuQ==" spinCount="100000" sqref="K199" name="Rango2_88_4_4_68"/>
    <protectedRange algorithmName="SHA-512" hashValue="EMMPgE8t/az1rHHzaZAQIhz+GQV0k2O/tQGA96sJqEEMzz1efIRa4CcLzC7iY9CCscto3g7dwz41haOE28iXYg==" saltValue="CVzFsG4X4LXUMo7796PiDQ==" spinCount="100000" sqref="L199:M199 J199 B199 D199:H199" name="Rango2_10_68"/>
    <protectedRange algorithmName="SHA-512" hashValue="6a5oYwZw9WJcgjqXpleUXH8uaqNEuymPPpeOb7lKBc1WoM6IG/DNyDLWmj2lYwxnZO2yhl+B61kwrxD9m9AdhQ==" saltValue="tdNQPzLQd+n9Ww064QJIaQ==" spinCount="100000" sqref="I200" name="Rango2_61_69"/>
    <protectedRange algorithmName="SHA-512" hashValue="XM8+0Jh5zLWw02PI0Lt8dLqjTcW5ulySion19FAnruDN6QRp4UwcVqdfQxnOQAItgpWG7rNsELzjwy0iXOonxw==" saltValue="Sd4WFUedDfLKoMQTDrxJuQ==" spinCount="100000" sqref="K200" name="Rango2_88_4_4_69"/>
    <protectedRange algorithmName="SHA-512" hashValue="EMMPgE8t/az1rHHzaZAQIhz+GQV0k2O/tQGA96sJqEEMzz1efIRa4CcLzC7iY9CCscto3g7dwz41haOE28iXYg==" saltValue="CVzFsG4X4LXUMo7796PiDQ==" spinCount="100000" sqref="L200:M200 J200 B200 D200:H200" name="Rango2_10_69"/>
    <protectedRange algorithmName="SHA-512" hashValue="6a5oYwZw9WJcgjqXpleUXH8uaqNEuymPPpeOb7lKBc1WoM6IG/DNyDLWmj2lYwxnZO2yhl+B61kwrxD9m9AdhQ==" saltValue="tdNQPzLQd+n9Ww064QJIaQ==" spinCount="100000" sqref="I201" name="Rango2_61_70"/>
    <protectedRange algorithmName="SHA-512" hashValue="XM8+0Jh5zLWw02PI0Lt8dLqjTcW5ulySion19FAnruDN6QRp4UwcVqdfQxnOQAItgpWG7rNsELzjwy0iXOonxw==" saltValue="Sd4WFUedDfLKoMQTDrxJuQ==" spinCount="100000" sqref="K201" name="Rango2_88_4_4_70"/>
    <protectedRange algorithmName="SHA-512" hashValue="EMMPgE8t/az1rHHzaZAQIhz+GQV0k2O/tQGA96sJqEEMzz1efIRa4CcLzC7iY9CCscto3g7dwz41haOE28iXYg==" saltValue="CVzFsG4X4LXUMo7796PiDQ==" spinCount="100000" sqref="L201:M201 J201 B201 D201:H201" name="Rango2_10_70"/>
    <protectedRange algorithmName="SHA-512" hashValue="6a5oYwZw9WJcgjqXpleUXH8uaqNEuymPPpeOb7lKBc1WoM6IG/DNyDLWmj2lYwxnZO2yhl+B61kwrxD9m9AdhQ==" saltValue="tdNQPzLQd+n9Ww064QJIaQ==" spinCount="100000" sqref="I202" name="Rango2_61_71"/>
    <protectedRange algorithmName="SHA-512" hashValue="XM8+0Jh5zLWw02PI0Lt8dLqjTcW5ulySion19FAnruDN6QRp4UwcVqdfQxnOQAItgpWG7rNsELzjwy0iXOonxw==" saltValue="Sd4WFUedDfLKoMQTDrxJuQ==" spinCount="100000" sqref="K202" name="Rango2_88_4_4_71"/>
    <protectedRange algorithmName="SHA-512" hashValue="EMMPgE8t/az1rHHzaZAQIhz+GQV0k2O/tQGA96sJqEEMzz1efIRa4CcLzC7iY9CCscto3g7dwz41haOE28iXYg==" saltValue="CVzFsG4X4LXUMo7796PiDQ==" spinCount="100000" sqref="L202:M202 J202 B202 D202:H202" name="Rango2_10_71"/>
    <protectedRange algorithmName="SHA-512" hashValue="6a5oYwZw9WJcgjqXpleUXH8uaqNEuymPPpeOb7lKBc1WoM6IG/DNyDLWmj2lYwxnZO2yhl+B61kwrxD9m9AdhQ==" saltValue="tdNQPzLQd+n9Ww064QJIaQ==" spinCount="100000" sqref="I203" name="Rango2_61_72"/>
    <protectedRange algorithmName="SHA-512" hashValue="XM8+0Jh5zLWw02PI0Lt8dLqjTcW5ulySion19FAnruDN6QRp4UwcVqdfQxnOQAItgpWG7rNsELzjwy0iXOonxw==" saltValue="Sd4WFUedDfLKoMQTDrxJuQ==" spinCount="100000" sqref="K203" name="Rango2_88_4_4_72"/>
    <protectedRange algorithmName="SHA-512" hashValue="EMMPgE8t/az1rHHzaZAQIhz+GQV0k2O/tQGA96sJqEEMzz1efIRa4CcLzC7iY9CCscto3g7dwz41haOE28iXYg==" saltValue="CVzFsG4X4LXUMo7796PiDQ==" spinCount="100000" sqref="L203:M203 J203 B203 D203:H203" name="Rango2_10_72"/>
    <protectedRange algorithmName="SHA-512" hashValue="6a5oYwZw9WJcgjqXpleUXH8uaqNEuymPPpeOb7lKBc1WoM6IG/DNyDLWmj2lYwxnZO2yhl+B61kwrxD9m9AdhQ==" saltValue="tdNQPzLQd+n9Ww064QJIaQ==" spinCount="100000" sqref="I204" name="Rango2_61_73"/>
    <protectedRange algorithmName="SHA-512" hashValue="XM8+0Jh5zLWw02PI0Lt8dLqjTcW5ulySion19FAnruDN6QRp4UwcVqdfQxnOQAItgpWG7rNsELzjwy0iXOonxw==" saltValue="Sd4WFUedDfLKoMQTDrxJuQ==" spinCount="100000" sqref="K204" name="Rango2_88_4_4_73"/>
    <protectedRange algorithmName="SHA-512" hashValue="EMMPgE8t/az1rHHzaZAQIhz+GQV0k2O/tQGA96sJqEEMzz1efIRa4CcLzC7iY9CCscto3g7dwz41haOE28iXYg==" saltValue="CVzFsG4X4LXUMo7796PiDQ==" spinCount="100000" sqref="L204:M204 J204 B204 D204:H204" name="Rango2_10_73"/>
    <protectedRange algorithmName="SHA-512" hashValue="6a5oYwZw9WJcgjqXpleUXH8uaqNEuymPPpeOb7lKBc1WoM6IG/DNyDLWmj2lYwxnZO2yhl+B61kwrxD9m9AdhQ==" saltValue="tdNQPzLQd+n9Ww064QJIaQ==" spinCount="100000" sqref="I205:I206" name="Rango2_61_74"/>
    <protectedRange algorithmName="SHA-512" hashValue="XM8+0Jh5zLWw02PI0Lt8dLqjTcW5ulySion19FAnruDN6QRp4UwcVqdfQxnOQAItgpWG7rNsELzjwy0iXOonxw==" saltValue="Sd4WFUedDfLKoMQTDrxJuQ==" spinCount="100000" sqref="K205:K206" name="Rango2_88_4_4_74"/>
    <protectedRange algorithmName="SHA-512" hashValue="EMMPgE8t/az1rHHzaZAQIhz+GQV0k2O/tQGA96sJqEEMzz1efIRa4CcLzC7iY9CCscto3g7dwz41haOE28iXYg==" saltValue="CVzFsG4X4LXUMo7796PiDQ==" spinCount="100000" sqref="L205:M206 J205:J206 B205:B206 D205:H206" name="Rango2_10_74"/>
    <protectedRange algorithmName="SHA-512" hashValue="6a5oYwZw9WJcgjqXpleUXH8uaqNEuymPPpeOb7lKBc1WoM6IG/DNyDLWmj2lYwxnZO2yhl+B61kwrxD9m9AdhQ==" saltValue="tdNQPzLQd+n9Ww064QJIaQ==" spinCount="100000" sqref="I207" name="Rango2_61_75"/>
    <protectedRange algorithmName="SHA-512" hashValue="XM8+0Jh5zLWw02PI0Lt8dLqjTcW5ulySion19FAnruDN6QRp4UwcVqdfQxnOQAItgpWG7rNsELzjwy0iXOonxw==" saltValue="Sd4WFUedDfLKoMQTDrxJuQ==" spinCount="100000" sqref="K207" name="Rango2_88_4_4_75"/>
    <protectedRange algorithmName="SHA-512" hashValue="EMMPgE8t/az1rHHzaZAQIhz+GQV0k2O/tQGA96sJqEEMzz1efIRa4CcLzC7iY9CCscto3g7dwz41haOE28iXYg==" saltValue="CVzFsG4X4LXUMo7796PiDQ==" spinCount="100000" sqref="L207:M207 J207 B207 D207:H207" name="Rango2_10_75"/>
    <protectedRange algorithmName="SHA-512" hashValue="6a5oYwZw9WJcgjqXpleUXH8uaqNEuymPPpeOb7lKBc1WoM6IG/DNyDLWmj2lYwxnZO2yhl+B61kwrxD9m9AdhQ==" saltValue="tdNQPzLQd+n9Ww064QJIaQ==" spinCount="100000" sqref="I208" name="Rango2_61_76"/>
    <protectedRange algorithmName="SHA-512" hashValue="XM8+0Jh5zLWw02PI0Lt8dLqjTcW5ulySion19FAnruDN6QRp4UwcVqdfQxnOQAItgpWG7rNsELzjwy0iXOonxw==" saltValue="Sd4WFUedDfLKoMQTDrxJuQ==" spinCount="100000" sqref="K208" name="Rango2_88_4_4_76"/>
    <protectedRange algorithmName="SHA-512" hashValue="EMMPgE8t/az1rHHzaZAQIhz+GQV0k2O/tQGA96sJqEEMzz1efIRa4CcLzC7iY9CCscto3g7dwz41haOE28iXYg==" saltValue="CVzFsG4X4LXUMo7796PiDQ==" spinCount="100000" sqref="L208:M208 J208 B208 D208:H208" name="Rango2_10_76"/>
    <protectedRange algorithmName="SHA-512" hashValue="6a5oYwZw9WJcgjqXpleUXH8uaqNEuymPPpeOb7lKBc1WoM6IG/DNyDLWmj2lYwxnZO2yhl+B61kwrxD9m9AdhQ==" saltValue="tdNQPzLQd+n9Ww064QJIaQ==" spinCount="100000" sqref="I209" name="Rango2_61_77"/>
    <protectedRange algorithmName="SHA-512" hashValue="XM8+0Jh5zLWw02PI0Lt8dLqjTcW5ulySion19FAnruDN6QRp4UwcVqdfQxnOQAItgpWG7rNsELzjwy0iXOonxw==" saltValue="Sd4WFUedDfLKoMQTDrxJuQ==" spinCount="100000" sqref="K209" name="Rango2_88_4_4_77"/>
    <protectedRange algorithmName="SHA-512" hashValue="EMMPgE8t/az1rHHzaZAQIhz+GQV0k2O/tQGA96sJqEEMzz1efIRa4CcLzC7iY9CCscto3g7dwz41haOE28iXYg==" saltValue="CVzFsG4X4LXUMo7796PiDQ==" spinCount="100000" sqref="L209:M209 J209 B209 D209:H209" name="Rango2_10_77"/>
    <protectedRange algorithmName="SHA-512" hashValue="6a5oYwZw9WJcgjqXpleUXH8uaqNEuymPPpeOb7lKBc1WoM6IG/DNyDLWmj2lYwxnZO2yhl+B61kwrxD9m9AdhQ==" saltValue="tdNQPzLQd+n9Ww064QJIaQ==" spinCount="100000" sqref="I210:I211" name="Rango2_61_78"/>
    <protectedRange algorithmName="SHA-512" hashValue="XM8+0Jh5zLWw02PI0Lt8dLqjTcW5ulySion19FAnruDN6QRp4UwcVqdfQxnOQAItgpWG7rNsELzjwy0iXOonxw==" saltValue="Sd4WFUedDfLKoMQTDrxJuQ==" spinCount="100000" sqref="K210:K211" name="Rango2_88_4_4_78"/>
    <protectedRange algorithmName="SHA-512" hashValue="EMMPgE8t/az1rHHzaZAQIhz+GQV0k2O/tQGA96sJqEEMzz1efIRa4CcLzC7iY9CCscto3g7dwz41haOE28iXYg==" saltValue="CVzFsG4X4LXUMo7796PiDQ==" spinCount="100000" sqref="L210:M211 J210:J211 B210:B211 D210:H211" name="Rango2_10_78"/>
    <protectedRange algorithmName="SHA-512" hashValue="6a5oYwZw9WJcgjqXpleUXH8uaqNEuymPPpeOb7lKBc1WoM6IG/DNyDLWmj2lYwxnZO2yhl+B61kwrxD9m9AdhQ==" saltValue="tdNQPzLQd+n9Ww064QJIaQ==" spinCount="100000" sqref="I212" name="Rango2_61_79"/>
    <protectedRange algorithmName="SHA-512" hashValue="XM8+0Jh5zLWw02PI0Lt8dLqjTcW5ulySion19FAnruDN6QRp4UwcVqdfQxnOQAItgpWG7rNsELzjwy0iXOonxw==" saltValue="Sd4WFUedDfLKoMQTDrxJuQ==" spinCount="100000" sqref="K212" name="Rango2_88_4_4_79"/>
    <protectedRange algorithmName="SHA-512" hashValue="EMMPgE8t/az1rHHzaZAQIhz+GQV0k2O/tQGA96sJqEEMzz1efIRa4CcLzC7iY9CCscto3g7dwz41haOE28iXYg==" saltValue="CVzFsG4X4LXUMo7796PiDQ==" spinCount="100000" sqref="L212:M212 J212 B212 D212:H212" name="Rango2_10_79"/>
    <protectedRange algorithmName="SHA-512" hashValue="6a5oYwZw9WJcgjqXpleUXH8uaqNEuymPPpeOb7lKBc1WoM6IG/DNyDLWmj2lYwxnZO2yhl+B61kwrxD9m9AdhQ==" saltValue="tdNQPzLQd+n9Ww064QJIaQ==" spinCount="100000" sqref="I213" name="Rango2_61_80"/>
    <protectedRange algorithmName="SHA-512" hashValue="XM8+0Jh5zLWw02PI0Lt8dLqjTcW5ulySion19FAnruDN6QRp4UwcVqdfQxnOQAItgpWG7rNsELzjwy0iXOonxw==" saltValue="Sd4WFUedDfLKoMQTDrxJuQ==" spinCount="100000" sqref="K213" name="Rango2_88_4_4_80"/>
    <protectedRange algorithmName="SHA-512" hashValue="EMMPgE8t/az1rHHzaZAQIhz+GQV0k2O/tQGA96sJqEEMzz1efIRa4CcLzC7iY9CCscto3g7dwz41haOE28iXYg==" saltValue="CVzFsG4X4LXUMo7796PiDQ==" spinCount="100000" sqref="L213:M213 J213 B213 D213:H213" name="Rango2_10_80"/>
    <protectedRange algorithmName="SHA-512" hashValue="6a5oYwZw9WJcgjqXpleUXH8uaqNEuymPPpeOb7lKBc1WoM6IG/DNyDLWmj2lYwxnZO2yhl+B61kwrxD9m9AdhQ==" saltValue="tdNQPzLQd+n9Ww064QJIaQ==" spinCount="100000" sqref="I214:I215" name="Rango2_61_81"/>
    <protectedRange algorithmName="SHA-512" hashValue="XM8+0Jh5zLWw02PI0Lt8dLqjTcW5ulySion19FAnruDN6QRp4UwcVqdfQxnOQAItgpWG7rNsELzjwy0iXOonxw==" saltValue="Sd4WFUedDfLKoMQTDrxJuQ==" spinCount="100000" sqref="K214:K215" name="Rango2_88_4_4_81"/>
    <protectedRange algorithmName="SHA-512" hashValue="EMMPgE8t/az1rHHzaZAQIhz+GQV0k2O/tQGA96sJqEEMzz1efIRa4CcLzC7iY9CCscto3g7dwz41haOE28iXYg==" saltValue="CVzFsG4X4LXUMo7796PiDQ==" spinCount="100000" sqref="L214:M215 J214:J215 B214:B215 D214:H215" name="Rango2_10_81"/>
    <protectedRange algorithmName="SHA-512" hashValue="6a5oYwZw9WJcgjqXpleUXH8uaqNEuymPPpeOb7lKBc1WoM6IG/DNyDLWmj2lYwxnZO2yhl+B61kwrxD9m9AdhQ==" saltValue="tdNQPzLQd+n9Ww064QJIaQ==" spinCount="100000" sqref="I216" name="Rango2_61_82"/>
    <protectedRange algorithmName="SHA-512" hashValue="XM8+0Jh5zLWw02PI0Lt8dLqjTcW5ulySion19FAnruDN6QRp4UwcVqdfQxnOQAItgpWG7rNsELzjwy0iXOonxw==" saltValue="Sd4WFUedDfLKoMQTDrxJuQ==" spinCount="100000" sqref="K216" name="Rango2_88_4_4_82"/>
    <protectedRange algorithmName="SHA-512" hashValue="EMMPgE8t/az1rHHzaZAQIhz+GQV0k2O/tQGA96sJqEEMzz1efIRa4CcLzC7iY9CCscto3g7dwz41haOE28iXYg==" saltValue="CVzFsG4X4LXUMo7796PiDQ==" spinCount="100000" sqref="L216:M216 J216 B216 D216:H216" name="Rango2_10_82"/>
    <protectedRange algorithmName="SHA-512" hashValue="6a5oYwZw9WJcgjqXpleUXH8uaqNEuymPPpeOb7lKBc1WoM6IG/DNyDLWmj2lYwxnZO2yhl+B61kwrxD9m9AdhQ==" saltValue="tdNQPzLQd+n9Ww064QJIaQ==" spinCount="100000" sqref="I217" name="Rango2_61_83"/>
    <protectedRange algorithmName="SHA-512" hashValue="XM8+0Jh5zLWw02PI0Lt8dLqjTcW5ulySion19FAnruDN6QRp4UwcVqdfQxnOQAItgpWG7rNsELzjwy0iXOonxw==" saltValue="Sd4WFUedDfLKoMQTDrxJuQ==" spinCount="100000" sqref="K217" name="Rango2_88_4_4_83"/>
    <protectedRange algorithmName="SHA-512" hashValue="EMMPgE8t/az1rHHzaZAQIhz+GQV0k2O/tQGA96sJqEEMzz1efIRa4CcLzC7iY9CCscto3g7dwz41haOE28iXYg==" saltValue="CVzFsG4X4LXUMo7796PiDQ==" spinCount="100000" sqref="L217:M217 J217 B217 D217:H217" name="Rango2_10_83"/>
    <protectedRange algorithmName="SHA-512" hashValue="6a5oYwZw9WJcgjqXpleUXH8uaqNEuymPPpeOb7lKBc1WoM6IG/DNyDLWmj2lYwxnZO2yhl+B61kwrxD9m9AdhQ==" saltValue="tdNQPzLQd+n9Ww064QJIaQ==" spinCount="100000" sqref="I218" name="Rango2_61_84"/>
    <protectedRange algorithmName="SHA-512" hashValue="XM8+0Jh5zLWw02PI0Lt8dLqjTcW5ulySion19FAnruDN6QRp4UwcVqdfQxnOQAItgpWG7rNsELzjwy0iXOonxw==" saltValue="Sd4WFUedDfLKoMQTDrxJuQ==" spinCount="100000" sqref="K218" name="Rango2_88_4_4_84"/>
    <protectedRange algorithmName="SHA-512" hashValue="EMMPgE8t/az1rHHzaZAQIhz+GQV0k2O/tQGA96sJqEEMzz1efIRa4CcLzC7iY9CCscto3g7dwz41haOE28iXYg==" saltValue="CVzFsG4X4LXUMo7796PiDQ==" spinCount="100000" sqref="L218:M218 J218 B218 D218:H218" name="Rango2_10_84"/>
    <protectedRange algorithmName="SHA-512" hashValue="6a5oYwZw9WJcgjqXpleUXH8uaqNEuymPPpeOb7lKBc1WoM6IG/DNyDLWmj2lYwxnZO2yhl+B61kwrxD9m9AdhQ==" saltValue="tdNQPzLQd+n9Ww064QJIaQ==" spinCount="100000" sqref="I219" name="Rango2_61_85"/>
    <protectedRange algorithmName="SHA-512" hashValue="XM8+0Jh5zLWw02PI0Lt8dLqjTcW5ulySion19FAnruDN6QRp4UwcVqdfQxnOQAItgpWG7rNsELzjwy0iXOonxw==" saltValue="Sd4WFUedDfLKoMQTDrxJuQ==" spinCount="100000" sqref="K219" name="Rango2_88_4_4_85"/>
    <protectedRange algorithmName="SHA-512" hashValue="EMMPgE8t/az1rHHzaZAQIhz+GQV0k2O/tQGA96sJqEEMzz1efIRa4CcLzC7iY9CCscto3g7dwz41haOE28iXYg==" saltValue="CVzFsG4X4LXUMo7796PiDQ==" spinCount="100000" sqref="L219:M219 J219 B219 D219:H219" name="Rango2_10_85"/>
    <protectedRange algorithmName="SHA-512" hashValue="6a5oYwZw9WJcgjqXpleUXH8uaqNEuymPPpeOb7lKBc1WoM6IG/DNyDLWmj2lYwxnZO2yhl+B61kwrxD9m9AdhQ==" saltValue="tdNQPzLQd+n9Ww064QJIaQ==" spinCount="100000" sqref="I220" name="Rango2_61_86"/>
    <protectedRange algorithmName="SHA-512" hashValue="XM8+0Jh5zLWw02PI0Lt8dLqjTcW5ulySion19FAnruDN6QRp4UwcVqdfQxnOQAItgpWG7rNsELzjwy0iXOonxw==" saltValue="Sd4WFUedDfLKoMQTDrxJuQ==" spinCount="100000" sqref="K220" name="Rango2_88_4_4_86"/>
    <protectedRange algorithmName="SHA-512" hashValue="EMMPgE8t/az1rHHzaZAQIhz+GQV0k2O/tQGA96sJqEEMzz1efIRa4CcLzC7iY9CCscto3g7dwz41haOE28iXYg==" saltValue="CVzFsG4X4LXUMo7796PiDQ==" spinCount="100000" sqref="L220:M220 J220 B220 D220:H220" name="Rango2_10_86"/>
    <protectedRange algorithmName="SHA-512" hashValue="6a5oYwZw9WJcgjqXpleUXH8uaqNEuymPPpeOb7lKBc1WoM6IG/DNyDLWmj2lYwxnZO2yhl+B61kwrxD9m9AdhQ==" saltValue="tdNQPzLQd+n9Ww064QJIaQ==" spinCount="100000" sqref="I221" name="Rango2_61_87"/>
    <protectedRange algorithmName="SHA-512" hashValue="XM8+0Jh5zLWw02PI0Lt8dLqjTcW5ulySion19FAnruDN6QRp4UwcVqdfQxnOQAItgpWG7rNsELzjwy0iXOonxw==" saltValue="Sd4WFUedDfLKoMQTDrxJuQ==" spinCount="100000" sqref="K221" name="Rango2_88_4_4_87"/>
    <protectedRange algorithmName="SHA-512" hashValue="EMMPgE8t/az1rHHzaZAQIhz+GQV0k2O/tQGA96sJqEEMzz1efIRa4CcLzC7iY9CCscto3g7dwz41haOE28iXYg==" saltValue="CVzFsG4X4LXUMo7796PiDQ==" spinCount="100000" sqref="L221:M221 J221 B221 D221:H221" name="Rango2_10_87"/>
    <protectedRange algorithmName="SHA-512" hashValue="6a5oYwZw9WJcgjqXpleUXH8uaqNEuymPPpeOb7lKBc1WoM6IG/DNyDLWmj2lYwxnZO2yhl+B61kwrxD9m9AdhQ==" saltValue="tdNQPzLQd+n9Ww064QJIaQ==" spinCount="100000" sqref="I222" name="Rango2_61_88"/>
    <protectedRange algorithmName="SHA-512" hashValue="XM8+0Jh5zLWw02PI0Lt8dLqjTcW5ulySion19FAnruDN6QRp4UwcVqdfQxnOQAItgpWG7rNsELzjwy0iXOonxw==" saltValue="Sd4WFUedDfLKoMQTDrxJuQ==" spinCount="100000" sqref="K222" name="Rango2_88_4_4_88"/>
    <protectedRange algorithmName="SHA-512" hashValue="EMMPgE8t/az1rHHzaZAQIhz+GQV0k2O/tQGA96sJqEEMzz1efIRa4CcLzC7iY9CCscto3g7dwz41haOE28iXYg==" saltValue="CVzFsG4X4LXUMo7796PiDQ==" spinCount="100000" sqref="L222:M222 J222 B222 D222:H222" name="Rango2_10_88"/>
    <protectedRange algorithmName="SHA-512" hashValue="6a5oYwZw9WJcgjqXpleUXH8uaqNEuymPPpeOb7lKBc1WoM6IG/DNyDLWmj2lYwxnZO2yhl+B61kwrxD9m9AdhQ==" saltValue="tdNQPzLQd+n9Ww064QJIaQ==" spinCount="100000" sqref="I223" name="Rango2_61_89"/>
    <protectedRange algorithmName="SHA-512" hashValue="XM8+0Jh5zLWw02PI0Lt8dLqjTcW5ulySion19FAnruDN6QRp4UwcVqdfQxnOQAItgpWG7rNsELzjwy0iXOonxw==" saltValue="Sd4WFUedDfLKoMQTDrxJuQ==" spinCount="100000" sqref="K223" name="Rango2_88_4_4_89"/>
    <protectedRange algorithmName="SHA-512" hashValue="EMMPgE8t/az1rHHzaZAQIhz+GQV0k2O/tQGA96sJqEEMzz1efIRa4CcLzC7iY9CCscto3g7dwz41haOE28iXYg==" saltValue="CVzFsG4X4LXUMo7796PiDQ==" spinCount="100000" sqref="L223:M223 J223 B223 D223:H223" name="Rango2_10_89"/>
    <protectedRange algorithmName="SHA-512" hashValue="6a5oYwZw9WJcgjqXpleUXH8uaqNEuymPPpeOb7lKBc1WoM6IG/DNyDLWmj2lYwxnZO2yhl+B61kwrxD9m9AdhQ==" saltValue="tdNQPzLQd+n9Ww064QJIaQ==" spinCount="100000" sqref="I224" name="Rango2_61_90"/>
    <protectedRange algorithmName="SHA-512" hashValue="XM8+0Jh5zLWw02PI0Lt8dLqjTcW5ulySion19FAnruDN6QRp4UwcVqdfQxnOQAItgpWG7rNsELzjwy0iXOonxw==" saltValue="Sd4WFUedDfLKoMQTDrxJuQ==" spinCount="100000" sqref="K224" name="Rango2_88_4_4_90"/>
    <protectedRange algorithmName="SHA-512" hashValue="EMMPgE8t/az1rHHzaZAQIhz+GQV0k2O/tQGA96sJqEEMzz1efIRa4CcLzC7iY9CCscto3g7dwz41haOE28iXYg==" saltValue="CVzFsG4X4LXUMo7796PiDQ==" spinCount="100000" sqref="L224:M224 J224 B224 D224:H224" name="Rango2_10_90"/>
    <protectedRange algorithmName="SHA-512" hashValue="6a5oYwZw9WJcgjqXpleUXH8uaqNEuymPPpeOb7lKBc1WoM6IG/DNyDLWmj2lYwxnZO2yhl+B61kwrxD9m9AdhQ==" saltValue="tdNQPzLQd+n9Ww064QJIaQ==" spinCount="100000" sqref="I225" name="Rango2_61_91"/>
    <protectedRange algorithmName="SHA-512" hashValue="XM8+0Jh5zLWw02PI0Lt8dLqjTcW5ulySion19FAnruDN6QRp4UwcVqdfQxnOQAItgpWG7rNsELzjwy0iXOonxw==" saltValue="Sd4WFUedDfLKoMQTDrxJuQ==" spinCount="100000" sqref="K225" name="Rango2_88_4_4_91"/>
    <protectedRange algorithmName="SHA-512" hashValue="EMMPgE8t/az1rHHzaZAQIhz+GQV0k2O/tQGA96sJqEEMzz1efIRa4CcLzC7iY9CCscto3g7dwz41haOE28iXYg==" saltValue="CVzFsG4X4LXUMo7796PiDQ==" spinCount="100000" sqref="L225:M225 J225 B225 D225:H225" name="Rango2_10_91"/>
    <protectedRange algorithmName="SHA-512" hashValue="6a5oYwZw9WJcgjqXpleUXH8uaqNEuymPPpeOb7lKBc1WoM6IG/DNyDLWmj2lYwxnZO2yhl+B61kwrxD9m9AdhQ==" saltValue="tdNQPzLQd+n9Ww064QJIaQ==" spinCount="100000" sqref="I226" name="Rango2_61_92"/>
    <protectedRange algorithmName="SHA-512" hashValue="XM8+0Jh5zLWw02PI0Lt8dLqjTcW5ulySion19FAnruDN6QRp4UwcVqdfQxnOQAItgpWG7rNsELzjwy0iXOonxw==" saltValue="Sd4WFUedDfLKoMQTDrxJuQ==" spinCount="100000" sqref="K226" name="Rango2_88_4_4_92"/>
    <protectedRange algorithmName="SHA-512" hashValue="EMMPgE8t/az1rHHzaZAQIhz+GQV0k2O/tQGA96sJqEEMzz1efIRa4CcLzC7iY9CCscto3g7dwz41haOE28iXYg==" saltValue="CVzFsG4X4LXUMo7796PiDQ==" spinCount="100000" sqref="L226:M226 J226 B226 D226:H226" name="Rango2_10_92"/>
    <protectedRange algorithmName="SHA-512" hashValue="6a5oYwZw9WJcgjqXpleUXH8uaqNEuymPPpeOb7lKBc1WoM6IG/DNyDLWmj2lYwxnZO2yhl+B61kwrxD9m9AdhQ==" saltValue="tdNQPzLQd+n9Ww064QJIaQ==" spinCount="100000" sqref="I227" name="Rango2_61_93"/>
    <protectedRange algorithmName="SHA-512" hashValue="XM8+0Jh5zLWw02PI0Lt8dLqjTcW5ulySion19FAnruDN6QRp4UwcVqdfQxnOQAItgpWG7rNsELzjwy0iXOonxw==" saltValue="Sd4WFUedDfLKoMQTDrxJuQ==" spinCount="100000" sqref="K227" name="Rango2_88_4_4_93"/>
    <protectedRange algorithmName="SHA-512" hashValue="EMMPgE8t/az1rHHzaZAQIhz+GQV0k2O/tQGA96sJqEEMzz1efIRa4CcLzC7iY9CCscto3g7dwz41haOE28iXYg==" saltValue="CVzFsG4X4LXUMo7796PiDQ==" spinCount="100000" sqref="L227:M227 J227 B227 D227:H227" name="Rango2_10_93"/>
    <protectedRange algorithmName="SHA-512" hashValue="6a5oYwZw9WJcgjqXpleUXH8uaqNEuymPPpeOb7lKBc1WoM6IG/DNyDLWmj2lYwxnZO2yhl+B61kwrxD9m9AdhQ==" saltValue="tdNQPzLQd+n9Ww064QJIaQ==" spinCount="100000" sqref="I228" name="Rango2_61_94"/>
    <protectedRange algorithmName="SHA-512" hashValue="XM8+0Jh5zLWw02PI0Lt8dLqjTcW5ulySion19FAnruDN6QRp4UwcVqdfQxnOQAItgpWG7rNsELzjwy0iXOonxw==" saltValue="Sd4WFUedDfLKoMQTDrxJuQ==" spinCount="100000" sqref="K228" name="Rango2_88_4_4_94"/>
    <protectedRange algorithmName="SHA-512" hashValue="EMMPgE8t/az1rHHzaZAQIhz+GQV0k2O/tQGA96sJqEEMzz1efIRa4CcLzC7iY9CCscto3g7dwz41haOE28iXYg==" saltValue="CVzFsG4X4LXUMo7796PiDQ==" spinCount="100000" sqref="L228:M228 J228 B228 D228:H228" name="Rango2_10_94"/>
    <protectedRange algorithmName="SHA-512" hashValue="6a5oYwZw9WJcgjqXpleUXH8uaqNEuymPPpeOb7lKBc1WoM6IG/DNyDLWmj2lYwxnZO2yhl+B61kwrxD9m9AdhQ==" saltValue="tdNQPzLQd+n9Ww064QJIaQ==" spinCount="100000" sqref="I229" name="Rango2_61_95"/>
    <protectedRange algorithmName="SHA-512" hashValue="XM8+0Jh5zLWw02PI0Lt8dLqjTcW5ulySion19FAnruDN6QRp4UwcVqdfQxnOQAItgpWG7rNsELzjwy0iXOonxw==" saltValue="Sd4WFUedDfLKoMQTDrxJuQ==" spinCount="100000" sqref="K229" name="Rango2_88_4_4_95"/>
    <protectedRange algorithmName="SHA-512" hashValue="EMMPgE8t/az1rHHzaZAQIhz+GQV0k2O/tQGA96sJqEEMzz1efIRa4CcLzC7iY9CCscto3g7dwz41haOE28iXYg==" saltValue="CVzFsG4X4LXUMo7796PiDQ==" spinCount="100000" sqref="L229:M229 J229 B229 D229:H229" name="Rango2_10_95"/>
    <protectedRange algorithmName="SHA-512" hashValue="RQ91b7oAw60DVtcgB2vRpial2kSdzJx5guGCTYUwXYkKrtrUHfiYnLf9R+SNpYXlJDYpyEJLhcWwP0EqNN86dQ==" saltValue="W3RbH3zrcY9sy39xNwXNxg==" spinCount="100000" sqref="BA189:BI189 BV189:BY189" name="Rango2_88_99_88"/>
    <protectedRange algorithmName="SHA-512" hashValue="fMbmUM1DQ7FuAPRNvFL5mPdHUYjQnlLFhkuaxvHguaqR7aWyDxcmJs0jLYQfQKY+oyhsMb4Lew4VL6i7um3/ew==" saltValue="ydaTm0CeH8+/cYqoL/AMaQ==" spinCount="100000" sqref="AU189 AW189:AZ189" name="Rango2_88_91_84"/>
    <protectedRange algorithmName="SHA-512" hashValue="CHipOQaT63FWw628cQcXXJRZlrbNZ7OgmnEbDx38UmmH7z19GRYEzXFiVOzHAy1OAaAbST7g2bHZHDKQp2qm3w==" saltValue="iRVuL+373yLHv0ZHzS9qog==" spinCount="100000" sqref="AG189:AH189 AJ189 AL189" name="Rango2_88_7_5_88"/>
    <protectedRange algorithmName="SHA-512" hashValue="NkG6oHuDGvGBEiLAAq8MEJHEfLQUMyjihfH+DBXhT+eQW0r1yri7tOJEFRM9nbOejjjXiviq9RFo7KB7wF+xJA==" saltValue="bpjB0AAANu2X/PeR3eiFkA==" spinCount="100000" sqref="AM189:AS189" name="Rango2_88_65_85"/>
    <protectedRange algorithmName="SHA-512" hashValue="fPHvtIAf3pQeZUoAI9C2/vdXMHBpqqEq+67P5Ypyu4+9IWqs3yc9TZcMWQ0THLxUwqseQPyVvakuYFtCwJHsxA==" saltValue="QHIogSs2PrwAfdqa9PAOFQ==" spinCount="100000" sqref="AC189" name="Rango2_88_5_5_85"/>
    <protectedRange algorithmName="SHA-512" hashValue="LEEeiU6pKqm7TAP46VGlz0q+evvFwpT/0iLpRuWuQ7MacbP0OGL1/FSmrIEOg2rb6M+Jla2bPbVWiGag27j87w==" saltValue="HEVt+pS5OloNDlqSnzGLLw==" spinCount="100000" sqref="AI189" name="Rango2_8_7_85"/>
    <protectedRange algorithmName="SHA-512" hashValue="AYYX88LSDB6RDNMvSqt0KPGWPjBqTk56tMxTOlv5QD61MGTKAAQnSnudvNDWPN0Bbllh2qRQC+P5uq7goxjdrw==" saltValue="i/iPMewnks1FoXYOjKMEVg==" spinCount="100000" sqref="AB189" name="Rango2_87_6_85"/>
    <protectedRange algorithmName="SHA-512" hashValue="NUll9P9xh7KbSfMYpMxsRZLfDw/y/AzW2LSWlpXVscBDqiAxmzo71xjs+a2lh+jRa7pceOC849slke4+ZKx8LA==" saltValue="8qbkKpQ+CiQuLnqgShNvXA==" spinCount="100000" sqref="T189" name="Rango2_88_6_85"/>
    <protectedRange algorithmName="SHA-512" hashValue="KHhv3JU/LRdRrRTxxkgFceEHPZ5UzadmpZRZR3zmQRnPvkUJZuanRafIJ+qde0IWwLZSvFIQDyUAHq6v6k7XIg==" saltValue="2GKG1kCzVNNcn+vbOPuhJA==" spinCount="100000" sqref="Q189" name="Rango2_2_5_85"/>
    <protectedRange algorithmName="SHA-512" hashValue="RQ91b7oAw60DVtcgB2vRpial2kSdzJx5guGCTYUwXYkKrtrUHfiYnLf9R+SNpYXlJDYpyEJLhcWwP0EqNN86dQ==" saltValue="W3RbH3zrcY9sy39xNwXNxg==" spinCount="100000" sqref="BA190:BI190 BV190:BY190" name="Rango2_88_99_89"/>
    <protectedRange algorithmName="SHA-512" hashValue="fMbmUM1DQ7FuAPRNvFL5mPdHUYjQnlLFhkuaxvHguaqR7aWyDxcmJs0jLYQfQKY+oyhsMb4Lew4VL6i7um3/ew==" saltValue="ydaTm0CeH8+/cYqoL/AMaQ==" spinCount="100000" sqref="AU190 AW190:AZ190" name="Rango2_88_91_85"/>
    <protectedRange algorithmName="SHA-512" hashValue="CHipOQaT63FWw628cQcXXJRZlrbNZ7OgmnEbDx38UmmH7z19GRYEzXFiVOzHAy1OAaAbST7g2bHZHDKQp2qm3w==" saltValue="iRVuL+373yLHv0ZHzS9qog==" spinCount="100000" sqref="AG190:AH190 AJ190 AL190" name="Rango2_88_7_5_89"/>
    <protectedRange algorithmName="SHA-512" hashValue="NkG6oHuDGvGBEiLAAq8MEJHEfLQUMyjihfH+DBXhT+eQW0r1yri7tOJEFRM9nbOejjjXiviq9RFo7KB7wF+xJA==" saltValue="bpjB0AAANu2X/PeR3eiFkA==" spinCount="100000" sqref="AM190:AS190" name="Rango2_88_65_86"/>
    <protectedRange algorithmName="SHA-512" hashValue="fPHvtIAf3pQeZUoAI9C2/vdXMHBpqqEq+67P5Ypyu4+9IWqs3yc9TZcMWQ0THLxUwqseQPyVvakuYFtCwJHsxA==" saltValue="QHIogSs2PrwAfdqa9PAOFQ==" spinCount="100000" sqref="AC190" name="Rango2_88_5_5_86"/>
    <protectedRange algorithmName="SHA-512" hashValue="LEEeiU6pKqm7TAP46VGlz0q+evvFwpT/0iLpRuWuQ7MacbP0OGL1/FSmrIEOg2rb6M+Jla2bPbVWiGag27j87w==" saltValue="HEVt+pS5OloNDlqSnzGLLw==" spinCount="100000" sqref="AI190" name="Rango2_8_7_86"/>
    <protectedRange algorithmName="SHA-512" hashValue="AYYX88LSDB6RDNMvSqt0KPGWPjBqTk56tMxTOlv5QD61MGTKAAQnSnudvNDWPN0Bbllh2qRQC+P5uq7goxjdrw==" saltValue="i/iPMewnks1FoXYOjKMEVg==" spinCount="100000" sqref="AB190" name="Rango2_87_6_86"/>
    <protectedRange algorithmName="SHA-512" hashValue="NUll9P9xh7KbSfMYpMxsRZLfDw/y/AzW2LSWlpXVscBDqiAxmzo71xjs+a2lh+jRa7pceOC849slke4+ZKx8LA==" saltValue="8qbkKpQ+CiQuLnqgShNvXA==" spinCount="100000" sqref="T190" name="Rango2_88_6_86"/>
    <protectedRange algorithmName="SHA-512" hashValue="KHhv3JU/LRdRrRTxxkgFceEHPZ5UzadmpZRZR3zmQRnPvkUJZuanRafIJ+qde0IWwLZSvFIQDyUAHq6v6k7XIg==" saltValue="2GKG1kCzVNNcn+vbOPuhJA==" spinCount="100000" sqref="Q190" name="Rango2_2_5_86"/>
    <protectedRange algorithmName="SHA-512" hashValue="RQ91b7oAw60DVtcgB2vRpial2kSdzJx5guGCTYUwXYkKrtrUHfiYnLf9R+SNpYXlJDYpyEJLhcWwP0EqNN86dQ==" saltValue="W3RbH3zrcY9sy39xNwXNxg==" spinCount="100000" sqref="BA191:BI191 BV191:BY191" name="Rango2_88_99_90"/>
    <protectedRange algorithmName="SHA-512" hashValue="fMbmUM1DQ7FuAPRNvFL5mPdHUYjQnlLFhkuaxvHguaqR7aWyDxcmJs0jLYQfQKY+oyhsMb4Lew4VL6i7um3/ew==" saltValue="ydaTm0CeH8+/cYqoL/AMaQ==" spinCount="100000" sqref="AU191 AW191:AZ191" name="Rango2_88_91_86"/>
    <protectedRange algorithmName="SHA-512" hashValue="CHipOQaT63FWw628cQcXXJRZlrbNZ7OgmnEbDx38UmmH7z19GRYEzXFiVOzHAy1OAaAbST7g2bHZHDKQp2qm3w==" saltValue="iRVuL+373yLHv0ZHzS9qog==" spinCount="100000" sqref="AG191:AH191 AJ191 AL191" name="Rango2_88_7_5_90"/>
    <protectedRange algorithmName="SHA-512" hashValue="NkG6oHuDGvGBEiLAAq8MEJHEfLQUMyjihfH+DBXhT+eQW0r1yri7tOJEFRM9nbOejjjXiviq9RFo7KB7wF+xJA==" saltValue="bpjB0AAANu2X/PeR3eiFkA==" spinCount="100000" sqref="AM191:AS191" name="Rango2_88_65_87"/>
    <protectedRange algorithmName="SHA-512" hashValue="fPHvtIAf3pQeZUoAI9C2/vdXMHBpqqEq+67P5Ypyu4+9IWqs3yc9TZcMWQ0THLxUwqseQPyVvakuYFtCwJHsxA==" saltValue="QHIogSs2PrwAfdqa9PAOFQ==" spinCount="100000" sqref="AC191" name="Rango2_88_5_5_87"/>
    <protectedRange algorithmName="SHA-512" hashValue="LEEeiU6pKqm7TAP46VGlz0q+evvFwpT/0iLpRuWuQ7MacbP0OGL1/FSmrIEOg2rb6M+Jla2bPbVWiGag27j87w==" saltValue="HEVt+pS5OloNDlqSnzGLLw==" spinCount="100000" sqref="AI191" name="Rango2_8_7_87"/>
    <protectedRange algorithmName="SHA-512" hashValue="AYYX88LSDB6RDNMvSqt0KPGWPjBqTk56tMxTOlv5QD61MGTKAAQnSnudvNDWPN0Bbllh2qRQC+P5uq7goxjdrw==" saltValue="i/iPMewnks1FoXYOjKMEVg==" spinCount="100000" sqref="AB191" name="Rango2_87_6_87"/>
    <protectedRange algorithmName="SHA-512" hashValue="NUll9P9xh7KbSfMYpMxsRZLfDw/y/AzW2LSWlpXVscBDqiAxmzo71xjs+a2lh+jRa7pceOC849slke4+ZKx8LA==" saltValue="8qbkKpQ+CiQuLnqgShNvXA==" spinCount="100000" sqref="T191" name="Rango2_88_6_87"/>
    <protectedRange algorithmName="SHA-512" hashValue="KHhv3JU/LRdRrRTxxkgFceEHPZ5UzadmpZRZR3zmQRnPvkUJZuanRafIJ+qde0IWwLZSvFIQDyUAHq6v6k7XIg==" saltValue="2GKG1kCzVNNcn+vbOPuhJA==" spinCount="100000" sqref="Q191" name="Rango2_2_5_87"/>
    <protectedRange algorithmName="SHA-512" hashValue="RQ91b7oAw60DVtcgB2vRpial2kSdzJx5guGCTYUwXYkKrtrUHfiYnLf9R+SNpYXlJDYpyEJLhcWwP0EqNN86dQ==" saltValue="W3RbH3zrcY9sy39xNwXNxg==" spinCount="100000" sqref="BA192:BI192 BV192:BY192" name="Rango2_88_99_91"/>
    <protectedRange algorithmName="SHA-512" hashValue="fMbmUM1DQ7FuAPRNvFL5mPdHUYjQnlLFhkuaxvHguaqR7aWyDxcmJs0jLYQfQKY+oyhsMb4Lew4VL6i7um3/ew==" saltValue="ydaTm0CeH8+/cYqoL/AMaQ==" spinCount="100000" sqref="AU192 AW192:AZ192" name="Rango2_88_91_87"/>
    <protectedRange algorithmName="SHA-512" hashValue="CHipOQaT63FWw628cQcXXJRZlrbNZ7OgmnEbDx38UmmH7z19GRYEzXFiVOzHAy1OAaAbST7g2bHZHDKQp2qm3w==" saltValue="iRVuL+373yLHv0ZHzS9qog==" spinCount="100000" sqref="AG192:AH192 AJ192 AL192" name="Rango2_88_7_5_91"/>
    <protectedRange algorithmName="SHA-512" hashValue="NkG6oHuDGvGBEiLAAq8MEJHEfLQUMyjihfH+DBXhT+eQW0r1yri7tOJEFRM9nbOejjjXiviq9RFo7KB7wF+xJA==" saltValue="bpjB0AAANu2X/PeR3eiFkA==" spinCount="100000" sqref="AM192:AS192" name="Rango2_88_65_88"/>
    <protectedRange algorithmName="SHA-512" hashValue="fPHvtIAf3pQeZUoAI9C2/vdXMHBpqqEq+67P5Ypyu4+9IWqs3yc9TZcMWQ0THLxUwqseQPyVvakuYFtCwJHsxA==" saltValue="QHIogSs2PrwAfdqa9PAOFQ==" spinCount="100000" sqref="AC192" name="Rango2_88_5_5_88"/>
    <protectedRange algorithmName="SHA-512" hashValue="LEEeiU6pKqm7TAP46VGlz0q+evvFwpT/0iLpRuWuQ7MacbP0OGL1/FSmrIEOg2rb6M+Jla2bPbVWiGag27j87w==" saltValue="HEVt+pS5OloNDlqSnzGLLw==" spinCount="100000" sqref="AI192" name="Rango2_8_7_88"/>
    <protectedRange algorithmName="SHA-512" hashValue="AYYX88LSDB6RDNMvSqt0KPGWPjBqTk56tMxTOlv5QD61MGTKAAQnSnudvNDWPN0Bbllh2qRQC+P5uq7goxjdrw==" saltValue="i/iPMewnks1FoXYOjKMEVg==" spinCount="100000" sqref="AB192" name="Rango2_87_6_88"/>
    <protectedRange algorithmName="SHA-512" hashValue="NUll9P9xh7KbSfMYpMxsRZLfDw/y/AzW2LSWlpXVscBDqiAxmzo71xjs+a2lh+jRa7pceOC849slke4+ZKx8LA==" saltValue="8qbkKpQ+CiQuLnqgShNvXA==" spinCount="100000" sqref="T192" name="Rango2_88_6_88"/>
    <protectedRange algorithmName="SHA-512" hashValue="KHhv3JU/LRdRrRTxxkgFceEHPZ5UzadmpZRZR3zmQRnPvkUJZuanRafIJ+qde0IWwLZSvFIQDyUAHq6v6k7XIg==" saltValue="2GKG1kCzVNNcn+vbOPuhJA==" spinCount="100000" sqref="Q192" name="Rango2_2_5_88"/>
    <protectedRange algorithmName="SHA-512" hashValue="RQ91b7oAw60DVtcgB2vRpial2kSdzJx5guGCTYUwXYkKrtrUHfiYnLf9R+SNpYXlJDYpyEJLhcWwP0EqNN86dQ==" saltValue="W3RbH3zrcY9sy39xNwXNxg==" spinCount="100000" sqref="BA193:BI193 BV193:BY193" name="Rango2_88_99_92"/>
    <protectedRange algorithmName="SHA-512" hashValue="fMbmUM1DQ7FuAPRNvFL5mPdHUYjQnlLFhkuaxvHguaqR7aWyDxcmJs0jLYQfQKY+oyhsMb4Lew4VL6i7um3/ew==" saltValue="ydaTm0CeH8+/cYqoL/AMaQ==" spinCount="100000" sqref="AU193 AW193:AZ193" name="Rango2_88_91_88"/>
    <protectedRange algorithmName="SHA-512" hashValue="CHipOQaT63FWw628cQcXXJRZlrbNZ7OgmnEbDx38UmmH7z19GRYEzXFiVOzHAy1OAaAbST7g2bHZHDKQp2qm3w==" saltValue="iRVuL+373yLHv0ZHzS9qog==" spinCount="100000" sqref="AG193:AH193 AJ193 AL193" name="Rango2_88_7_5_92"/>
    <protectedRange algorithmName="SHA-512" hashValue="NkG6oHuDGvGBEiLAAq8MEJHEfLQUMyjihfH+DBXhT+eQW0r1yri7tOJEFRM9nbOejjjXiviq9RFo7KB7wF+xJA==" saltValue="bpjB0AAANu2X/PeR3eiFkA==" spinCount="100000" sqref="AM193:AS193" name="Rango2_88_65_89"/>
    <protectedRange algorithmName="SHA-512" hashValue="fPHvtIAf3pQeZUoAI9C2/vdXMHBpqqEq+67P5Ypyu4+9IWqs3yc9TZcMWQ0THLxUwqseQPyVvakuYFtCwJHsxA==" saltValue="QHIogSs2PrwAfdqa9PAOFQ==" spinCount="100000" sqref="AC193" name="Rango2_88_5_5_89"/>
    <protectedRange algorithmName="SHA-512" hashValue="LEEeiU6pKqm7TAP46VGlz0q+evvFwpT/0iLpRuWuQ7MacbP0OGL1/FSmrIEOg2rb6M+Jla2bPbVWiGag27j87w==" saltValue="HEVt+pS5OloNDlqSnzGLLw==" spinCount="100000" sqref="AI193" name="Rango2_8_7_89"/>
    <protectedRange algorithmName="SHA-512" hashValue="AYYX88LSDB6RDNMvSqt0KPGWPjBqTk56tMxTOlv5QD61MGTKAAQnSnudvNDWPN0Bbllh2qRQC+P5uq7goxjdrw==" saltValue="i/iPMewnks1FoXYOjKMEVg==" spinCount="100000" sqref="AB193" name="Rango2_87_6_89"/>
    <protectedRange algorithmName="SHA-512" hashValue="NUll9P9xh7KbSfMYpMxsRZLfDw/y/AzW2LSWlpXVscBDqiAxmzo71xjs+a2lh+jRa7pceOC849slke4+ZKx8LA==" saltValue="8qbkKpQ+CiQuLnqgShNvXA==" spinCount="100000" sqref="T193" name="Rango2_88_6_89"/>
    <protectedRange algorithmName="SHA-512" hashValue="KHhv3JU/LRdRrRTxxkgFceEHPZ5UzadmpZRZR3zmQRnPvkUJZuanRafIJ+qde0IWwLZSvFIQDyUAHq6v6k7XIg==" saltValue="2GKG1kCzVNNcn+vbOPuhJA==" spinCount="100000" sqref="Q193" name="Rango2_2_5_89"/>
    <protectedRange algorithmName="SHA-512" hashValue="RQ91b7oAw60DVtcgB2vRpial2kSdzJx5guGCTYUwXYkKrtrUHfiYnLf9R+SNpYXlJDYpyEJLhcWwP0EqNN86dQ==" saltValue="W3RbH3zrcY9sy39xNwXNxg==" spinCount="100000" sqref="BA194:BI195 BV194:BY195" name="Rango2_88_99_93"/>
    <protectedRange algorithmName="SHA-512" hashValue="fMbmUM1DQ7FuAPRNvFL5mPdHUYjQnlLFhkuaxvHguaqR7aWyDxcmJs0jLYQfQKY+oyhsMb4Lew4VL6i7um3/ew==" saltValue="ydaTm0CeH8+/cYqoL/AMaQ==" spinCount="100000" sqref="AU194:AU195 AW194:AZ195" name="Rango2_88_91_89"/>
    <protectedRange algorithmName="SHA-512" hashValue="CHipOQaT63FWw628cQcXXJRZlrbNZ7OgmnEbDx38UmmH7z19GRYEzXFiVOzHAy1OAaAbST7g2bHZHDKQp2qm3w==" saltValue="iRVuL+373yLHv0ZHzS9qog==" spinCount="100000" sqref="AG194:AH195 AJ194:AJ195 AL194:AL195" name="Rango2_88_7_5_93"/>
    <protectedRange algorithmName="SHA-512" hashValue="NkG6oHuDGvGBEiLAAq8MEJHEfLQUMyjihfH+DBXhT+eQW0r1yri7tOJEFRM9nbOejjjXiviq9RFo7KB7wF+xJA==" saltValue="bpjB0AAANu2X/PeR3eiFkA==" spinCount="100000" sqref="AM194:AS195" name="Rango2_88_65_90"/>
    <protectedRange algorithmName="SHA-512" hashValue="fPHvtIAf3pQeZUoAI9C2/vdXMHBpqqEq+67P5Ypyu4+9IWqs3yc9TZcMWQ0THLxUwqseQPyVvakuYFtCwJHsxA==" saltValue="QHIogSs2PrwAfdqa9PAOFQ==" spinCount="100000" sqref="AC194:AC195" name="Rango2_88_5_5_90"/>
    <protectedRange algorithmName="SHA-512" hashValue="LEEeiU6pKqm7TAP46VGlz0q+evvFwpT/0iLpRuWuQ7MacbP0OGL1/FSmrIEOg2rb6M+Jla2bPbVWiGag27j87w==" saltValue="HEVt+pS5OloNDlqSnzGLLw==" spinCount="100000" sqref="AI194:AI195" name="Rango2_8_7_90"/>
    <protectedRange algorithmName="SHA-512" hashValue="AYYX88LSDB6RDNMvSqt0KPGWPjBqTk56tMxTOlv5QD61MGTKAAQnSnudvNDWPN0Bbllh2qRQC+P5uq7goxjdrw==" saltValue="i/iPMewnks1FoXYOjKMEVg==" spinCount="100000" sqref="AB194:AB195" name="Rango2_87_6_90"/>
    <protectedRange algorithmName="SHA-512" hashValue="NUll9P9xh7KbSfMYpMxsRZLfDw/y/AzW2LSWlpXVscBDqiAxmzo71xjs+a2lh+jRa7pceOC849slke4+ZKx8LA==" saltValue="8qbkKpQ+CiQuLnqgShNvXA==" spinCount="100000" sqref="T194:T195" name="Rango2_88_6_90"/>
    <protectedRange algorithmName="SHA-512" hashValue="KHhv3JU/LRdRrRTxxkgFceEHPZ5UzadmpZRZR3zmQRnPvkUJZuanRafIJ+qde0IWwLZSvFIQDyUAHq6v6k7XIg==" saltValue="2GKG1kCzVNNcn+vbOPuhJA==" spinCount="100000" sqref="Q194:Q195" name="Rango2_2_5_90"/>
    <protectedRange algorithmName="SHA-512" hashValue="RQ91b7oAw60DVtcgB2vRpial2kSdzJx5guGCTYUwXYkKrtrUHfiYnLf9R+SNpYXlJDYpyEJLhcWwP0EqNN86dQ==" saltValue="W3RbH3zrcY9sy39xNwXNxg==" spinCount="100000" sqref="BA196:BI197 BV196:BY197" name="Rango2_88_99_94"/>
    <protectedRange algorithmName="SHA-512" hashValue="fMbmUM1DQ7FuAPRNvFL5mPdHUYjQnlLFhkuaxvHguaqR7aWyDxcmJs0jLYQfQKY+oyhsMb4Lew4VL6i7um3/ew==" saltValue="ydaTm0CeH8+/cYqoL/AMaQ==" spinCount="100000" sqref="AU196:AU197 AW196:AZ197" name="Rango2_88_91_90"/>
    <protectedRange algorithmName="SHA-512" hashValue="CHipOQaT63FWw628cQcXXJRZlrbNZ7OgmnEbDx38UmmH7z19GRYEzXFiVOzHAy1OAaAbST7g2bHZHDKQp2qm3w==" saltValue="iRVuL+373yLHv0ZHzS9qog==" spinCount="100000" sqref="AG196:AH197 AJ196:AJ197 AL196:AL197" name="Rango2_88_7_5_94"/>
    <protectedRange algorithmName="SHA-512" hashValue="NkG6oHuDGvGBEiLAAq8MEJHEfLQUMyjihfH+DBXhT+eQW0r1yri7tOJEFRM9nbOejjjXiviq9RFo7KB7wF+xJA==" saltValue="bpjB0AAANu2X/PeR3eiFkA==" spinCount="100000" sqref="AM196:AS197" name="Rango2_88_65_91"/>
    <protectedRange algorithmName="SHA-512" hashValue="fPHvtIAf3pQeZUoAI9C2/vdXMHBpqqEq+67P5Ypyu4+9IWqs3yc9TZcMWQ0THLxUwqseQPyVvakuYFtCwJHsxA==" saltValue="QHIogSs2PrwAfdqa9PAOFQ==" spinCount="100000" sqref="AC196:AC197" name="Rango2_88_5_5_91"/>
    <protectedRange algorithmName="SHA-512" hashValue="LEEeiU6pKqm7TAP46VGlz0q+evvFwpT/0iLpRuWuQ7MacbP0OGL1/FSmrIEOg2rb6M+Jla2bPbVWiGag27j87w==" saltValue="HEVt+pS5OloNDlqSnzGLLw==" spinCount="100000" sqref="AI196:AI197" name="Rango2_8_7_91"/>
    <protectedRange algorithmName="SHA-512" hashValue="AYYX88LSDB6RDNMvSqt0KPGWPjBqTk56tMxTOlv5QD61MGTKAAQnSnudvNDWPN0Bbllh2qRQC+P5uq7goxjdrw==" saltValue="i/iPMewnks1FoXYOjKMEVg==" spinCount="100000" sqref="AB196:AB197" name="Rango2_87_6_91"/>
    <protectedRange algorithmName="SHA-512" hashValue="NUll9P9xh7KbSfMYpMxsRZLfDw/y/AzW2LSWlpXVscBDqiAxmzo71xjs+a2lh+jRa7pceOC849slke4+ZKx8LA==" saltValue="8qbkKpQ+CiQuLnqgShNvXA==" spinCount="100000" sqref="T196:T197" name="Rango2_88_6_91"/>
    <protectedRange algorithmName="SHA-512" hashValue="KHhv3JU/LRdRrRTxxkgFceEHPZ5UzadmpZRZR3zmQRnPvkUJZuanRafIJ+qde0IWwLZSvFIQDyUAHq6v6k7XIg==" saltValue="2GKG1kCzVNNcn+vbOPuhJA==" spinCount="100000" sqref="Q196:Q197" name="Rango2_2_5_91"/>
    <protectedRange algorithmName="SHA-512" hashValue="RQ91b7oAw60DVtcgB2vRpial2kSdzJx5guGCTYUwXYkKrtrUHfiYnLf9R+SNpYXlJDYpyEJLhcWwP0EqNN86dQ==" saltValue="W3RbH3zrcY9sy39xNwXNxg==" spinCount="100000" sqref="BA198:BI198 BV198:BY198" name="Rango2_88_99_95"/>
    <protectedRange algorithmName="SHA-512" hashValue="fMbmUM1DQ7FuAPRNvFL5mPdHUYjQnlLFhkuaxvHguaqR7aWyDxcmJs0jLYQfQKY+oyhsMb4Lew4VL6i7um3/ew==" saltValue="ydaTm0CeH8+/cYqoL/AMaQ==" spinCount="100000" sqref="AU198 AW198:AZ198" name="Rango2_88_91_91"/>
    <protectedRange algorithmName="SHA-512" hashValue="CHipOQaT63FWw628cQcXXJRZlrbNZ7OgmnEbDx38UmmH7z19GRYEzXFiVOzHAy1OAaAbST7g2bHZHDKQp2qm3w==" saltValue="iRVuL+373yLHv0ZHzS9qog==" spinCount="100000" sqref="AG198:AH198 AJ198 AL198" name="Rango2_88_7_5_95"/>
    <protectedRange algorithmName="SHA-512" hashValue="NkG6oHuDGvGBEiLAAq8MEJHEfLQUMyjihfH+DBXhT+eQW0r1yri7tOJEFRM9nbOejjjXiviq9RFo7KB7wF+xJA==" saltValue="bpjB0AAANu2X/PeR3eiFkA==" spinCount="100000" sqref="AM198:AS198" name="Rango2_88_65_92"/>
    <protectedRange algorithmName="SHA-512" hashValue="fPHvtIAf3pQeZUoAI9C2/vdXMHBpqqEq+67P5Ypyu4+9IWqs3yc9TZcMWQ0THLxUwqseQPyVvakuYFtCwJHsxA==" saltValue="QHIogSs2PrwAfdqa9PAOFQ==" spinCount="100000" sqref="AC198" name="Rango2_88_5_5_92"/>
    <protectedRange algorithmName="SHA-512" hashValue="LEEeiU6pKqm7TAP46VGlz0q+evvFwpT/0iLpRuWuQ7MacbP0OGL1/FSmrIEOg2rb6M+Jla2bPbVWiGag27j87w==" saltValue="HEVt+pS5OloNDlqSnzGLLw==" spinCount="100000" sqref="AI198" name="Rango2_8_7_92"/>
    <protectedRange algorithmName="SHA-512" hashValue="AYYX88LSDB6RDNMvSqt0KPGWPjBqTk56tMxTOlv5QD61MGTKAAQnSnudvNDWPN0Bbllh2qRQC+P5uq7goxjdrw==" saltValue="i/iPMewnks1FoXYOjKMEVg==" spinCount="100000" sqref="AB198" name="Rango2_87_6_92"/>
    <protectedRange algorithmName="SHA-512" hashValue="NUll9P9xh7KbSfMYpMxsRZLfDw/y/AzW2LSWlpXVscBDqiAxmzo71xjs+a2lh+jRa7pceOC849slke4+ZKx8LA==" saltValue="8qbkKpQ+CiQuLnqgShNvXA==" spinCount="100000" sqref="T198" name="Rango2_88_6_92"/>
    <protectedRange algorithmName="SHA-512" hashValue="KHhv3JU/LRdRrRTxxkgFceEHPZ5UzadmpZRZR3zmQRnPvkUJZuanRafIJ+qde0IWwLZSvFIQDyUAHq6v6k7XIg==" saltValue="2GKG1kCzVNNcn+vbOPuhJA==" spinCount="100000" sqref="Q198" name="Rango2_2_5_92"/>
    <protectedRange algorithmName="SHA-512" hashValue="RQ91b7oAw60DVtcgB2vRpial2kSdzJx5guGCTYUwXYkKrtrUHfiYnLf9R+SNpYXlJDYpyEJLhcWwP0EqNN86dQ==" saltValue="W3RbH3zrcY9sy39xNwXNxg==" spinCount="100000" sqref="BA199:BI199 BV199:BY199" name="Rango2_88_99_96"/>
    <protectedRange algorithmName="SHA-512" hashValue="fMbmUM1DQ7FuAPRNvFL5mPdHUYjQnlLFhkuaxvHguaqR7aWyDxcmJs0jLYQfQKY+oyhsMb4Lew4VL6i7um3/ew==" saltValue="ydaTm0CeH8+/cYqoL/AMaQ==" spinCount="100000" sqref="AU199 AW199:AZ199" name="Rango2_88_91_92"/>
    <protectedRange algorithmName="SHA-512" hashValue="CHipOQaT63FWw628cQcXXJRZlrbNZ7OgmnEbDx38UmmH7z19GRYEzXFiVOzHAy1OAaAbST7g2bHZHDKQp2qm3w==" saltValue="iRVuL+373yLHv0ZHzS9qog==" spinCount="100000" sqref="AG199:AH199 AJ199 AL199" name="Rango2_88_7_5_96"/>
    <protectedRange algorithmName="SHA-512" hashValue="NkG6oHuDGvGBEiLAAq8MEJHEfLQUMyjihfH+DBXhT+eQW0r1yri7tOJEFRM9nbOejjjXiviq9RFo7KB7wF+xJA==" saltValue="bpjB0AAANu2X/PeR3eiFkA==" spinCount="100000" sqref="AM199:AS199" name="Rango2_88_65_93"/>
    <protectedRange algorithmName="SHA-512" hashValue="fPHvtIAf3pQeZUoAI9C2/vdXMHBpqqEq+67P5Ypyu4+9IWqs3yc9TZcMWQ0THLxUwqseQPyVvakuYFtCwJHsxA==" saltValue="QHIogSs2PrwAfdqa9PAOFQ==" spinCount="100000" sqref="AC199" name="Rango2_88_5_5_93"/>
    <protectedRange algorithmName="SHA-512" hashValue="LEEeiU6pKqm7TAP46VGlz0q+evvFwpT/0iLpRuWuQ7MacbP0OGL1/FSmrIEOg2rb6M+Jla2bPbVWiGag27j87w==" saltValue="HEVt+pS5OloNDlqSnzGLLw==" spinCount="100000" sqref="AI199" name="Rango2_8_7_93"/>
    <protectedRange algorithmName="SHA-512" hashValue="AYYX88LSDB6RDNMvSqt0KPGWPjBqTk56tMxTOlv5QD61MGTKAAQnSnudvNDWPN0Bbllh2qRQC+P5uq7goxjdrw==" saltValue="i/iPMewnks1FoXYOjKMEVg==" spinCount="100000" sqref="AB199" name="Rango2_87_6_93"/>
    <protectedRange algorithmName="SHA-512" hashValue="NUll9P9xh7KbSfMYpMxsRZLfDw/y/AzW2LSWlpXVscBDqiAxmzo71xjs+a2lh+jRa7pceOC849slke4+ZKx8LA==" saltValue="8qbkKpQ+CiQuLnqgShNvXA==" spinCount="100000" sqref="T199" name="Rango2_88_6_93"/>
    <protectedRange algorithmName="SHA-512" hashValue="KHhv3JU/LRdRrRTxxkgFceEHPZ5UzadmpZRZR3zmQRnPvkUJZuanRafIJ+qde0IWwLZSvFIQDyUAHq6v6k7XIg==" saltValue="2GKG1kCzVNNcn+vbOPuhJA==" spinCount="100000" sqref="Q199" name="Rango2_2_5_93"/>
    <protectedRange algorithmName="SHA-512" hashValue="RQ91b7oAw60DVtcgB2vRpial2kSdzJx5guGCTYUwXYkKrtrUHfiYnLf9R+SNpYXlJDYpyEJLhcWwP0EqNN86dQ==" saltValue="W3RbH3zrcY9sy39xNwXNxg==" spinCount="100000" sqref="BA200:BI200 BV200:BY200" name="Rango2_88_99_97"/>
    <protectedRange algorithmName="SHA-512" hashValue="fMbmUM1DQ7FuAPRNvFL5mPdHUYjQnlLFhkuaxvHguaqR7aWyDxcmJs0jLYQfQKY+oyhsMb4Lew4VL6i7um3/ew==" saltValue="ydaTm0CeH8+/cYqoL/AMaQ==" spinCount="100000" sqref="AU200 AW200:AZ200" name="Rango2_88_91_93"/>
    <protectedRange algorithmName="SHA-512" hashValue="CHipOQaT63FWw628cQcXXJRZlrbNZ7OgmnEbDx38UmmH7z19GRYEzXFiVOzHAy1OAaAbST7g2bHZHDKQp2qm3w==" saltValue="iRVuL+373yLHv0ZHzS9qog==" spinCount="100000" sqref="AG200:AH200 AJ200 AL200" name="Rango2_88_7_5_97"/>
    <protectedRange algorithmName="SHA-512" hashValue="NkG6oHuDGvGBEiLAAq8MEJHEfLQUMyjihfH+DBXhT+eQW0r1yri7tOJEFRM9nbOejjjXiviq9RFo7KB7wF+xJA==" saltValue="bpjB0AAANu2X/PeR3eiFkA==" spinCount="100000" sqref="AM200:AS200" name="Rango2_88_65_94"/>
    <protectedRange algorithmName="SHA-512" hashValue="fPHvtIAf3pQeZUoAI9C2/vdXMHBpqqEq+67P5Ypyu4+9IWqs3yc9TZcMWQ0THLxUwqseQPyVvakuYFtCwJHsxA==" saltValue="QHIogSs2PrwAfdqa9PAOFQ==" spinCount="100000" sqref="AC200" name="Rango2_88_5_5_94"/>
    <protectedRange algorithmName="SHA-512" hashValue="LEEeiU6pKqm7TAP46VGlz0q+evvFwpT/0iLpRuWuQ7MacbP0OGL1/FSmrIEOg2rb6M+Jla2bPbVWiGag27j87w==" saltValue="HEVt+pS5OloNDlqSnzGLLw==" spinCount="100000" sqref="AI200" name="Rango2_8_7_94"/>
    <protectedRange algorithmName="SHA-512" hashValue="AYYX88LSDB6RDNMvSqt0KPGWPjBqTk56tMxTOlv5QD61MGTKAAQnSnudvNDWPN0Bbllh2qRQC+P5uq7goxjdrw==" saltValue="i/iPMewnks1FoXYOjKMEVg==" spinCount="100000" sqref="AB200" name="Rango2_87_6_94"/>
    <protectedRange algorithmName="SHA-512" hashValue="NUll9P9xh7KbSfMYpMxsRZLfDw/y/AzW2LSWlpXVscBDqiAxmzo71xjs+a2lh+jRa7pceOC849slke4+ZKx8LA==" saltValue="8qbkKpQ+CiQuLnqgShNvXA==" spinCount="100000" sqref="T200" name="Rango2_88_6_94"/>
    <protectedRange algorithmName="SHA-512" hashValue="KHhv3JU/LRdRrRTxxkgFceEHPZ5UzadmpZRZR3zmQRnPvkUJZuanRafIJ+qde0IWwLZSvFIQDyUAHq6v6k7XIg==" saltValue="2GKG1kCzVNNcn+vbOPuhJA==" spinCount="100000" sqref="Q200" name="Rango2_2_5_94"/>
    <protectedRange algorithmName="SHA-512" hashValue="RQ91b7oAw60DVtcgB2vRpial2kSdzJx5guGCTYUwXYkKrtrUHfiYnLf9R+SNpYXlJDYpyEJLhcWwP0EqNN86dQ==" saltValue="W3RbH3zrcY9sy39xNwXNxg==" spinCount="100000" sqref="BA201:BI201 BV201:BY201" name="Rango2_88_99_98"/>
    <protectedRange algorithmName="SHA-512" hashValue="fMbmUM1DQ7FuAPRNvFL5mPdHUYjQnlLFhkuaxvHguaqR7aWyDxcmJs0jLYQfQKY+oyhsMb4Lew4VL6i7um3/ew==" saltValue="ydaTm0CeH8+/cYqoL/AMaQ==" spinCount="100000" sqref="AU201 AW201:AZ201" name="Rango2_88_91_94"/>
    <protectedRange algorithmName="SHA-512" hashValue="CHipOQaT63FWw628cQcXXJRZlrbNZ7OgmnEbDx38UmmH7z19GRYEzXFiVOzHAy1OAaAbST7g2bHZHDKQp2qm3w==" saltValue="iRVuL+373yLHv0ZHzS9qog==" spinCount="100000" sqref="AG201:AH201 AJ201 AL201" name="Rango2_88_7_5_98"/>
    <protectedRange algorithmName="SHA-512" hashValue="NkG6oHuDGvGBEiLAAq8MEJHEfLQUMyjihfH+DBXhT+eQW0r1yri7tOJEFRM9nbOejjjXiviq9RFo7KB7wF+xJA==" saltValue="bpjB0AAANu2X/PeR3eiFkA==" spinCount="100000" sqref="AM201:AS201" name="Rango2_88_65_95"/>
    <protectedRange algorithmName="SHA-512" hashValue="fPHvtIAf3pQeZUoAI9C2/vdXMHBpqqEq+67P5Ypyu4+9IWqs3yc9TZcMWQ0THLxUwqseQPyVvakuYFtCwJHsxA==" saltValue="QHIogSs2PrwAfdqa9PAOFQ==" spinCount="100000" sqref="AC201" name="Rango2_88_5_5_95"/>
    <protectedRange algorithmName="SHA-512" hashValue="LEEeiU6pKqm7TAP46VGlz0q+evvFwpT/0iLpRuWuQ7MacbP0OGL1/FSmrIEOg2rb6M+Jla2bPbVWiGag27j87w==" saltValue="HEVt+pS5OloNDlqSnzGLLw==" spinCount="100000" sqref="AI201" name="Rango2_8_7_95"/>
    <protectedRange algorithmName="SHA-512" hashValue="AYYX88LSDB6RDNMvSqt0KPGWPjBqTk56tMxTOlv5QD61MGTKAAQnSnudvNDWPN0Bbllh2qRQC+P5uq7goxjdrw==" saltValue="i/iPMewnks1FoXYOjKMEVg==" spinCount="100000" sqref="AB201" name="Rango2_87_6_95"/>
    <protectedRange algorithmName="SHA-512" hashValue="NUll9P9xh7KbSfMYpMxsRZLfDw/y/AzW2LSWlpXVscBDqiAxmzo71xjs+a2lh+jRa7pceOC849slke4+ZKx8LA==" saltValue="8qbkKpQ+CiQuLnqgShNvXA==" spinCount="100000" sqref="T201" name="Rango2_88_6_95"/>
    <protectedRange algorithmName="SHA-512" hashValue="KHhv3JU/LRdRrRTxxkgFceEHPZ5UzadmpZRZR3zmQRnPvkUJZuanRafIJ+qde0IWwLZSvFIQDyUAHq6v6k7XIg==" saltValue="2GKG1kCzVNNcn+vbOPuhJA==" spinCount="100000" sqref="Q201" name="Rango2_2_5_95"/>
    <protectedRange algorithmName="SHA-512" hashValue="RQ91b7oAw60DVtcgB2vRpial2kSdzJx5guGCTYUwXYkKrtrUHfiYnLf9R+SNpYXlJDYpyEJLhcWwP0EqNN86dQ==" saltValue="W3RbH3zrcY9sy39xNwXNxg==" spinCount="100000" sqref="BA202:BI202 BV202:BY202" name="Rango2_88_99_99"/>
    <protectedRange algorithmName="SHA-512" hashValue="fMbmUM1DQ7FuAPRNvFL5mPdHUYjQnlLFhkuaxvHguaqR7aWyDxcmJs0jLYQfQKY+oyhsMb4Lew4VL6i7um3/ew==" saltValue="ydaTm0CeH8+/cYqoL/AMaQ==" spinCount="100000" sqref="AU202 AW202:AZ202" name="Rango2_88_91_95"/>
    <protectedRange algorithmName="SHA-512" hashValue="CHipOQaT63FWw628cQcXXJRZlrbNZ7OgmnEbDx38UmmH7z19GRYEzXFiVOzHAy1OAaAbST7g2bHZHDKQp2qm3w==" saltValue="iRVuL+373yLHv0ZHzS9qog==" spinCount="100000" sqref="AG202:AH202 AJ202 AL202" name="Rango2_88_7_5_99"/>
    <protectedRange algorithmName="SHA-512" hashValue="NkG6oHuDGvGBEiLAAq8MEJHEfLQUMyjihfH+DBXhT+eQW0r1yri7tOJEFRM9nbOejjjXiviq9RFo7KB7wF+xJA==" saltValue="bpjB0AAANu2X/PeR3eiFkA==" spinCount="100000" sqref="AM202:AS202" name="Rango2_88_65_96"/>
    <protectedRange algorithmName="SHA-512" hashValue="fPHvtIAf3pQeZUoAI9C2/vdXMHBpqqEq+67P5Ypyu4+9IWqs3yc9TZcMWQ0THLxUwqseQPyVvakuYFtCwJHsxA==" saltValue="QHIogSs2PrwAfdqa9PAOFQ==" spinCount="100000" sqref="AC202" name="Rango2_88_5_5_96"/>
    <protectedRange algorithmName="SHA-512" hashValue="LEEeiU6pKqm7TAP46VGlz0q+evvFwpT/0iLpRuWuQ7MacbP0OGL1/FSmrIEOg2rb6M+Jla2bPbVWiGag27j87w==" saltValue="HEVt+pS5OloNDlqSnzGLLw==" spinCount="100000" sqref="AI202" name="Rango2_8_7_96"/>
    <protectedRange algorithmName="SHA-512" hashValue="AYYX88LSDB6RDNMvSqt0KPGWPjBqTk56tMxTOlv5QD61MGTKAAQnSnudvNDWPN0Bbllh2qRQC+P5uq7goxjdrw==" saltValue="i/iPMewnks1FoXYOjKMEVg==" spinCount="100000" sqref="AB202" name="Rango2_87_6_96"/>
    <protectedRange algorithmName="SHA-512" hashValue="NUll9P9xh7KbSfMYpMxsRZLfDw/y/AzW2LSWlpXVscBDqiAxmzo71xjs+a2lh+jRa7pceOC849slke4+ZKx8LA==" saltValue="8qbkKpQ+CiQuLnqgShNvXA==" spinCount="100000" sqref="T202" name="Rango2_88_6_96"/>
    <protectedRange algorithmName="SHA-512" hashValue="KHhv3JU/LRdRrRTxxkgFceEHPZ5UzadmpZRZR3zmQRnPvkUJZuanRafIJ+qde0IWwLZSvFIQDyUAHq6v6k7XIg==" saltValue="2GKG1kCzVNNcn+vbOPuhJA==" spinCount="100000" sqref="Q202" name="Rango2_2_5_96"/>
    <protectedRange algorithmName="SHA-512" hashValue="fMbmUM1DQ7FuAPRNvFL5mPdHUYjQnlLFhkuaxvHguaqR7aWyDxcmJs0jLYQfQKY+oyhsMb4Lew4VL6i7um3/ew==" saltValue="ydaTm0CeH8+/cYqoL/AMaQ==" spinCount="100000" sqref="AU203 AW203:AZ203" name="Rango2_88_91_96"/>
    <protectedRange algorithmName="SHA-512" hashValue="NkG6oHuDGvGBEiLAAq8MEJHEfLQUMyjihfH+DBXhT+eQW0r1yri7tOJEFRM9nbOejjjXiviq9RFo7KB7wF+xJA==" saltValue="bpjB0AAANu2X/PeR3eiFkA==" spinCount="100000" sqref="AM203:AS203" name="Rango2_88_65_97"/>
    <protectedRange algorithmName="SHA-512" hashValue="fPHvtIAf3pQeZUoAI9C2/vdXMHBpqqEq+67P5Ypyu4+9IWqs3yc9TZcMWQ0THLxUwqseQPyVvakuYFtCwJHsxA==" saltValue="QHIogSs2PrwAfdqa9PAOFQ==" spinCount="100000" sqref="AC203" name="Rango2_88_5_5_97"/>
    <protectedRange algorithmName="SHA-512" hashValue="LEEeiU6pKqm7TAP46VGlz0q+evvFwpT/0iLpRuWuQ7MacbP0OGL1/FSmrIEOg2rb6M+Jla2bPbVWiGag27j87w==" saltValue="HEVt+pS5OloNDlqSnzGLLw==" spinCount="100000" sqref="AI203" name="Rango2_8_7_97"/>
    <protectedRange algorithmName="SHA-512" hashValue="AYYX88LSDB6RDNMvSqt0KPGWPjBqTk56tMxTOlv5QD61MGTKAAQnSnudvNDWPN0Bbllh2qRQC+P5uq7goxjdrw==" saltValue="i/iPMewnks1FoXYOjKMEVg==" spinCount="100000" sqref="AB203" name="Rango2_87_6_97"/>
    <protectedRange algorithmName="SHA-512" hashValue="NUll9P9xh7KbSfMYpMxsRZLfDw/y/AzW2LSWlpXVscBDqiAxmzo71xjs+a2lh+jRa7pceOC849slke4+ZKx8LA==" saltValue="8qbkKpQ+CiQuLnqgShNvXA==" spinCount="100000" sqref="T203" name="Rango2_88_6_97"/>
    <protectedRange algorithmName="SHA-512" hashValue="KHhv3JU/LRdRrRTxxkgFceEHPZ5UzadmpZRZR3zmQRnPvkUJZuanRafIJ+qde0IWwLZSvFIQDyUAHq6v6k7XIg==" saltValue="2GKG1kCzVNNcn+vbOPuhJA==" spinCount="100000" sqref="Q203" name="Rango2_2_5_97"/>
    <protectedRange algorithmName="SHA-512" hashValue="fMbmUM1DQ7FuAPRNvFL5mPdHUYjQnlLFhkuaxvHguaqR7aWyDxcmJs0jLYQfQKY+oyhsMb4Lew4VL6i7um3/ew==" saltValue="ydaTm0CeH8+/cYqoL/AMaQ==" spinCount="100000" sqref="AU204 AW204:AZ204" name="Rango2_88_91_97"/>
    <protectedRange algorithmName="SHA-512" hashValue="NkG6oHuDGvGBEiLAAq8MEJHEfLQUMyjihfH+DBXhT+eQW0r1yri7tOJEFRM9nbOejjjXiviq9RFo7KB7wF+xJA==" saltValue="bpjB0AAANu2X/PeR3eiFkA==" spinCount="100000" sqref="AM204:AS204" name="Rango2_88_65_98"/>
    <protectedRange algorithmName="SHA-512" hashValue="fPHvtIAf3pQeZUoAI9C2/vdXMHBpqqEq+67P5Ypyu4+9IWqs3yc9TZcMWQ0THLxUwqseQPyVvakuYFtCwJHsxA==" saltValue="QHIogSs2PrwAfdqa9PAOFQ==" spinCount="100000" sqref="AC204" name="Rango2_88_5_5_98"/>
    <protectedRange algorithmName="SHA-512" hashValue="LEEeiU6pKqm7TAP46VGlz0q+evvFwpT/0iLpRuWuQ7MacbP0OGL1/FSmrIEOg2rb6M+Jla2bPbVWiGag27j87w==" saltValue="HEVt+pS5OloNDlqSnzGLLw==" spinCount="100000" sqref="AI204" name="Rango2_8_7_98"/>
    <protectedRange algorithmName="SHA-512" hashValue="AYYX88LSDB6RDNMvSqt0KPGWPjBqTk56tMxTOlv5QD61MGTKAAQnSnudvNDWPN0Bbllh2qRQC+P5uq7goxjdrw==" saltValue="i/iPMewnks1FoXYOjKMEVg==" spinCount="100000" sqref="AB204" name="Rango2_87_6_98"/>
    <protectedRange algorithmName="SHA-512" hashValue="NUll9P9xh7KbSfMYpMxsRZLfDw/y/AzW2LSWlpXVscBDqiAxmzo71xjs+a2lh+jRa7pceOC849slke4+ZKx8LA==" saltValue="8qbkKpQ+CiQuLnqgShNvXA==" spinCount="100000" sqref="T204" name="Rango2_88_6_98"/>
    <protectedRange algorithmName="SHA-512" hashValue="KHhv3JU/LRdRrRTxxkgFceEHPZ5UzadmpZRZR3zmQRnPvkUJZuanRafIJ+qde0IWwLZSvFIQDyUAHq6v6k7XIg==" saltValue="2GKG1kCzVNNcn+vbOPuhJA==" spinCount="100000" sqref="Q204" name="Rango2_2_5_98"/>
    <protectedRange algorithmName="SHA-512" hashValue="fMbmUM1DQ7FuAPRNvFL5mPdHUYjQnlLFhkuaxvHguaqR7aWyDxcmJs0jLYQfQKY+oyhsMb4Lew4VL6i7um3/ew==" saltValue="ydaTm0CeH8+/cYqoL/AMaQ==" spinCount="100000" sqref="AU205:AU206 AW205:AZ206" name="Rango2_88_91_98"/>
    <protectedRange algorithmName="SHA-512" hashValue="NkG6oHuDGvGBEiLAAq8MEJHEfLQUMyjihfH+DBXhT+eQW0r1yri7tOJEFRM9nbOejjjXiviq9RFo7KB7wF+xJA==" saltValue="bpjB0AAANu2X/PeR3eiFkA==" spinCount="100000" sqref="AM205:AS206" name="Rango2_88_65_99"/>
    <protectedRange algorithmName="SHA-512" hashValue="fPHvtIAf3pQeZUoAI9C2/vdXMHBpqqEq+67P5Ypyu4+9IWqs3yc9TZcMWQ0THLxUwqseQPyVvakuYFtCwJHsxA==" saltValue="QHIogSs2PrwAfdqa9PAOFQ==" spinCount="100000" sqref="AC205:AC206" name="Rango2_88_5_5_99"/>
    <protectedRange algorithmName="SHA-512" hashValue="LEEeiU6pKqm7TAP46VGlz0q+evvFwpT/0iLpRuWuQ7MacbP0OGL1/FSmrIEOg2rb6M+Jla2bPbVWiGag27j87w==" saltValue="HEVt+pS5OloNDlqSnzGLLw==" spinCount="100000" sqref="AI205:AI206" name="Rango2_8_7_99"/>
    <protectedRange algorithmName="SHA-512" hashValue="AYYX88LSDB6RDNMvSqt0KPGWPjBqTk56tMxTOlv5QD61MGTKAAQnSnudvNDWPN0Bbllh2qRQC+P5uq7goxjdrw==" saltValue="i/iPMewnks1FoXYOjKMEVg==" spinCount="100000" sqref="AB205:AB206" name="Rango2_87_6_99"/>
    <protectedRange algorithmName="SHA-512" hashValue="NUll9P9xh7KbSfMYpMxsRZLfDw/y/AzW2LSWlpXVscBDqiAxmzo71xjs+a2lh+jRa7pceOC849slke4+ZKx8LA==" saltValue="8qbkKpQ+CiQuLnqgShNvXA==" spinCount="100000" sqref="T205:T206" name="Rango2_88_6_99"/>
    <protectedRange algorithmName="SHA-512" hashValue="KHhv3JU/LRdRrRTxxkgFceEHPZ5UzadmpZRZR3zmQRnPvkUJZuanRafIJ+qde0IWwLZSvFIQDyUAHq6v6k7XIg==" saltValue="2GKG1kCzVNNcn+vbOPuhJA==" spinCount="100000" sqref="Q205:Q206" name="Rango2_2_5_99"/>
    <protectedRange algorithmName="SHA-512" hashValue="fMbmUM1DQ7FuAPRNvFL5mPdHUYjQnlLFhkuaxvHguaqR7aWyDxcmJs0jLYQfQKY+oyhsMb4Lew4VL6i7um3/ew==" saltValue="ydaTm0CeH8+/cYqoL/AMaQ==" spinCount="100000" sqref="AU207 AW207:AZ207" name="Rango2_88_91_99"/>
    <protectedRange algorithmName="SHA-512" hashValue="Rgskw+AQdeJ5qbJdarzTa3SCkJfDGziy0Uan5N0F3IWn/H3Z/e+VcB56R7Nes7MPxNHewNP1sSSucVjz3iTLeA==" saltValue="qKZH3DnwaZHBzy3cBZo1qQ==" spinCount="100000" sqref="GF189" name="Rango2_31_28_84"/>
    <protectedRange algorithmName="SHA-512" hashValue="YXHanhqXL0e4jPrzkCF8r/22WmlCviFUW909WKuG1JOcU0mp0/Huh0aP3EaGYxV2ep0WGu48HsShAy4Ka2uOiw==" saltValue="h/7U5iwJm7DLR4tRVfwZYw==" spinCount="100000" sqref="GI189 GC189" name="Rango2_33_92"/>
    <protectedRange algorithmName="SHA-512" hashValue="pL4tgTKqwEsWSIEGFTBd+4pvEhE7d5Q99Eijs+L/Y1rhA0saQGGRJw5Pv2HLOP0quglztFwB6WVnQ1YGxd4AiQ==" saltValue="IF5mhk2RcoEjrcYppes1VA==" spinCount="100000" sqref="FT189" name="Rango2_30_86"/>
    <protectedRange algorithmName="SHA-512" hashValue="Rgskw+AQdeJ5qbJdarzTa3SCkJfDGziy0Uan5N0F3IWn/H3Z/e+VcB56R7Nes7MPxNHewNP1sSSucVjz3iTLeA==" saltValue="qKZH3DnwaZHBzy3cBZo1qQ==" spinCount="100000" sqref="GF190" name="Rango2_31_28_85"/>
    <protectedRange algorithmName="SHA-512" hashValue="YXHanhqXL0e4jPrzkCF8r/22WmlCviFUW909WKuG1JOcU0mp0/Huh0aP3EaGYxV2ep0WGu48HsShAy4Ka2uOiw==" saltValue="h/7U5iwJm7DLR4tRVfwZYw==" spinCount="100000" sqref="GI190 GC190" name="Rango2_33_93"/>
    <protectedRange algorithmName="SHA-512" hashValue="pL4tgTKqwEsWSIEGFTBd+4pvEhE7d5Q99Eijs+L/Y1rhA0saQGGRJw5Pv2HLOP0quglztFwB6WVnQ1YGxd4AiQ==" saltValue="IF5mhk2RcoEjrcYppes1VA==" spinCount="100000" sqref="FT190" name="Rango2_30_87"/>
    <protectedRange algorithmName="SHA-512" hashValue="Rgskw+AQdeJ5qbJdarzTa3SCkJfDGziy0Uan5N0F3IWn/H3Z/e+VcB56R7Nes7MPxNHewNP1sSSucVjz3iTLeA==" saltValue="qKZH3DnwaZHBzy3cBZo1qQ==" spinCount="100000" sqref="GF191" name="Rango2_31_28_86"/>
    <protectedRange algorithmName="SHA-512" hashValue="YXHanhqXL0e4jPrzkCF8r/22WmlCviFUW909WKuG1JOcU0mp0/Huh0aP3EaGYxV2ep0WGu48HsShAy4Ka2uOiw==" saltValue="h/7U5iwJm7DLR4tRVfwZYw==" spinCount="100000" sqref="GI191 GC191" name="Rango2_33_94"/>
    <protectedRange algorithmName="SHA-512" hashValue="pL4tgTKqwEsWSIEGFTBd+4pvEhE7d5Q99Eijs+L/Y1rhA0saQGGRJw5Pv2HLOP0quglztFwB6WVnQ1YGxd4AiQ==" saltValue="IF5mhk2RcoEjrcYppes1VA==" spinCount="100000" sqref="FT191" name="Rango2_30_88"/>
    <protectedRange algorithmName="SHA-512" hashValue="Rgskw+AQdeJ5qbJdarzTa3SCkJfDGziy0Uan5N0F3IWn/H3Z/e+VcB56R7Nes7MPxNHewNP1sSSucVjz3iTLeA==" saltValue="qKZH3DnwaZHBzy3cBZo1qQ==" spinCount="100000" sqref="GF192" name="Rango2_31_28_87"/>
    <protectedRange algorithmName="SHA-512" hashValue="YXHanhqXL0e4jPrzkCF8r/22WmlCviFUW909WKuG1JOcU0mp0/Huh0aP3EaGYxV2ep0WGu48HsShAy4Ka2uOiw==" saltValue="h/7U5iwJm7DLR4tRVfwZYw==" spinCount="100000" sqref="GI192 GC192" name="Rango2_33_95"/>
    <protectedRange algorithmName="SHA-512" hashValue="pL4tgTKqwEsWSIEGFTBd+4pvEhE7d5Q99Eijs+L/Y1rhA0saQGGRJw5Pv2HLOP0quglztFwB6WVnQ1YGxd4AiQ==" saltValue="IF5mhk2RcoEjrcYppes1VA==" spinCount="100000" sqref="FT192" name="Rango2_30_89"/>
    <protectedRange algorithmName="SHA-512" hashValue="Rgskw+AQdeJ5qbJdarzTa3SCkJfDGziy0Uan5N0F3IWn/H3Z/e+VcB56R7Nes7MPxNHewNP1sSSucVjz3iTLeA==" saltValue="qKZH3DnwaZHBzy3cBZo1qQ==" spinCount="100000" sqref="GF193" name="Rango2_31_28_88"/>
    <protectedRange algorithmName="SHA-512" hashValue="YXHanhqXL0e4jPrzkCF8r/22WmlCviFUW909WKuG1JOcU0mp0/Huh0aP3EaGYxV2ep0WGu48HsShAy4Ka2uOiw==" saltValue="h/7U5iwJm7DLR4tRVfwZYw==" spinCount="100000" sqref="GI193 GC193" name="Rango2_33_96"/>
    <protectedRange algorithmName="SHA-512" hashValue="pL4tgTKqwEsWSIEGFTBd+4pvEhE7d5Q99Eijs+L/Y1rhA0saQGGRJw5Pv2HLOP0quglztFwB6WVnQ1YGxd4AiQ==" saltValue="IF5mhk2RcoEjrcYppes1VA==" spinCount="100000" sqref="FT193" name="Rango2_30_90"/>
    <protectedRange algorithmName="SHA-512" hashValue="Rgskw+AQdeJ5qbJdarzTa3SCkJfDGziy0Uan5N0F3IWn/H3Z/e+VcB56R7Nes7MPxNHewNP1sSSucVjz3iTLeA==" saltValue="qKZH3DnwaZHBzy3cBZo1qQ==" spinCount="100000" sqref="GF194:GF195" name="Rango2_31_28_89"/>
    <protectedRange algorithmName="SHA-512" hashValue="YXHanhqXL0e4jPrzkCF8r/22WmlCviFUW909WKuG1JOcU0mp0/Huh0aP3EaGYxV2ep0WGu48HsShAy4Ka2uOiw==" saltValue="h/7U5iwJm7DLR4tRVfwZYw==" spinCount="100000" sqref="GI194:GI195 GC194:GC195" name="Rango2_33_97"/>
    <protectedRange algorithmName="SHA-512" hashValue="pL4tgTKqwEsWSIEGFTBd+4pvEhE7d5Q99Eijs+L/Y1rhA0saQGGRJw5Pv2HLOP0quglztFwB6WVnQ1YGxd4AiQ==" saltValue="IF5mhk2RcoEjrcYppes1VA==" spinCount="100000" sqref="FT194:FT195" name="Rango2_30_91"/>
    <protectedRange algorithmName="SHA-512" hashValue="Rgskw+AQdeJ5qbJdarzTa3SCkJfDGziy0Uan5N0F3IWn/H3Z/e+VcB56R7Nes7MPxNHewNP1sSSucVjz3iTLeA==" saltValue="qKZH3DnwaZHBzy3cBZo1qQ==" spinCount="100000" sqref="GF196:GF197" name="Rango2_31_28_90"/>
    <protectedRange algorithmName="SHA-512" hashValue="YXHanhqXL0e4jPrzkCF8r/22WmlCviFUW909WKuG1JOcU0mp0/Huh0aP3EaGYxV2ep0WGu48HsShAy4Ka2uOiw==" saltValue="h/7U5iwJm7DLR4tRVfwZYw==" spinCount="100000" sqref="GI196:GI197 GC196:GC197" name="Rango2_33_98"/>
    <protectedRange algorithmName="SHA-512" hashValue="pL4tgTKqwEsWSIEGFTBd+4pvEhE7d5Q99Eijs+L/Y1rhA0saQGGRJw5Pv2HLOP0quglztFwB6WVnQ1YGxd4AiQ==" saltValue="IF5mhk2RcoEjrcYppes1VA==" spinCount="100000" sqref="FT196:FT197" name="Rango2_30_92"/>
    <protectedRange algorithmName="SHA-512" hashValue="Rgskw+AQdeJ5qbJdarzTa3SCkJfDGziy0Uan5N0F3IWn/H3Z/e+VcB56R7Nes7MPxNHewNP1sSSucVjz3iTLeA==" saltValue="qKZH3DnwaZHBzy3cBZo1qQ==" spinCount="100000" sqref="GF198" name="Rango2_31_28_91"/>
    <protectedRange algorithmName="SHA-512" hashValue="YXHanhqXL0e4jPrzkCF8r/22WmlCviFUW909WKuG1JOcU0mp0/Huh0aP3EaGYxV2ep0WGu48HsShAy4Ka2uOiw==" saltValue="h/7U5iwJm7DLR4tRVfwZYw==" spinCount="100000" sqref="GI198 GC198" name="Rango2_33_99"/>
    <protectedRange algorithmName="SHA-512" hashValue="pL4tgTKqwEsWSIEGFTBd+4pvEhE7d5Q99Eijs+L/Y1rhA0saQGGRJw5Pv2HLOP0quglztFwB6WVnQ1YGxd4AiQ==" saltValue="IF5mhk2RcoEjrcYppes1VA==" spinCount="100000" sqref="FT198" name="Rango2_30_93"/>
    <protectedRange algorithmName="SHA-512" hashValue="Rgskw+AQdeJ5qbJdarzTa3SCkJfDGziy0Uan5N0F3IWn/H3Z/e+VcB56R7Nes7MPxNHewNP1sSSucVjz3iTLeA==" saltValue="qKZH3DnwaZHBzy3cBZo1qQ==" spinCount="100000" sqref="GF199" name="Rango2_31_28_92"/>
    <protectedRange algorithmName="SHA-512" hashValue="pL4tgTKqwEsWSIEGFTBd+4pvEhE7d5Q99Eijs+L/Y1rhA0saQGGRJw5Pv2HLOP0quglztFwB6WVnQ1YGxd4AiQ==" saltValue="IF5mhk2RcoEjrcYppes1VA==" spinCount="100000" sqref="FT199" name="Rango2_30_94"/>
    <protectedRange algorithmName="SHA-512" hashValue="Rgskw+AQdeJ5qbJdarzTa3SCkJfDGziy0Uan5N0F3IWn/H3Z/e+VcB56R7Nes7MPxNHewNP1sSSucVjz3iTLeA==" saltValue="qKZH3DnwaZHBzy3cBZo1qQ==" spinCount="100000" sqref="GF200" name="Rango2_31_28_93"/>
    <protectedRange algorithmName="SHA-512" hashValue="pL4tgTKqwEsWSIEGFTBd+4pvEhE7d5Q99Eijs+L/Y1rhA0saQGGRJw5Pv2HLOP0quglztFwB6WVnQ1YGxd4AiQ==" saltValue="IF5mhk2RcoEjrcYppes1VA==" spinCount="100000" sqref="FT200" name="Rango2_30_95"/>
    <protectedRange algorithmName="SHA-512" hashValue="Rgskw+AQdeJ5qbJdarzTa3SCkJfDGziy0Uan5N0F3IWn/H3Z/e+VcB56R7Nes7MPxNHewNP1sSSucVjz3iTLeA==" saltValue="qKZH3DnwaZHBzy3cBZo1qQ==" spinCount="100000" sqref="GF201" name="Rango2_31_28_94"/>
    <protectedRange algorithmName="SHA-512" hashValue="pL4tgTKqwEsWSIEGFTBd+4pvEhE7d5Q99Eijs+L/Y1rhA0saQGGRJw5Pv2HLOP0quglztFwB6WVnQ1YGxd4AiQ==" saltValue="IF5mhk2RcoEjrcYppes1VA==" spinCount="100000" sqref="FT201" name="Rango2_30_96"/>
    <protectedRange algorithmName="SHA-512" hashValue="Rgskw+AQdeJ5qbJdarzTa3SCkJfDGziy0Uan5N0F3IWn/H3Z/e+VcB56R7Nes7MPxNHewNP1sSSucVjz3iTLeA==" saltValue="qKZH3DnwaZHBzy3cBZo1qQ==" spinCount="100000" sqref="GF202" name="Rango2_31_28_95"/>
    <protectedRange algorithmName="SHA-512" hashValue="pL4tgTKqwEsWSIEGFTBd+4pvEhE7d5Q99Eijs+L/Y1rhA0saQGGRJw5Pv2HLOP0quglztFwB6WVnQ1YGxd4AiQ==" saltValue="IF5mhk2RcoEjrcYppes1VA==" spinCount="100000" sqref="FT202" name="Rango2_30_97"/>
    <protectedRange algorithmName="SHA-512" hashValue="Rgskw+AQdeJ5qbJdarzTa3SCkJfDGziy0Uan5N0F3IWn/H3Z/e+VcB56R7Nes7MPxNHewNP1sSSucVjz3iTLeA==" saltValue="qKZH3DnwaZHBzy3cBZo1qQ==" spinCount="100000" sqref="GF203" name="Rango2_31_28_96"/>
    <protectedRange algorithmName="SHA-512" hashValue="pL4tgTKqwEsWSIEGFTBd+4pvEhE7d5Q99Eijs+L/Y1rhA0saQGGRJw5Pv2HLOP0quglztFwB6WVnQ1YGxd4AiQ==" saltValue="IF5mhk2RcoEjrcYppes1VA==" spinCount="100000" sqref="FT203" name="Rango2_30_98"/>
    <protectedRange algorithmName="SHA-512" hashValue="Rgskw+AQdeJ5qbJdarzTa3SCkJfDGziy0Uan5N0F3IWn/H3Z/e+VcB56R7Nes7MPxNHewNP1sSSucVjz3iTLeA==" saltValue="qKZH3DnwaZHBzy3cBZo1qQ==" spinCount="100000" sqref="GF204" name="Rango2_31_28_97"/>
    <protectedRange algorithmName="SHA-512" hashValue="pL4tgTKqwEsWSIEGFTBd+4pvEhE7d5Q99Eijs+L/Y1rhA0saQGGRJw5Pv2HLOP0quglztFwB6WVnQ1YGxd4AiQ==" saltValue="IF5mhk2RcoEjrcYppes1VA==" spinCount="100000" sqref="FT204" name="Rango2_30_99"/>
    <protectedRange algorithmName="SHA-512" hashValue="Rgskw+AQdeJ5qbJdarzTa3SCkJfDGziy0Uan5N0F3IWn/H3Z/e+VcB56R7Nes7MPxNHewNP1sSSucVjz3iTLeA==" saltValue="qKZH3DnwaZHBzy3cBZo1qQ==" spinCount="100000" sqref="GF205:GF206" name="Rango2_31_28_98"/>
    <protectedRange algorithmName="SHA-512" hashValue="Rgskw+AQdeJ5qbJdarzTa3SCkJfDGziy0Uan5N0F3IWn/H3Z/e+VcB56R7Nes7MPxNHewNP1sSSucVjz3iTLeA==" saltValue="qKZH3DnwaZHBzy3cBZo1qQ==" spinCount="100000" sqref="GF207" name="Rango2_31_28_99"/>
    <protectedRange algorithmName="SHA-512" hashValue="Gqwr8n5jYbCESAqCFk8dpOzViQICBV+k0xoqBoQaZ5lHaRlvT9TZDB4yXtm+qC6OhD064ZDBOFWkwo+LHXu1sg==" saltValue="gEL9PCN2ekF2IxW9yqAGYA==" spinCount="100000" sqref="IS189" name="Rango2_40_2_85"/>
    <protectedRange algorithmName="SHA-512" hashValue="D8TacORwT7iz0mF9GEucchnMHfB5er2FFjQsxyeWWyeJkM6Bt3gYQ3LbcHPxZXFpVAYtFOuTrzYOCJrlZDx16g==" saltValue="QtCzIBktdS4NZkOEGcLTRQ==" spinCount="100000" sqref="IW189" name="Rango2_41_85"/>
    <protectedRange algorithmName="SHA-512" hashValue="Gqwr8n5jYbCESAqCFk8dpOzViQICBV+k0xoqBoQaZ5lHaRlvT9TZDB4yXtm+qC6OhD064ZDBOFWkwo+LHXu1sg==" saltValue="gEL9PCN2ekF2IxW9yqAGYA==" spinCount="100000" sqref="IS190" name="Rango2_40_2_86"/>
    <protectedRange algorithmName="SHA-512" hashValue="D8TacORwT7iz0mF9GEucchnMHfB5er2FFjQsxyeWWyeJkM6Bt3gYQ3LbcHPxZXFpVAYtFOuTrzYOCJrlZDx16g==" saltValue="QtCzIBktdS4NZkOEGcLTRQ==" spinCount="100000" sqref="IW190" name="Rango2_41_86"/>
    <protectedRange algorithmName="SHA-512" hashValue="Gqwr8n5jYbCESAqCFk8dpOzViQICBV+k0xoqBoQaZ5lHaRlvT9TZDB4yXtm+qC6OhD064ZDBOFWkwo+LHXu1sg==" saltValue="gEL9PCN2ekF2IxW9yqAGYA==" spinCount="100000" sqref="IS191" name="Rango2_40_2_87"/>
    <protectedRange algorithmName="SHA-512" hashValue="D8TacORwT7iz0mF9GEucchnMHfB5er2FFjQsxyeWWyeJkM6Bt3gYQ3LbcHPxZXFpVAYtFOuTrzYOCJrlZDx16g==" saltValue="QtCzIBktdS4NZkOEGcLTRQ==" spinCount="100000" sqref="IW191" name="Rango2_41_87"/>
    <protectedRange algorithmName="SHA-512" hashValue="Gqwr8n5jYbCESAqCFk8dpOzViQICBV+k0xoqBoQaZ5lHaRlvT9TZDB4yXtm+qC6OhD064ZDBOFWkwo+LHXu1sg==" saltValue="gEL9PCN2ekF2IxW9yqAGYA==" spinCount="100000" sqref="IS192" name="Rango2_40_2_88"/>
    <protectedRange algorithmName="SHA-512" hashValue="D8TacORwT7iz0mF9GEucchnMHfB5er2FFjQsxyeWWyeJkM6Bt3gYQ3LbcHPxZXFpVAYtFOuTrzYOCJrlZDx16g==" saltValue="QtCzIBktdS4NZkOEGcLTRQ==" spinCount="100000" sqref="IW192" name="Rango2_41_88"/>
    <protectedRange algorithmName="SHA-512" hashValue="Gqwr8n5jYbCESAqCFk8dpOzViQICBV+k0xoqBoQaZ5lHaRlvT9TZDB4yXtm+qC6OhD064ZDBOFWkwo+LHXu1sg==" saltValue="gEL9PCN2ekF2IxW9yqAGYA==" spinCount="100000" sqref="IS193" name="Rango2_40_2_89"/>
    <protectedRange algorithmName="SHA-512" hashValue="D8TacORwT7iz0mF9GEucchnMHfB5er2FFjQsxyeWWyeJkM6Bt3gYQ3LbcHPxZXFpVAYtFOuTrzYOCJrlZDx16g==" saltValue="QtCzIBktdS4NZkOEGcLTRQ==" spinCount="100000" sqref="IW193" name="Rango2_41_89"/>
    <protectedRange algorithmName="SHA-512" hashValue="Gqwr8n5jYbCESAqCFk8dpOzViQICBV+k0xoqBoQaZ5lHaRlvT9TZDB4yXtm+qC6OhD064ZDBOFWkwo+LHXu1sg==" saltValue="gEL9PCN2ekF2IxW9yqAGYA==" spinCount="100000" sqref="IS194:IS195" name="Rango2_40_2_90"/>
    <protectedRange algorithmName="SHA-512" hashValue="D8TacORwT7iz0mF9GEucchnMHfB5er2FFjQsxyeWWyeJkM6Bt3gYQ3LbcHPxZXFpVAYtFOuTrzYOCJrlZDx16g==" saltValue="QtCzIBktdS4NZkOEGcLTRQ==" spinCount="100000" sqref="IW194:IW195" name="Rango2_41_90"/>
    <protectedRange algorithmName="SHA-512" hashValue="Gqwr8n5jYbCESAqCFk8dpOzViQICBV+k0xoqBoQaZ5lHaRlvT9TZDB4yXtm+qC6OhD064ZDBOFWkwo+LHXu1sg==" saltValue="gEL9PCN2ekF2IxW9yqAGYA==" spinCount="100000" sqref="IS196:IS197" name="Rango2_40_2_91"/>
    <protectedRange algorithmName="SHA-512" hashValue="D8TacORwT7iz0mF9GEucchnMHfB5er2FFjQsxyeWWyeJkM6Bt3gYQ3LbcHPxZXFpVAYtFOuTrzYOCJrlZDx16g==" saltValue="QtCzIBktdS4NZkOEGcLTRQ==" spinCount="100000" sqref="IW196:IW197" name="Rango2_41_91"/>
    <protectedRange algorithmName="SHA-512" hashValue="Gqwr8n5jYbCESAqCFk8dpOzViQICBV+k0xoqBoQaZ5lHaRlvT9TZDB4yXtm+qC6OhD064ZDBOFWkwo+LHXu1sg==" saltValue="gEL9PCN2ekF2IxW9yqAGYA==" spinCount="100000" sqref="IS198" name="Rango2_40_2_92"/>
    <protectedRange algorithmName="SHA-512" hashValue="D8TacORwT7iz0mF9GEucchnMHfB5er2FFjQsxyeWWyeJkM6Bt3gYQ3LbcHPxZXFpVAYtFOuTrzYOCJrlZDx16g==" saltValue="QtCzIBktdS4NZkOEGcLTRQ==" spinCount="100000" sqref="IW198" name="Rango2_41_92"/>
    <protectedRange algorithmName="SHA-512" hashValue="Gqwr8n5jYbCESAqCFk8dpOzViQICBV+k0xoqBoQaZ5lHaRlvT9TZDB4yXtm+qC6OhD064ZDBOFWkwo+LHXu1sg==" saltValue="gEL9PCN2ekF2IxW9yqAGYA==" spinCount="100000" sqref="IS199" name="Rango2_40_2_93"/>
    <protectedRange algorithmName="SHA-512" hashValue="D8TacORwT7iz0mF9GEucchnMHfB5er2FFjQsxyeWWyeJkM6Bt3gYQ3LbcHPxZXFpVAYtFOuTrzYOCJrlZDx16g==" saltValue="QtCzIBktdS4NZkOEGcLTRQ==" spinCount="100000" sqref="IW199" name="Rango2_41_93"/>
    <protectedRange algorithmName="SHA-512" hashValue="Gqwr8n5jYbCESAqCFk8dpOzViQICBV+k0xoqBoQaZ5lHaRlvT9TZDB4yXtm+qC6OhD064ZDBOFWkwo+LHXu1sg==" saltValue="gEL9PCN2ekF2IxW9yqAGYA==" spinCount="100000" sqref="IS200" name="Rango2_40_2_94"/>
    <protectedRange algorithmName="SHA-512" hashValue="D8TacORwT7iz0mF9GEucchnMHfB5er2FFjQsxyeWWyeJkM6Bt3gYQ3LbcHPxZXFpVAYtFOuTrzYOCJrlZDx16g==" saltValue="QtCzIBktdS4NZkOEGcLTRQ==" spinCount="100000" sqref="IW200" name="Rango2_41_94"/>
    <protectedRange algorithmName="SHA-512" hashValue="Gqwr8n5jYbCESAqCFk8dpOzViQICBV+k0xoqBoQaZ5lHaRlvT9TZDB4yXtm+qC6OhD064ZDBOFWkwo+LHXu1sg==" saltValue="gEL9PCN2ekF2IxW9yqAGYA==" spinCount="100000" sqref="IS201" name="Rango2_40_2_95"/>
    <protectedRange algorithmName="SHA-512" hashValue="D8TacORwT7iz0mF9GEucchnMHfB5er2FFjQsxyeWWyeJkM6Bt3gYQ3LbcHPxZXFpVAYtFOuTrzYOCJrlZDx16g==" saltValue="QtCzIBktdS4NZkOEGcLTRQ==" spinCount="100000" sqref="IW201" name="Rango2_41_95"/>
    <protectedRange algorithmName="SHA-512" hashValue="Gqwr8n5jYbCESAqCFk8dpOzViQICBV+k0xoqBoQaZ5lHaRlvT9TZDB4yXtm+qC6OhD064ZDBOFWkwo+LHXu1sg==" saltValue="gEL9PCN2ekF2IxW9yqAGYA==" spinCount="100000" sqref="IS202" name="Rango2_40_2_96"/>
    <protectedRange algorithmName="SHA-512" hashValue="D8TacORwT7iz0mF9GEucchnMHfB5er2FFjQsxyeWWyeJkM6Bt3gYQ3LbcHPxZXFpVAYtFOuTrzYOCJrlZDx16g==" saltValue="QtCzIBktdS4NZkOEGcLTRQ==" spinCount="100000" sqref="IW202" name="Rango2_41_96"/>
    <protectedRange algorithmName="SHA-512" hashValue="Gqwr8n5jYbCESAqCFk8dpOzViQICBV+k0xoqBoQaZ5lHaRlvT9TZDB4yXtm+qC6OhD064ZDBOFWkwo+LHXu1sg==" saltValue="gEL9PCN2ekF2IxW9yqAGYA==" spinCount="100000" sqref="IS203" name="Rango2_40_2_97"/>
    <protectedRange algorithmName="SHA-512" hashValue="D8TacORwT7iz0mF9GEucchnMHfB5er2FFjQsxyeWWyeJkM6Bt3gYQ3LbcHPxZXFpVAYtFOuTrzYOCJrlZDx16g==" saltValue="QtCzIBktdS4NZkOEGcLTRQ==" spinCount="100000" sqref="IW203" name="Rango2_41_97"/>
    <protectedRange algorithmName="SHA-512" hashValue="Gqwr8n5jYbCESAqCFk8dpOzViQICBV+k0xoqBoQaZ5lHaRlvT9TZDB4yXtm+qC6OhD064ZDBOFWkwo+LHXu1sg==" saltValue="gEL9PCN2ekF2IxW9yqAGYA==" spinCount="100000" sqref="IS204" name="Rango2_40_2_98"/>
    <protectedRange algorithmName="SHA-512" hashValue="D8TacORwT7iz0mF9GEucchnMHfB5er2FFjQsxyeWWyeJkM6Bt3gYQ3LbcHPxZXFpVAYtFOuTrzYOCJrlZDx16g==" saltValue="QtCzIBktdS4NZkOEGcLTRQ==" spinCount="100000" sqref="IW204" name="Rango2_41_98"/>
    <protectedRange algorithmName="SHA-512" hashValue="Gqwr8n5jYbCESAqCFk8dpOzViQICBV+k0xoqBoQaZ5lHaRlvT9TZDB4yXtm+qC6OhD064ZDBOFWkwo+LHXu1sg==" saltValue="gEL9PCN2ekF2IxW9yqAGYA==" spinCount="100000" sqref="IS205:IS206" name="Rango2_40_2_99"/>
    <protectedRange algorithmName="SHA-512" hashValue="D8TacORwT7iz0mF9GEucchnMHfB5er2FFjQsxyeWWyeJkM6Bt3gYQ3LbcHPxZXFpVAYtFOuTrzYOCJrlZDx16g==" saltValue="QtCzIBktdS4NZkOEGcLTRQ==" spinCount="100000" sqref="IW205:IW206" name="Rango2_41_99"/>
    <protectedRange algorithmName="SHA-512" hashValue="6a5oYwZw9WJcgjqXpleUXH8uaqNEuymPPpeOb7lKBc1WoM6IG/DNyDLWmj2lYwxnZO2yhl+B61kwrxD9m9AdhQ==" saltValue="tdNQPzLQd+n9Ww064QJIaQ==" spinCount="100000" sqref="I230" name="Rango2_61_96"/>
    <protectedRange algorithmName="SHA-512" hashValue="XM8+0Jh5zLWw02PI0Lt8dLqjTcW5ulySion19FAnruDN6QRp4UwcVqdfQxnOQAItgpWG7rNsELzjwy0iXOonxw==" saltValue="Sd4WFUedDfLKoMQTDrxJuQ==" spinCount="100000" sqref="K230" name="Rango2_88_4_4_96"/>
    <protectedRange algorithmName="SHA-512" hashValue="EMMPgE8t/az1rHHzaZAQIhz+GQV0k2O/tQGA96sJqEEMzz1efIRa4CcLzC7iY9CCscto3g7dwz41haOE28iXYg==" saltValue="CVzFsG4X4LXUMo7796PiDQ==" spinCount="100000" sqref="L230:M230 J230 B230:H230 C231:C264" name="Rango2_10_96"/>
    <protectedRange algorithmName="SHA-512" hashValue="6a5oYwZw9WJcgjqXpleUXH8uaqNEuymPPpeOb7lKBc1WoM6IG/DNyDLWmj2lYwxnZO2yhl+B61kwrxD9m9AdhQ==" saltValue="tdNQPzLQd+n9Ww064QJIaQ==" spinCount="100000" sqref="I231" name="Rango2_61_97"/>
    <protectedRange algorithmName="SHA-512" hashValue="XM8+0Jh5zLWw02PI0Lt8dLqjTcW5ulySion19FAnruDN6QRp4UwcVqdfQxnOQAItgpWG7rNsELzjwy0iXOonxw==" saltValue="Sd4WFUedDfLKoMQTDrxJuQ==" spinCount="100000" sqref="K231" name="Rango2_88_4_4_97"/>
    <protectedRange algorithmName="SHA-512" hashValue="EMMPgE8t/az1rHHzaZAQIhz+GQV0k2O/tQGA96sJqEEMzz1efIRa4CcLzC7iY9CCscto3g7dwz41haOE28iXYg==" saltValue="CVzFsG4X4LXUMo7796PiDQ==" spinCount="100000" sqref="L231:M231 J231 B231 D231:H231" name="Rango2_10_97"/>
    <protectedRange algorithmName="SHA-512" hashValue="6a5oYwZw9WJcgjqXpleUXH8uaqNEuymPPpeOb7lKBc1WoM6IG/DNyDLWmj2lYwxnZO2yhl+B61kwrxD9m9AdhQ==" saltValue="tdNQPzLQd+n9Ww064QJIaQ==" spinCount="100000" sqref="I232" name="Rango2_61_98"/>
    <protectedRange algorithmName="SHA-512" hashValue="XM8+0Jh5zLWw02PI0Lt8dLqjTcW5ulySion19FAnruDN6QRp4UwcVqdfQxnOQAItgpWG7rNsELzjwy0iXOonxw==" saltValue="Sd4WFUedDfLKoMQTDrxJuQ==" spinCount="100000" sqref="K232" name="Rango2_88_4_4_98"/>
    <protectedRange algorithmName="SHA-512" hashValue="EMMPgE8t/az1rHHzaZAQIhz+GQV0k2O/tQGA96sJqEEMzz1efIRa4CcLzC7iY9CCscto3g7dwz41haOE28iXYg==" saltValue="CVzFsG4X4LXUMo7796PiDQ==" spinCount="100000" sqref="L232:M232 J232 B232 D232:H232" name="Rango2_10_98"/>
    <protectedRange algorithmName="SHA-512" hashValue="6a5oYwZw9WJcgjqXpleUXH8uaqNEuymPPpeOb7lKBc1WoM6IG/DNyDLWmj2lYwxnZO2yhl+B61kwrxD9m9AdhQ==" saltValue="tdNQPzLQd+n9Ww064QJIaQ==" spinCount="100000" sqref="I233:I234" name="Rango2_61_99"/>
    <protectedRange algorithmName="SHA-512" hashValue="XM8+0Jh5zLWw02PI0Lt8dLqjTcW5ulySion19FAnruDN6QRp4UwcVqdfQxnOQAItgpWG7rNsELzjwy0iXOonxw==" saltValue="Sd4WFUedDfLKoMQTDrxJuQ==" spinCount="100000" sqref="K233:K234" name="Rango2_88_4_4_99"/>
    <protectedRange algorithmName="SHA-512" hashValue="EMMPgE8t/az1rHHzaZAQIhz+GQV0k2O/tQGA96sJqEEMzz1efIRa4CcLzC7iY9CCscto3g7dwz41haOE28iXYg==" saltValue="CVzFsG4X4LXUMo7796PiDQ==" spinCount="100000" sqref="L233:M234 J233:J234 B233:B234 D233:H234" name="Rango2_10_99"/>
    <protectedRange sqref="W230" name="RangoVereda"/>
    <protectedRange sqref="W231" name="RangoVereda_1"/>
    <protectedRange sqref="W232" name="RangoVereda_2"/>
    <protectedRange sqref="W233:W234" name="RangoVereda_3"/>
    <protectedRange sqref="W235" name="RangoVereda_4"/>
    <protectedRange sqref="W236" name="RangoVereda_5"/>
    <protectedRange sqref="W237" name="RangoVereda_6"/>
    <protectedRange sqref="W238" name="RangoVereda_7"/>
    <protectedRange sqref="W239" name="RangoVereda_8"/>
    <protectedRange sqref="W240" name="RangoVereda_9"/>
    <protectedRange sqref="W241" name="RangoVereda_10"/>
    <protectedRange sqref="W242" name="RangoVereda_11"/>
    <protectedRange sqref="W243" name="RangoVereda_12"/>
    <protectedRange sqref="W244:W245" name="RangoVereda_13"/>
    <protectedRange sqref="W246" name="RangoVereda_14"/>
    <protectedRange sqref="W247" name="RangoVereda_15"/>
    <protectedRange sqref="W248" name="RangoVereda_16"/>
    <protectedRange sqref="W249" name="RangoVereda_17"/>
    <protectedRange sqref="W250" name="RangoVereda_18"/>
    <protectedRange sqref="W251" name="RangoVereda_19"/>
    <protectedRange sqref="W252" name="RangoVereda_20"/>
    <protectedRange sqref="W253" name="RangoVereda_21"/>
    <protectedRange sqref="W254" name="RangoVereda_22"/>
    <protectedRange sqref="W255" name="RangoVereda_23"/>
    <protectedRange sqref="W256" name="RangoVereda_24"/>
    <protectedRange sqref="W257" name="RangoVereda_25"/>
    <protectedRange sqref="W258:W259" name="RangoVereda_26"/>
    <protectedRange sqref="W260" name="RangoVereda_27"/>
    <protectedRange sqref="W261:W262" name="RangoVereda_28"/>
    <protectedRange sqref="W263" name="RangoVereda_29"/>
    <protectedRange sqref="W264" name="RangoVereda_30"/>
    <protectedRange sqref="FH478" name="Rango2_18_3"/>
    <protectedRange sqref="I553:I554" name="Rango2_61_3_1"/>
    <protectedRange sqref="K553:K554" name="Rango2_88_4_4_3_1"/>
    <protectedRange sqref="B553:B554 J553:J554 L553:M554 D553:H554" name="Rango2_10_4_2"/>
    <protectedRange sqref="I555" name="Rango2_61_3_2"/>
    <protectedRange sqref="K555" name="Rango2_88_4_4_3_2"/>
    <protectedRange sqref="B555 J555 L555:M555 D555:H555" name="Rango2_10_4_3"/>
    <protectedRange sqref="I556" name="Rango2_61_3_3"/>
    <protectedRange sqref="K556" name="Rango2_88_4_4_3_3"/>
    <protectedRange sqref="B556 J556 L556:M556 D556:H556" name="Rango2_10_4_4"/>
    <protectedRange algorithmName="SHA-512" hashValue="6a5oYwZw9WJcgjqXpleUXH8uaqNEuymPPpeOb7lKBc1WoM6IG/DNyDLWmj2lYwxnZO2yhl+B61kwrxD9m9AdhQ==" saltValue="tdNQPzLQd+n9Ww064QJIaQ==" spinCount="100000" sqref="I557" name="Rango2_61_5_2"/>
    <protectedRange algorithmName="SHA-512" hashValue="XM8+0Jh5zLWw02PI0Lt8dLqjTcW5ulySion19FAnruDN6QRp4UwcVqdfQxnOQAItgpWG7rNsELzjwy0iXOonxw==" saltValue="Sd4WFUedDfLKoMQTDrxJuQ==" spinCount="100000" sqref="K557" name="Rango2_88_4_4_5_2"/>
    <protectedRange algorithmName="SHA-512" hashValue="EMMPgE8t/az1rHHzaZAQIhz+GQV0k2O/tQGA96sJqEEMzz1efIRa4CcLzC7iY9CCscto3g7dwz41haOE28iXYg==" saltValue="CVzFsG4X4LXUMo7796PiDQ==" spinCount="100000" sqref="J557 L557:M557 B557 D557:H557" name="Rango2_10_6_1"/>
    <protectedRange algorithmName="SHA-512" hashValue="6a5oYwZw9WJcgjqXpleUXH8uaqNEuymPPpeOb7lKBc1WoM6IG/DNyDLWmj2lYwxnZO2yhl+B61kwrxD9m9AdhQ==" saltValue="tdNQPzLQd+n9Ww064QJIaQ==" spinCount="100000" sqref="I558" name="Rango2_61_7_2"/>
    <protectedRange algorithmName="SHA-512" hashValue="XM8+0Jh5zLWw02PI0Lt8dLqjTcW5ulySion19FAnruDN6QRp4UwcVqdfQxnOQAItgpWG7rNsELzjwy0iXOonxw==" saltValue="Sd4WFUedDfLKoMQTDrxJuQ==" spinCount="100000" sqref="K558" name="Rango2_88_4_4_7_2"/>
    <protectedRange algorithmName="SHA-512" hashValue="EMMPgE8t/az1rHHzaZAQIhz+GQV0k2O/tQGA96sJqEEMzz1efIRa4CcLzC7iY9CCscto3g7dwz41haOE28iXYg==" saltValue="CVzFsG4X4LXUMo7796PiDQ==" spinCount="100000" sqref="J558 L558:M558 B558 D558:H558" name="Rango2_10_8_1"/>
    <protectedRange algorithmName="SHA-512" hashValue="6a5oYwZw9WJcgjqXpleUXH8uaqNEuymPPpeOb7lKBc1WoM6IG/DNyDLWmj2lYwxnZO2yhl+B61kwrxD9m9AdhQ==" saltValue="tdNQPzLQd+n9Ww064QJIaQ==" spinCount="100000" sqref="I559" name="Rango2_61_8_1"/>
    <protectedRange algorithmName="SHA-512" hashValue="XM8+0Jh5zLWw02PI0Lt8dLqjTcW5ulySion19FAnruDN6QRp4UwcVqdfQxnOQAItgpWG7rNsELzjwy0iXOonxw==" saltValue="Sd4WFUedDfLKoMQTDrxJuQ==" spinCount="100000" sqref="K559" name="Rango2_88_4_4_8_1"/>
    <protectedRange algorithmName="SHA-512" hashValue="EMMPgE8t/az1rHHzaZAQIhz+GQV0k2O/tQGA96sJqEEMzz1efIRa4CcLzC7iY9CCscto3g7dwz41haOE28iXYg==" saltValue="CVzFsG4X4LXUMo7796PiDQ==" spinCount="100000" sqref="J559 L559:M559 B559 D559:H559" name="Rango2_10_9_1"/>
    <protectedRange algorithmName="SHA-512" hashValue="6a5oYwZw9WJcgjqXpleUXH8uaqNEuymPPpeOb7lKBc1WoM6IG/DNyDLWmj2lYwxnZO2yhl+B61kwrxD9m9AdhQ==" saltValue="tdNQPzLQd+n9Ww064QJIaQ==" spinCount="100000" sqref="I560" name="Rango2_61_9_1"/>
    <protectedRange algorithmName="SHA-512" hashValue="XM8+0Jh5zLWw02PI0Lt8dLqjTcW5ulySion19FAnruDN6QRp4UwcVqdfQxnOQAItgpWG7rNsELzjwy0iXOonxw==" saltValue="Sd4WFUedDfLKoMQTDrxJuQ==" spinCount="100000" sqref="K560" name="Rango2_88_4_4_9_1"/>
    <protectedRange algorithmName="SHA-512" hashValue="EMMPgE8t/az1rHHzaZAQIhz+GQV0k2O/tQGA96sJqEEMzz1efIRa4CcLzC7iY9CCscto3g7dwz41haOE28iXYg==" saltValue="CVzFsG4X4LXUMo7796PiDQ==" spinCount="100000" sqref="J560 L560:M560 B560 D560:H560" name="Rango2_10_10_1"/>
    <protectedRange algorithmName="SHA-512" hashValue="6a5oYwZw9WJcgjqXpleUXH8uaqNEuymPPpeOb7lKBc1WoM6IG/DNyDLWmj2lYwxnZO2yhl+B61kwrxD9m9AdhQ==" saltValue="tdNQPzLQd+n9Ww064QJIaQ==" spinCount="100000" sqref="I561" name="Rango2_61_9_2"/>
    <protectedRange algorithmName="SHA-512" hashValue="XM8+0Jh5zLWw02PI0Lt8dLqjTcW5ulySion19FAnruDN6QRp4UwcVqdfQxnOQAItgpWG7rNsELzjwy0iXOonxw==" saltValue="Sd4WFUedDfLKoMQTDrxJuQ==" spinCount="100000" sqref="K561" name="Rango2_88_4_4_9_2"/>
    <protectedRange algorithmName="SHA-512" hashValue="EMMPgE8t/az1rHHzaZAQIhz+GQV0k2O/tQGA96sJqEEMzz1efIRa4CcLzC7iY9CCscto3g7dwz41haOE28iXYg==" saltValue="CVzFsG4X4LXUMo7796PiDQ==" spinCount="100000" sqref="J561 L561:M561 B561 D561:H561" name="Rango2_10_10_2"/>
    <protectedRange algorithmName="SHA-512" hashValue="6a5oYwZw9WJcgjqXpleUXH8uaqNEuymPPpeOb7lKBc1WoM6IG/DNyDLWmj2lYwxnZO2yhl+B61kwrxD9m9AdhQ==" saltValue="tdNQPzLQd+n9Ww064QJIaQ==" spinCount="100000" sqref="I562" name="Rango2_61_9_3"/>
    <protectedRange algorithmName="SHA-512" hashValue="XM8+0Jh5zLWw02PI0Lt8dLqjTcW5ulySion19FAnruDN6QRp4UwcVqdfQxnOQAItgpWG7rNsELzjwy0iXOonxw==" saltValue="Sd4WFUedDfLKoMQTDrxJuQ==" spinCount="100000" sqref="K562" name="Rango2_88_4_4_9_3"/>
    <protectedRange algorithmName="SHA-512" hashValue="EMMPgE8t/az1rHHzaZAQIhz+GQV0k2O/tQGA96sJqEEMzz1efIRa4CcLzC7iY9CCscto3g7dwz41haOE28iXYg==" saltValue="CVzFsG4X4LXUMo7796PiDQ==" spinCount="100000" sqref="J562 L562:M562 B562 D562:H562" name="Rango2_10_10_3"/>
    <protectedRange sqref="BA553:BI554" name="Rango2_88_99_3_1"/>
    <protectedRange sqref="AU553:AU554 AW553:AZ554" name="Rango2_88_91_3_1"/>
    <protectedRange sqref="AL553:AL554 AJ553:AJ554 AG553:AH554" name="Rango2_88_7_5_3_1"/>
    <protectedRange sqref="AM553:AS554" name="Rango2_88_65_3_1"/>
    <protectedRange sqref="AC553:AC554" name="Rango2_88_5_5_3_1"/>
    <protectedRange sqref="AI553:AI554" name="Rango2_8_7_3_1"/>
    <protectedRange sqref="AE553:AF554" name="Rango2_88_39_3_1"/>
    <protectedRange sqref="AB553:AB554" name="Rango2_87_6_3_1"/>
    <protectedRange sqref="T553:T554" name="Rango2_88_6_3_1"/>
    <protectedRange sqref="Q553:Q554" name="Rango2_2_5_3_1"/>
    <protectedRange sqref="R553:S554 AV553:AV554 AT553:AT554 O553:O554 U553:AA554" name="Rango2_99_3_1"/>
    <protectedRange sqref="AD553:AD554" name="Rango2_24_1"/>
    <protectedRange sqref="BJ553:BK554" name="Rango2_99_6_1"/>
    <protectedRange sqref="BV553:BY554" name="Rango2_88_99_9_2"/>
    <protectedRange sqref="BZ553:CB554 BR553:BU554" name="Rango2_99_12_1"/>
    <protectedRange sqref="CE553:CF554 CV553:CY554 CP553:CQ554 CS553:CT554 CJ553:CK554 DA553:DN554" name="Rango2_99_15_1"/>
    <protectedRange sqref="BA555:BI555" name="Rango2_88_99_3_2"/>
    <protectedRange sqref="AU555 AW555:AZ555" name="Rango2_88_91_3_2"/>
    <protectedRange sqref="AL555 AJ555 AG555:AH555" name="Rango2_88_7_5_3_2"/>
    <protectedRange sqref="AM555:AS555" name="Rango2_88_65_3_2"/>
    <protectedRange sqref="AC555" name="Rango2_88_5_5_3_2"/>
    <protectedRange sqref="AI555" name="Rango2_8_7_3_2"/>
    <protectedRange sqref="AE555:AF555" name="Rango2_88_39_3_2"/>
    <protectedRange sqref="AB555" name="Rango2_87_6_3_2"/>
    <protectedRange sqref="T555" name="Rango2_88_6_3_2"/>
    <protectedRange sqref="Q555" name="Rango2_2_5_3_2"/>
    <protectedRange sqref="R555:S555 AV555 AT555 O555 U555:AA555" name="Rango2_99_3_2"/>
    <protectedRange sqref="AD555" name="Rango2_24_2"/>
    <protectedRange sqref="BJ555:BK555" name="Rango2_99_6_2"/>
    <protectedRange sqref="BV555:BY555" name="Rango2_88_99_9_3"/>
    <protectedRange sqref="BZ555:CB555 BR555:BU555" name="Rango2_99_12_2"/>
    <protectedRange sqref="CE555:CF555 CV555:CY555 CP555:CQ555 CS555:CT555 CJ555:CK555 DA555:DN555" name="Rango2_99_15_2"/>
    <protectedRange sqref="BA556:BI556" name="Rango2_88_99_3_3"/>
    <protectedRange sqref="AU556 AW556:AZ556" name="Rango2_88_91_3_3"/>
    <protectedRange sqref="AL556 AJ556 AG556:AH556" name="Rango2_88_7_5_3_3"/>
    <protectedRange sqref="AM556:AS556" name="Rango2_88_65_3_3"/>
    <protectedRange sqref="AC556" name="Rango2_88_5_5_3_3"/>
    <protectedRange sqref="AI556" name="Rango2_8_7_3_3"/>
    <protectedRange sqref="AE556:AF556" name="Rango2_88_39_3_3"/>
    <protectedRange sqref="AB556" name="Rango2_87_6_3_3"/>
    <protectedRange sqref="T556" name="Rango2_88_6_3_3"/>
    <protectedRange sqref="Q556" name="Rango2_2_5_3_3"/>
    <protectedRange sqref="R556:S556 AV556 AT556 O556 U556:AA556" name="Rango2_99_3_3"/>
    <protectedRange sqref="AD556" name="Rango2_24_3"/>
    <protectedRange sqref="BJ556:BK556" name="Rango2_99_6_3"/>
    <protectedRange sqref="BV556:BY556" name="Rango2_88_99_9_4"/>
    <protectedRange sqref="BZ556:CB556 BR556:BU556" name="Rango2_99_12_3"/>
    <protectedRange sqref="CE556:CF556 CV556:CY556 CP556:CQ556 CS556:CT556 CJ556:CK556 DA556:DN556" name="Rango2_99_15_3"/>
    <protectedRange algorithmName="SHA-512" hashValue="RQ91b7oAw60DVtcgB2vRpial2kSdzJx5guGCTYUwXYkKrtrUHfiYnLf9R+SNpYXlJDYpyEJLhcWwP0EqNN86dQ==" saltValue="W3RbH3zrcY9sy39xNwXNxg==" spinCount="100000" sqref="BA557:BI557" name="Rango2_88_99_5_2"/>
    <protectedRange algorithmName="SHA-512" hashValue="fMbmUM1DQ7FuAPRNvFL5mPdHUYjQnlLFhkuaxvHguaqR7aWyDxcmJs0jLYQfQKY+oyhsMb4Lew4VL6i7um3/ew==" saltValue="ydaTm0CeH8+/cYqoL/AMaQ==" spinCount="100000" sqref="AU557 AW557:AZ557" name="Rango2_88_91_5_2"/>
    <protectedRange algorithmName="SHA-512" hashValue="CHipOQaT63FWw628cQcXXJRZlrbNZ7OgmnEbDx38UmmH7z19GRYEzXFiVOzHAy1OAaAbST7g2bHZHDKQp2qm3w==" saltValue="iRVuL+373yLHv0ZHzS9qog==" spinCount="100000" sqref="AG557:AH557 AJ557 AL557" name="Rango2_88_7_5_5_2"/>
    <protectedRange algorithmName="SHA-512" hashValue="NkG6oHuDGvGBEiLAAq8MEJHEfLQUMyjihfH+DBXhT+eQW0r1yri7tOJEFRM9nbOejjjXiviq9RFo7KB7wF+xJA==" saltValue="bpjB0AAANu2X/PeR3eiFkA==" spinCount="100000" sqref="AM557:AS557" name="Rango2_88_65_5_2"/>
    <protectedRange algorithmName="SHA-512" hashValue="fPHvtIAf3pQeZUoAI9C2/vdXMHBpqqEq+67P5Ypyu4+9IWqs3yc9TZcMWQ0THLxUwqseQPyVvakuYFtCwJHsxA==" saltValue="QHIogSs2PrwAfdqa9PAOFQ==" spinCount="100000" sqref="AC557" name="Rango2_88_5_5_5_2"/>
    <protectedRange algorithmName="SHA-512" hashValue="LEEeiU6pKqm7TAP46VGlz0q+evvFwpT/0iLpRuWuQ7MacbP0OGL1/FSmrIEOg2rb6M+Jla2bPbVWiGag27j87w==" saltValue="HEVt+pS5OloNDlqSnzGLLw==" spinCount="100000" sqref="AI557" name="Rango2_8_7_5_2"/>
    <protectedRange algorithmName="SHA-512" hashValue="q2z5hEFmXS0v2chiPTC/VCoDWNlnhp+Xe6Ybfxe48vIsnB/KTJQxJv+pFUnCXfZ9T6vyJopuqFFNROfQTW/JUw==" saltValue="IctfdGJb5tOTpq+KPi9vww==" spinCount="100000" sqref="AE557:AF557" name="Rango2_88_39_8_2"/>
    <protectedRange algorithmName="SHA-512" hashValue="AYYX88LSDB6RDNMvSqt0KPGWPjBqTk56tMxTOlv5QD61MGTKAAQnSnudvNDWPN0Bbllh2qRQC+P5uq7goxjdrw==" saltValue="i/iPMewnks1FoXYOjKMEVg==" spinCount="100000" sqref="AB557" name="Rango2_87_6_5_2"/>
    <protectedRange algorithmName="SHA-512" hashValue="NUll9P9xh7KbSfMYpMxsRZLfDw/y/AzW2LSWlpXVscBDqiAxmzo71xjs+a2lh+jRa7pceOC849slke4+ZKx8LA==" saltValue="8qbkKpQ+CiQuLnqgShNvXA==" spinCount="100000" sqref="T557" name="Rango2_88_6_5_2"/>
    <protectedRange algorithmName="SHA-512" hashValue="KHhv3JU/LRdRrRTxxkgFceEHPZ5UzadmpZRZR3zmQRnPvkUJZuanRafIJ+qde0IWwLZSvFIQDyUAHq6v6k7XIg==" saltValue="2GKG1kCzVNNcn+vbOPuhJA==" spinCount="100000" sqref="Q557" name="Rango2_2_5_5_2"/>
    <protectedRange algorithmName="SHA-512" hashValue="XZw03RosI/l0z9FxmTtF29EdZ7P+4+ybhqoaAAUmURojSR5XbGfjC4f2i8gMqfY+RI9JvfdCA6PSh9TduXfUxA==" saltValue="5TPtLq2WoiRSae/yaDPnTw==" spinCount="100000" sqref="O557 R557:S557 U557:AA557 AV557 AT557" name="Rango2_99_8_2"/>
    <protectedRange algorithmName="SHA-512" hashValue="9+DNppQbWrLYYUMoJ+lyQctV2bX3Vq9kZnegLbpjTLP49It2ovUbcartuoQTeXgP+TGpY//7mDH/UQlFCKDGiA==" saltValue="KUnni6YEm00anzSSvyLqQA==" spinCount="100000" sqref="AD557" name="Rango2_35_2"/>
    <protectedRange algorithmName="SHA-512" hashValue="XZw03RosI/l0z9FxmTtF29EdZ7P+4+ybhqoaAAUmURojSR5XbGfjC4f2i8gMqfY+RI9JvfdCA6PSh9TduXfUxA==" saltValue="5TPtLq2WoiRSae/yaDPnTw==" spinCount="100000" sqref="BJ557:BK557" name="Rango2_99_32_2"/>
    <protectedRange algorithmName="SHA-512" hashValue="RQ91b7oAw60DVtcgB2vRpial2kSdzJx5guGCTYUwXYkKrtrUHfiYnLf9R+SNpYXlJDYpyEJLhcWwP0EqNN86dQ==" saltValue="W3RbH3zrcY9sy39xNwXNxg==" spinCount="100000" sqref="BV557:BY557" name="Rango2_88_99_20_1"/>
    <protectedRange algorithmName="SHA-512" hashValue="XZw03RosI/l0z9FxmTtF29EdZ7P+4+ybhqoaAAUmURojSR5XbGfjC4f2i8gMqfY+RI9JvfdCA6PSh9TduXfUxA==" saltValue="5TPtLq2WoiRSae/yaDPnTw==" spinCount="100000" sqref="BR557:BU557 BZ557:CB557" name="Rango2_99_44_1"/>
    <protectedRange algorithmName="SHA-512" hashValue="XZw03RosI/l0z9FxmTtF29EdZ7P+4+ybhqoaAAUmURojSR5XbGfjC4f2i8gMqfY+RI9JvfdCA6PSh9TduXfUxA==" saltValue="5TPtLq2WoiRSae/yaDPnTw==" spinCount="100000" sqref="CJ557:CK557 CS557:CT557 CP557:CQ557 CV557:CY557 CE557:CF557 DA557:DN557" name="Rango2_99_50_1"/>
    <protectedRange algorithmName="SHA-512" hashValue="RQ91b7oAw60DVtcgB2vRpial2kSdzJx5guGCTYUwXYkKrtrUHfiYnLf9R+SNpYXlJDYpyEJLhcWwP0EqNN86dQ==" saltValue="W3RbH3zrcY9sy39xNwXNxg==" spinCount="100000" sqref="BA558:BI558" name="Rango2_88_99_10_2"/>
    <protectedRange algorithmName="SHA-512" hashValue="fMbmUM1DQ7FuAPRNvFL5mPdHUYjQnlLFhkuaxvHguaqR7aWyDxcmJs0jLYQfQKY+oyhsMb4Lew4VL6i7um3/ew==" saltValue="ydaTm0CeH8+/cYqoL/AMaQ==" spinCount="100000" sqref="AU558 AW558:AZ558" name="Rango2_88_91_7_2"/>
    <protectedRange algorithmName="SHA-512" hashValue="CHipOQaT63FWw628cQcXXJRZlrbNZ7OgmnEbDx38UmmH7z19GRYEzXFiVOzHAy1OAaAbST7g2bHZHDKQp2qm3w==" saltValue="iRVuL+373yLHv0ZHzS9qog==" spinCount="100000" sqref="AG558:AH558 AJ558 AL558" name="Rango2_88_7_5_7_2"/>
    <protectedRange algorithmName="SHA-512" hashValue="NkG6oHuDGvGBEiLAAq8MEJHEfLQUMyjihfH+DBXhT+eQW0r1yri7tOJEFRM9nbOejjjXiviq9RFo7KB7wF+xJA==" saltValue="bpjB0AAANu2X/PeR3eiFkA==" spinCount="100000" sqref="AM558:AS558" name="Rango2_88_65_7_2"/>
    <protectedRange algorithmName="SHA-512" hashValue="fPHvtIAf3pQeZUoAI9C2/vdXMHBpqqEq+67P5Ypyu4+9IWqs3yc9TZcMWQ0THLxUwqseQPyVvakuYFtCwJHsxA==" saltValue="QHIogSs2PrwAfdqa9PAOFQ==" spinCount="100000" sqref="AC558" name="Rango2_88_5_5_7_2"/>
    <protectedRange algorithmName="SHA-512" hashValue="LEEeiU6pKqm7TAP46VGlz0q+evvFwpT/0iLpRuWuQ7MacbP0OGL1/FSmrIEOg2rb6M+Jla2bPbVWiGag27j87w==" saltValue="HEVt+pS5OloNDlqSnzGLLw==" spinCount="100000" sqref="AI558" name="Rango2_8_7_7_2"/>
    <protectedRange algorithmName="SHA-512" hashValue="q2z5hEFmXS0v2chiPTC/VCoDWNlnhp+Xe6Ybfxe48vIsnB/KTJQxJv+pFUnCXfZ9T6vyJopuqFFNROfQTW/JUw==" saltValue="IctfdGJb5tOTpq+KPi9vww==" spinCount="100000" sqref="AE558:AF558" name="Rango2_88_39_10_2"/>
    <protectedRange algorithmName="SHA-512" hashValue="AYYX88LSDB6RDNMvSqt0KPGWPjBqTk56tMxTOlv5QD61MGTKAAQnSnudvNDWPN0Bbllh2qRQC+P5uq7goxjdrw==" saltValue="i/iPMewnks1FoXYOjKMEVg==" spinCount="100000" sqref="AB558" name="Rango2_87_6_7_2"/>
    <protectedRange algorithmName="SHA-512" hashValue="NUll9P9xh7KbSfMYpMxsRZLfDw/y/AzW2LSWlpXVscBDqiAxmzo71xjs+a2lh+jRa7pceOC849slke4+ZKx8LA==" saltValue="8qbkKpQ+CiQuLnqgShNvXA==" spinCount="100000" sqref="T558" name="Rango2_88_6_7_2"/>
    <protectedRange algorithmName="SHA-512" hashValue="KHhv3JU/LRdRrRTxxkgFceEHPZ5UzadmpZRZR3zmQRnPvkUJZuanRafIJ+qde0IWwLZSvFIQDyUAHq6v6k7XIg==" saltValue="2GKG1kCzVNNcn+vbOPuhJA==" spinCount="100000" sqref="Q558" name="Rango2_2_5_7_2"/>
    <protectedRange algorithmName="SHA-512" hashValue="XZw03RosI/l0z9FxmTtF29EdZ7P+4+ybhqoaAAUmURojSR5XbGfjC4f2i8gMqfY+RI9JvfdCA6PSh9TduXfUxA==" saltValue="5TPtLq2WoiRSae/yaDPnTw==" spinCount="100000" sqref="O558 R558:S558 U558:AA558 AV558 AT558" name="Rango2_99_28_8"/>
    <protectedRange algorithmName="SHA-512" hashValue="9+DNppQbWrLYYUMoJ+lyQctV2bX3Vq9kZnegLbpjTLP49It2ovUbcartuoQTeXgP+TGpY//7mDH/UQlFCKDGiA==" saltValue="KUnni6YEm00anzSSvyLqQA==" spinCount="100000" sqref="AD558" name="Rango2_50_1"/>
    <protectedRange algorithmName="SHA-512" hashValue="RQ91b7oAw60DVtcgB2vRpial2kSdzJx5guGCTYUwXYkKrtrUHfiYnLf9R+SNpYXlJDYpyEJLhcWwP0EqNN86dQ==" saltValue="W3RbH3zrcY9sy39xNwXNxg==" spinCount="100000" sqref="BA559:BI559" name="Rango2_88_99_11_3"/>
    <protectedRange algorithmName="SHA-512" hashValue="fMbmUM1DQ7FuAPRNvFL5mPdHUYjQnlLFhkuaxvHguaqR7aWyDxcmJs0jLYQfQKY+oyhsMb4Lew4VL6i7um3/ew==" saltValue="ydaTm0CeH8+/cYqoL/AMaQ==" spinCount="100000" sqref="AU559 AW559:AZ559" name="Rango2_88_91_8_2"/>
    <protectedRange algorithmName="SHA-512" hashValue="CHipOQaT63FWw628cQcXXJRZlrbNZ7OgmnEbDx38UmmH7z19GRYEzXFiVOzHAy1OAaAbST7g2bHZHDKQp2qm3w==" saltValue="iRVuL+373yLHv0ZHzS9qog==" spinCount="100000" sqref="AG559:AH559 AJ559 AL559" name="Rango2_88_7_5_8_2"/>
    <protectedRange algorithmName="SHA-512" hashValue="NkG6oHuDGvGBEiLAAq8MEJHEfLQUMyjihfH+DBXhT+eQW0r1yri7tOJEFRM9nbOejjjXiviq9RFo7KB7wF+xJA==" saltValue="bpjB0AAANu2X/PeR3eiFkA==" spinCount="100000" sqref="AM559:AS559" name="Rango2_88_65_8_2"/>
    <protectedRange algorithmName="SHA-512" hashValue="fPHvtIAf3pQeZUoAI9C2/vdXMHBpqqEq+67P5Ypyu4+9IWqs3yc9TZcMWQ0THLxUwqseQPyVvakuYFtCwJHsxA==" saltValue="QHIogSs2PrwAfdqa9PAOFQ==" spinCount="100000" sqref="AC559" name="Rango2_88_5_5_8_2"/>
    <protectedRange algorithmName="SHA-512" hashValue="LEEeiU6pKqm7TAP46VGlz0q+evvFwpT/0iLpRuWuQ7MacbP0OGL1/FSmrIEOg2rb6M+Jla2bPbVWiGag27j87w==" saltValue="HEVt+pS5OloNDlqSnzGLLw==" spinCount="100000" sqref="AI559" name="Rango2_8_7_8_2"/>
    <protectedRange algorithmName="SHA-512" hashValue="q2z5hEFmXS0v2chiPTC/VCoDWNlnhp+Xe6Ybfxe48vIsnB/KTJQxJv+pFUnCXfZ9T6vyJopuqFFNROfQTW/JUw==" saltValue="IctfdGJb5tOTpq+KPi9vww==" spinCount="100000" sqref="AE559:AF559" name="Rango2_88_39_11_2"/>
    <protectedRange algorithmName="SHA-512" hashValue="AYYX88LSDB6RDNMvSqt0KPGWPjBqTk56tMxTOlv5QD61MGTKAAQnSnudvNDWPN0Bbllh2qRQC+P5uq7goxjdrw==" saltValue="i/iPMewnks1FoXYOjKMEVg==" spinCount="100000" sqref="AB559" name="Rango2_87_6_8_2"/>
    <protectedRange algorithmName="SHA-512" hashValue="NUll9P9xh7KbSfMYpMxsRZLfDw/y/AzW2LSWlpXVscBDqiAxmzo71xjs+a2lh+jRa7pceOC849slke4+ZKx8LA==" saltValue="8qbkKpQ+CiQuLnqgShNvXA==" spinCount="100000" sqref="T559" name="Rango2_88_6_8_2"/>
    <protectedRange algorithmName="SHA-512" hashValue="KHhv3JU/LRdRrRTxxkgFceEHPZ5UzadmpZRZR3zmQRnPvkUJZuanRafIJ+qde0IWwLZSvFIQDyUAHq6v6k7XIg==" saltValue="2GKG1kCzVNNcn+vbOPuhJA==" spinCount="100000" sqref="Q559" name="Rango2_2_5_8_2"/>
    <protectedRange algorithmName="SHA-512" hashValue="XZw03RosI/l0z9FxmTtF29EdZ7P+4+ybhqoaAAUmURojSR5XbGfjC4f2i8gMqfY+RI9JvfdCA6PSh9TduXfUxA==" saltValue="5TPtLq2WoiRSae/yaDPnTw==" spinCount="100000" sqref="O559 R559:S559 U559:AA559 AV559 AT559" name="Rango2_99_29_1"/>
    <protectedRange algorithmName="SHA-512" hashValue="9+DNppQbWrLYYUMoJ+lyQctV2bX3Vq9kZnegLbpjTLP49It2ovUbcartuoQTeXgP+TGpY//7mDH/UQlFCKDGiA==" saltValue="KUnni6YEm00anzSSvyLqQA==" spinCount="100000" sqref="AD559" name="Rango2_52_1"/>
    <protectedRange algorithmName="SHA-512" hashValue="XZw03RosI/l0z9FxmTtF29EdZ7P+4+ybhqoaAAUmURojSR5XbGfjC4f2i8gMqfY+RI9JvfdCA6PSh9TduXfUxA==" saltValue="5TPtLq2WoiRSae/yaDPnTw==" spinCount="100000" sqref="BJ558:BK558" name="Rango2_99_34_1"/>
    <protectedRange algorithmName="SHA-512" hashValue="XZw03RosI/l0z9FxmTtF29EdZ7P+4+ybhqoaAAUmURojSR5XbGfjC4f2i8gMqfY+RI9JvfdCA6PSh9TduXfUxA==" saltValue="5TPtLq2WoiRSae/yaDPnTw==" spinCount="100000" sqref="BJ559:BL559" name="Rango2_99_35_2"/>
    <protectedRange algorithmName="SHA-512" hashValue="RQ91b7oAw60DVtcgB2vRpial2kSdzJx5guGCTYUwXYkKrtrUHfiYnLf9R+SNpYXlJDYpyEJLhcWwP0EqNN86dQ==" saltValue="W3RbH3zrcY9sy39xNwXNxg==" spinCount="100000" sqref="BV558:BY558" name="Rango2_88_99_22_2"/>
    <protectedRange algorithmName="SHA-512" hashValue="XZw03RosI/l0z9FxmTtF29EdZ7P+4+ybhqoaAAUmURojSR5XbGfjC4f2i8gMqfY+RI9JvfdCA6PSh9TduXfUxA==" saltValue="5TPtLq2WoiRSae/yaDPnTw==" spinCount="100000" sqref="BR558:BU558 BZ558:CB558" name="Rango2_99_46_2"/>
    <protectedRange algorithmName="SHA-512" hashValue="RQ91b7oAw60DVtcgB2vRpial2kSdzJx5guGCTYUwXYkKrtrUHfiYnLf9R+SNpYXlJDYpyEJLhcWwP0EqNN86dQ==" saltValue="W3RbH3zrcY9sy39xNwXNxg==" spinCount="100000" sqref="BV559:BY559" name="Rango2_88_99_23_2"/>
    <protectedRange algorithmName="SHA-512" hashValue="XZw03RosI/l0z9FxmTtF29EdZ7P+4+ybhqoaAAUmURojSR5XbGfjC4f2i8gMqfY+RI9JvfdCA6PSh9TduXfUxA==" saltValue="5TPtLq2WoiRSae/yaDPnTw==" spinCount="100000" sqref="BR559:BU559 BZ559:CB559" name="Rango2_99_47_2"/>
    <protectedRange algorithmName="SHA-512" hashValue="XZw03RosI/l0z9FxmTtF29EdZ7P+4+ybhqoaAAUmURojSR5XbGfjC4f2i8gMqfY+RI9JvfdCA6PSh9TduXfUxA==" saltValue="5TPtLq2WoiRSae/yaDPnTw==" spinCount="100000" sqref="CJ558:CK558 CS558:CT558 CP558:CQ558 CV558:CY558 CE558:CF558 DA558:DN558" name="Rango2_99_52_1"/>
    <protectedRange algorithmName="SHA-512" hashValue="XZw03RosI/l0z9FxmTtF29EdZ7P+4+ybhqoaAAUmURojSR5XbGfjC4f2i8gMqfY+RI9JvfdCA6PSh9TduXfUxA==" saltValue="5TPtLq2WoiRSae/yaDPnTw==" spinCount="100000" sqref="CJ559:CK559 CS559:CT559 CP559:CQ559 CV559:CY559 CE559:CF559 DA559:DN559" name="Rango2_99_53_1"/>
    <protectedRange algorithmName="SHA-512" hashValue="RQ91b7oAw60DVtcgB2vRpial2kSdzJx5guGCTYUwXYkKrtrUHfiYnLf9R+SNpYXlJDYpyEJLhcWwP0EqNN86dQ==" saltValue="W3RbH3zrcY9sy39xNwXNxg==" spinCount="100000" sqref="BA560:BI560" name="Rango2_88_99_12_1"/>
    <protectedRange algorithmName="SHA-512" hashValue="fMbmUM1DQ7FuAPRNvFL5mPdHUYjQnlLFhkuaxvHguaqR7aWyDxcmJs0jLYQfQKY+oyhsMb4Lew4VL6i7um3/ew==" saltValue="ydaTm0CeH8+/cYqoL/AMaQ==" spinCount="100000" sqref="AU560 AW560:AZ560" name="Rango2_88_91_9_2"/>
    <protectedRange algorithmName="SHA-512" hashValue="CHipOQaT63FWw628cQcXXJRZlrbNZ7OgmnEbDx38UmmH7z19GRYEzXFiVOzHAy1OAaAbST7g2bHZHDKQp2qm3w==" saltValue="iRVuL+373yLHv0ZHzS9qog==" spinCount="100000" sqref="AG560:AH560 AJ560 AL560" name="Rango2_88_7_5_9_2"/>
    <protectedRange algorithmName="SHA-512" hashValue="NkG6oHuDGvGBEiLAAq8MEJHEfLQUMyjihfH+DBXhT+eQW0r1yri7tOJEFRM9nbOejjjXiviq9RFo7KB7wF+xJA==" saltValue="bpjB0AAANu2X/PeR3eiFkA==" spinCount="100000" sqref="AM560:AS560" name="Rango2_88_65_9_2"/>
    <protectedRange algorithmName="SHA-512" hashValue="fPHvtIAf3pQeZUoAI9C2/vdXMHBpqqEq+67P5Ypyu4+9IWqs3yc9TZcMWQ0THLxUwqseQPyVvakuYFtCwJHsxA==" saltValue="QHIogSs2PrwAfdqa9PAOFQ==" spinCount="100000" sqref="AC560" name="Rango2_88_5_5_9_2"/>
    <protectedRange algorithmName="SHA-512" hashValue="LEEeiU6pKqm7TAP46VGlz0q+evvFwpT/0iLpRuWuQ7MacbP0OGL1/FSmrIEOg2rb6M+Jla2bPbVWiGag27j87w==" saltValue="HEVt+pS5OloNDlqSnzGLLw==" spinCount="100000" sqref="AI560" name="Rango2_8_7_9_2"/>
    <protectedRange algorithmName="SHA-512" hashValue="q2z5hEFmXS0v2chiPTC/VCoDWNlnhp+Xe6Ybfxe48vIsnB/KTJQxJv+pFUnCXfZ9T6vyJopuqFFNROfQTW/JUw==" saltValue="IctfdGJb5tOTpq+KPi9vww==" spinCount="100000" sqref="AE560:AF560" name="Rango2_88_39_12_1"/>
    <protectedRange algorithmName="SHA-512" hashValue="AYYX88LSDB6RDNMvSqt0KPGWPjBqTk56tMxTOlv5QD61MGTKAAQnSnudvNDWPN0Bbllh2qRQC+P5uq7goxjdrw==" saltValue="i/iPMewnks1FoXYOjKMEVg==" spinCount="100000" sqref="AB560" name="Rango2_87_6_9_2"/>
    <protectedRange algorithmName="SHA-512" hashValue="NUll9P9xh7KbSfMYpMxsRZLfDw/y/AzW2LSWlpXVscBDqiAxmzo71xjs+a2lh+jRa7pceOC849slke4+ZKx8LA==" saltValue="8qbkKpQ+CiQuLnqgShNvXA==" spinCount="100000" sqref="T560" name="Rango2_88_6_9_2"/>
    <protectedRange algorithmName="SHA-512" hashValue="KHhv3JU/LRdRrRTxxkgFceEHPZ5UzadmpZRZR3zmQRnPvkUJZuanRafIJ+qde0IWwLZSvFIQDyUAHq6v6k7XIg==" saltValue="2GKG1kCzVNNcn+vbOPuhJA==" spinCount="100000" sqref="Q560" name="Rango2_2_5_9_2"/>
    <protectedRange algorithmName="SHA-512" hashValue="XZw03RosI/l0z9FxmTtF29EdZ7P+4+ybhqoaAAUmURojSR5XbGfjC4f2i8gMqfY+RI9JvfdCA6PSh9TduXfUxA==" saltValue="5TPtLq2WoiRSae/yaDPnTw==" spinCount="100000" sqref="O560 R560:S560 U560:AA560 AV560 AT560" name="Rango2_99_30_1"/>
    <protectedRange algorithmName="SHA-512" hashValue="9+DNppQbWrLYYUMoJ+lyQctV2bX3Vq9kZnegLbpjTLP49It2ovUbcartuoQTeXgP+TGpY//7mDH/UQlFCKDGiA==" saltValue="KUnni6YEm00anzSSvyLqQA==" spinCount="100000" sqref="AD560" name="Rango2_62_1"/>
    <protectedRange algorithmName="SHA-512" hashValue="XZw03RosI/l0z9FxmTtF29EdZ7P+4+ybhqoaAAUmURojSR5XbGfjC4f2i8gMqfY+RI9JvfdCA6PSh9TduXfUxA==" saltValue="5TPtLq2WoiRSae/yaDPnTw==" spinCount="100000" sqref="BJ560:BL560" name="Rango2_99_36_2"/>
    <protectedRange algorithmName="SHA-512" hashValue="RQ91b7oAw60DVtcgB2vRpial2kSdzJx5guGCTYUwXYkKrtrUHfiYnLf9R+SNpYXlJDYpyEJLhcWwP0EqNN86dQ==" saltValue="W3RbH3zrcY9sy39xNwXNxg==" spinCount="100000" sqref="BV560:BY560" name="Rango2_88_99_24_1"/>
    <protectedRange algorithmName="SHA-512" hashValue="XZw03RosI/l0z9FxmTtF29EdZ7P+4+ybhqoaAAUmURojSR5XbGfjC4f2i8gMqfY+RI9JvfdCA6PSh9TduXfUxA==" saltValue="5TPtLq2WoiRSae/yaDPnTw==" spinCount="100000" sqref="BR560:BU560 BZ560:CB560" name="Rango2_99_48_1"/>
    <protectedRange algorithmName="SHA-512" hashValue="XZw03RosI/l0z9FxmTtF29EdZ7P+4+ybhqoaAAUmURojSR5XbGfjC4f2i8gMqfY+RI9JvfdCA6PSh9TduXfUxA==" saltValue="5TPtLq2WoiRSae/yaDPnTw==" spinCount="100000" sqref="CJ560:CK560 CS560:CT560 CP560:CQ560 CV560:CY560 CE560:CF560 DA560:DN560" name="Rango2_99_54_1"/>
    <protectedRange algorithmName="SHA-512" hashValue="RQ91b7oAw60DVtcgB2vRpial2kSdzJx5guGCTYUwXYkKrtrUHfiYnLf9R+SNpYXlJDYpyEJLhcWwP0EqNN86dQ==" saltValue="W3RbH3zrcY9sy39xNwXNxg==" spinCount="100000" sqref="BA561:BI561" name="Rango2_88_99_12_2"/>
    <protectedRange algorithmName="SHA-512" hashValue="fMbmUM1DQ7FuAPRNvFL5mPdHUYjQnlLFhkuaxvHguaqR7aWyDxcmJs0jLYQfQKY+oyhsMb4Lew4VL6i7um3/ew==" saltValue="ydaTm0CeH8+/cYqoL/AMaQ==" spinCount="100000" sqref="AU561 AW561:AZ561" name="Rango2_88_91_9_3"/>
    <protectedRange algorithmName="SHA-512" hashValue="CHipOQaT63FWw628cQcXXJRZlrbNZ7OgmnEbDx38UmmH7z19GRYEzXFiVOzHAy1OAaAbST7g2bHZHDKQp2qm3w==" saltValue="iRVuL+373yLHv0ZHzS9qog==" spinCount="100000" sqref="AG561:AH561 AJ561 AL561" name="Rango2_88_7_5_9_3"/>
    <protectedRange algorithmName="SHA-512" hashValue="NkG6oHuDGvGBEiLAAq8MEJHEfLQUMyjihfH+DBXhT+eQW0r1yri7tOJEFRM9nbOejjjXiviq9RFo7KB7wF+xJA==" saltValue="bpjB0AAANu2X/PeR3eiFkA==" spinCount="100000" sqref="AM561:AS561" name="Rango2_88_65_9_3"/>
    <protectedRange algorithmName="SHA-512" hashValue="fPHvtIAf3pQeZUoAI9C2/vdXMHBpqqEq+67P5Ypyu4+9IWqs3yc9TZcMWQ0THLxUwqseQPyVvakuYFtCwJHsxA==" saltValue="QHIogSs2PrwAfdqa9PAOFQ==" spinCount="100000" sqref="AC561" name="Rango2_88_5_5_9_3"/>
    <protectedRange algorithmName="SHA-512" hashValue="LEEeiU6pKqm7TAP46VGlz0q+evvFwpT/0iLpRuWuQ7MacbP0OGL1/FSmrIEOg2rb6M+Jla2bPbVWiGag27j87w==" saltValue="HEVt+pS5OloNDlqSnzGLLw==" spinCount="100000" sqref="AI561" name="Rango2_8_7_9_3"/>
    <protectedRange algorithmName="SHA-512" hashValue="q2z5hEFmXS0v2chiPTC/VCoDWNlnhp+Xe6Ybfxe48vIsnB/KTJQxJv+pFUnCXfZ9T6vyJopuqFFNROfQTW/JUw==" saltValue="IctfdGJb5tOTpq+KPi9vww==" spinCount="100000" sqref="AE561:AF561" name="Rango2_88_39_12_2"/>
    <protectedRange algorithmName="SHA-512" hashValue="AYYX88LSDB6RDNMvSqt0KPGWPjBqTk56tMxTOlv5QD61MGTKAAQnSnudvNDWPN0Bbllh2qRQC+P5uq7goxjdrw==" saltValue="i/iPMewnks1FoXYOjKMEVg==" spinCount="100000" sqref="AB561" name="Rango2_87_6_9_3"/>
    <protectedRange algorithmName="SHA-512" hashValue="NUll9P9xh7KbSfMYpMxsRZLfDw/y/AzW2LSWlpXVscBDqiAxmzo71xjs+a2lh+jRa7pceOC849slke4+ZKx8LA==" saltValue="8qbkKpQ+CiQuLnqgShNvXA==" spinCount="100000" sqref="T561" name="Rango2_88_6_9_3"/>
    <protectedRange algorithmName="SHA-512" hashValue="KHhv3JU/LRdRrRTxxkgFceEHPZ5UzadmpZRZR3zmQRnPvkUJZuanRafIJ+qde0IWwLZSvFIQDyUAHq6v6k7XIg==" saltValue="2GKG1kCzVNNcn+vbOPuhJA==" spinCount="100000" sqref="Q561" name="Rango2_2_5_9_3"/>
    <protectedRange algorithmName="SHA-512" hashValue="XZw03RosI/l0z9FxmTtF29EdZ7P+4+ybhqoaAAUmURojSR5XbGfjC4f2i8gMqfY+RI9JvfdCA6PSh9TduXfUxA==" saltValue="5TPtLq2WoiRSae/yaDPnTw==" spinCount="100000" sqref="O561 R561:S561 U561:AA561 AV561 AT561" name="Rango2_99_30_2"/>
    <protectedRange algorithmName="SHA-512" hashValue="9+DNppQbWrLYYUMoJ+lyQctV2bX3Vq9kZnegLbpjTLP49It2ovUbcartuoQTeXgP+TGpY//7mDH/UQlFCKDGiA==" saltValue="KUnni6YEm00anzSSvyLqQA==" spinCount="100000" sqref="AD561" name="Rango2_62_2"/>
    <protectedRange algorithmName="SHA-512" hashValue="XZw03RosI/l0z9FxmTtF29EdZ7P+4+ybhqoaAAUmURojSR5XbGfjC4f2i8gMqfY+RI9JvfdCA6PSh9TduXfUxA==" saltValue="5TPtLq2WoiRSae/yaDPnTw==" spinCount="100000" sqref="BJ561:BK561" name="Rango2_99_36_3"/>
    <protectedRange algorithmName="SHA-512" hashValue="RQ91b7oAw60DVtcgB2vRpial2kSdzJx5guGCTYUwXYkKrtrUHfiYnLf9R+SNpYXlJDYpyEJLhcWwP0EqNN86dQ==" saltValue="W3RbH3zrcY9sy39xNwXNxg==" spinCount="100000" sqref="BV561:BY561" name="Rango2_88_99_24_2"/>
    <protectedRange algorithmName="SHA-512" hashValue="XZw03RosI/l0z9FxmTtF29EdZ7P+4+ybhqoaAAUmURojSR5XbGfjC4f2i8gMqfY+RI9JvfdCA6PSh9TduXfUxA==" saltValue="5TPtLq2WoiRSae/yaDPnTw==" spinCount="100000" sqref="BR561:BU561 BZ561:CB561" name="Rango2_99_48_2"/>
    <protectedRange algorithmName="SHA-512" hashValue="XZw03RosI/l0z9FxmTtF29EdZ7P+4+ybhqoaAAUmURojSR5XbGfjC4f2i8gMqfY+RI9JvfdCA6PSh9TduXfUxA==" saltValue="5TPtLq2WoiRSae/yaDPnTw==" spinCount="100000" sqref="CJ561:CK561 CS561:CT561 CP561:CQ561 CV561:CY561 CE561:CF561 DA561:DN561" name="Rango2_99_54_2"/>
    <protectedRange algorithmName="SHA-512" hashValue="RQ91b7oAw60DVtcgB2vRpial2kSdzJx5guGCTYUwXYkKrtrUHfiYnLf9R+SNpYXlJDYpyEJLhcWwP0EqNN86dQ==" saltValue="W3RbH3zrcY9sy39xNwXNxg==" spinCount="100000" sqref="BA562:BI562" name="Rango2_88_99_12_3"/>
    <protectedRange algorithmName="SHA-512" hashValue="fMbmUM1DQ7FuAPRNvFL5mPdHUYjQnlLFhkuaxvHguaqR7aWyDxcmJs0jLYQfQKY+oyhsMb4Lew4VL6i7um3/ew==" saltValue="ydaTm0CeH8+/cYqoL/AMaQ==" spinCount="100000" sqref="AU562 AW562:AZ562" name="Rango2_88_91_9_4"/>
    <protectedRange algorithmName="SHA-512" hashValue="CHipOQaT63FWw628cQcXXJRZlrbNZ7OgmnEbDx38UmmH7z19GRYEzXFiVOzHAy1OAaAbST7g2bHZHDKQp2qm3w==" saltValue="iRVuL+373yLHv0ZHzS9qog==" spinCount="100000" sqref="AG562:AH562 AJ562 AL562" name="Rango2_88_7_5_9_4"/>
    <protectedRange algorithmName="SHA-512" hashValue="NkG6oHuDGvGBEiLAAq8MEJHEfLQUMyjihfH+DBXhT+eQW0r1yri7tOJEFRM9nbOejjjXiviq9RFo7KB7wF+xJA==" saltValue="bpjB0AAANu2X/PeR3eiFkA==" spinCount="100000" sqref="AM562:AS562" name="Rango2_88_65_9_4"/>
    <protectedRange algorithmName="SHA-512" hashValue="fPHvtIAf3pQeZUoAI9C2/vdXMHBpqqEq+67P5Ypyu4+9IWqs3yc9TZcMWQ0THLxUwqseQPyVvakuYFtCwJHsxA==" saltValue="QHIogSs2PrwAfdqa9PAOFQ==" spinCount="100000" sqref="AC562" name="Rango2_88_5_5_9_4"/>
    <protectedRange algorithmName="SHA-512" hashValue="LEEeiU6pKqm7TAP46VGlz0q+evvFwpT/0iLpRuWuQ7MacbP0OGL1/FSmrIEOg2rb6M+Jla2bPbVWiGag27j87w==" saltValue="HEVt+pS5OloNDlqSnzGLLw==" spinCount="100000" sqref="AI562" name="Rango2_8_7_9_4"/>
    <protectedRange algorithmName="SHA-512" hashValue="q2z5hEFmXS0v2chiPTC/VCoDWNlnhp+Xe6Ybfxe48vIsnB/KTJQxJv+pFUnCXfZ9T6vyJopuqFFNROfQTW/JUw==" saltValue="IctfdGJb5tOTpq+KPi9vww==" spinCount="100000" sqref="AE562:AF562" name="Rango2_88_39_12_3"/>
    <protectedRange algorithmName="SHA-512" hashValue="AYYX88LSDB6RDNMvSqt0KPGWPjBqTk56tMxTOlv5QD61MGTKAAQnSnudvNDWPN0Bbllh2qRQC+P5uq7goxjdrw==" saltValue="i/iPMewnks1FoXYOjKMEVg==" spinCount="100000" sqref="AB562" name="Rango2_87_6_9_4"/>
    <protectedRange algorithmName="SHA-512" hashValue="NUll9P9xh7KbSfMYpMxsRZLfDw/y/AzW2LSWlpXVscBDqiAxmzo71xjs+a2lh+jRa7pceOC849slke4+ZKx8LA==" saltValue="8qbkKpQ+CiQuLnqgShNvXA==" spinCount="100000" sqref="T562" name="Rango2_88_6_9_4"/>
    <protectedRange algorithmName="SHA-512" hashValue="KHhv3JU/LRdRrRTxxkgFceEHPZ5UzadmpZRZR3zmQRnPvkUJZuanRafIJ+qde0IWwLZSvFIQDyUAHq6v6k7XIg==" saltValue="2GKG1kCzVNNcn+vbOPuhJA==" spinCount="100000" sqref="Q562" name="Rango2_2_5_9_4"/>
    <protectedRange algorithmName="SHA-512" hashValue="XZw03RosI/l0z9FxmTtF29EdZ7P+4+ybhqoaAAUmURojSR5XbGfjC4f2i8gMqfY+RI9JvfdCA6PSh9TduXfUxA==" saltValue="5TPtLq2WoiRSae/yaDPnTw==" spinCount="100000" sqref="O562 R562:S562 U562:AA562 AV562 AT562" name="Rango2_99_30_3"/>
    <protectedRange algorithmName="SHA-512" hashValue="9+DNppQbWrLYYUMoJ+lyQctV2bX3Vq9kZnegLbpjTLP49It2ovUbcartuoQTeXgP+TGpY//7mDH/UQlFCKDGiA==" saltValue="KUnni6YEm00anzSSvyLqQA==" spinCount="100000" sqref="AD562" name="Rango2_62_3"/>
    <protectedRange algorithmName="SHA-512" hashValue="XZw03RosI/l0z9FxmTtF29EdZ7P+4+ybhqoaAAUmURojSR5XbGfjC4f2i8gMqfY+RI9JvfdCA6PSh9TduXfUxA==" saltValue="5TPtLq2WoiRSae/yaDPnTw==" spinCount="100000" sqref="BJ562:BK562" name="Rango2_99_36_4"/>
    <protectedRange algorithmName="SHA-512" hashValue="RQ91b7oAw60DVtcgB2vRpial2kSdzJx5guGCTYUwXYkKrtrUHfiYnLf9R+SNpYXlJDYpyEJLhcWwP0EqNN86dQ==" saltValue="W3RbH3zrcY9sy39xNwXNxg==" spinCount="100000" sqref="BV562:BY562" name="Rango2_88_99_24_3"/>
    <protectedRange algorithmName="SHA-512" hashValue="XZw03RosI/l0z9FxmTtF29EdZ7P+4+ybhqoaAAUmURojSR5XbGfjC4f2i8gMqfY+RI9JvfdCA6PSh9TduXfUxA==" saltValue="5TPtLq2WoiRSae/yaDPnTw==" spinCount="100000" sqref="BR562:BU562 BZ562:CB562" name="Rango2_99_48_3"/>
    <protectedRange algorithmName="SHA-512" hashValue="XZw03RosI/l0z9FxmTtF29EdZ7P+4+ybhqoaAAUmURojSR5XbGfjC4f2i8gMqfY+RI9JvfdCA6PSh9TduXfUxA==" saltValue="5TPtLq2WoiRSae/yaDPnTw==" spinCount="100000" sqref="CJ562:CK562 CS562:CT562 CP562:CQ562 CV562:CY562 CE562:CF562 DA562:DN562" name="Rango2_99_54_3"/>
    <protectedRange sqref="EA553:EJ554" name="Rango2_99_18_2"/>
    <protectedRange sqref="FI553:FI554 EO553:EO554 ER553:ES554 EV553:EW554 FF553:FF554" name="Rango2_99_21_2"/>
    <protectedRange sqref="EN553:EN554 FH553:FH554 FC553:FC554 EY553:FA554 FE553:FE554" name="Rango2_43_1"/>
    <protectedRange sqref="GN553:GN554 GW553:GW554 GQ553:GR554" name="Rango2_30_2_3_1"/>
    <protectedRange sqref="GF553:GF554" name="Rango2_31_28_3_1"/>
    <protectedRange sqref="FY553:FY554 GL553:GL554 GB553:GB554 GE553:GE554 GH553:GH554 GJ553:GJ554" name="Rango2_31_2_3_1"/>
    <protectedRange sqref="GY553:GZ554 GK553:GK554 GM553:GM554 FU553:FU554 GT553:GT554 FW553:FX554 FZ553:FZ554 GO553:GO554 HJ553:HJ554 FQ553:FR554" name="Rango2_99_24_3"/>
    <protectedRange sqref="GC553:GC554 GI553:GI554" name="Rango2_33_6_1"/>
    <protectedRange sqref="FT553:FT554" name="Rango2_30_4_1"/>
    <protectedRange sqref="FN553:FO554 FK553:FL554 GX553:GX554 HD553:HI554" name="Rango2_46_1"/>
    <protectedRange sqref="ID553:IJ554 IA553:IA554" name="Rango2_88_39_6_1"/>
    <protectedRange sqref="IL553:IM554 IB553:IB554 HU553:HZ554 IO553:IO554" name="Rango2_99_27_1"/>
    <protectedRange sqref="HS553:HT554" name="Rango2_49_1"/>
    <protectedRange sqref="EA555:EJ555" name="Rango2_99_18_3"/>
    <protectedRange sqref="FI555 EO555 ER555:ES555 EV555:EW555 FF555" name="Rango2_99_21_3"/>
    <protectedRange sqref="EN555 FH555 FC555 EY555:FA555 FE555" name="Rango2_43_2"/>
    <protectedRange sqref="GN555 GW555 GQ555:GR555" name="Rango2_30_2_3_2"/>
    <protectedRange sqref="GF555" name="Rango2_31_28_3_2"/>
    <protectedRange sqref="FY555 GL555 GB555 GE555 GH555 GJ555" name="Rango2_31_2_3_2"/>
    <protectedRange sqref="GY555:GZ555 GK555 GM555 FU555 GT555 FW555:FX555 FZ555 GO555 HJ555 FQ555:FR555" name="Rango2_99_24_4"/>
    <protectedRange sqref="GC555 GI555" name="Rango2_33_6_2"/>
    <protectedRange sqref="FT555" name="Rango2_30_4_2"/>
    <protectedRange sqref="FN555:FO555 FK555:FL555 GX555 HD555:HI555" name="Rango2_46_2"/>
    <protectedRange sqref="ID555:IJ555 IA555" name="Rango2_88_39_6_2"/>
    <protectedRange sqref="IL555:IM555 IB555 HU555:HZ555 IO555" name="Rango2_99_27_2"/>
    <protectedRange sqref="HS555:HT555" name="Rango2_49_2"/>
    <protectedRange sqref="EA556:EJ556" name="Rango2_99_18_4"/>
    <protectedRange sqref="FI556 EO556 ER556:ES556 EV556:EW556 FF556" name="Rango2_99_21_4"/>
    <protectedRange sqref="EN556 FH556 FC556 EY556:FA556 FE556" name="Rango2_43_3"/>
    <protectedRange sqref="GN556 GW556 GQ556:GR556" name="Rango2_30_2_3_3"/>
    <protectedRange sqref="GF556" name="Rango2_31_28_3_3"/>
    <protectedRange sqref="FY556 GL556 GB556 GE556 GH556 GJ556" name="Rango2_31_2_3_3"/>
    <protectedRange sqref="GY556:GZ556 GK556 GM556 FU556 GT556 FW556:FX556 FZ556 GO556 HJ556 FQ556:FR556" name="Rango2_99_24_5"/>
    <protectedRange sqref="GC556 GI556" name="Rango2_33_6_3"/>
    <protectedRange sqref="FT556" name="Rango2_30_4_3"/>
    <protectedRange sqref="FN556:FO556 FK556:FL556 GX556 HD556:HI556" name="Rango2_46_3"/>
    <protectedRange sqref="ID556:IJ556 IA556" name="Rango2_88_39_6_3"/>
    <protectedRange sqref="IL556:IM556 IB556 HU556:HZ556 IO556" name="Rango2_99_27_3"/>
    <protectedRange sqref="HS556:HT556" name="Rango2_49_3"/>
    <protectedRange algorithmName="SHA-512" hashValue="XZw03RosI/l0z9FxmTtF29EdZ7P+4+ybhqoaAAUmURojSR5XbGfjC4f2i8gMqfY+RI9JvfdCA6PSh9TduXfUxA==" saltValue="5TPtLq2WoiRSae/yaDPnTw==" spinCount="100000" sqref="ER557:ES557 EV557:EW557 FF557 EA557:EJ557 EO557 FI557" name="Rango2_99_56_5"/>
    <protectedRange algorithmName="SHA-512" hashValue="9+DNppQbWrLYYUMoJ+lyQctV2bX3Vq9kZnegLbpjTLP49It2ovUbcartuoQTeXgP+TGpY//7mDH/UQlFCKDGiA==" saltValue="KUnni6YEm00anzSSvyLqQA==" spinCount="100000" sqref="FE557 EY557:FA557 FC557 FH557 EN557" name="Rango2_81_1"/>
    <protectedRange algorithmName="SHA-512" hashValue="EEHzbvEYwO1eufllBljOz0uf9BJ2ENtvOScQ7IsS321QhYbwKn7qhHKKP8cKj02rTDvVRMWvwQ1ZP0mZWsBprQ==" saltValue="CjXqBRFbKezlWOFV37MnDQ==" spinCount="100000" sqref="GQ557:GR557 GW557 GN557" name="Rango2_30_2_5_1"/>
    <protectedRange algorithmName="SHA-512" hashValue="Rgskw+AQdeJ5qbJdarzTa3SCkJfDGziy0Uan5N0F3IWn/H3Z/e+VcB56R7Nes7MPxNHewNP1sSSucVjz3iTLeA==" saltValue="qKZH3DnwaZHBzy3cBZo1qQ==" spinCount="100000" sqref="GF557" name="Rango2_31_28_5_1"/>
    <protectedRange algorithmName="SHA-512" hashValue="Umj9+5Ys20VQPxBFtc6qE5LtKKSgPKwit+B8dd4XnEUaLfBM2ozpkEC4YxwK0SbBiAHDDex+pY+LomQ0lyuamQ==" saltValue="N2/MCRws+mmA+NXw0axolg==" spinCount="100000" sqref="GJ557 GH557 GE557 GL557 FY557" name="Rango2_31_2_5_1"/>
    <protectedRange algorithmName="SHA-512" hashValue="XZw03RosI/l0z9FxmTtF29EdZ7P+4+ybhqoaAAUmURojSR5XbGfjC4f2i8gMqfY+RI9JvfdCA6PSh9TduXfUxA==" saltValue="5TPtLq2WoiRSae/yaDPnTw==" spinCount="100000" sqref="FQ557:FR557 GO557 GT557 FZ557 FW557:FX557 FU557 GM557 GK557 GY557:GZ557 HJ557" name="Rango2_99_62_1"/>
    <protectedRange algorithmName="SHA-512" hashValue="YXHanhqXL0e4jPrzkCF8r/22WmlCviFUW909WKuG1JOcU0mp0/Huh0aP3EaGYxV2ep0WGu48HsShAy4Ka2uOiw==" saltValue="h/7U5iwJm7DLR4tRVfwZYw==" spinCount="100000" sqref="GC557 GI557" name="Rango2_33_14_2"/>
    <protectedRange algorithmName="SHA-512" hashValue="pL4tgTKqwEsWSIEGFTBd+4pvEhE7d5Q99Eijs+L/Y1rhA0saQGGRJw5Pv2HLOP0quglztFwB6WVnQ1YGxd4AiQ==" saltValue="IF5mhk2RcoEjrcYppes1VA==" spinCount="100000" sqref="FT557" name="Rango2_30_6_1"/>
    <protectedRange algorithmName="SHA-512" hashValue="9+DNppQbWrLYYUMoJ+lyQctV2bX3Vq9kZnegLbpjTLP49It2ovUbcartuoQTeXgP+TGpY//7mDH/UQlFCKDGiA==" saltValue="KUnni6YEm00anzSSvyLqQA==" spinCount="100000" sqref="GX557 FK557:FL557 FN557:FO557 HD557:HI557" name="Rango2_90_1"/>
    <protectedRange algorithmName="SHA-512" hashValue="q2z5hEFmXS0v2chiPTC/VCoDWNlnhp+Xe6Ybfxe48vIsnB/KTJQxJv+pFUnCXfZ9T6vyJopuqFFNROfQTW/JUw==" saltValue="IctfdGJb5tOTpq+KPi9vww==" spinCount="100000" sqref="ID557:IJ557 IA557" name="Rango2_88_39_14_1"/>
    <protectedRange algorithmName="SHA-512" hashValue="XZw03RosI/l0z9FxmTtF29EdZ7P+4+ybhqoaAAUmURojSR5XbGfjC4f2i8gMqfY+RI9JvfdCA6PSh9TduXfUxA==" saltValue="5TPtLq2WoiRSae/yaDPnTw==" spinCount="100000" sqref="IB557 IL557:IM557 HU557:HZ557 IO557" name="Rango2_99_68_1"/>
    <protectedRange algorithmName="SHA-512" hashValue="9+DNppQbWrLYYUMoJ+lyQctV2bX3Vq9kZnegLbpjTLP49It2ovUbcartuoQTeXgP+TGpY//7mDH/UQlFCKDGiA==" saltValue="KUnni6YEm00anzSSvyLqQA==" spinCount="100000" sqref="HS557:HT557" name="Rango2_98_1"/>
    <protectedRange algorithmName="SHA-512" hashValue="XZw03RosI/l0z9FxmTtF29EdZ7P+4+ybhqoaAAUmURojSR5XbGfjC4f2i8gMqfY+RI9JvfdCA6PSh9TduXfUxA==" saltValue="5TPtLq2WoiRSae/yaDPnTw==" spinCount="100000" sqref="ER558:ES558 EV558:EW558 FF558 EA558:EJ558 EO558 FI558" name="Rango2_99_58_1"/>
    <protectedRange algorithmName="SHA-512" hashValue="9+DNppQbWrLYYUMoJ+lyQctV2bX3Vq9kZnegLbpjTLP49It2ovUbcartuoQTeXgP+TGpY//7mDH/UQlFCKDGiA==" saltValue="KUnni6YEm00anzSSvyLqQA==" spinCount="100000" sqref="FE558 EY558:FA558 FC558 FH558 EN558" name="Rango2_83_1"/>
    <protectedRange algorithmName="SHA-512" hashValue="XZw03RosI/l0z9FxmTtF29EdZ7P+4+ybhqoaAAUmURojSR5XbGfjC4f2i8gMqfY+RI9JvfdCA6PSh9TduXfUxA==" saltValue="5TPtLq2WoiRSae/yaDPnTw==" spinCount="100000" sqref="ER559:ES559 EV559:EW559 FF559 EA559:EJ559 EO559 FI559" name="Rango2_99_59_1"/>
    <protectedRange algorithmName="SHA-512" hashValue="9+DNppQbWrLYYUMoJ+lyQctV2bX3Vq9kZnegLbpjTLP49It2ovUbcartuoQTeXgP+TGpY//7mDH/UQlFCKDGiA==" saltValue="KUnni6YEm00anzSSvyLqQA==" spinCount="100000" sqref="FE559 EY559:FA559 FC559 FH559 EN559" name="Rango2_85_1"/>
    <protectedRange algorithmName="SHA-512" hashValue="EEHzbvEYwO1eufllBljOz0uf9BJ2ENtvOScQ7IsS321QhYbwKn7qhHKKP8cKj02rTDvVRMWvwQ1ZP0mZWsBprQ==" saltValue="CjXqBRFbKezlWOFV37MnDQ==" spinCount="100000" sqref="GQ558:GR558 GW558 GN558" name="Rango2_30_2_7_1"/>
    <protectedRange algorithmName="SHA-512" hashValue="Rgskw+AQdeJ5qbJdarzTa3SCkJfDGziy0Uan5N0F3IWn/H3Z/e+VcB56R7Nes7MPxNHewNP1sSSucVjz3iTLeA==" saltValue="qKZH3DnwaZHBzy3cBZo1qQ==" spinCount="100000" sqref="GF558" name="Rango2_31_28_7_1"/>
    <protectedRange algorithmName="SHA-512" hashValue="Umj9+5Ys20VQPxBFtc6qE5LtKKSgPKwit+B8dd4XnEUaLfBM2ozpkEC4YxwK0SbBiAHDDex+pY+LomQ0lyuamQ==" saltValue="N2/MCRws+mmA+NXw0axolg==" spinCount="100000" sqref="GJ558 GH558 GE558 GL558 FY558" name="Rango2_31_2_7_1"/>
    <protectedRange algorithmName="SHA-512" hashValue="XZw03RosI/l0z9FxmTtF29EdZ7P+4+ybhqoaAAUmURojSR5XbGfjC4f2i8gMqfY+RI9JvfdCA6PSh9TduXfUxA==" saltValue="5TPtLq2WoiRSae/yaDPnTw==" spinCount="100000" sqref="FQ558:FR558 GO558 GT558 FZ558 FW558:FX558 FU558 GM558 GK558 GY558:GZ558 HJ558" name="Rango2_99_64_1"/>
    <protectedRange algorithmName="SHA-512" hashValue="YXHanhqXL0e4jPrzkCF8r/22WmlCviFUW909WKuG1JOcU0mp0/Huh0aP3EaGYxV2ep0WGu48HsShAy4Ka2uOiw==" saltValue="h/7U5iwJm7DLR4tRVfwZYw==" spinCount="100000" sqref="GC558 GI558" name="Rango2_33_16_2"/>
    <protectedRange algorithmName="SHA-512" hashValue="pL4tgTKqwEsWSIEGFTBd+4pvEhE7d5Q99Eijs+L/Y1rhA0saQGGRJw5Pv2HLOP0quglztFwB6WVnQ1YGxd4AiQ==" saltValue="IF5mhk2RcoEjrcYppes1VA==" spinCount="100000" sqref="FT558" name="Rango2_30_8_1"/>
    <protectedRange algorithmName="SHA-512" hashValue="9+DNppQbWrLYYUMoJ+lyQctV2bX3Vq9kZnegLbpjTLP49It2ovUbcartuoQTeXgP+TGpY//7mDH/UQlFCKDGiA==" saltValue="KUnni6YEm00anzSSvyLqQA==" spinCount="100000" sqref="GX558 FK558:FL558 FN558:FO558 HD558:HI558" name="Rango2_92_1"/>
    <protectedRange algorithmName="SHA-512" hashValue="EEHzbvEYwO1eufllBljOz0uf9BJ2ENtvOScQ7IsS321QhYbwKn7qhHKKP8cKj02rTDvVRMWvwQ1ZP0mZWsBprQ==" saltValue="CjXqBRFbKezlWOFV37MnDQ==" spinCount="100000" sqref="GQ559:GR559 GW559 GN559" name="Rango2_30_2_8_1"/>
    <protectedRange algorithmName="SHA-512" hashValue="Rgskw+AQdeJ5qbJdarzTa3SCkJfDGziy0Uan5N0F3IWn/H3Z/e+VcB56R7Nes7MPxNHewNP1sSSucVjz3iTLeA==" saltValue="qKZH3DnwaZHBzy3cBZo1qQ==" spinCount="100000" sqref="GF559" name="Rango2_31_28_8_1"/>
    <protectedRange algorithmName="SHA-512" hashValue="Umj9+5Ys20VQPxBFtc6qE5LtKKSgPKwit+B8dd4XnEUaLfBM2ozpkEC4YxwK0SbBiAHDDex+pY+LomQ0lyuamQ==" saltValue="N2/MCRws+mmA+NXw0axolg==" spinCount="100000" sqref="GJ559 GH559 GE559 GL559 FY559" name="Rango2_31_2_8_1"/>
    <protectedRange algorithmName="SHA-512" hashValue="XZw03RosI/l0z9FxmTtF29EdZ7P+4+ybhqoaAAUmURojSR5XbGfjC4f2i8gMqfY+RI9JvfdCA6PSh9TduXfUxA==" saltValue="5TPtLq2WoiRSae/yaDPnTw==" spinCount="100000" sqref="FQ559:FR559 GO559 GT559 FZ559 FW559:FX559 FU559 GM559 GK559 GY559:GZ559 HJ559" name="Rango2_99_65_1"/>
    <protectedRange algorithmName="SHA-512" hashValue="YXHanhqXL0e4jPrzkCF8r/22WmlCviFUW909WKuG1JOcU0mp0/Huh0aP3EaGYxV2ep0WGu48HsShAy4Ka2uOiw==" saltValue="h/7U5iwJm7DLR4tRVfwZYw==" spinCount="100000" sqref="GC559 GI559" name="Rango2_33_17_2"/>
    <protectedRange algorithmName="SHA-512" hashValue="pL4tgTKqwEsWSIEGFTBd+4pvEhE7d5Q99Eijs+L/Y1rhA0saQGGRJw5Pv2HLOP0quglztFwB6WVnQ1YGxd4AiQ==" saltValue="IF5mhk2RcoEjrcYppes1VA==" spinCount="100000" sqref="FT559" name="Rango2_30_9_1"/>
    <protectedRange algorithmName="SHA-512" hashValue="9+DNppQbWrLYYUMoJ+lyQctV2bX3Vq9kZnegLbpjTLP49It2ovUbcartuoQTeXgP+TGpY//7mDH/UQlFCKDGiA==" saltValue="KUnni6YEm00anzSSvyLqQA==" spinCount="100000" sqref="GX559 FK559:FL559 FN559:FO559 HD559:HI559" name="Rango2_93_1"/>
    <protectedRange algorithmName="SHA-512" hashValue="q2z5hEFmXS0v2chiPTC/VCoDWNlnhp+Xe6Ybfxe48vIsnB/KTJQxJv+pFUnCXfZ9T6vyJopuqFFNROfQTW/JUw==" saltValue="IctfdGJb5tOTpq+KPi9vww==" spinCount="100000" sqref="ID558:IJ558 IA558" name="Rango2_88_39_16_1"/>
    <protectedRange algorithmName="SHA-512" hashValue="XZw03RosI/l0z9FxmTtF29EdZ7P+4+ybhqoaAAUmURojSR5XbGfjC4f2i8gMqfY+RI9JvfdCA6PSh9TduXfUxA==" saltValue="5TPtLq2WoiRSae/yaDPnTw==" spinCount="100000" sqref="IB558 IL558:IM558 HU558:HZ558 IO558" name="Rango2_99_70_5"/>
    <protectedRange algorithmName="SHA-512" hashValue="q2z5hEFmXS0v2chiPTC/VCoDWNlnhp+Xe6Ybfxe48vIsnB/KTJQxJv+pFUnCXfZ9T6vyJopuqFFNROfQTW/JUw==" saltValue="IctfdGJb5tOTpq+KPi9vww==" spinCount="100000" sqref="ID559:IJ559 IA559" name="Rango2_88_39_17_1"/>
    <protectedRange algorithmName="SHA-512" hashValue="XZw03RosI/l0z9FxmTtF29EdZ7P+4+ybhqoaAAUmURojSR5XbGfjC4f2i8gMqfY+RI9JvfdCA6PSh9TduXfUxA==" saltValue="5TPtLq2WoiRSae/yaDPnTw==" spinCount="100000" sqref="IB559 IL559:IM559 HU559:HZ559 IO559" name="Rango2_99_71_1"/>
    <protectedRange algorithmName="SHA-512" hashValue="XZw03RosI/l0z9FxmTtF29EdZ7P+4+ybhqoaAAUmURojSR5XbGfjC4f2i8gMqfY+RI9JvfdCA6PSh9TduXfUxA==" saltValue="5TPtLq2WoiRSae/yaDPnTw==" spinCount="100000" sqref="ER560:ES560 EV560:EW560 FF560 EA560:EJ560 EO560 FI560" name="Rango2_99_60_1"/>
    <protectedRange algorithmName="SHA-512" hashValue="9+DNppQbWrLYYUMoJ+lyQctV2bX3Vq9kZnegLbpjTLP49It2ovUbcartuoQTeXgP+TGpY//7mDH/UQlFCKDGiA==" saltValue="KUnni6YEm00anzSSvyLqQA==" spinCount="100000" sqref="FE560 EY560:FA560 FC560 FH560 EN560" name="Rango2_86_1"/>
    <protectedRange algorithmName="SHA-512" hashValue="EEHzbvEYwO1eufllBljOz0uf9BJ2ENtvOScQ7IsS321QhYbwKn7qhHKKP8cKj02rTDvVRMWvwQ1ZP0mZWsBprQ==" saltValue="CjXqBRFbKezlWOFV37MnDQ==" spinCount="100000" sqref="GQ560:GR560 GW560 GN560" name="Rango2_30_2_9_1"/>
    <protectedRange algorithmName="SHA-512" hashValue="Rgskw+AQdeJ5qbJdarzTa3SCkJfDGziy0Uan5N0F3IWn/H3Z/e+VcB56R7Nes7MPxNHewNP1sSSucVjz3iTLeA==" saltValue="qKZH3DnwaZHBzy3cBZo1qQ==" spinCount="100000" sqref="GF560" name="Rango2_31_28_9_1"/>
    <protectedRange algorithmName="SHA-512" hashValue="Umj9+5Ys20VQPxBFtc6qE5LtKKSgPKwit+B8dd4XnEUaLfBM2ozpkEC4YxwK0SbBiAHDDex+pY+LomQ0lyuamQ==" saltValue="N2/MCRws+mmA+NXw0axolg==" spinCount="100000" sqref="GJ560 GH560 GE560 GB560 GL560 FY560" name="Rango2_31_2_9_1"/>
    <protectedRange algorithmName="SHA-512" hashValue="XZw03RosI/l0z9FxmTtF29EdZ7P+4+ybhqoaAAUmURojSR5XbGfjC4f2i8gMqfY+RI9JvfdCA6PSh9TduXfUxA==" saltValue="5TPtLq2WoiRSae/yaDPnTw==" spinCount="100000" sqref="FQ560:FR560 GO560 GT560 FZ560 FW560:FX560 FU560 GM560 GK560 GY560:GZ560 HJ560" name="Rango2_99_66_1"/>
    <protectedRange algorithmName="SHA-512" hashValue="YXHanhqXL0e4jPrzkCF8r/22WmlCviFUW909WKuG1JOcU0mp0/Huh0aP3EaGYxV2ep0WGu48HsShAy4Ka2uOiw==" saltValue="h/7U5iwJm7DLR4tRVfwZYw==" spinCount="100000" sqref="GC560 GI560" name="Rango2_33_18_2"/>
    <protectedRange algorithmName="SHA-512" hashValue="pL4tgTKqwEsWSIEGFTBd+4pvEhE7d5Q99Eijs+L/Y1rhA0saQGGRJw5Pv2HLOP0quglztFwB6WVnQ1YGxd4AiQ==" saltValue="IF5mhk2RcoEjrcYppes1VA==" spinCount="100000" sqref="FT560" name="Rango2_30_10_1"/>
    <protectedRange algorithmName="SHA-512" hashValue="9+DNppQbWrLYYUMoJ+lyQctV2bX3Vq9kZnegLbpjTLP49It2ovUbcartuoQTeXgP+TGpY//7mDH/UQlFCKDGiA==" saltValue="KUnni6YEm00anzSSvyLqQA==" spinCount="100000" sqref="GX560 FK560:FL560 FN560:FO560 HD560:HI560" name="Rango2_94_1"/>
    <protectedRange algorithmName="SHA-512" hashValue="q2z5hEFmXS0v2chiPTC/VCoDWNlnhp+Xe6Ybfxe48vIsnB/KTJQxJv+pFUnCXfZ9T6vyJopuqFFNROfQTW/JUw==" saltValue="IctfdGJb5tOTpq+KPi9vww==" spinCount="100000" sqref="ID560:IJ560 IA560" name="Rango2_88_39_18_1"/>
    <protectedRange algorithmName="SHA-512" hashValue="XZw03RosI/l0z9FxmTtF29EdZ7P+4+ybhqoaAAUmURojSR5XbGfjC4f2i8gMqfY+RI9JvfdCA6PSh9TduXfUxA==" saltValue="5TPtLq2WoiRSae/yaDPnTw==" spinCount="100000" sqref="IB560 IL560:IM560 HU560:HZ560 IO560" name="Rango2_99_72_1"/>
    <protectedRange algorithmName="SHA-512" hashValue="XZw03RosI/l0z9FxmTtF29EdZ7P+4+ybhqoaAAUmURojSR5XbGfjC4f2i8gMqfY+RI9JvfdCA6PSh9TduXfUxA==" saltValue="5TPtLq2WoiRSae/yaDPnTw==" spinCount="100000" sqref="ER561:ES561 EV561:EW561 FF561 EA561:EJ561 EO561 FI561" name="Rango2_99_60_2"/>
    <protectedRange algorithmName="SHA-512" hashValue="9+DNppQbWrLYYUMoJ+lyQctV2bX3Vq9kZnegLbpjTLP49It2ovUbcartuoQTeXgP+TGpY//7mDH/UQlFCKDGiA==" saltValue="KUnni6YEm00anzSSvyLqQA==" spinCount="100000" sqref="FE561 EY561:FA561 FC561 FH561 EN561" name="Rango2_86_2"/>
    <protectedRange algorithmName="SHA-512" hashValue="EEHzbvEYwO1eufllBljOz0uf9BJ2ENtvOScQ7IsS321QhYbwKn7qhHKKP8cKj02rTDvVRMWvwQ1ZP0mZWsBprQ==" saltValue="CjXqBRFbKezlWOFV37MnDQ==" spinCount="100000" sqref="GQ561:GR561 GW561 GN561" name="Rango2_30_2_9_2"/>
    <protectedRange algorithmName="SHA-512" hashValue="Rgskw+AQdeJ5qbJdarzTa3SCkJfDGziy0Uan5N0F3IWn/H3Z/e+VcB56R7Nes7MPxNHewNP1sSSucVjz3iTLeA==" saltValue="qKZH3DnwaZHBzy3cBZo1qQ==" spinCount="100000" sqref="GF561" name="Rango2_31_28_9_2"/>
    <protectedRange algorithmName="SHA-512" hashValue="Umj9+5Ys20VQPxBFtc6qE5LtKKSgPKwit+B8dd4XnEUaLfBM2ozpkEC4YxwK0SbBiAHDDex+pY+LomQ0lyuamQ==" saltValue="N2/MCRws+mmA+NXw0axolg==" spinCount="100000" sqref="GJ561 GH561 GE561 GB561 GL561 FY561" name="Rango2_31_2_9_2"/>
    <protectedRange algorithmName="SHA-512" hashValue="XZw03RosI/l0z9FxmTtF29EdZ7P+4+ybhqoaAAUmURojSR5XbGfjC4f2i8gMqfY+RI9JvfdCA6PSh9TduXfUxA==" saltValue="5TPtLq2WoiRSae/yaDPnTw==" spinCount="100000" sqref="FQ561:FR561 GO561 GT561 FZ561 FW561:FX561 FU561 GM561 GK561 GY561:GZ561 HJ561" name="Rango2_99_66_2"/>
    <protectedRange algorithmName="SHA-512" hashValue="YXHanhqXL0e4jPrzkCF8r/22WmlCviFUW909WKuG1JOcU0mp0/Huh0aP3EaGYxV2ep0WGu48HsShAy4Ka2uOiw==" saltValue="h/7U5iwJm7DLR4tRVfwZYw==" spinCount="100000" sqref="GC561 GI561" name="Rango2_33_18_3"/>
    <protectedRange algorithmName="SHA-512" hashValue="pL4tgTKqwEsWSIEGFTBd+4pvEhE7d5Q99Eijs+L/Y1rhA0saQGGRJw5Pv2HLOP0quglztFwB6WVnQ1YGxd4AiQ==" saltValue="IF5mhk2RcoEjrcYppes1VA==" spinCount="100000" sqref="FT561" name="Rango2_30_10_2"/>
    <protectedRange algorithmName="SHA-512" hashValue="9+DNppQbWrLYYUMoJ+lyQctV2bX3Vq9kZnegLbpjTLP49It2ovUbcartuoQTeXgP+TGpY//7mDH/UQlFCKDGiA==" saltValue="KUnni6YEm00anzSSvyLqQA==" spinCount="100000" sqref="GX561 FK561:FL561 FN561:FO561 HD561:HI561" name="Rango2_94_2"/>
    <protectedRange algorithmName="SHA-512" hashValue="q2z5hEFmXS0v2chiPTC/VCoDWNlnhp+Xe6Ybfxe48vIsnB/KTJQxJv+pFUnCXfZ9T6vyJopuqFFNROfQTW/JUw==" saltValue="IctfdGJb5tOTpq+KPi9vww==" spinCount="100000" sqref="ID561:IJ561 IA561" name="Rango2_88_39_18_2"/>
    <protectedRange algorithmName="SHA-512" hashValue="XZw03RosI/l0z9FxmTtF29EdZ7P+4+ybhqoaAAUmURojSR5XbGfjC4f2i8gMqfY+RI9JvfdCA6PSh9TduXfUxA==" saltValue="5TPtLq2WoiRSae/yaDPnTw==" spinCount="100000" sqref="IB561 IL561:IM561 HU561:HZ561 IO561" name="Rango2_99_72_2"/>
    <protectedRange algorithmName="SHA-512" hashValue="XZw03RosI/l0z9FxmTtF29EdZ7P+4+ybhqoaAAUmURojSR5XbGfjC4f2i8gMqfY+RI9JvfdCA6PSh9TduXfUxA==" saltValue="5TPtLq2WoiRSae/yaDPnTw==" spinCount="100000" sqref="ER562:ES562 EV562:EW562 FF562 EA562:EJ562 EO562 FI562" name="Rango2_99_60_3"/>
    <protectedRange algorithmName="SHA-512" hashValue="9+DNppQbWrLYYUMoJ+lyQctV2bX3Vq9kZnegLbpjTLP49It2ovUbcartuoQTeXgP+TGpY//7mDH/UQlFCKDGiA==" saltValue="KUnni6YEm00anzSSvyLqQA==" spinCount="100000" sqref="FE562 EY562:FA562 FC562 FH562 EN562" name="Rango2_86_3"/>
    <protectedRange algorithmName="SHA-512" hashValue="EEHzbvEYwO1eufllBljOz0uf9BJ2ENtvOScQ7IsS321QhYbwKn7qhHKKP8cKj02rTDvVRMWvwQ1ZP0mZWsBprQ==" saltValue="CjXqBRFbKezlWOFV37MnDQ==" spinCount="100000" sqref="GQ562:GR562 GW562 GN562" name="Rango2_30_2_9_3"/>
    <protectedRange algorithmName="SHA-512" hashValue="Rgskw+AQdeJ5qbJdarzTa3SCkJfDGziy0Uan5N0F3IWn/H3Z/e+VcB56R7Nes7MPxNHewNP1sSSucVjz3iTLeA==" saltValue="qKZH3DnwaZHBzy3cBZo1qQ==" spinCount="100000" sqref="GF562" name="Rango2_31_28_9_3"/>
    <protectedRange algorithmName="SHA-512" hashValue="Umj9+5Ys20VQPxBFtc6qE5LtKKSgPKwit+B8dd4XnEUaLfBM2ozpkEC4YxwK0SbBiAHDDex+pY+LomQ0lyuamQ==" saltValue="N2/MCRws+mmA+NXw0axolg==" spinCount="100000" sqref="GJ562 GH562 GE562 GB562 GL562 FY562" name="Rango2_31_2_9_3"/>
    <protectedRange algorithmName="SHA-512" hashValue="XZw03RosI/l0z9FxmTtF29EdZ7P+4+ybhqoaAAUmURojSR5XbGfjC4f2i8gMqfY+RI9JvfdCA6PSh9TduXfUxA==" saltValue="5TPtLq2WoiRSae/yaDPnTw==" spinCount="100000" sqref="FQ562:FR562 GO562 GT562 FZ562 FW562:FX562 FU562 GM562 GK562 GY562:GZ562 HJ562" name="Rango2_99_66_3"/>
    <protectedRange algorithmName="SHA-512" hashValue="YXHanhqXL0e4jPrzkCF8r/22WmlCviFUW909WKuG1JOcU0mp0/Huh0aP3EaGYxV2ep0WGu48HsShAy4Ka2uOiw==" saltValue="h/7U5iwJm7DLR4tRVfwZYw==" spinCount="100000" sqref="GC562 GI562" name="Rango2_33_18_4"/>
    <protectedRange algorithmName="SHA-512" hashValue="pL4tgTKqwEsWSIEGFTBd+4pvEhE7d5Q99Eijs+L/Y1rhA0saQGGRJw5Pv2HLOP0quglztFwB6WVnQ1YGxd4AiQ==" saltValue="IF5mhk2RcoEjrcYppes1VA==" spinCount="100000" sqref="FT562" name="Rango2_30_10_3"/>
    <protectedRange algorithmName="SHA-512" hashValue="9+DNppQbWrLYYUMoJ+lyQctV2bX3Vq9kZnegLbpjTLP49It2ovUbcartuoQTeXgP+TGpY//7mDH/UQlFCKDGiA==" saltValue="KUnni6YEm00anzSSvyLqQA==" spinCount="100000" sqref="GX562 FK562:FL562 FN562:FO562 HD562:HI562" name="Rango2_94_3"/>
    <protectedRange algorithmName="SHA-512" hashValue="q2z5hEFmXS0v2chiPTC/VCoDWNlnhp+Xe6Ybfxe48vIsnB/KTJQxJv+pFUnCXfZ9T6vyJopuqFFNROfQTW/JUw==" saltValue="IctfdGJb5tOTpq+KPi9vww==" spinCount="100000" sqref="ID562:IJ562 IA562" name="Rango2_88_39_18_3"/>
    <protectedRange algorithmName="SHA-512" hashValue="XZw03RosI/l0z9FxmTtF29EdZ7P+4+ybhqoaAAUmURojSR5XbGfjC4f2i8gMqfY+RI9JvfdCA6PSh9TduXfUxA==" saltValue="5TPtLq2WoiRSae/yaDPnTw==" spinCount="100000" sqref="IB562 IL562:IM562 HU562:HZ562 IO562" name="Rango2_99_72_3"/>
    <protectedRange sqref="IS553:IS554" name="Rango2_40_2_3_1"/>
    <protectedRange sqref="IW553:IW554" name="Rango2_41_3_1"/>
    <protectedRange sqref="IT553:IV554 IX553:IX554 IZ553:JM554 JO553:JW554 JY553:KF554 KH553:KH554 KJ553:MP554" name="Rango2_49_4"/>
    <protectedRange sqref="IS555" name="Rango2_40_2_3_2"/>
    <protectedRange sqref="IW555" name="Rango2_41_3_2"/>
    <protectedRange sqref="IT555:IV555 IX555 IZ555:JM555 JO555:JW555 JY555:KF555 KH555 KJ555:MP555" name="Rango2_49_5"/>
    <protectedRange sqref="IS556" name="Rango2_40_2_3_3"/>
    <protectedRange sqref="IW556" name="Rango2_41_3_3"/>
    <protectedRange sqref="IT556:IV556 IX556 IZ556:JM556 JO556:JW556 JY556:KF556 KH556 KJ556:MP556" name="Rango2_49_6"/>
    <protectedRange algorithmName="SHA-512" hashValue="Gqwr8n5jYbCESAqCFk8dpOzViQICBV+k0xoqBoQaZ5lHaRlvT9TZDB4yXtm+qC6OhD064ZDBOFWkwo+LHXu1sg==" saltValue="gEL9PCN2ekF2IxW9yqAGYA==" spinCount="100000" sqref="IS557" name="Rango2_40_2_5_2"/>
    <protectedRange algorithmName="SHA-512" hashValue="D8TacORwT7iz0mF9GEucchnMHfB5er2FFjQsxyeWWyeJkM6Bt3gYQ3LbcHPxZXFpVAYtFOuTrzYOCJrlZDx16g==" saltValue="QtCzIBktdS4NZkOEGcLTRQ==" spinCount="100000" sqref="IW557" name="Rango2_41_5_2"/>
    <protectedRange algorithmName="SHA-512" hashValue="9+DNppQbWrLYYUMoJ+lyQctV2bX3Vq9kZnegLbpjTLP49It2ovUbcartuoQTeXgP+TGpY//7mDH/UQlFCKDGiA==" saltValue="KUnni6YEm00anzSSvyLqQA==" spinCount="100000" sqref="IT557:IV557 IX557 LC557:MP557 IZ557:JM557 JO557:JW557 JY557:KF557 KH557 KJ557:LA557" name="Rango2_98_2"/>
    <protectedRange algorithmName="SHA-512" hashValue="Gqwr8n5jYbCESAqCFk8dpOzViQICBV+k0xoqBoQaZ5lHaRlvT9TZDB4yXtm+qC6OhD064ZDBOFWkwo+LHXu1sg==" saltValue="gEL9PCN2ekF2IxW9yqAGYA==" spinCount="100000" sqref="IS558" name="Rango2_40_2_7_2"/>
    <protectedRange algorithmName="SHA-512" hashValue="D8TacORwT7iz0mF9GEucchnMHfB5er2FFjQsxyeWWyeJkM6Bt3gYQ3LbcHPxZXFpVAYtFOuTrzYOCJrlZDx16g==" saltValue="QtCzIBktdS4NZkOEGcLTRQ==" spinCount="100000" sqref="IW558" name="Rango2_41_7_2"/>
    <protectedRange algorithmName="SHA-512" hashValue="Gqwr8n5jYbCESAqCFk8dpOzViQICBV+k0xoqBoQaZ5lHaRlvT9TZDB4yXtm+qC6OhD064ZDBOFWkwo+LHXu1sg==" saltValue="gEL9PCN2ekF2IxW9yqAGYA==" spinCount="100000" sqref="IS559" name="Rango2_40_2_8_2"/>
    <protectedRange algorithmName="SHA-512" hashValue="D8TacORwT7iz0mF9GEucchnMHfB5er2FFjQsxyeWWyeJkM6Bt3gYQ3LbcHPxZXFpVAYtFOuTrzYOCJrlZDx16g==" saltValue="QtCzIBktdS4NZkOEGcLTRQ==" spinCount="100000" sqref="IW559" name="Rango2_41_8_2"/>
    <protectedRange algorithmName="SHA-512" hashValue="Gqwr8n5jYbCESAqCFk8dpOzViQICBV+k0xoqBoQaZ5lHaRlvT9TZDB4yXtm+qC6OhD064ZDBOFWkwo+LHXu1sg==" saltValue="gEL9PCN2ekF2IxW9yqAGYA==" spinCount="100000" sqref="IS560" name="Rango2_40_2_9_2"/>
    <protectedRange algorithmName="SHA-512" hashValue="D8TacORwT7iz0mF9GEucchnMHfB5er2FFjQsxyeWWyeJkM6Bt3gYQ3LbcHPxZXFpVAYtFOuTrzYOCJrlZDx16g==" saltValue="QtCzIBktdS4NZkOEGcLTRQ==" spinCount="100000" sqref="IW560" name="Rango2_41_9_2"/>
    <protectedRange algorithmName="SHA-512" hashValue="Gqwr8n5jYbCESAqCFk8dpOzViQICBV+k0xoqBoQaZ5lHaRlvT9TZDB4yXtm+qC6OhD064ZDBOFWkwo+LHXu1sg==" saltValue="gEL9PCN2ekF2IxW9yqAGYA==" spinCount="100000" sqref="IS561" name="Rango2_40_2_9_3"/>
    <protectedRange algorithmName="SHA-512" hashValue="D8TacORwT7iz0mF9GEucchnMHfB5er2FFjQsxyeWWyeJkM6Bt3gYQ3LbcHPxZXFpVAYtFOuTrzYOCJrlZDx16g==" saltValue="QtCzIBktdS4NZkOEGcLTRQ==" spinCount="100000" sqref="IW561" name="Rango2_41_9_3"/>
    <protectedRange algorithmName="SHA-512" hashValue="Gqwr8n5jYbCESAqCFk8dpOzViQICBV+k0xoqBoQaZ5lHaRlvT9TZDB4yXtm+qC6OhD064ZDBOFWkwo+LHXu1sg==" saltValue="gEL9PCN2ekF2IxW9yqAGYA==" spinCount="100000" sqref="IS562" name="Rango2_40_2_9_4"/>
    <protectedRange algorithmName="SHA-512" hashValue="D8TacORwT7iz0mF9GEucchnMHfB5er2FFjQsxyeWWyeJkM6Bt3gYQ3LbcHPxZXFpVAYtFOuTrzYOCJrlZDx16g==" saltValue="QtCzIBktdS4NZkOEGcLTRQ==" spinCount="100000" sqref="IW562" name="Rango2_41_9_4"/>
    <protectedRange algorithmName="SHA-512" hashValue="6a5oYwZw9WJcgjqXpleUXH8uaqNEuymPPpeOb7lKBc1WoM6IG/DNyDLWmj2lYwxnZO2yhl+B61kwrxD9m9AdhQ==" saltValue="tdNQPzLQd+n9Ww064QJIaQ==" spinCount="100000" sqref="I671" name="Rango2_61_40_1"/>
    <protectedRange algorithmName="SHA-512" hashValue="XM8+0Jh5zLWw02PI0Lt8dLqjTcW5ulySion19FAnruDN6QRp4UwcVqdfQxnOQAItgpWG7rNsELzjwy0iXOonxw==" saltValue="Sd4WFUedDfLKoMQTDrxJuQ==" spinCount="100000" sqref="K671" name="Rango2_88_4_4_40_1"/>
    <protectedRange algorithmName="SHA-512" hashValue="EMMPgE8t/az1rHHzaZAQIhz+GQV0k2O/tQGA96sJqEEMzz1efIRa4CcLzC7iY9CCscto3g7dwz41haOE28iXYg==" saltValue="CVzFsG4X4LXUMo7796PiDQ==" spinCount="100000" sqref="L671:M671 B671:H671 J671 C672:C707" name="Rango2_10_40_1"/>
    <protectedRange algorithmName="SHA-512" hashValue="6a5oYwZw9WJcgjqXpleUXH8uaqNEuymPPpeOb7lKBc1WoM6IG/DNyDLWmj2lYwxnZO2yhl+B61kwrxD9m9AdhQ==" saltValue="tdNQPzLQd+n9Ww064QJIaQ==" spinCount="100000" sqref="I672" name="Rango2_61_42_1"/>
    <protectedRange algorithmName="SHA-512" hashValue="XM8+0Jh5zLWw02PI0Lt8dLqjTcW5ulySion19FAnruDN6QRp4UwcVqdfQxnOQAItgpWG7rNsELzjwy0iXOonxw==" saltValue="Sd4WFUedDfLKoMQTDrxJuQ==" spinCount="100000" sqref="K672" name="Rango2_88_4_4_42_1"/>
    <protectedRange algorithmName="SHA-512" hashValue="EMMPgE8t/az1rHHzaZAQIhz+GQV0k2O/tQGA96sJqEEMzz1efIRa4CcLzC7iY9CCscto3g7dwz41haOE28iXYg==" saltValue="CVzFsG4X4LXUMo7796PiDQ==" spinCount="100000" sqref="L672:M672 B672 J672 D672:H672" name="Rango2_10_42_1"/>
    <protectedRange algorithmName="SHA-512" hashValue="6a5oYwZw9WJcgjqXpleUXH8uaqNEuymPPpeOb7lKBc1WoM6IG/DNyDLWmj2lYwxnZO2yhl+B61kwrxD9m9AdhQ==" saltValue="tdNQPzLQd+n9Ww064QJIaQ==" spinCount="100000" sqref="I673" name="Rango2_61_43_1"/>
    <protectedRange algorithmName="SHA-512" hashValue="XM8+0Jh5zLWw02PI0Lt8dLqjTcW5ulySion19FAnruDN6QRp4UwcVqdfQxnOQAItgpWG7rNsELzjwy0iXOonxw==" saltValue="Sd4WFUedDfLKoMQTDrxJuQ==" spinCount="100000" sqref="K673" name="Rango2_88_4_4_43_1"/>
    <protectedRange algorithmName="SHA-512" hashValue="EMMPgE8t/az1rHHzaZAQIhz+GQV0k2O/tQGA96sJqEEMzz1efIRa4CcLzC7iY9CCscto3g7dwz41haOE28iXYg==" saltValue="CVzFsG4X4LXUMo7796PiDQ==" spinCount="100000" sqref="L673:M673 B673 J673 D673:H673" name="Rango2_10_43_1"/>
    <protectedRange algorithmName="SHA-512" hashValue="6a5oYwZw9WJcgjqXpleUXH8uaqNEuymPPpeOb7lKBc1WoM6IG/DNyDLWmj2lYwxnZO2yhl+B61kwrxD9m9AdhQ==" saltValue="tdNQPzLQd+n9Ww064QJIaQ==" spinCount="100000" sqref="I674:I675" name="Rango2_61_45_1"/>
    <protectedRange algorithmName="SHA-512" hashValue="XM8+0Jh5zLWw02PI0Lt8dLqjTcW5ulySion19FAnruDN6QRp4UwcVqdfQxnOQAItgpWG7rNsELzjwy0iXOonxw==" saltValue="Sd4WFUedDfLKoMQTDrxJuQ==" spinCount="100000" sqref="K674:K675" name="Rango2_88_4_4_45_1"/>
    <protectedRange algorithmName="SHA-512" hashValue="EMMPgE8t/az1rHHzaZAQIhz+GQV0k2O/tQGA96sJqEEMzz1efIRa4CcLzC7iY9CCscto3g7dwz41haOE28iXYg==" saltValue="CVzFsG4X4LXUMo7796PiDQ==" spinCount="100000" sqref="L674:M675 B674:B675 J674:J675 D674:H675" name="Rango2_10_45_1"/>
    <protectedRange algorithmName="SHA-512" hashValue="6a5oYwZw9WJcgjqXpleUXH8uaqNEuymPPpeOb7lKBc1WoM6IG/DNyDLWmj2lYwxnZO2yhl+B61kwrxD9m9AdhQ==" saltValue="tdNQPzLQd+n9Ww064QJIaQ==" spinCount="100000" sqref="I676:I677" name="Rango2_61_46_1"/>
    <protectedRange algorithmName="SHA-512" hashValue="XM8+0Jh5zLWw02PI0Lt8dLqjTcW5ulySion19FAnruDN6QRp4UwcVqdfQxnOQAItgpWG7rNsELzjwy0iXOonxw==" saltValue="Sd4WFUedDfLKoMQTDrxJuQ==" spinCount="100000" sqref="K676:K677" name="Rango2_88_4_4_46_1"/>
    <protectedRange algorithmName="SHA-512" hashValue="EMMPgE8t/az1rHHzaZAQIhz+GQV0k2O/tQGA96sJqEEMzz1efIRa4CcLzC7iY9CCscto3g7dwz41haOE28iXYg==" saltValue="CVzFsG4X4LXUMo7796PiDQ==" spinCount="100000" sqref="L676:M677 B676:B677 J676:J677 D676:H677" name="Rango2_10_46_1"/>
    <protectedRange algorithmName="SHA-512" hashValue="6a5oYwZw9WJcgjqXpleUXH8uaqNEuymPPpeOb7lKBc1WoM6IG/DNyDLWmj2lYwxnZO2yhl+B61kwrxD9m9AdhQ==" saltValue="tdNQPzLQd+n9Ww064QJIaQ==" spinCount="100000" sqref="I678" name="Rango2_61_47_1"/>
    <protectedRange algorithmName="SHA-512" hashValue="XM8+0Jh5zLWw02PI0Lt8dLqjTcW5ulySion19FAnruDN6QRp4UwcVqdfQxnOQAItgpWG7rNsELzjwy0iXOonxw==" saltValue="Sd4WFUedDfLKoMQTDrxJuQ==" spinCount="100000" sqref="K678" name="Rango2_88_4_4_47_1"/>
    <protectedRange algorithmName="SHA-512" hashValue="EMMPgE8t/az1rHHzaZAQIhz+GQV0k2O/tQGA96sJqEEMzz1efIRa4CcLzC7iY9CCscto3g7dwz41haOE28iXYg==" saltValue="CVzFsG4X4LXUMo7796PiDQ==" spinCount="100000" sqref="L678:M678 B678 J678 D678:H678" name="Rango2_10_47_1"/>
    <protectedRange algorithmName="SHA-512" hashValue="6a5oYwZw9WJcgjqXpleUXH8uaqNEuymPPpeOb7lKBc1WoM6IG/DNyDLWmj2lYwxnZO2yhl+B61kwrxD9m9AdhQ==" saltValue="tdNQPzLQd+n9Ww064QJIaQ==" spinCount="100000" sqref="I679" name="Rango2_61_48_1"/>
    <protectedRange algorithmName="SHA-512" hashValue="XM8+0Jh5zLWw02PI0Lt8dLqjTcW5ulySion19FAnruDN6QRp4UwcVqdfQxnOQAItgpWG7rNsELzjwy0iXOonxw==" saltValue="Sd4WFUedDfLKoMQTDrxJuQ==" spinCount="100000" sqref="K679" name="Rango2_88_4_4_48_1"/>
    <protectedRange algorithmName="SHA-512" hashValue="EMMPgE8t/az1rHHzaZAQIhz+GQV0k2O/tQGA96sJqEEMzz1efIRa4CcLzC7iY9CCscto3g7dwz41haOE28iXYg==" saltValue="CVzFsG4X4LXUMo7796PiDQ==" spinCount="100000" sqref="L679:M679 B679 J679 D679:H679" name="Rango2_10_48_1"/>
    <protectedRange algorithmName="SHA-512" hashValue="6a5oYwZw9WJcgjqXpleUXH8uaqNEuymPPpeOb7lKBc1WoM6IG/DNyDLWmj2lYwxnZO2yhl+B61kwrxD9m9AdhQ==" saltValue="tdNQPzLQd+n9Ww064QJIaQ==" spinCount="100000" sqref="I680" name="Rango2_61_50_1"/>
    <protectedRange algorithmName="SHA-512" hashValue="XM8+0Jh5zLWw02PI0Lt8dLqjTcW5ulySion19FAnruDN6QRp4UwcVqdfQxnOQAItgpWG7rNsELzjwy0iXOonxw==" saltValue="Sd4WFUedDfLKoMQTDrxJuQ==" spinCount="100000" sqref="K680" name="Rango2_88_4_4_50_1"/>
    <protectedRange algorithmName="SHA-512" hashValue="EMMPgE8t/az1rHHzaZAQIhz+GQV0k2O/tQGA96sJqEEMzz1efIRa4CcLzC7iY9CCscto3g7dwz41haOE28iXYg==" saltValue="CVzFsG4X4LXUMo7796PiDQ==" spinCount="100000" sqref="L680:M680 B680 J680 D680:H680" name="Rango2_10_50_1"/>
    <protectedRange algorithmName="SHA-512" hashValue="6a5oYwZw9WJcgjqXpleUXH8uaqNEuymPPpeOb7lKBc1WoM6IG/DNyDLWmj2lYwxnZO2yhl+B61kwrxD9m9AdhQ==" saltValue="tdNQPzLQd+n9Ww064QJIaQ==" spinCount="100000" sqref="I681:I682" name="Rango2_61_51_1"/>
    <protectedRange algorithmName="SHA-512" hashValue="XM8+0Jh5zLWw02PI0Lt8dLqjTcW5ulySion19FAnruDN6QRp4UwcVqdfQxnOQAItgpWG7rNsELzjwy0iXOonxw==" saltValue="Sd4WFUedDfLKoMQTDrxJuQ==" spinCount="100000" sqref="K681:K682" name="Rango2_88_4_4_51_1"/>
    <protectedRange algorithmName="SHA-512" hashValue="EMMPgE8t/az1rHHzaZAQIhz+GQV0k2O/tQGA96sJqEEMzz1efIRa4CcLzC7iY9CCscto3g7dwz41haOE28iXYg==" saltValue="CVzFsG4X4LXUMo7796PiDQ==" spinCount="100000" sqref="L681:M682 B681:B682 J681:J682 D681:H682" name="Rango2_10_51_1"/>
    <protectedRange algorithmName="SHA-512" hashValue="6a5oYwZw9WJcgjqXpleUXH8uaqNEuymPPpeOb7lKBc1WoM6IG/DNyDLWmj2lYwxnZO2yhl+B61kwrxD9m9AdhQ==" saltValue="tdNQPzLQd+n9Ww064QJIaQ==" spinCount="100000" sqref="I683" name="Rango2_61_52_1"/>
    <protectedRange algorithmName="SHA-512" hashValue="XM8+0Jh5zLWw02PI0Lt8dLqjTcW5ulySion19FAnruDN6QRp4UwcVqdfQxnOQAItgpWG7rNsELzjwy0iXOonxw==" saltValue="Sd4WFUedDfLKoMQTDrxJuQ==" spinCount="100000" sqref="K683" name="Rango2_88_4_4_52_1"/>
    <protectedRange algorithmName="SHA-512" hashValue="EMMPgE8t/az1rHHzaZAQIhz+GQV0k2O/tQGA96sJqEEMzz1efIRa4CcLzC7iY9CCscto3g7dwz41haOE28iXYg==" saltValue="CVzFsG4X4LXUMo7796PiDQ==" spinCount="100000" sqref="L683:M683 B683 J683 D684 D683:H683" name="Rango2_10_52_1"/>
    <protectedRange algorithmName="SHA-512" hashValue="EMMPgE8t/az1rHHzaZAQIhz+GQV0k2O/tQGA96sJqEEMzz1efIRa4CcLzC7iY9CCscto3g7dwz41haOE28iXYg==" saltValue="CVzFsG4X4LXUMo7796PiDQ==" spinCount="100000" sqref="J701" name="Rango2_10_54_1"/>
    <protectedRange algorithmName="SHA-512" hashValue="EMMPgE8t/az1rHHzaZAQIhz+GQV0k2O/tQGA96sJqEEMzz1efIRa4CcLzC7iY9CCscto3g7dwz41haOE28iXYg==" saltValue="CVzFsG4X4LXUMo7796PiDQ==" spinCount="100000" sqref="M701" name="Rango2_10_55_1"/>
    <protectedRange algorithmName="SHA-512" hashValue="EMMPgE8t/az1rHHzaZAQIhz+GQV0k2O/tQGA96sJqEEMzz1efIRa4CcLzC7iY9CCscto3g7dwz41haOE28iXYg==" saltValue="CVzFsG4X4LXUMo7796PiDQ==" spinCount="100000" sqref="A693" name="Rango2_10_53_1"/>
    <protectedRange algorithmName="SHA-512" hashValue="XZw03RosI/l0z9FxmTtF29EdZ7P+4+ybhqoaAAUmURojSR5XbGfjC4f2i8gMqfY+RI9JvfdCA6PSh9TduXfUxA==" saltValue="5TPtLq2WoiRSae/yaDPnTw==" spinCount="100000" sqref="O671" name="Rango2_99_40_3"/>
    <protectedRange algorithmName="SHA-512" hashValue="CHipOQaT63FWw628cQcXXJRZlrbNZ7OgmnEbDx38UmmH7z19GRYEzXFiVOzHAy1OAaAbST7g2bHZHDKQp2qm3w==" saltValue="iRVuL+373yLHv0ZHzS9qog==" spinCount="100000" sqref="AG671:AH671 AJ671" name="Rango2_88_7_5_40_1"/>
    <protectedRange algorithmName="SHA-512" hashValue="fPHvtIAf3pQeZUoAI9C2/vdXMHBpqqEq+67P5Ypyu4+9IWqs3yc9TZcMWQ0THLxUwqseQPyVvakuYFtCwJHsxA==" saltValue="QHIogSs2PrwAfdqa9PAOFQ==" spinCount="100000" sqref="AC671" name="Rango2_88_5_5_40_1"/>
    <protectedRange algorithmName="SHA-512" hashValue="LEEeiU6pKqm7TAP46VGlz0q+evvFwpT/0iLpRuWuQ7MacbP0OGL1/FSmrIEOg2rb6M+Jla2bPbVWiGag27j87w==" saltValue="HEVt+pS5OloNDlqSnzGLLw==" spinCount="100000" sqref="AI671" name="Rango2_8_7_40_1"/>
    <protectedRange algorithmName="SHA-512" hashValue="q2z5hEFmXS0v2chiPTC/VCoDWNlnhp+Xe6Ybfxe48vIsnB/KTJQxJv+pFUnCXfZ9T6vyJopuqFFNROfQTW/JUw==" saltValue="IctfdGJb5tOTpq+KPi9vww==" spinCount="100000" sqref="AE671:AF671" name="Rango2_88_39_40_1"/>
    <protectedRange algorithmName="SHA-512" hashValue="AYYX88LSDB6RDNMvSqt0KPGWPjBqTk56tMxTOlv5QD61MGTKAAQnSnudvNDWPN0Bbllh2qRQC+P5uq7goxjdrw==" saltValue="i/iPMewnks1FoXYOjKMEVg==" spinCount="100000" sqref="AB671" name="Rango2_87_6_40_1"/>
    <protectedRange algorithmName="SHA-512" hashValue="NUll9P9xh7KbSfMYpMxsRZLfDw/y/AzW2LSWlpXVscBDqiAxmzo71xjs+a2lh+jRa7pceOC849slke4+ZKx8LA==" saltValue="8qbkKpQ+CiQuLnqgShNvXA==" spinCount="100000" sqref="T671" name="Rango2_88_6_40_1"/>
    <protectedRange algorithmName="SHA-512" hashValue="KHhv3JU/LRdRrRTxxkgFceEHPZ5UzadmpZRZR3zmQRnPvkUJZuanRafIJ+qde0IWwLZSvFIQDyUAHq6v6k7XIg==" saltValue="2GKG1kCzVNNcn+vbOPuhJA==" spinCount="100000" sqref="Q671" name="Rango2_2_5_40_1"/>
    <protectedRange algorithmName="SHA-512" hashValue="XZw03RosI/l0z9FxmTtF29EdZ7P+4+ybhqoaAAUmURojSR5XbGfjC4f2i8gMqfY+RI9JvfdCA6PSh9TduXfUxA==" saltValue="5TPtLq2WoiRSae/yaDPnTw==" spinCount="100000" sqref="R671:S671 U671:AA671" name="Rango2_99_92_1"/>
    <protectedRange algorithmName="SHA-512" hashValue="9+DNppQbWrLYYUMoJ+lyQctV2bX3Vq9kZnegLbpjTLP49It2ovUbcartuoQTeXgP+TGpY//7mDH/UQlFCKDGiA==" saltValue="KUnni6YEm00anzSSvyLqQA==" spinCount="100000" sqref="AD671" name="Rango2_64_1"/>
    <protectedRange algorithmName="SHA-512" hashValue="RQ91b7oAw60DVtcgB2vRpial2kSdzJx5guGCTYUwXYkKrtrUHfiYnLf9R+SNpYXlJDYpyEJLhcWwP0EqNN86dQ==" saltValue="W3RbH3zrcY9sy39xNwXNxg==" spinCount="100000" sqref="BA671:BI671" name="Rango2_88_99_40_1"/>
    <protectedRange algorithmName="SHA-512" hashValue="fMbmUM1DQ7FuAPRNvFL5mPdHUYjQnlLFhkuaxvHguaqR7aWyDxcmJs0jLYQfQKY+oyhsMb4Lew4VL6i7um3/ew==" saltValue="ydaTm0CeH8+/cYqoL/AMaQ==" spinCount="100000" sqref="AU671 AW671:AZ671" name="Rango2_88_91_40_1"/>
    <protectedRange algorithmName="SHA-512" hashValue="CHipOQaT63FWw628cQcXXJRZlrbNZ7OgmnEbDx38UmmH7z19GRYEzXFiVOzHAy1OAaAbST7g2bHZHDKQp2qm3w==" saltValue="iRVuL+373yLHv0ZHzS9qog==" spinCount="100000" sqref="AL671" name="Rango2_88_7_5_92_1"/>
    <protectedRange algorithmName="SHA-512" hashValue="NkG6oHuDGvGBEiLAAq8MEJHEfLQUMyjihfH+DBXhT+eQW0r1yri7tOJEFRM9nbOejjjXiviq9RFo7KB7wF+xJA==" saltValue="bpjB0AAANu2X/PeR3eiFkA==" spinCount="100000" sqref="AM671:AS671" name="Rango2_88_65_40_1"/>
    <protectedRange algorithmName="SHA-512" hashValue="RQ91b7oAw60DVtcgB2vRpial2kSdzJx5guGCTYUwXYkKrtrUHfiYnLf9R+SNpYXlJDYpyEJLhcWwP0EqNN86dQ==" saltValue="W3RbH3zrcY9sy39xNwXNxg==" spinCount="100000" sqref="BV671:BY671" name="Rango2_88_99_92_1"/>
    <protectedRange algorithmName="SHA-512" hashValue="XZw03RosI/l0z9FxmTtF29EdZ7P+4+ybhqoaAAUmURojSR5XbGfjC4f2i8gMqfY+RI9JvfdCA6PSh9TduXfUxA==" saltValue="5TPtLq2WoiRSae/yaDPnTw==" spinCount="100000" sqref="O672" name="Rango2_99_42_6"/>
    <protectedRange algorithmName="SHA-512" hashValue="XZw03RosI/l0z9FxmTtF29EdZ7P+4+ybhqoaAAUmURojSR5XbGfjC4f2i8gMqfY+RI9JvfdCA6PSh9TduXfUxA==" saltValue="5TPtLq2WoiRSae/yaDPnTw==" spinCount="100000" sqref="O673" name="Rango2_99_43_1"/>
    <protectedRange algorithmName="SHA-512" hashValue="CHipOQaT63FWw628cQcXXJRZlrbNZ7OgmnEbDx38UmmH7z19GRYEzXFiVOzHAy1OAaAbST7g2bHZHDKQp2qm3w==" saltValue="iRVuL+373yLHv0ZHzS9qog==" spinCount="100000" sqref="AG672:AH672 AJ672" name="Rango2_88_7_5_42_1"/>
    <protectedRange algorithmName="SHA-512" hashValue="fPHvtIAf3pQeZUoAI9C2/vdXMHBpqqEq+67P5Ypyu4+9IWqs3yc9TZcMWQ0THLxUwqseQPyVvakuYFtCwJHsxA==" saltValue="QHIogSs2PrwAfdqa9PAOFQ==" spinCount="100000" sqref="AC672" name="Rango2_88_5_5_42_1"/>
    <protectedRange algorithmName="SHA-512" hashValue="LEEeiU6pKqm7TAP46VGlz0q+evvFwpT/0iLpRuWuQ7MacbP0OGL1/FSmrIEOg2rb6M+Jla2bPbVWiGag27j87w==" saltValue="HEVt+pS5OloNDlqSnzGLLw==" spinCount="100000" sqref="AI672" name="Rango2_8_7_42_1"/>
    <protectedRange algorithmName="SHA-512" hashValue="q2z5hEFmXS0v2chiPTC/VCoDWNlnhp+Xe6Ybfxe48vIsnB/KTJQxJv+pFUnCXfZ9T6vyJopuqFFNROfQTW/JUw==" saltValue="IctfdGJb5tOTpq+KPi9vww==" spinCount="100000" sqref="AE672:AF672" name="Rango2_88_39_42_1"/>
    <protectedRange algorithmName="SHA-512" hashValue="AYYX88LSDB6RDNMvSqt0KPGWPjBqTk56tMxTOlv5QD61MGTKAAQnSnudvNDWPN0Bbllh2qRQC+P5uq7goxjdrw==" saltValue="i/iPMewnks1FoXYOjKMEVg==" spinCount="100000" sqref="AB672" name="Rango2_87_6_42_1"/>
    <protectedRange algorithmName="SHA-512" hashValue="NUll9P9xh7KbSfMYpMxsRZLfDw/y/AzW2LSWlpXVscBDqiAxmzo71xjs+a2lh+jRa7pceOC849slke4+ZKx8LA==" saltValue="8qbkKpQ+CiQuLnqgShNvXA==" spinCount="100000" sqref="T672" name="Rango2_88_6_42_1"/>
    <protectedRange algorithmName="SHA-512" hashValue="KHhv3JU/LRdRrRTxxkgFceEHPZ5UzadmpZRZR3zmQRnPvkUJZuanRafIJ+qde0IWwLZSvFIQDyUAHq6v6k7XIg==" saltValue="2GKG1kCzVNNcn+vbOPuhJA==" spinCount="100000" sqref="Q672" name="Rango2_2_5_42_1"/>
    <protectedRange algorithmName="SHA-512" hashValue="XZw03RosI/l0z9FxmTtF29EdZ7P+4+ybhqoaAAUmURojSR5XbGfjC4f2i8gMqfY+RI9JvfdCA6PSh9TduXfUxA==" saltValue="5TPtLq2WoiRSae/yaDPnTw==" spinCount="100000" sqref="R672:S672 U672:AA672" name="Rango2_99_94_1"/>
    <protectedRange algorithmName="SHA-512" hashValue="9+DNppQbWrLYYUMoJ+lyQctV2bX3Vq9kZnegLbpjTLP49It2ovUbcartuoQTeXgP+TGpY//7mDH/UQlFCKDGiA==" saltValue="KUnni6YEm00anzSSvyLqQA==" spinCount="100000" sqref="AD672" name="Rango2_66_1"/>
    <protectedRange algorithmName="SHA-512" hashValue="CHipOQaT63FWw628cQcXXJRZlrbNZ7OgmnEbDx38UmmH7z19GRYEzXFiVOzHAy1OAaAbST7g2bHZHDKQp2qm3w==" saltValue="iRVuL+373yLHv0ZHzS9qog==" spinCount="100000" sqref="AG673:AH673 AJ673" name="Rango2_88_7_5_43_1"/>
    <protectedRange algorithmName="SHA-512" hashValue="fPHvtIAf3pQeZUoAI9C2/vdXMHBpqqEq+67P5Ypyu4+9IWqs3yc9TZcMWQ0THLxUwqseQPyVvakuYFtCwJHsxA==" saltValue="QHIogSs2PrwAfdqa9PAOFQ==" spinCount="100000" sqref="AC673" name="Rango2_88_5_5_43_1"/>
    <protectedRange algorithmName="SHA-512" hashValue="LEEeiU6pKqm7TAP46VGlz0q+evvFwpT/0iLpRuWuQ7MacbP0OGL1/FSmrIEOg2rb6M+Jla2bPbVWiGag27j87w==" saltValue="HEVt+pS5OloNDlqSnzGLLw==" spinCount="100000" sqref="AI673" name="Rango2_8_7_43_1"/>
    <protectedRange algorithmName="SHA-512" hashValue="q2z5hEFmXS0v2chiPTC/VCoDWNlnhp+Xe6Ybfxe48vIsnB/KTJQxJv+pFUnCXfZ9T6vyJopuqFFNROfQTW/JUw==" saltValue="IctfdGJb5tOTpq+KPi9vww==" spinCount="100000" sqref="AE673:AF673" name="Rango2_88_39_43_1"/>
    <protectedRange algorithmName="SHA-512" hashValue="AYYX88LSDB6RDNMvSqt0KPGWPjBqTk56tMxTOlv5QD61MGTKAAQnSnudvNDWPN0Bbllh2qRQC+P5uq7goxjdrw==" saltValue="i/iPMewnks1FoXYOjKMEVg==" spinCount="100000" sqref="AB673" name="Rango2_87_6_43_1"/>
    <protectedRange algorithmName="SHA-512" hashValue="NUll9P9xh7KbSfMYpMxsRZLfDw/y/AzW2LSWlpXVscBDqiAxmzo71xjs+a2lh+jRa7pceOC849slke4+ZKx8LA==" saltValue="8qbkKpQ+CiQuLnqgShNvXA==" spinCount="100000" sqref="T673" name="Rango2_88_6_43_1"/>
    <protectedRange algorithmName="SHA-512" hashValue="KHhv3JU/LRdRrRTxxkgFceEHPZ5UzadmpZRZR3zmQRnPvkUJZuanRafIJ+qde0IWwLZSvFIQDyUAHq6v6k7XIg==" saltValue="2GKG1kCzVNNcn+vbOPuhJA==" spinCount="100000" sqref="Q673" name="Rango2_2_5_43_1"/>
    <protectedRange algorithmName="SHA-512" hashValue="XZw03RosI/l0z9FxmTtF29EdZ7P+4+ybhqoaAAUmURojSR5XbGfjC4f2i8gMqfY+RI9JvfdCA6PSh9TduXfUxA==" saltValue="5TPtLq2WoiRSae/yaDPnTw==" spinCount="100000" sqref="R673:S673 U673:AA673" name="Rango2_99_95_1"/>
    <protectedRange algorithmName="SHA-512" hashValue="9+DNppQbWrLYYUMoJ+lyQctV2bX3Vq9kZnegLbpjTLP49It2ovUbcartuoQTeXgP+TGpY//7mDH/UQlFCKDGiA==" saltValue="KUnni6YEm00anzSSvyLqQA==" spinCount="100000" sqref="AD673" name="Rango2_67_2"/>
    <protectedRange algorithmName="SHA-512" hashValue="RQ91b7oAw60DVtcgB2vRpial2kSdzJx5guGCTYUwXYkKrtrUHfiYnLf9R+SNpYXlJDYpyEJLhcWwP0EqNN86dQ==" saltValue="W3RbH3zrcY9sy39xNwXNxg==" spinCount="100000" sqref="BA672:BI672" name="Rango2_88_99_42_1"/>
    <protectedRange algorithmName="SHA-512" hashValue="fMbmUM1DQ7FuAPRNvFL5mPdHUYjQnlLFhkuaxvHguaqR7aWyDxcmJs0jLYQfQKY+oyhsMb4Lew4VL6i7um3/ew==" saltValue="ydaTm0CeH8+/cYqoL/AMaQ==" spinCount="100000" sqref="AU672 AW672:AZ672" name="Rango2_88_91_42_1"/>
    <protectedRange algorithmName="SHA-512" hashValue="CHipOQaT63FWw628cQcXXJRZlrbNZ7OgmnEbDx38UmmH7z19GRYEzXFiVOzHAy1OAaAbST7g2bHZHDKQp2qm3w==" saltValue="iRVuL+373yLHv0ZHzS9qog==" spinCount="100000" sqref="AL672" name="Rango2_88_7_5_94_1"/>
    <protectedRange algorithmName="SHA-512" hashValue="NkG6oHuDGvGBEiLAAq8MEJHEfLQUMyjihfH+DBXhT+eQW0r1yri7tOJEFRM9nbOejjjXiviq9RFo7KB7wF+xJA==" saltValue="bpjB0AAANu2X/PeR3eiFkA==" spinCount="100000" sqref="AM672:AS672" name="Rango2_88_65_42_1"/>
    <protectedRange algorithmName="SHA-512" hashValue="RQ91b7oAw60DVtcgB2vRpial2kSdzJx5guGCTYUwXYkKrtrUHfiYnLf9R+SNpYXlJDYpyEJLhcWwP0EqNN86dQ==" saltValue="W3RbH3zrcY9sy39xNwXNxg==" spinCount="100000" sqref="BA673:BI673" name="Rango2_88_99_43_1"/>
    <protectedRange algorithmName="SHA-512" hashValue="fMbmUM1DQ7FuAPRNvFL5mPdHUYjQnlLFhkuaxvHguaqR7aWyDxcmJs0jLYQfQKY+oyhsMb4Lew4VL6i7um3/ew==" saltValue="ydaTm0CeH8+/cYqoL/AMaQ==" spinCount="100000" sqref="AU673 AW673:AZ673" name="Rango2_88_91_43_1"/>
    <protectedRange algorithmName="SHA-512" hashValue="CHipOQaT63FWw628cQcXXJRZlrbNZ7OgmnEbDx38UmmH7z19GRYEzXFiVOzHAy1OAaAbST7g2bHZHDKQp2qm3w==" saltValue="iRVuL+373yLHv0ZHzS9qog==" spinCount="100000" sqref="AL673" name="Rango2_88_7_5_95_1"/>
    <protectedRange algorithmName="SHA-512" hashValue="NkG6oHuDGvGBEiLAAq8MEJHEfLQUMyjihfH+DBXhT+eQW0r1yri7tOJEFRM9nbOejjjXiviq9RFo7KB7wF+xJA==" saltValue="bpjB0AAANu2X/PeR3eiFkA==" spinCount="100000" sqref="AM673:AS673" name="Rango2_88_65_43_1"/>
    <protectedRange algorithmName="SHA-512" hashValue="RQ91b7oAw60DVtcgB2vRpial2kSdzJx5guGCTYUwXYkKrtrUHfiYnLf9R+SNpYXlJDYpyEJLhcWwP0EqNN86dQ==" saltValue="W3RbH3zrcY9sy39xNwXNxg==" spinCount="100000" sqref="BV672:BY672" name="Rango2_88_99_94_1"/>
    <protectedRange algorithmName="SHA-512" hashValue="RQ91b7oAw60DVtcgB2vRpial2kSdzJx5guGCTYUwXYkKrtrUHfiYnLf9R+SNpYXlJDYpyEJLhcWwP0EqNN86dQ==" saltValue="W3RbH3zrcY9sy39xNwXNxg==" spinCount="100000" sqref="BV673:BY673" name="Rango2_88_99_95_1"/>
    <protectedRange algorithmName="SHA-512" hashValue="XZw03RosI/l0z9FxmTtF29EdZ7P+4+ybhqoaAAUmURojSR5XbGfjC4f2i8gMqfY+RI9JvfdCA6PSh9TduXfUxA==" saltValue="5TPtLq2WoiRSae/yaDPnTw==" spinCount="100000" sqref="O674:O675" name="Rango2_99_45_1"/>
    <protectedRange algorithmName="SHA-512" hashValue="XZw03RosI/l0z9FxmTtF29EdZ7P+4+ybhqoaAAUmURojSR5XbGfjC4f2i8gMqfY+RI9JvfdCA6PSh9TduXfUxA==" saltValue="5TPtLq2WoiRSae/yaDPnTw==" spinCount="100000" sqref="O676:O677" name="Rango2_99_46_3"/>
    <protectedRange algorithmName="SHA-512" hashValue="XZw03RosI/l0z9FxmTtF29EdZ7P+4+ybhqoaAAUmURojSR5XbGfjC4f2i8gMqfY+RI9JvfdCA6PSh9TduXfUxA==" saltValue="5TPtLq2WoiRSae/yaDPnTw==" spinCount="100000" sqref="O678" name="Rango2_99_47_3"/>
    <protectedRange algorithmName="SHA-512" hashValue="XZw03RosI/l0z9FxmTtF29EdZ7P+4+ybhqoaAAUmURojSR5XbGfjC4f2i8gMqfY+RI9JvfdCA6PSh9TduXfUxA==" saltValue="5TPtLq2WoiRSae/yaDPnTw==" spinCount="100000" sqref="O679" name="Rango2_99_48_4"/>
    <protectedRange algorithmName="SHA-512" hashValue="CHipOQaT63FWw628cQcXXJRZlrbNZ7OgmnEbDx38UmmH7z19GRYEzXFiVOzHAy1OAaAbST7g2bHZHDKQp2qm3w==" saltValue="iRVuL+373yLHv0ZHzS9qog==" spinCount="100000" sqref="AG674:AH675 AJ674:AJ675" name="Rango2_88_7_5_45_1"/>
    <protectedRange algorithmName="SHA-512" hashValue="fPHvtIAf3pQeZUoAI9C2/vdXMHBpqqEq+67P5Ypyu4+9IWqs3yc9TZcMWQ0THLxUwqseQPyVvakuYFtCwJHsxA==" saltValue="QHIogSs2PrwAfdqa9PAOFQ==" spinCount="100000" sqref="AC674:AC675" name="Rango2_88_5_5_45_1"/>
    <protectedRange algorithmName="SHA-512" hashValue="LEEeiU6pKqm7TAP46VGlz0q+evvFwpT/0iLpRuWuQ7MacbP0OGL1/FSmrIEOg2rb6M+Jla2bPbVWiGag27j87w==" saltValue="HEVt+pS5OloNDlqSnzGLLw==" spinCount="100000" sqref="AI674:AI675" name="Rango2_8_7_45_1"/>
    <protectedRange algorithmName="SHA-512" hashValue="q2z5hEFmXS0v2chiPTC/VCoDWNlnhp+Xe6Ybfxe48vIsnB/KTJQxJv+pFUnCXfZ9T6vyJopuqFFNROfQTW/JUw==" saltValue="IctfdGJb5tOTpq+KPi9vww==" spinCount="100000" sqref="AE674:AF675" name="Rango2_88_39_45_2"/>
    <protectedRange algorithmName="SHA-512" hashValue="AYYX88LSDB6RDNMvSqt0KPGWPjBqTk56tMxTOlv5QD61MGTKAAQnSnudvNDWPN0Bbllh2qRQC+P5uq7goxjdrw==" saltValue="i/iPMewnks1FoXYOjKMEVg==" spinCount="100000" sqref="AB674:AB675" name="Rango2_87_6_45_1"/>
    <protectedRange algorithmName="SHA-512" hashValue="NUll9P9xh7KbSfMYpMxsRZLfDw/y/AzW2LSWlpXVscBDqiAxmzo71xjs+a2lh+jRa7pceOC849slke4+ZKx8LA==" saltValue="8qbkKpQ+CiQuLnqgShNvXA==" spinCount="100000" sqref="T674:T675" name="Rango2_88_6_45_1"/>
    <protectedRange algorithmName="SHA-512" hashValue="KHhv3JU/LRdRrRTxxkgFceEHPZ5UzadmpZRZR3zmQRnPvkUJZuanRafIJ+qde0IWwLZSvFIQDyUAHq6v6k7XIg==" saltValue="2GKG1kCzVNNcn+vbOPuhJA==" spinCount="100000" sqref="Q674:Q675" name="Rango2_2_5_45_1"/>
    <protectedRange algorithmName="SHA-512" hashValue="XZw03RosI/l0z9FxmTtF29EdZ7P+4+ybhqoaAAUmURojSR5XbGfjC4f2i8gMqfY+RI9JvfdCA6PSh9TduXfUxA==" saltValue="5TPtLq2WoiRSae/yaDPnTw==" spinCount="100000" sqref="R674:S675 U674:AA675" name="Rango2_99_97_1"/>
    <protectedRange algorithmName="SHA-512" hashValue="9+DNppQbWrLYYUMoJ+lyQctV2bX3Vq9kZnegLbpjTLP49It2ovUbcartuoQTeXgP+TGpY//7mDH/UQlFCKDGiA==" saltValue="KUnni6YEm00anzSSvyLqQA==" spinCount="100000" sqref="AD674:AD675" name="Rango2_69_4"/>
    <protectedRange algorithmName="SHA-512" hashValue="CHipOQaT63FWw628cQcXXJRZlrbNZ7OgmnEbDx38UmmH7z19GRYEzXFiVOzHAy1OAaAbST7g2bHZHDKQp2qm3w==" saltValue="iRVuL+373yLHv0ZHzS9qog==" spinCount="100000" sqref="AG676:AH677 AJ676:AJ677" name="Rango2_88_7_5_46_5"/>
    <protectedRange algorithmName="SHA-512" hashValue="fPHvtIAf3pQeZUoAI9C2/vdXMHBpqqEq+67P5Ypyu4+9IWqs3yc9TZcMWQ0THLxUwqseQPyVvakuYFtCwJHsxA==" saltValue="QHIogSs2PrwAfdqa9PAOFQ==" spinCount="100000" sqref="AC676:AC677" name="Rango2_88_5_5_46_1"/>
    <protectedRange algorithmName="SHA-512" hashValue="LEEeiU6pKqm7TAP46VGlz0q+evvFwpT/0iLpRuWuQ7MacbP0OGL1/FSmrIEOg2rb6M+Jla2bPbVWiGag27j87w==" saltValue="HEVt+pS5OloNDlqSnzGLLw==" spinCount="100000" sqref="AI676:AI677" name="Rango2_8_7_46_1"/>
    <protectedRange algorithmName="SHA-512" hashValue="q2z5hEFmXS0v2chiPTC/VCoDWNlnhp+Xe6Ybfxe48vIsnB/KTJQxJv+pFUnCXfZ9T6vyJopuqFFNROfQTW/JUw==" saltValue="IctfdGJb5tOTpq+KPi9vww==" spinCount="100000" sqref="AE676:AF677" name="Rango2_88_39_46_2"/>
    <protectedRange algorithmName="SHA-512" hashValue="AYYX88LSDB6RDNMvSqt0KPGWPjBqTk56tMxTOlv5QD61MGTKAAQnSnudvNDWPN0Bbllh2qRQC+P5uq7goxjdrw==" saltValue="i/iPMewnks1FoXYOjKMEVg==" spinCount="100000" sqref="AB676:AB677" name="Rango2_87_6_46_1"/>
    <protectedRange algorithmName="SHA-512" hashValue="NUll9P9xh7KbSfMYpMxsRZLfDw/y/AzW2LSWlpXVscBDqiAxmzo71xjs+a2lh+jRa7pceOC849slke4+ZKx8LA==" saltValue="8qbkKpQ+CiQuLnqgShNvXA==" spinCount="100000" sqref="T676:T677" name="Rango2_88_6_46_1"/>
    <protectedRange algorithmName="SHA-512" hashValue="KHhv3JU/LRdRrRTxxkgFceEHPZ5UzadmpZRZR3zmQRnPvkUJZuanRafIJ+qde0IWwLZSvFIQDyUAHq6v6k7XIg==" saltValue="2GKG1kCzVNNcn+vbOPuhJA==" spinCount="100000" sqref="Q676:Q677" name="Rango2_2_5_46_1"/>
    <protectedRange algorithmName="SHA-512" hashValue="XZw03RosI/l0z9FxmTtF29EdZ7P+4+ybhqoaAAUmURojSR5XbGfjC4f2i8gMqfY+RI9JvfdCA6PSh9TduXfUxA==" saltValue="5TPtLq2WoiRSae/yaDPnTw==" spinCount="100000" sqref="R676:S677 U676:AA677" name="Rango2_99_98_5"/>
    <protectedRange algorithmName="SHA-512" hashValue="9+DNppQbWrLYYUMoJ+lyQctV2bX3Vq9kZnegLbpjTLP49It2ovUbcartuoQTeXgP+TGpY//7mDH/UQlFCKDGiA==" saltValue="KUnni6YEm00anzSSvyLqQA==" spinCount="100000" sqref="AD676:AD677" name="Rango2_70_1"/>
    <protectedRange algorithmName="SHA-512" hashValue="CHipOQaT63FWw628cQcXXJRZlrbNZ7OgmnEbDx38UmmH7z19GRYEzXFiVOzHAy1OAaAbST7g2bHZHDKQp2qm3w==" saltValue="iRVuL+373yLHv0ZHzS9qog==" spinCount="100000" sqref="AG678:AH678 AJ678" name="Rango2_88_7_5_47_1"/>
    <protectedRange algorithmName="SHA-512" hashValue="fPHvtIAf3pQeZUoAI9C2/vdXMHBpqqEq+67P5Ypyu4+9IWqs3yc9TZcMWQ0THLxUwqseQPyVvakuYFtCwJHsxA==" saltValue="QHIogSs2PrwAfdqa9PAOFQ==" spinCount="100000" sqref="AC678" name="Rango2_88_5_5_47_1"/>
    <protectedRange algorithmName="SHA-512" hashValue="LEEeiU6pKqm7TAP46VGlz0q+evvFwpT/0iLpRuWuQ7MacbP0OGL1/FSmrIEOg2rb6M+Jla2bPbVWiGag27j87w==" saltValue="HEVt+pS5OloNDlqSnzGLLw==" spinCount="100000" sqref="AI678" name="Rango2_8_7_47_1"/>
    <protectedRange algorithmName="SHA-512" hashValue="q2z5hEFmXS0v2chiPTC/VCoDWNlnhp+Xe6Ybfxe48vIsnB/KTJQxJv+pFUnCXfZ9T6vyJopuqFFNROfQTW/JUw==" saltValue="IctfdGJb5tOTpq+KPi9vww==" spinCount="100000" sqref="AE678:AF678" name="Rango2_88_39_47_1"/>
    <protectedRange algorithmName="SHA-512" hashValue="AYYX88LSDB6RDNMvSqt0KPGWPjBqTk56tMxTOlv5QD61MGTKAAQnSnudvNDWPN0Bbllh2qRQC+P5uq7goxjdrw==" saltValue="i/iPMewnks1FoXYOjKMEVg==" spinCount="100000" sqref="AB678" name="Rango2_87_6_47_1"/>
    <protectedRange algorithmName="SHA-512" hashValue="NUll9P9xh7KbSfMYpMxsRZLfDw/y/AzW2LSWlpXVscBDqiAxmzo71xjs+a2lh+jRa7pceOC849slke4+ZKx8LA==" saltValue="8qbkKpQ+CiQuLnqgShNvXA==" spinCount="100000" sqref="T678" name="Rango2_88_6_47_1"/>
    <protectedRange algorithmName="SHA-512" hashValue="KHhv3JU/LRdRrRTxxkgFceEHPZ5UzadmpZRZR3zmQRnPvkUJZuanRafIJ+qde0IWwLZSvFIQDyUAHq6v6k7XIg==" saltValue="2GKG1kCzVNNcn+vbOPuhJA==" spinCount="100000" sqref="Q678" name="Rango2_2_5_47_1"/>
    <protectedRange algorithmName="SHA-512" hashValue="XZw03RosI/l0z9FxmTtF29EdZ7P+4+ybhqoaAAUmURojSR5XbGfjC4f2i8gMqfY+RI9JvfdCA6PSh9TduXfUxA==" saltValue="5TPtLq2WoiRSae/yaDPnTw==" spinCount="100000" sqref="R678:S678 U678:AA678" name="Rango2_99_99_1"/>
    <protectedRange algorithmName="SHA-512" hashValue="9+DNppQbWrLYYUMoJ+lyQctV2bX3Vq9kZnegLbpjTLP49It2ovUbcartuoQTeXgP+TGpY//7mDH/UQlFCKDGiA==" saltValue="KUnni6YEm00anzSSvyLqQA==" spinCount="100000" sqref="AD678" name="Rango2_71_2"/>
    <protectedRange algorithmName="SHA-512" hashValue="CHipOQaT63FWw628cQcXXJRZlrbNZ7OgmnEbDx38UmmH7z19GRYEzXFiVOzHAy1OAaAbST7g2bHZHDKQp2qm3w==" saltValue="iRVuL+373yLHv0ZHzS9qog==" spinCount="100000" sqref="AG679:AH679 AJ679" name="Rango2_88_7_5_48_1"/>
    <protectedRange algorithmName="SHA-512" hashValue="fPHvtIAf3pQeZUoAI9C2/vdXMHBpqqEq+67P5Ypyu4+9IWqs3yc9TZcMWQ0THLxUwqseQPyVvakuYFtCwJHsxA==" saltValue="QHIogSs2PrwAfdqa9PAOFQ==" spinCount="100000" sqref="AC679" name="Rango2_88_5_5_48_1"/>
    <protectedRange algorithmName="SHA-512" hashValue="LEEeiU6pKqm7TAP46VGlz0q+evvFwpT/0iLpRuWuQ7MacbP0OGL1/FSmrIEOg2rb6M+Jla2bPbVWiGag27j87w==" saltValue="HEVt+pS5OloNDlqSnzGLLw==" spinCount="100000" sqref="AI679" name="Rango2_8_7_48_1"/>
    <protectedRange algorithmName="SHA-512" hashValue="q2z5hEFmXS0v2chiPTC/VCoDWNlnhp+Xe6Ybfxe48vIsnB/KTJQxJv+pFUnCXfZ9T6vyJopuqFFNROfQTW/JUw==" saltValue="IctfdGJb5tOTpq+KPi9vww==" spinCount="100000" sqref="AE679:AF679" name="Rango2_88_39_48_2"/>
    <protectedRange algorithmName="SHA-512" hashValue="AYYX88LSDB6RDNMvSqt0KPGWPjBqTk56tMxTOlv5QD61MGTKAAQnSnudvNDWPN0Bbllh2qRQC+P5uq7goxjdrw==" saltValue="i/iPMewnks1FoXYOjKMEVg==" spinCount="100000" sqref="AB679" name="Rango2_87_6_48_1"/>
    <protectedRange algorithmName="SHA-512" hashValue="NUll9P9xh7KbSfMYpMxsRZLfDw/y/AzW2LSWlpXVscBDqiAxmzo71xjs+a2lh+jRa7pceOC849slke4+ZKx8LA==" saltValue="8qbkKpQ+CiQuLnqgShNvXA==" spinCount="100000" sqref="T679" name="Rango2_88_6_48_1"/>
    <protectedRange algorithmName="SHA-512" hashValue="KHhv3JU/LRdRrRTxxkgFceEHPZ5UzadmpZRZR3zmQRnPvkUJZuanRafIJ+qde0IWwLZSvFIQDyUAHq6v6k7XIg==" saltValue="2GKG1kCzVNNcn+vbOPuhJA==" spinCount="100000" sqref="Q679" name="Rango2_2_5_48_1"/>
    <protectedRange algorithmName="SHA-512" hashValue="9+DNppQbWrLYYUMoJ+lyQctV2bX3Vq9kZnegLbpjTLP49It2ovUbcartuoQTeXgP+TGpY//7mDH/UQlFCKDGiA==" saltValue="KUnni6YEm00anzSSvyLqQA==" spinCount="100000" sqref="AD679" name="Rango2_72_1"/>
    <protectedRange algorithmName="SHA-512" hashValue="RQ91b7oAw60DVtcgB2vRpial2kSdzJx5guGCTYUwXYkKrtrUHfiYnLf9R+SNpYXlJDYpyEJLhcWwP0EqNN86dQ==" saltValue="W3RbH3zrcY9sy39xNwXNxg==" spinCount="100000" sqref="BA674:BI675" name="Rango2_88_99_45_1"/>
    <protectedRange algorithmName="SHA-512" hashValue="fMbmUM1DQ7FuAPRNvFL5mPdHUYjQnlLFhkuaxvHguaqR7aWyDxcmJs0jLYQfQKY+oyhsMb4Lew4VL6i7um3/ew==" saltValue="ydaTm0CeH8+/cYqoL/AMaQ==" spinCount="100000" sqref="AU674:AU675 AW674:AZ675" name="Rango2_88_91_45_1"/>
    <protectedRange algorithmName="SHA-512" hashValue="CHipOQaT63FWw628cQcXXJRZlrbNZ7OgmnEbDx38UmmH7z19GRYEzXFiVOzHAy1OAaAbST7g2bHZHDKQp2qm3w==" saltValue="iRVuL+373yLHv0ZHzS9qog==" spinCount="100000" sqref="AL674:AL675" name="Rango2_88_7_5_97_1"/>
    <protectedRange algorithmName="SHA-512" hashValue="NkG6oHuDGvGBEiLAAq8MEJHEfLQUMyjihfH+DBXhT+eQW0r1yri7tOJEFRM9nbOejjjXiviq9RFo7KB7wF+xJA==" saltValue="bpjB0AAANu2X/PeR3eiFkA==" spinCount="100000" sqref="AM674:AS675" name="Rango2_88_65_45_1"/>
    <protectedRange algorithmName="SHA-512" hashValue="RQ91b7oAw60DVtcgB2vRpial2kSdzJx5guGCTYUwXYkKrtrUHfiYnLf9R+SNpYXlJDYpyEJLhcWwP0EqNN86dQ==" saltValue="W3RbH3zrcY9sy39xNwXNxg==" spinCount="100000" sqref="BA676:BI677" name="Rango2_88_99_46_5"/>
    <protectedRange algorithmName="SHA-512" hashValue="fMbmUM1DQ7FuAPRNvFL5mPdHUYjQnlLFhkuaxvHguaqR7aWyDxcmJs0jLYQfQKY+oyhsMb4Lew4VL6i7um3/ew==" saltValue="ydaTm0CeH8+/cYqoL/AMaQ==" spinCount="100000" sqref="AU676:AU677 AW676:AZ677" name="Rango2_88_91_46_1"/>
    <protectedRange algorithmName="SHA-512" hashValue="CHipOQaT63FWw628cQcXXJRZlrbNZ7OgmnEbDx38UmmH7z19GRYEzXFiVOzHAy1OAaAbST7g2bHZHDKQp2qm3w==" saltValue="iRVuL+373yLHv0ZHzS9qog==" spinCount="100000" sqref="AL676:AL677" name="Rango2_88_7_5_98_1"/>
    <protectedRange algorithmName="SHA-512" hashValue="NkG6oHuDGvGBEiLAAq8MEJHEfLQUMyjihfH+DBXhT+eQW0r1yri7tOJEFRM9nbOejjjXiviq9RFo7KB7wF+xJA==" saltValue="bpjB0AAANu2X/PeR3eiFkA==" spinCount="100000" sqref="AM676:AS677" name="Rango2_88_65_46_1"/>
    <protectedRange algorithmName="SHA-512" hashValue="RQ91b7oAw60DVtcgB2vRpial2kSdzJx5guGCTYUwXYkKrtrUHfiYnLf9R+SNpYXlJDYpyEJLhcWwP0EqNN86dQ==" saltValue="W3RbH3zrcY9sy39xNwXNxg==" spinCount="100000" sqref="BA678:BI678" name="Rango2_88_99_47_1"/>
    <protectedRange algorithmName="SHA-512" hashValue="fMbmUM1DQ7FuAPRNvFL5mPdHUYjQnlLFhkuaxvHguaqR7aWyDxcmJs0jLYQfQKY+oyhsMb4Lew4VL6i7um3/ew==" saltValue="ydaTm0CeH8+/cYqoL/AMaQ==" spinCount="100000" sqref="AU678 AW678:AZ678" name="Rango2_88_91_47_1"/>
    <protectedRange algorithmName="SHA-512" hashValue="CHipOQaT63FWw628cQcXXJRZlrbNZ7OgmnEbDx38UmmH7z19GRYEzXFiVOzHAy1OAaAbST7g2bHZHDKQp2qm3w==" saltValue="iRVuL+373yLHv0ZHzS9qog==" spinCount="100000" sqref="AL678" name="Rango2_88_7_5_99_1"/>
    <protectedRange algorithmName="SHA-512" hashValue="NkG6oHuDGvGBEiLAAq8MEJHEfLQUMyjihfH+DBXhT+eQW0r1yri7tOJEFRM9nbOejjjXiviq9RFo7KB7wF+xJA==" saltValue="bpjB0AAANu2X/PeR3eiFkA==" spinCount="100000" sqref="AM678:AS678" name="Rango2_88_65_47_1"/>
    <protectedRange algorithmName="SHA-512" hashValue="RQ91b7oAw60DVtcgB2vRpial2kSdzJx5guGCTYUwXYkKrtrUHfiYnLf9R+SNpYXlJDYpyEJLhcWwP0EqNN86dQ==" saltValue="W3RbH3zrcY9sy39xNwXNxg==" spinCount="100000" sqref="BA679:BI679" name="Rango2_88_99_48_1"/>
    <protectedRange algorithmName="SHA-512" hashValue="fMbmUM1DQ7FuAPRNvFL5mPdHUYjQnlLFhkuaxvHguaqR7aWyDxcmJs0jLYQfQKY+oyhsMb4Lew4VL6i7um3/ew==" saltValue="ydaTm0CeH8+/cYqoL/AMaQ==" spinCount="100000" sqref="AU679 AW679:AZ679" name="Rango2_88_91_48_1"/>
    <protectedRange algorithmName="SHA-512" hashValue="NkG6oHuDGvGBEiLAAq8MEJHEfLQUMyjihfH+DBXhT+eQW0r1yri7tOJEFRM9nbOejjjXiviq9RFo7KB7wF+xJA==" saltValue="bpjB0AAANu2X/PeR3eiFkA==" spinCount="100000" sqref="AM679:AS679" name="Rango2_88_65_48_1"/>
    <protectedRange algorithmName="SHA-512" hashValue="RQ91b7oAw60DVtcgB2vRpial2kSdzJx5guGCTYUwXYkKrtrUHfiYnLf9R+SNpYXlJDYpyEJLhcWwP0EqNN86dQ==" saltValue="W3RbH3zrcY9sy39xNwXNxg==" spinCount="100000" sqref="BV674:BY675" name="Rango2_88_99_97_1"/>
    <protectedRange algorithmName="SHA-512" hashValue="RQ91b7oAw60DVtcgB2vRpial2kSdzJx5guGCTYUwXYkKrtrUHfiYnLf9R+SNpYXlJDYpyEJLhcWwP0EqNN86dQ==" saltValue="W3RbH3zrcY9sy39xNwXNxg==" spinCount="100000" sqref="BV676:BY677" name="Rango2_88_99_98_1"/>
    <protectedRange algorithmName="SHA-512" hashValue="RQ91b7oAw60DVtcgB2vRpial2kSdzJx5guGCTYUwXYkKrtrUHfiYnLf9R+SNpYXlJDYpyEJLhcWwP0EqNN86dQ==" saltValue="W3RbH3zrcY9sy39xNwXNxg==" spinCount="100000" sqref="BV678:BY678" name="Rango2_88_99_99_1"/>
    <protectedRange algorithmName="SHA-512" hashValue="XZw03RosI/l0z9FxmTtF29EdZ7P+4+ybhqoaAAUmURojSR5XbGfjC4f2i8gMqfY+RI9JvfdCA6PSh9TduXfUxA==" saltValue="5TPtLq2WoiRSae/yaDPnTw==" spinCount="100000" sqref="O680" name="Rango2_99_50_2"/>
    <protectedRange algorithmName="SHA-512" hashValue="XZw03RosI/l0z9FxmTtF29EdZ7P+4+ybhqoaAAUmURojSR5XbGfjC4f2i8gMqfY+RI9JvfdCA6PSh9TduXfUxA==" saltValue="5TPtLq2WoiRSae/yaDPnTw==" spinCount="100000" sqref="O681:O682" name="Rango2_99_51_1"/>
    <protectedRange algorithmName="SHA-512" hashValue="XZw03RosI/l0z9FxmTtF29EdZ7P+4+ybhqoaAAUmURojSR5XbGfjC4f2i8gMqfY+RI9JvfdCA6PSh9TduXfUxA==" saltValue="5TPtLq2WoiRSae/yaDPnTw==" spinCount="100000" sqref="O683" name="Rango2_99_52_2"/>
    <protectedRange algorithmName="SHA-512" hashValue="CHipOQaT63FWw628cQcXXJRZlrbNZ7OgmnEbDx38UmmH7z19GRYEzXFiVOzHAy1OAaAbST7g2bHZHDKQp2qm3w==" saltValue="iRVuL+373yLHv0ZHzS9qog==" spinCount="100000" sqref="AG680:AH680 AJ680" name="Rango2_88_7_5_50_1"/>
    <protectedRange algorithmName="SHA-512" hashValue="fPHvtIAf3pQeZUoAI9C2/vdXMHBpqqEq+67P5Ypyu4+9IWqs3yc9TZcMWQ0THLxUwqseQPyVvakuYFtCwJHsxA==" saltValue="QHIogSs2PrwAfdqa9PAOFQ==" spinCount="100000" sqref="AC680" name="Rango2_88_5_5_50_1"/>
    <protectedRange algorithmName="SHA-512" hashValue="LEEeiU6pKqm7TAP46VGlz0q+evvFwpT/0iLpRuWuQ7MacbP0OGL1/FSmrIEOg2rb6M+Jla2bPbVWiGag27j87w==" saltValue="HEVt+pS5OloNDlqSnzGLLw==" spinCount="100000" sqref="AI680" name="Rango2_8_7_50_1"/>
    <protectedRange algorithmName="SHA-512" hashValue="q2z5hEFmXS0v2chiPTC/VCoDWNlnhp+Xe6Ybfxe48vIsnB/KTJQxJv+pFUnCXfZ9T6vyJopuqFFNROfQTW/JUw==" saltValue="IctfdGJb5tOTpq+KPi9vww==" spinCount="100000" sqref="AE680:AF680" name="Rango2_88_39_50_2"/>
    <protectedRange algorithmName="SHA-512" hashValue="AYYX88LSDB6RDNMvSqt0KPGWPjBqTk56tMxTOlv5QD61MGTKAAQnSnudvNDWPN0Bbllh2qRQC+P5uq7goxjdrw==" saltValue="i/iPMewnks1FoXYOjKMEVg==" spinCount="100000" sqref="AB680" name="Rango2_87_6_50_1"/>
    <protectedRange algorithmName="SHA-512" hashValue="NUll9P9xh7KbSfMYpMxsRZLfDw/y/AzW2LSWlpXVscBDqiAxmzo71xjs+a2lh+jRa7pceOC849slke4+ZKx8LA==" saltValue="8qbkKpQ+CiQuLnqgShNvXA==" spinCount="100000" sqref="T680" name="Rango2_88_6_50_1"/>
    <protectedRange algorithmName="SHA-512" hashValue="KHhv3JU/LRdRrRTxxkgFceEHPZ5UzadmpZRZR3zmQRnPvkUJZuanRafIJ+qde0IWwLZSvFIQDyUAHq6v6k7XIg==" saltValue="2GKG1kCzVNNcn+vbOPuhJA==" spinCount="100000" sqref="Q680" name="Rango2_2_5_50_1"/>
    <protectedRange algorithmName="SHA-512" hashValue="9+DNppQbWrLYYUMoJ+lyQctV2bX3Vq9kZnegLbpjTLP49It2ovUbcartuoQTeXgP+TGpY//7mDH/UQlFCKDGiA==" saltValue="KUnni6YEm00anzSSvyLqQA==" spinCount="100000" sqref="AD680" name="Rango2_74_2"/>
    <protectedRange algorithmName="SHA-512" hashValue="CHipOQaT63FWw628cQcXXJRZlrbNZ7OgmnEbDx38UmmH7z19GRYEzXFiVOzHAy1OAaAbST7g2bHZHDKQp2qm3w==" saltValue="iRVuL+373yLHv0ZHzS9qog==" spinCount="100000" sqref="AG681:AH682 AJ681:AJ682" name="Rango2_88_7_5_51_1"/>
    <protectedRange algorithmName="SHA-512" hashValue="fPHvtIAf3pQeZUoAI9C2/vdXMHBpqqEq+67P5Ypyu4+9IWqs3yc9TZcMWQ0THLxUwqseQPyVvakuYFtCwJHsxA==" saltValue="QHIogSs2PrwAfdqa9PAOFQ==" spinCount="100000" sqref="AC681:AC682" name="Rango2_88_5_5_51_1"/>
    <protectedRange algorithmName="SHA-512" hashValue="LEEeiU6pKqm7TAP46VGlz0q+evvFwpT/0iLpRuWuQ7MacbP0OGL1/FSmrIEOg2rb6M+Jla2bPbVWiGag27j87w==" saltValue="HEVt+pS5OloNDlqSnzGLLw==" spinCount="100000" sqref="AI681:AI682" name="Rango2_8_7_51_1"/>
    <protectedRange algorithmName="SHA-512" hashValue="q2z5hEFmXS0v2chiPTC/VCoDWNlnhp+Xe6Ybfxe48vIsnB/KTJQxJv+pFUnCXfZ9T6vyJopuqFFNROfQTW/JUw==" saltValue="IctfdGJb5tOTpq+KPi9vww==" spinCount="100000" sqref="AE681:AF682" name="Rango2_88_39_51_2"/>
    <protectedRange algorithmName="SHA-512" hashValue="AYYX88LSDB6RDNMvSqt0KPGWPjBqTk56tMxTOlv5QD61MGTKAAQnSnudvNDWPN0Bbllh2qRQC+P5uq7goxjdrw==" saltValue="i/iPMewnks1FoXYOjKMEVg==" spinCount="100000" sqref="AB681:AB682" name="Rango2_87_6_51_1"/>
    <protectedRange algorithmName="SHA-512" hashValue="NUll9P9xh7KbSfMYpMxsRZLfDw/y/AzW2LSWlpXVscBDqiAxmzo71xjs+a2lh+jRa7pceOC849slke4+ZKx8LA==" saltValue="8qbkKpQ+CiQuLnqgShNvXA==" spinCount="100000" sqref="T681:T682" name="Rango2_88_6_51_1"/>
    <protectedRange algorithmName="SHA-512" hashValue="KHhv3JU/LRdRrRTxxkgFceEHPZ5UzadmpZRZR3zmQRnPvkUJZuanRafIJ+qde0IWwLZSvFIQDyUAHq6v6k7XIg==" saltValue="2GKG1kCzVNNcn+vbOPuhJA==" spinCount="100000" sqref="Q681:Q682" name="Rango2_2_5_51_1"/>
    <protectedRange algorithmName="SHA-512" hashValue="9+DNppQbWrLYYUMoJ+lyQctV2bX3Vq9kZnegLbpjTLP49It2ovUbcartuoQTeXgP+TGpY//7mDH/UQlFCKDGiA==" saltValue="KUnni6YEm00anzSSvyLqQA==" spinCount="100000" sqref="AD681:AD682" name="Rango2_76_4"/>
    <protectedRange algorithmName="SHA-512" hashValue="CHipOQaT63FWw628cQcXXJRZlrbNZ7OgmnEbDx38UmmH7z19GRYEzXFiVOzHAy1OAaAbST7g2bHZHDKQp2qm3w==" saltValue="iRVuL+373yLHv0ZHzS9qog==" spinCount="100000" sqref="AG683:AH683 AJ683" name="Rango2_88_7_5_52_1"/>
    <protectedRange algorithmName="SHA-512" hashValue="fPHvtIAf3pQeZUoAI9C2/vdXMHBpqqEq+67P5Ypyu4+9IWqs3yc9TZcMWQ0THLxUwqseQPyVvakuYFtCwJHsxA==" saltValue="QHIogSs2PrwAfdqa9PAOFQ==" spinCount="100000" sqref="AC683" name="Rango2_88_5_5_52_1"/>
    <protectedRange algorithmName="SHA-512" hashValue="LEEeiU6pKqm7TAP46VGlz0q+evvFwpT/0iLpRuWuQ7MacbP0OGL1/FSmrIEOg2rb6M+Jla2bPbVWiGag27j87w==" saltValue="HEVt+pS5OloNDlqSnzGLLw==" spinCount="100000" sqref="AI683" name="Rango2_8_7_52_1"/>
    <protectedRange algorithmName="SHA-512" hashValue="q2z5hEFmXS0v2chiPTC/VCoDWNlnhp+Xe6Ybfxe48vIsnB/KTJQxJv+pFUnCXfZ9T6vyJopuqFFNROfQTW/JUw==" saltValue="IctfdGJb5tOTpq+KPi9vww==" spinCount="100000" sqref="AE683:AF683" name="Rango2_88_39_52_2"/>
    <protectedRange algorithmName="SHA-512" hashValue="AYYX88LSDB6RDNMvSqt0KPGWPjBqTk56tMxTOlv5QD61MGTKAAQnSnudvNDWPN0Bbllh2qRQC+P5uq7goxjdrw==" saltValue="i/iPMewnks1FoXYOjKMEVg==" spinCount="100000" sqref="AB683" name="Rango2_87_6_52_1"/>
    <protectedRange algorithmName="SHA-512" hashValue="NUll9P9xh7KbSfMYpMxsRZLfDw/y/AzW2LSWlpXVscBDqiAxmzo71xjs+a2lh+jRa7pceOC849slke4+ZKx8LA==" saltValue="8qbkKpQ+CiQuLnqgShNvXA==" spinCount="100000" sqref="T683" name="Rango2_88_6_52_1"/>
    <protectedRange algorithmName="SHA-512" hashValue="KHhv3JU/LRdRrRTxxkgFceEHPZ5UzadmpZRZR3zmQRnPvkUJZuanRafIJ+qde0IWwLZSvFIQDyUAHq6v6k7XIg==" saltValue="2GKG1kCzVNNcn+vbOPuhJA==" spinCount="100000" sqref="Q683" name="Rango2_2_5_52_1"/>
    <protectedRange algorithmName="SHA-512" hashValue="9+DNppQbWrLYYUMoJ+lyQctV2bX3Vq9kZnegLbpjTLP49It2ovUbcartuoQTeXgP+TGpY//7mDH/UQlFCKDGiA==" saltValue="KUnni6YEm00anzSSvyLqQA==" spinCount="100000" sqref="AD683" name="Rango2_80_1"/>
    <protectedRange algorithmName="SHA-512" hashValue="RQ91b7oAw60DVtcgB2vRpial2kSdzJx5guGCTYUwXYkKrtrUHfiYnLf9R+SNpYXlJDYpyEJLhcWwP0EqNN86dQ==" saltValue="W3RbH3zrcY9sy39xNwXNxg==" spinCount="100000" sqref="BA680:BI680" name="Rango2_88_99_50_1"/>
    <protectedRange algorithmName="SHA-512" hashValue="fMbmUM1DQ7FuAPRNvFL5mPdHUYjQnlLFhkuaxvHguaqR7aWyDxcmJs0jLYQfQKY+oyhsMb4Lew4VL6i7um3/ew==" saltValue="ydaTm0CeH8+/cYqoL/AMaQ==" spinCount="100000" sqref="AU680 AW680:AZ680" name="Rango2_88_91_50_1"/>
    <protectedRange algorithmName="SHA-512" hashValue="NkG6oHuDGvGBEiLAAq8MEJHEfLQUMyjihfH+DBXhT+eQW0r1yri7tOJEFRM9nbOejjjXiviq9RFo7KB7wF+xJA==" saltValue="bpjB0AAANu2X/PeR3eiFkA==" spinCount="100000" sqref="AM680:AS680" name="Rango2_88_65_50_1"/>
    <protectedRange algorithmName="SHA-512" hashValue="RQ91b7oAw60DVtcgB2vRpial2kSdzJx5guGCTYUwXYkKrtrUHfiYnLf9R+SNpYXlJDYpyEJLhcWwP0EqNN86dQ==" saltValue="W3RbH3zrcY9sy39xNwXNxg==" spinCount="100000" sqref="BA681:BI682" name="Rango2_88_99_51_1"/>
    <protectedRange algorithmName="SHA-512" hashValue="fMbmUM1DQ7FuAPRNvFL5mPdHUYjQnlLFhkuaxvHguaqR7aWyDxcmJs0jLYQfQKY+oyhsMb4Lew4VL6i7um3/ew==" saltValue="ydaTm0CeH8+/cYqoL/AMaQ==" spinCount="100000" sqref="AU681:AU682 AW681:AZ682" name="Rango2_88_91_51_1"/>
    <protectedRange algorithmName="SHA-512" hashValue="NkG6oHuDGvGBEiLAAq8MEJHEfLQUMyjihfH+DBXhT+eQW0r1yri7tOJEFRM9nbOejjjXiviq9RFo7KB7wF+xJA==" saltValue="bpjB0AAANu2X/PeR3eiFkA==" spinCount="100000" sqref="AM681:AS682" name="Rango2_88_65_51_1"/>
    <protectedRange algorithmName="SHA-512" hashValue="RQ91b7oAw60DVtcgB2vRpial2kSdzJx5guGCTYUwXYkKrtrUHfiYnLf9R+SNpYXlJDYpyEJLhcWwP0EqNN86dQ==" saltValue="W3RbH3zrcY9sy39xNwXNxg==" spinCount="100000" sqref="BA683:BI683" name="Rango2_88_99_52_1"/>
    <protectedRange algorithmName="SHA-512" hashValue="fMbmUM1DQ7FuAPRNvFL5mPdHUYjQnlLFhkuaxvHguaqR7aWyDxcmJs0jLYQfQKY+oyhsMb4Lew4VL6i7um3/ew==" saltValue="ydaTm0CeH8+/cYqoL/AMaQ==" spinCount="100000" sqref="AU683 AW683:AZ683" name="Rango2_88_91_52_1"/>
    <protectedRange algorithmName="SHA-512" hashValue="NkG6oHuDGvGBEiLAAq8MEJHEfLQUMyjihfH+DBXhT+eQW0r1yri7tOJEFRM9nbOejjjXiviq9RFo7KB7wF+xJA==" saltValue="bpjB0AAANu2X/PeR3eiFkA==" spinCount="100000" sqref="AM683:AS683" name="Rango2_88_65_52_1"/>
    <protectedRange algorithmName="SHA-512" hashValue="pL4tgTKqwEsWSIEGFTBd+4pvEhE7d5Q99Eijs+L/Y1rhA0saQGGRJw5Pv2HLOP0quglztFwB6WVnQ1YGxd4AiQ==" saltValue="IF5mhk2RcoEjrcYppes1VA==" spinCount="100000" sqref="FT671" name="Rango2_30_41_1"/>
    <protectedRange algorithmName="SHA-512" hashValue="Umj9+5Ys20VQPxBFtc6qE5LtKKSgPKwit+B8dd4XnEUaLfBM2ozpkEC4YxwK0SbBiAHDDex+pY+LomQ0lyuamQ==" saltValue="N2/MCRws+mmA+NXw0axolg==" spinCount="100000" sqref="FY671" name="Rango2_31_2_40_5"/>
    <protectedRange algorithmName="SHA-512" hashValue="YXHanhqXL0e4jPrzkCF8r/22WmlCviFUW909WKuG1JOcU0mp0/Huh0aP3EaGYxV2ep0WGu48HsShAy4Ka2uOiw==" saltValue="h/7U5iwJm7DLR4tRVfwZYw==" spinCount="100000" sqref="GC671" name="Rango2_33_40_1"/>
    <protectedRange algorithmName="SHA-512" hashValue="pL4tgTKqwEsWSIEGFTBd+4pvEhE7d5Q99Eijs+L/Y1rhA0saQGGRJw5Pv2HLOP0quglztFwB6WVnQ1YGxd4AiQ==" saltValue="IF5mhk2RcoEjrcYppes1VA==" spinCount="100000" sqref="FT672" name="Rango2_30_43_1"/>
    <protectedRange algorithmName="SHA-512" hashValue="pL4tgTKqwEsWSIEGFTBd+4pvEhE7d5Q99Eijs+L/Y1rhA0saQGGRJw5Pv2HLOP0quglztFwB6WVnQ1YGxd4AiQ==" saltValue="IF5mhk2RcoEjrcYppes1VA==" spinCount="100000" sqref="FT673" name="Rango2_30_44_1"/>
    <protectedRange algorithmName="SHA-512" hashValue="Umj9+5Ys20VQPxBFtc6qE5LtKKSgPKwit+B8dd4XnEUaLfBM2ozpkEC4YxwK0SbBiAHDDex+pY+LomQ0lyuamQ==" saltValue="N2/MCRws+mmA+NXw0axolg==" spinCount="100000" sqref="FY672" name="Rango2_31_2_42_1"/>
    <protectedRange algorithmName="SHA-512" hashValue="Umj9+5Ys20VQPxBFtc6qE5LtKKSgPKwit+B8dd4XnEUaLfBM2ozpkEC4YxwK0SbBiAHDDex+pY+LomQ0lyuamQ==" saltValue="N2/MCRws+mmA+NXw0axolg==" spinCount="100000" sqref="FY673" name="Rango2_31_2_43_1"/>
    <protectedRange algorithmName="SHA-512" hashValue="YXHanhqXL0e4jPrzkCF8r/22WmlCviFUW909WKuG1JOcU0mp0/Huh0aP3EaGYxV2ep0WGu48HsShAy4Ka2uOiw==" saltValue="h/7U5iwJm7DLR4tRVfwZYw==" spinCount="100000" sqref="GC672" name="Rango2_33_42_1"/>
    <protectedRange algorithmName="SHA-512" hashValue="YXHanhqXL0e4jPrzkCF8r/22WmlCviFUW909WKuG1JOcU0mp0/Huh0aP3EaGYxV2ep0WGu48HsShAy4Ka2uOiw==" saltValue="h/7U5iwJm7DLR4tRVfwZYw==" spinCount="100000" sqref="GC673" name="Rango2_33_43_1"/>
    <protectedRange algorithmName="SHA-512" hashValue="9+DNppQbWrLYYUMoJ+lyQctV2bX3Vq9kZnegLbpjTLP49It2ovUbcartuoQTeXgP+TGpY//7mDH/UQlFCKDGiA==" saltValue="KUnni6YEm00anzSSvyLqQA==" spinCount="100000" sqref="FH675" name="Rango2_18_1_1"/>
    <protectedRange algorithmName="SHA-512" hashValue="pL4tgTKqwEsWSIEGFTBd+4pvEhE7d5Q99Eijs+L/Y1rhA0saQGGRJw5Pv2HLOP0quglztFwB6WVnQ1YGxd4AiQ==" saltValue="IF5mhk2RcoEjrcYppes1VA==" spinCount="100000" sqref="FT674:FT675" name="Rango2_30_46_1"/>
    <protectedRange algorithmName="SHA-512" hashValue="pL4tgTKqwEsWSIEGFTBd+4pvEhE7d5Q99Eijs+L/Y1rhA0saQGGRJw5Pv2HLOP0quglztFwB6WVnQ1YGxd4AiQ==" saltValue="IF5mhk2RcoEjrcYppes1VA==" spinCount="100000" sqref="FT676:FT677" name="Rango2_30_47_1"/>
    <protectedRange algorithmName="SHA-512" hashValue="pL4tgTKqwEsWSIEGFTBd+4pvEhE7d5Q99Eijs+L/Y1rhA0saQGGRJw5Pv2HLOP0quglztFwB6WVnQ1YGxd4AiQ==" saltValue="IF5mhk2RcoEjrcYppes1VA==" spinCount="100000" sqref="FT678" name="Rango2_30_48_1"/>
    <protectedRange algorithmName="SHA-512" hashValue="pL4tgTKqwEsWSIEGFTBd+4pvEhE7d5Q99Eijs+L/Y1rhA0saQGGRJw5Pv2HLOP0quglztFwB6WVnQ1YGxd4AiQ==" saltValue="IF5mhk2RcoEjrcYppes1VA==" spinCount="100000" sqref="FT679" name="Rango2_30_49_1"/>
    <protectedRange algorithmName="SHA-512" hashValue="Umj9+5Ys20VQPxBFtc6qE5LtKKSgPKwit+B8dd4XnEUaLfBM2ozpkEC4YxwK0SbBiAHDDex+pY+LomQ0lyuamQ==" saltValue="N2/MCRws+mmA+NXw0axolg==" spinCount="100000" sqref="FY674:FY675" name="Rango2_31_2_45_1"/>
    <protectedRange algorithmName="SHA-512" hashValue="Umj9+5Ys20VQPxBFtc6qE5LtKKSgPKwit+B8dd4XnEUaLfBM2ozpkEC4YxwK0SbBiAHDDex+pY+LomQ0lyuamQ==" saltValue="N2/MCRws+mmA+NXw0axolg==" spinCount="100000" sqref="FY676:FY677" name="Rango2_31_2_46_1"/>
    <protectedRange algorithmName="SHA-512" hashValue="Umj9+5Ys20VQPxBFtc6qE5LtKKSgPKwit+B8dd4XnEUaLfBM2ozpkEC4YxwK0SbBiAHDDex+pY+LomQ0lyuamQ==" saltValue="N2/MCRws+mmA+NXw0axolg==" spinCount="100000" sqref="FY678" name="Rango2_31_2_47_1"/>
    <protectedRange algorithmName="SHA-512" hashValue="Umj9+5Ys20VQPxBFtc6qE5LtKKSgPKwit+B8dd4XnEUaLfBM2ozpkEC4YxwK0SbBiAHDDex+pY+LomQ0lyuamQ==" saltValue="N2/MCRws+mmA+NXw0axolg==" spinCount="100000" sqref="FY679" name="Rango2_31_2_48_1"/>
    <protectedRange algorithmName="SHA-512" hashValue="Umj9+5Ys20VQPxBFtc6qE5LtKKSgPKwit+B8dd4XnEUaLfBM2ozpkEC4YxwK0SbBiAHDDex+pY+LomQ0lyuamQ==" saltValue="N2/MCRws+mmA+NXw0axolg==" spinCount="100000" sqref="GB674" name="Rango2_31_2_97_1"/>
    <protectedRange algorithmName="SHA-512" hashValue="YXHanhqXL0e4jPrzkCF8r/22WmlCviFUW909WKuG1JOcU0mp0/Huh0aP3EaGYxV2ep0WGu48HsShAy4Ka2uOiw==" saltValue="h/7U5iwJm7DLR4tRVfwZYw==" spinCount="100000" sqref="GC674:GC675" name="Rango2_33_45_1"/>
    <protectedRange algorithmName="SHA-512" hashValue="Umj9+5Ys20VQPxBFtc6qE5LtKKSgPKwit+B8dd4XnEUaLfBM2ozpkEC4YxwK0SbBiAHDDex+pY+LomQ0lyuamQ==" saltValue="N2/MCRws+mmA+NXw0axolg==" spinCount="100000" sqref="GB676" name="Rango2_31_2_98_1"/>
    <protectedRange algorithmName="SHA-512" hashValue="YXHanhqXL0e4jPrzkCF8r/22WmlCviFUW909WKuG1JOcU0mp0/Huh0aP3EaGYxV2ep0WGu48HsShAy4Ka2uOiw==" saltValue="h/7U5iwJm7DLR4tRVfwZYw==" spinCount="100000" sqref="GC676:GC677" name="Rango2_33_46_1"/>
    <protectedRange algorithmName="SHA-512" hashValue="Umj9+5Ys20VQPxBFtc6qE5LtKKSgPKwit+B8dd4XnEUaLfBM2ozpkEC4YxwK0SbBiAHDDex+pY+LomQ0lyuamQ==" saltValue="N2/MCRws+mmA+NXw0axolg==" spinCount="100000" sqref="GB678" name="Rango2_31_2_99_1"/>
    <protectedRange algorithmName="SHA-512" hashValue="YXHanhqXL0e4jPrzkCF8r/22WmlCviFUW909WKuG1JOcU0mp0/Huh0aP3EaGYxV2ep0WGu48HsShAy4Ka2uOiw==" saltValue="h/7U5iwJm7DLR4tRVfwZYw==" spinCount="100000" sqref="GC678" name="Rango2_33_47_1"/>
    <protectedRange algorithmName="SHA-512" hashValue="YXHanhqXL0e4jPrzkCF8r/22WmlCviFUW909WKuG1JOcU0mp0/Huh0aP3EaGYxV2ep0WGu48HsShAy4Ka2uOiw==" saltValue="h/7U5iwJm7DLR4tRVfwZYw==" spinCount="100000" sqref="GC679" name="Rango2_33_48_1"/>
    <protectedRange algorithmName="SHA-512" hashValue="pL4tgTKqwEsWSIEGFTBd+4pvEhE7d5Q99Eijs+L/Y1rhA0saQGGRJw5Pv2HLOP0quglztFwB6WVnQ1YGxd4AiQ==" saltValue="IF5mhk2RcoEjrcYppes1VA==" spinCount="100000" sqref="FT680" name="Rango2_30_51_1"/>
    <protectedRange algorithmName="SHA-512" hashValue="pL4tgTKqwEsWSIEGFTBd+4pvEhE7d5Q99Eijs+L/Y1rhA0saQGGRJw5Pv2HLOP0quglztFwB6WVnQ1YGxd4AiQ==" saltValue="IF5mhk2RcoEjrcYppes1VA==" spinCount="100000" sqref="FT681:FT682" name="Rango2_30_52_1"/>
    <protectedRange algorithmName="SHA-512" hashValue="pL4tgTKqwEsWSIEGFTBd+4pvEhE7d5Q99Eijs+L/Y1rhA0saQGGRJw5Pv2HLOP0quglztFwB6WVnQ1YGxd4AiQ==" saltValue="IF5mhk2RcoEjrcYppes1VA==" spinCount="100000" sqref="FT683" name="Rango2_30_53_1"/>
    <protectedRange algorithmName="SHA-512" hashValue="Umj9+5Ys20VQPxBFtc6qE5LtKKSgPKwit+B8dd4XnEUaLfBM2ozpkEC4YxwK0SbBiAHDDex+pY+LomQ0lyuamQ==" saltValue="N2/MCRws+mmA+NXw0axolg==" spinCount="100000" sqref="FY680" name="Rango2_31_2_50_1"/>
    <protectedRange algorithmName="SHA-512" hashValue="Umj9+5Ys20VQPxBFtc6qE5LtKKSgPKwit+B8dd4XnEUaLfBM2ozpkEC4YxwK0SbBiAHDDex+pY+LomQ0lyuamQ==" saltValue="N2/MCRws+mmA+NXw0axolg==" spinCount="100000" sqref="FY681:FY682" name="Rango2_31_2_51_1"/>
    <protectedRange algorithmName="SHA-512" hashValue="Umj9+5Ys20VQPxBFtc6qE5LtKKSgPKwit+B8dd4XnEUaLfBM2ozpkEC4YxwK0SbBiAHDDex+pY+LomQ0lyuamQ==" saltValue="N2/MCRws+mmA+NXw0axolg==" spinCount="100000" sqref="FY683" name="Rango2_31_2_52_1"/>
    <protectedRange algorithmName="SHA-512" hashValue="YXHanhqXL0e4jPrzkCF8r/22WmlCviFUW909WKuG1JOcU0mp0/Huh0aP3EaGYxV2ep0WGu48HsShAy4Ka2uOiw==" saltValue="h/7U5iwJm7DLR4tRVfwZYw==" spinCount="100000" sqref="GC680" name="Rango2_33_50_1"/>
    <protectedRange algorithmName="SHA-512" hashValue="YXHanhqXL0e4jPrzkCF8r/22WmlCviFUW909WKuG1JOcU0mp0/Huh0aP3EaGYxV2ep0WGu48HsShAy4Ka2uOiw==" saltValue="h/7U5iwJm7DLR4tRVfwZYw==" spinCount="100000" sqref="GC681:GC682" name="Rango2_33_51_1"/>
    <protectedRange algorithmName="SHA-512" hashValue="YXHanhqXL0e4jPrzkCF8r/22WmlCviFUW909WKuG1JOcU0mp0/Huh0aP3EaGYxV2ep0WGu48HsShAy4Ka2uOiw==" saltValue="h/7U5iwJm7DLR4tRVfwZYw==" spinCount="100000" sqref="GC683" name="Rango2_33_52_1"/>
    <protectedRange algorithmName="SHA-512" hashValue="Rgskw+AQdeJ5qbJdarzTa3SCkJfDGziy0Uan5N0F3IWn/H3Z/e+VcB56R7Nes7MPxNHewNP1sSSucVjz3iTLeA==" saltValue="qKZH3DnwaZHBzy3cBZo1qQ==" spinCount="100000" sqref="GF671" name="Rango2_31_28_40_1"/>
    <protectedRange algorithmName="SHA-512" hashValue="YXHanhqXL0e4jPrzkCF8r/22WmlCviFUW909WKuG1JOcU0mp0/Huh0aP3EaGYxV2ep0WGu48HsShAy4Ka2uOiw==" saltValue="h/7U5iwJm7DLR4tRVfwZYw==" spinCount="100000" sqref="GI671" name="Rango2_33_92_1"/>
    <protectedRange algorithmName="SHA-512" hashValue="EEHzbvEYwO1eufllBljOz0uf9BJ2ENtvOScQ7IsS321QhYbwKn7qhHKKP8cKj02rTDvVRMWvwQ1ZP0mZWsBprQ==" saltValue="CjXqBRFbKezlWOFV37MnDQ==" spinCount="100000" sqref="GN671" name="Rango2_30_2_40_5"/>
    <protectedRange algorithmName="SHA-512" hashValue="EEHzbvEYwO1eufllBljOz0uf9BJ2ENtvOScQ7IsS321QhYbwKn7qhHKKP8cKj02rTDvVRMWvwQ1ZP0mZWsBprQ==" saltValue="CjXqBRFbKezlWOFV37MnDQ==" spinCount="100000" sqref="GQ671:GR671" name="Rango2_30_2_92_1"/>
    <protectedRange algorithmName="SHA-512" hashValue="Rgskw+AQdeJ5qbJdarzTa3SCkJfDGziy0Uan5N0F3IWn/H3Z/e+VcB56R7Nes7MPxNHewNP1sSSucVjz3iTLeA==" saltValue="qKZH3DnwaZHBzy3cBZo1qQ==" spinCount="100000" sqref="GF672" name="Rango2_31_28_42_1"/>
    <protectedRange algorithmName="SHA-512" hashValue="Rgskw+AQdeJ5qbJdarzTa3SCkJfDGziy0Uan5N0F3IWn/H3Z/e+VcB56R7Nes7MPxNHewNP1sSSucVjz3iTLeA==" saltValue="qKZH3DnwaZHBzy3cBZo1qQ==" spinCount="100000" sqref="GF673" name="Rango2_31_28_43_1"/>
    <protectedRange algorithmName="SHA-512" hashValue="YXHanhqXL0e4jPrzkCF8r/22WmlCviFUW909WKuG1JOcU0mp0/Huh0aP3EaGYxV2ep0WGu48HsShAy4Ka2uOiw==" saltValue="h/7U5iwJm7DLR4tRVfwZYw==" spinCount="100000" sqref="GI672" name="Rango2_33_94_1"/>
    <protectedRange algorithmName="SHA-512" hashValue="YXHanhqXL0e4jPrzkCF8r/22WmlCviFUW909WKuG1JOcU0mp0/Huh0aP3EaGYxV2ep0WGu48HsShAy4Ka2uOiw==" saltValue="h/7U5iwJm7DLR4tRVfwZYw==" spinCount="100000" sqref="GI673" name="Rango2_33_95_1"/>
    <protectedRange algorithmName="SHA-512" hashValue="EEHzbvEYwO1eufllBljOz0uf9BJ2ENtvOScQ7IsS321QhYbwKn7qhHKKP8cKj02rTDvVRMWvwQ1ZP0mZWsBprQ==" saltValue="CjXqBRFbKezlWOFV37MnDQ==" spinCount="100000" sqref="GN672" name="Rango2_30_2_42_1"/>
    <protectedRange algorithmName="SHA-512" hashValue="EEHzbvEYwO1eufllBljOz0uf9BJ2ENtvOScQ7IsS321QhYbwKn7qhHKKP8cKj02rTDvVRMWvwQ1ZP0mZWsBprQ==" saltValue="CjXqBRFbKezlWOFV37MnDQ==" spinCount="100000" sqref="GN673" name="Rango2_30_2_43_1"/>
    <protectedRange algorithmName="SHA-512" hashValue="EEHzbvEYwO1eufllBljOz0uf9BJ2ENtvOScQ7IsS321QhYbwKn7qhHKKP8cKj02rTDvVRMWvwQ1ZP0mZWsBprQ==" saltValue="CjXqBRFbKezlWOFV37MnDQ==" spinCount="100000" sqref="GQ672:GR672" name="Rango2_30_2_94_1"/>
    <protectedRange algorithmName="SHA-512" hashValue="EEHzbvEYwO1eufllBljOz0uf9BJ2ENtvOScQ7IsS321QhYbwKn7qhHKKP8cKj02rTDvVRMWvwQ1ZP0mZWsBprQ==" saltValue="CjXqBRFbKezlWOFV37MnDQ==" spinCount="100000" sqref="GQ673:GR673" name="Rango2_30_2_95_1"/>
    <protectedRange algorithmName="SHA-512" hashValue="Rgskw+AQdeJ5qbJdarzTa3SCkJfDGziy0Uan5N0F3IWn/H3Z/e+VcB56R7Nes7MPxNHewNP1sSSucVjz3iTLeA==" saltValue="qKZH3DnwaZHBzy3cBZo1qQ==" spinCount="100000" sqref="GF674:GF675" name="Rango2_31_28_45_1"/>
    <protectedRange algorithmName="SHA-512" hashValue="Rgskw+AQdeJ5qbJdarzTa3SCkJfDGziy0Uan5N0F3IWn/H3Z/e+VcB56R7Nes7MPxNHewNP1sSSucVjz3iTLeA==" saltValue="qKZH3DnwaZHBzy3cBZo1qQ==" spinCount="100000" sqref="GF676:GF677" name="Rango2_31_28_46_1"/>
    <protectedRange algorithmName="SHA-512" hashValue="Rgskw+AQdeJ5qbJdarzTa3SCkJfDGziy0Uan5N0F3IWn/H3Z/e+VcB56R7Nes7MPxNHewNP1sSSucVjz3iTLeA==" saltValue="qKZH3DnwaZHBzy3cBZo1qQ==" spinCount="100000" sqref="GF678" name="Rango2_31_28_47_1"/>
    <protectedRange algorithmName="SHA-512" hashValue="Rgskw+AQdeJ5qbJdarzTa3SCkJfDGziy0Uan5N0F3IWn/H3Z/e+VcB56R7Nes7MPxNHewNP1sSSucVjz3iTLeA==" saltValue="qKZH3DnwaZHBzy3cBZo1qQ==" spinCount="100000" sqref="GF679" name="Rango2_31_28_48_1"/>
    <protectedRange algorithmName="SHA-512" hashValue="YXHanhqXL0e4jPrzkCF8r/22WmlCviFUW909WKuG1JOcU0mp0/Huh0aP3EaGYxV2ep0WGu48HsShAy4Ka2uOiw==" saltValue="h/7U5iwJm7DLR4tRVfwZYw==" spinCount="100000" sqref="GI674:GI675" name="Rango2_33_97_1"/>
    <protectedRange algorithmName="SHA-512" hashValue="YXHanhqXL0e4jPrzkCF8r/22WmlCviFUW909WKuG1JOcU0mp0/Huh0aP3EaGYxV2ep0WGu48HsShAy4Ka2uOiw==" saltValue="h/7U5iwJm7DLR4tRVfwZYw==" spinCount="100000" sqref="GI676:GI677" name="Rango2_33_98_1"/>
    <protectedRange algorithmName="SHA-512" hashValue="YXHanhqXL0e4jPrzkCF8r/22WmlCviFUW909WKuG1JOcU0mp0/Huh0aP3EaGYxV2ep0WGu48HsShAy4Ka2uOiw==" saltValue="h/7U5iwJm7DLR4tRVfwZYw==" spinCount="100000" sqref="GI678" name="Rango2_33_99_1"/>
    <protectedRange algorithmName="SHA-512" hashValue="EEHzbvEYwO1eufllBljOz0uf9BJ2ENtvOScQ7IsS321QhYbwKn7qhHKKP8cKj02rTDvVRMWvwQ1ZP0mZWsBprQ==" saltValue="CjXqBRFbKezlWOFV37MnDQ==" spinCount="100000" sqref="GN674:GN675" name="Rango2_30_2_45_1"/>
    <protectedRange algorithmName="SHA-512" hashValue="EEHzbvEYwO1eufllBljOz0uf9BJ2ENtvOScQ7IsS321QhYbwKn7qhHKKP8cKj02rTDvVRMWvwQ1ZP0mZWsBprQ==" saltValue="CjXqBRFbKezlWOFV37MnDQ==" spinCount="100000" sqref="GN676:GN677" name="Rango2_30_2_46_1"/>
    <protectedRange algorithmName="SHA-512" hashValue="EEHzbvEYwO1eufllBljOz0uf9BJ2ENtvOScQ7IsS321QhYbwKn7qhHKKP8cKj02rTDvVRMWvwQ1ZP0mZWsBprQ==" saltValue="CjXqBRFbKezlWOFV37MnDQ==" spinCount="100000" sqref="GN678" name="Rango2_30_2_47_1"/>
    <protectedRange algorithmName="SHA-512" hashValue="EEHzbvEYwO1eufllBljOz0uf9BJ2ENtvOScQ7IsS321QhYbwKn7qhHKKP8cKj02rTDvVRMWvwQ1ZP0mZWsBprQ==" saltValue="CjXqBRFbKezlWOFV37MnDQ==" spinCount="100000" sqref="GN679" name="Rango2_30_2_48_1"/>
    <protectedRange algorithmName="SHA-512" hashValue="EEHzbvEYwO1eufllBljOz0uf9BJ2ENtvOScQ7IsS321QhYbwKn7qhHKKP8cKj02rTDvVRMWvwQ1ZP0mZWsBprQ==" saltValue="CjXqBRFbKezlWOFV37MnDQ==" spinCount="100000" sqref="GQ674:GR675" name="Rango2_30_2_97_1"/>
    <protectedRange algorithmName="SHA-512" hashValue="EEHzbvEYwO1eufllBljOz0uf9BJ2ENtvOScQ7IsS321QhYbwKn7qhHKKP8cKj02rTDvVRMWvwQ1ZP0mZWsBprQ==" saltValue="CjXqBRFbKezlWOFV37MnDQ==" spinCount="100000" sqref="GQ676:GR677" name="Rango2_30_2_98_1"/>
    <protectedRange algorithmName="SHA-512" hashValue="EEHzbvEYwO1eufllBljOz0uf9BJ2ENtvOScQ7IsS321QhYbwKn7qhHKKP8cKj02rTDvVRMWvwQ1ZP0mZWsBprQ==" saltValue="CjXqBRFbKezlWOFV37MnDQ==" spinCount="100000" sqref="GQ678:GR678" name="Rango2_30_2_99_1"/>
    <protectedRange algorithmName="SHA-512" hashValue="Rgskw+AQdeJ5qbJdarzTa3SCkJfDGziy0Uan5N0F3IWn/H3Z/e+VcB56R7Nes7MPxNHewNP1sSSucVjz3iTLeA==" saltValue="qKZH3DnwaZHBzy3cBZo1qQ==" spinCount="100000" sqref="GF680" name="Rango2_31_28_50_1"/>
    <protectedRange algorithmName="SHA-512" hashValue="Rgskw+AQdeJ5qbJdarzTa3SCkJfDGziy0Uan5N0F3IWn/H3Z/e+VcB56R7Nes7MPxNHewNP1sSSucVjz3iTLeA==" saltValue="qKZH3DnwaZHBzy3cBZo1qQ==" spinCount="100000" sqref="GF681:GF682" name="Rango2_31_28_51_1"/>
    <protectedRange algorithmName="SHA-512" hashValue="Rgskw+AQdeJ5qbJdarzTa3SCkJfDGziy0Uan5N0F3IWn/H3Z/e+VcB56R7Nes7MPxNHewNP1sSSucVjz3iTLeA==" saltValue="qKZH3DnwaZHBzy3cBZo1qQ==" spinCount="100000" sqref="GF683" name="Rango2_31_28_52_1"/>
    <protectedRange algorithmName="SHA-512" hashValue="EEHzbvEYwO1eufllBljOz0uf9BJ2ENtvOScQ7IsS321QhYbwKn7qhHKKP8cKj02rTDvVRMWvwQ1ZP0mZWsBprQ==" saltValue="CjXqBRFbKezlWOFV37MnDQ==" spinCount="100000" sqref="GN680" name="Rango2_30_2_50_1"/>
    <protectedRange algorithmName="SHA-512" hashValue="EEHzbvEYwO1eufllBljOz0uf9BJ2ENtvOScQ7IsS321QhYbwKn7qhHKKP8cKj02rTDvVRMWvwQ1ZP0mZWsBprQ==" saltValue="CjXqBRFbKezlWOFV37MnDQ==" spinCount="100000" sqref="GN681:GN682" name="Rango2_30_2_51_1"/>
    <protectedRange algorithmName="SHA-512" hashValue="EEHzbvEYwO1eufllBljOz0uf9BJ2ENtvOScQ7IsS321QhYbwKn7qhHKKP8cKj02rTDvVRMWvwQ1ZP0mZWsBprQ==" saltValue="CjXqBRFbKezlWOFV37MnDQ==" spinCount="100000" sqref="GN683" name="Rango2_30_2_52_1"/>
    <protectedRange algorithmName="SHA-512" hashValue="q2z5hEFmXS0v2chiPTC/VCoDWNlnhp+Xe6Ybfxe48vIsnB/KTJQxJv+pFUnCXfZ9T6vyJopuqFFNROfQTW/JUw==" saltValue="IctfdGJb5tOTpq+KPi9vww==" spinCount="100000" sqref="IA671" name="Rango2_88_39_92_1"/>
    <protectedRange algorithmName="SHA-512" hashValue="q2z5hEFmXS0v2chiPTC/VCoDWNlnhp+Xe6Ybfxe48vIsnB/KTJQxJv+pFUnCXfZ9T6vyJopuqFFNROfQTW/JUw==" saltValue="IctfdGJb5tOTpq+KPi9vww==" spinCount="100000" sqref="IA672" name="Rango2_88_39_94_1"/>
    <protectedRange algorithmName="SHA-512" hashValue="q2z5hEFmXS0v2chiPTC/VCoDWNlnhp+Xe6Ybfxe48vIsnB/KTJQxJv+pFUnCXfZ9T6vyJopuqFFNROfQTW/JUw==" saltValue="IctfdGJb5tOTpq+KPi9vww==" spinCount="100000" sqref="IA673" name="Rango2_88_39_95_1"/>
    <protectedRange algorithmName="SHA-512" hashValue="q2z5hEFmXS0v2chiPTC/VCoDWNlnhp+Xe6Ybfxe48vIsnB/KTJQxJv+pFUnCXfZ9T6vyJopuqFFNROfQTW/JUw==" saltValue="IctfdGJb5tOTpq+KPi9vww==" spinCount="100000" sqref="IA674:IA675" name="Rango2_88_39_97_1"/>
    <protectedRange algorithmName="SHA-512" hashValue="q2z5hEFmXS0v2chiPTC/VCoDWNlnhp+Xe6Ybfxe48vIsnB/KTJQxJv+pFUnCXfZ9T6vyJopuqFFNROfQTW/JUw==" saltValue="IctfdGJb5tOTpq+KPi9vww==" spinCount="100000" sqref="IA676:IA677" name="Rango2_88_39_98_1"/>
    <protectedRange algorithmName="SHA-512" hashValue="q2z5hEFmXS0v2chiPTC/VCoDWNlnhp+Xe6Ybfxe48vIsnB/KTJQxJv+pFUnCXfZ9T6vyJopuqFFNROfQTW/JUw==" saltValue="IctfdGJb5tOTpq+KPi9vww==" spinCount="100000" sqref="IA678" name="Rango2_88_39_99_1"/>
    <protectedRange algorithmName="SHA-512" hashValue="D8TacORwT7iz0mF9GEucchnMHfB5er2FFjQsxyeWWyeJkM6Bt3gYQ3LbcHPxZXFpVAYtFOuTrzYOCJrlZDx16g==" saltValue="QtCzIBktdS4NZkOEGcLTRQ==" spinCount="100000" sqref="IW671" name="Rango2_41_40_1"/>
    <protectedRange algorithmName="SHA-512" hashValue="D8TacORwT7iz0mF9GEucchnMHfB5er2FFjQsxyeWWyeJkM6Bt3gYQ3LbcHPxZXFpVAYtFOuTrzYOCJrlZDx16g==" saltValue="QtCzIBktdS4NZkOEGcLTRQ==" spinCount="100000" sqref="IW672" name="Rango2_41_42_1"/>
    <protectedRange algorithmName="SHA-512" hashValue="D8TacORwT7iz0mF9GEucchnMHfB5er2FFjQsxyeWWyeJkM6Bt3gYQ3LbcHPxZXFpVAYtFOuTrzYOCJrlZDx16g==" saltValue="QtCzIBktdS4NZkOEGcLTRQ==" spinCount="100000" sqref="IW673" name="Rango2_41_43_1"/>
    <protectedRange algorithmName="SHA-512" hashValue="D8TacORwT7iz0mF9GEucchnMHfB5er2FFjQsxyeWWyeJkM6Bt3gYQ3LbcHPxZXFpVAYtFOuTrzYOCJrlZDx16g==" saltValue="QtCzIBktdS4NZkOEGcLTRQ==" spinCount="100000" sqref="IW674:IW675" name="Rango2_41_45_1"/>
    <protectedRange algorithmName="SHA-512" hashValue="D8TacORwT7iz0mF9GEucchnMHfB5er2FFjQsxyeWWyeJkM6Bt3gYQ3LbcHPxZXFpVAYtFOuTrzYOCJrlZDx16g==" saltValue="QtCzIBktdS4NZkOEGcLTRQ==" spinCount="100000" sqref="IW676:IW677" name="Rango2_41_46_1"/>
    <protectedRange algorithmName="SHA-512" hashValue="D8TacORwT7iz0mF9GEucchnMHfB5er2FFjQsxyeWWyeJkM6Bt3gYQ3LbcHPxZXFpVAYtFOuTrzYOCJrlZDx16g==" saltValue="QtCzIBktdS4NZkOEGcLTRQ==" spinCount="100000" sqref="IW678" name="Rango2_41_47_1"/>
    <protectedRange algorithmName="SHA-512" hashValue="D8TacORwT7iz0mF9GEucchnMHfB5er2FFjQsxyeWWyeJkM6Bt3gYQ3LbcHPxZXFpVAYtFOuTrzYOCJrlZDx16g==" saltValue="QtCzIBktdS4NZkOEGcLTRQ==" spinCount="100000" sqref="IW679" name="Rango2_41_48_1"/>
    <protectedRange algorithmName="SHA-512" hashValue="D8TacORwT7iz0mF9GEucchnMHfB5er2FFjQsxyeWWyeJkM6Bt3gYQ3LbcHPxZXFpVAYtFOuTrzYOCJrlZDx16g==" saltValue="QtCzIBktdS4NZkOEGcLTRQ==" spinCount="100000" sqref="IW680" name="Rango2_41_50_1"/>
    <protectedRange algorithmName="SHA-512" hashValue="D8TacORwT7iz0mF9GEucchnMHfB5er2FFjQsxyeWWyeJkM6Bt3gYQ3LbcHPxZXFpVAYtFOuTrzYOCJrlZDx16g==" saltValue="QtCzIBktdS4NZkOEGcLTRQ==" spinCount="100000" sqref="IW681:IW682" name="Rango2_41_51_1"/>
    <protectedRange algorithmName="SHA-512" hashValue="D8TacORwT7iz0mF9GEucchnMHfB5er2FFjQsxyeWWyeJkM6Bt3gYQ3LbcHPxZXFpVAYtFOuTrzYOCJrlZDx16g==" saltValue="QtCzIBktdS4NZkOEGcLTRQ==" spinCount="100000" sqref="IW683" name="Rango2_41_52_1"/>
    <protectedRange algorithmName="SHA-512" hashValue="6a5oYwZw9WJcgjqXpleUXH8uaqNEuymPPpeOb7lKBc1WoM6IG/DNyDLWmj2lYwxnZO2yhl+B61kwrxD9m9AdhQ==" saltValue="tdNQPzLQd+n9Ww064QJIaQ==" spinCount="100000" sqref="I708" name="Rango2_61_2_1"/>
    <protectedRange algorithmName="SHA-512" hashValue="XM8+0Jh5zLWw02PI0Lt8dLqjTcW5ulySion19FAnruDN6QRp4UwcVqdfQxnOQAItgpWG7rNsELzjwy0iXOonxw==" saltValue="Sd4WFUedDfLKoMQTDrxJuQ==" spinCount="100000" sqref="K708" name="Rango2_88_4_4_2_1"/>
    <protectedRange algorithmName="SHA-512" hashValue="EMMPgE8t/az1rHHzaZAQIhz+GQV0k2O/tQGA96sJqEEMzz1efIRa4CcLzC7iY9CCscto3g7dwz41haOE28iXYg==" saltValue="CVzFsG4X4LXUMo7796PiDQ==" spinCount="100000" sqref="B708:H708 L708:M708 J708 C709:C730" name="Rango2_10_2_1"/>
    <protectedRange algorithmName="SHA-512" hashValue="6a5oYwZw9WJcgjqXpleUXH8uaqNEuymPPpeOb7lKBc1WoM6IG/DNyDLWmj2lYwxnZO2yhl+B61kwrxD9m9AdhQ==" saltValue="tdNQPzLQd+n9Ww064QJIaQ==" spinCount="100000" sqref="I709" name="Rango2_61_4_2"/>
    <protectedRange algorithmName="SHA-512" hashValue="XM8+0Jh5zLWw02PI0Lt8dLqjTcW5ulySion19FAnruDN6QRp4UwcVqdfQxnOQAItgpWG7rNsELzjwy0iXOonxw==" saltValue="Sd4WFUedDfLKoMQTDrxJuQ==" spinCount="100000" sqref="K709" name="Rango2_88_4_4_4_2"/>
    <protectedRange algorithmName="SHA-512" hashValue="EMMPgE8t/az1rHHzaZAQIhz+GQV0k2O/tQGA96sJqEEMzz1efIRa4CcLzC7iY9CCscto3g7dwz41haOE28iXYg==" saltValue="CVzFsG4X4LXUMo7796PiDQ==" spinCount="100000" sqref="B709 J709 L709:M709 D709:H709" name="Rango2_10_4_5"/>
    <protectedRange algorithmName="SHA-512" hashValue="6a5oYwZw9WJcgjqXpleUXH8uaqNEuymPPpeOb7lKBc1WoM6IG/DNyDLWmj2lYwxnZO2yhl+B61kwrxD9m9AdhQ==" saltValue="tdNQPzLQd+n9Ww064QJIaQ==" spinCount="100000" sqref="I710" name="Rango2_61_6_1"/>
    <protectedRange algorithmName="SHA-512" hashValue="XM8+0Jh5zLWw02PI0Lt8dLqjTcW5ulySion19FAnruDN6QRp4UwcVqdfQxnOQAItgpWG7rNsELzjwy0iXOonxw==" saltValue="Sd4WFUedDfLKoMQTDrxJuQ==" spinCount="100000" sqref="K710" name="Rango2_88_4_4_6_1"/>
    <protectedRange algorithmName="SHA-512" hashValue="EMMPgE8t/az1rHHzaZAQIhz+GQV0k2O/tQGA96sJqEEMzz1efIRa4CcLzC7iY9CCscto3g7dwz41haOE28iXYg==" saltValue="CVzFsG4X4LXUMo7796PiDQ==" spinCount="100000" sqref="B710 J710 L710:M710 D710:H710" name="Rango2_10_6_3"/>
    <protectedRange algorithmName="SHA-512" hashValue="6a5oYwZw9WJcgjqXpleUXH8uaqNEuymPPpeOb7lKBc1WoM6IG/DNyDLWmj2lYwxnZO2yhl+B61kwrxD9m9AdhQ==" saltValue="tdNQPzLQd+n9Ww064QJIaQ==" spinCount="100000" sqref="I711" name="Rango2_61_9_4"/>
    <protectedRange algorithmName="SHA-512" hashValue="XM8+0Jh5zLWw02PI0Lt8dLqjTcW5ulySion19FAnruDN6QRp4UwcVqdfQxnOQAItgpWG7rNsELzjwy0iXOonxw==" saltValue="Sd4WFUedDfLKoMQTDrxJuQ==" spinCount="100000" sqref="K711" name="Rango2_88_4_4_9_4"/>
    <protectedRange algorithmName="SHA-512" hashValue="EMMPgE8t/az1rHHzaZAQIhz+GQV0k2O/tQGA96sJqEEMzz1efIRa4CcLzC7iY9CCscto3g7dwz41haOE28iXYg==" saltValue="CVzFsG4X4LXUMo7796PiDQ==" spinCount="100000" sqref="B711 J711 L711:M711 D711:H711" name="Rango2_10_9_2"/>
    <protectedRange algorithmName="SHA-512" hashValue="6a5oYwZw9WJcgjqXpleUXH8uaqNEuymPPpeOb7lKBc1WoM6IG/DNyDLWmj2lYwxnZO2yhl+B61kwrxD9m9AdhQ==" saltValue="tdNQPzLQd+n9Ww064QJIaQ==" spinCount="100000" sqref="I712" name="Rango2_61_10_1"/>
    <protectedRange algorithmName="SHA-512" hashValue="XM8+0Jh5zLWw02PI0Lt8dLqjTcW5ulySion19FAnruDN6QRp4UwcVqdfQxnOQAItgpWG7rNsELzjwy0iXOonxw==" saltValue="Sd4WFUedDfLKoMQTDrxJuQ==" spinCount="100000" sqref="K712" name="Rango2_88_4_4_10_1"/>
    <protectedRange algorithmName="SHA-512" hashValue="EMMPgE8t/az1rHHzaZAQIhz+GQV0k2O/tQGA96sJqEEMzz1efIRa4CcLzC7iY9CCscto3g7dwz41haOE28iXYg==" saltValue="CVzFsG4X4LXUMo7796PiDQ==" spinCount="100000" sqref="B712 J712 L712:M712 D712:H712" name="Rango2_10_10_4"/>
    <protectedRange algorithmName="SHA-512" hashValue="6a5oYwZw9WJcgjqXpleUXH8uaqNEuymPPpeOb7lKBc1WoM6IG/DNyDLWmj2lYwxnZO2yhl+B61kwrxD9m9AdhQ==" saltValue="tdNQPzLQd+n9Ww064QJIaQ==" spinCount="100000" sqref="I713" name="Rango2_61_10_2"/>
    <protectedRange algorithmName="SHA-512" hashValue="XM8+0Jh5zLWw02PI0Lt8dLqjTcW5ulySion19FAnruDN6QRp4UwcVqdfQxnOQAItgpWG7rNsELzjwy0iXOonxw==" saltValue="Sd4WFUedDfLKoMQTDrxJuQ==" spinCount="100000" sqref="K713" name="Rango2_88_4_4_10_2"/>
    <protectedRange algorithmName="SHA-512" hashValue="EMMPgE8t/az1rHHzaZAQIhz+GQV0k2O/tQGA96sJqEEMzz1efIRa4CcLzC7iY9CCscto3g7dwz41haOE28iXYg==" saltValue="CVzFsG4X4LXUMo7796PiDQ==" spinCount="100000" sqref="B713 J713 L713:M713 D713:H713" name="Rango2_10_10_5"/>
    <protectedRange algorithmName="SHA-512" hashValue="6a5oYwZw9WJcgjqXpleUXH8uaqNEuymPPpeOb7lKBc1WoM6IG/DNyDLWmj2lYwxnZO2yhl+B61kwrxD9m9AdhQ==" saltValue="tdNQPzLQd+n9Ww064QJIaQ==" spinCount="100000" sqref="I714" name="Rango2_61_14_1"/>
    <protectedRange algorithmName="SHA-512" hashValue="XM8+0Jh5zLWw02PI0Lt8dLqjTcW5ulySion19FAnruDN6QRp4UwcVqdfQxnOQAItgpWG7rNsELzjwy0iXOonxw==" saltValue="Sd4WFUedDfLKoMQTDrxJuQ==" spinCount="100000" sqref="K714" name="Rango2_88_4_4_14_1"/>
    <protectedRange algorithmName="SHA-512" hashValue="EMMPgE8t/az1rHHzaZAQIhz+GQV0k2O/tQGA96sJqEEMzz1efIRa4CcLzC7iY9CCscto3g7dwz41haOE28iXYg==" saltValue="CVzFsG4X4LXUMo7796PiDQ==" spinCount="100000" sqref="B714 J714 L714:M714 D714:H714" name="Rango2_10_14_1"/>
    <protectedRange algorithmName="SHA-512" hashValue="6a5oYwZw9WJcgjqXpleUXH8uaqNEuymPPpeOb7lKBc1WoM6IG/DNyDLWmj2lYwxnZO2yhl+B61kwrxD9m9AdhQ==" saltValue="tdNQPzLQd+n9Ww064QJIaQ==" spinCount="100000" sqref="I715:I716" name="Rango2_61_16_1"/>
    <protectedRange algorithmName="SHA-512" hashValue="XM8+0Jh5zLWw02PI0Lt8dLqjTcW5ulySion19FAnruDN6QRp4UwcVqdfQxnOQAItgpWG7rNsELzjwy0iXOonxw==" saltValue="Sd4WFUedDfLKoMQTDrxJuQ==" spinCount="100000" sqref="K715:K716" name="Rango2_88_4_4_16_1"/>
    <protectedRange algorithmName="SHA-512" hashValue="EMMPgE8t/az1rHHzaZAQIhz+GQV0k2O/tQGA96sJqEEMzz1efIRa4CcLzC7iY9CCscto3g7dwz41haOE28iXYg==" saltValue="CVzFsG4X4LXUMo7796PiDQ==" spinCount="100000" sqref="B715:B716 J715:J716 L715:M716 D715:H716" name="Rango2_10_16_1"/>
    <protectedRange algorithmName="SHA-512" hashValue="6a5oYwZw9WJcgjqXpleUXH8uaqNEuymPPpeOb7lKBc1WoM6IG/DNyDLWmj2lYwxnZO2yhl+B61kwrxD9m9AdhQ==" saltValue="tdNQPzLQd+n9Ww064QJIaQ==" spinCount="100000" sqref="I717" name="Rango2_61_16_2"/>
    <protectedRange algorithmName="SHA-512" hashValue="XM8+0Jh5zLWw02PI0Lt8dLqjTcW5ulySion19FAnruDN6QRp4UwcVqdfQxnOQAItgpWG7rNsELzjwy0iXOonxw==" saltValue="Sd4WFUedDfLKoMQTDrxJuQ==" spinCount="100000" sqref="K717" name="Rango2_88_4_4_16_2"/>
    <protectedRange algorithmName="SHA-512" hashValue="EMMPgE8t/az1rHHzaZAQIhz+GQV0k2O/tQGA96sJqEEMzz1efIRa4CcLzC7iY9CCscto3g7dwz41haOE28iXYg==" saltValue="CVzFsG4X4LXUMo7796PiDQ==" spinCount="100000" sqref="B717 J717 L717:M717 D717:H717" name="Rango2_10_16_2"/>
    <protectedRange algorithmName="SHA-512" hashValue="6a5oYwZw9WJcgjqXpleUXH8uaqNEuymPPpeOb7lKBc1WoM6IG/DNyDLWmj2lYwxnZO2yhl+B61kwrxD9m9AdhQ==" saltValue="tdNQPzLQd+n9Ww064QJIaQ==" spinCount="100000" sqref="I718" name="Rango2_61_16_3"/>
    <protectedRange algorithmName="SHA-512" hashValue="XM8+0Jh5zLWw02PI0Lt8dLqjTcW5ulySion19FAnruDN6QRp4UwcVqdfQxnOQAItgpWG7rNsELzjwy0iXOonxw==" saltValue="Sd4WFUedDfLKoMQTDrxJuQ==" spinCount="100000" sqref="K718" name="Rango2_88_4_4_16_3"/>
    <protectedRange algorithmName="SHA-512" hashValue="EMMPgE8t/az1rHHzaZAQIhz+GQV0k2O/tQGA96sJqEEMzz1efIRa4CcLzC7iY9CCscto3g7dwz41haOE28iXYg==" saltValue="CVzFsG4X4LXUMo7796PiDQ==" spinCount="100000" sqref="B718 J718 L718:M718 D718:H718" name="Rango2_10_16_3"/>
    <protectedRange algorithmName="SHA-512" hashValue="6a5oYwZw9WJcgjqXpleUXH8uaqNEuymPPpeOb7lKBc1WoM6IG/DNyDLWmj2lYwxnZO2yhl+B61kwrxD9m9AdhQ==" saltValue="tdNQPzLQd+n9Ww064QJIaQ==" spinCount="100000" sqref="I719" name="Rango2_61_17_1"/>
    <protectedRange algorithmName="SHA-512" hashValue="XM8+0Jh5zLWw02PI0Lt8dLqjTcW5ulySion19FAnruDN6QRp4UwcVqdfQxnOQAItgpWG7rNsELzjwy0iXOonxw==" saltValue="Sd4WFUedDfLKoMQTDrxJuQ==" spinCount="100000" sqref="K719" name="Rango2_88_4_4_17_1"/>
    <protectedRange algorithmName="SHA-512" hashValue="EMMPgE8t/az1rHHzaZAQIhz+GQV0k2O/tQGA96sJqEEMzz1efIRa4CcLzC7iY9CCscto3g7dwz41haOE28iXYg==" saltValue="CVzFsG4X4LXUMo7796PiDQ==" spinCount="100000" sqref="B719 J719 L719:M719 D719:H719" name="Rango2_10_17_1"/>
    <protectedRange algorithmName="SHA-512" hashValue="6a5oYwZw9WJcgjqXpleUXH8uaqNEuymPPpeOb7lKBc1WoM6IG/DNyDLWmj2lYwxnZO2yhl+B61kwrxD9m9AdhQ==" saltValue="tdNQPzLQd+n9Ww064QJIaQ==" spinCount="100000" sqref="I720" name="Rango2_61_17_2"/>
    <protectedRange algorithmName="SHA-512" hashValue="XM8+0Jh5zLWw02PI0Lt8dLqjTcW5ulySion19FAnruDN6QRp4UwcVqdfQxnOQAItgpWG7rNsELzjwy0iXOonxw==" saltValue="Sd4WFUedDfLKoMQTDrxJuQ==" spinCount="100000" sqref="K720" name="Rango2_88_4_4_17_2"/>
    <protectedRange algorithmName="SHA-512" hashValue="EMMPgE8t/az1rHHzaZAQIhz+GQV0k2O/tQGA96sJqEEMzz1efIRa4CcLzC7iY9CCscto3g7dwz41haOE28iXYg==" saltValue="CVzFsG4X4LXUMo7796PiDQ==" spinCount="100000" sqref="B720 J720 L720:M720 D720:H720" name="Rango2_10_17_2"/>
    <protectedRange algorithmName="SHA-512" hashValue="6a5oYwZw9WJcgjqXpleUXH8uaqNEuymPPpeOb7lKBc1WoM6IG/DNyDLWmj2lYwxnZO2yhl+B61kwrxD9m9AdhQ==" saltValue="tdNQPzLQd+n9Ww064QJIaQ==" spinCount="100000" sqref="I721" name="Rango2_61_17_3"/>
    <protectedRange algorithmName="SHA-512" hashValue="XM8+0Jh5zLWw02PI0Lt8dLqjTcW5ulySion19FAnruDN6QRp4UwcVqdfQxnOQAItgpWG7rNsELzjwy0iXOonxw==" saltValue="Sd4WFUedDfLKoMQTDrxJuQ==" spinCount="100000" sqref="K721" name="Rango2_88_4_4_17_3"/>
    <protectedRange algorithmName="SHA-512" hashValue="EMMPgE8t/az1rHHzaZAQIhz+GQV0k2O/tQGA96sJqEEMzz1efIRa4CcLzC7iY9CCscto3g7dwz41haOE28iXYg==" saltValue="CVzFsG4X4LXUMo7796PiDQ==" spinCount="100000" sqref="B721 J721 L721:M721 D721:H721" name="Rango2_10_17_3"/>
    <protectedRange algorithmName="SHA-512" hashValue="6a5oYwZw9WJcgjqXpleUXH8uaqNEuymPPpeOb7lKBc1WoM6IG/DNyDLWmj2lYwxnZO2yhl+B61kwrxD9m9AdhQ==" saltValue="tdNQPzLQd+n9Ww064QJIaQ==" spinCount="100000" sqref="I722" name="Rango2_61_17_4"/>
    <protectedRange algorithmName="SHA-512" hashValue="XM8+0Jh5zLWw02PI0Lt8dLqjTcW5ulySion19FAnruDN6QRp4UwcVqdfQxnOQAItgpWG7rNsELzjwy0iXOonxw==" saltValue="Sd4WFUedDfLKoMQTDrxJuQ==" spinCount="100000" sqref="K722" name="Rango2_88_4_4_17_4"/>
    <protectedRange algorithmName="SHA-512" hashValue="EMMPgE8t/az1rHHzaZAQIhz+GQV0k2O/tQGA96sJqEEMzz1efIRa4CcLzC7iY9CCscto3g7dwz41haOE28iXYg==" saltValue="CVzFsG4X4LXUMo7796PiDQ==" spinCount="100000" sqref="B722 J722 L722:M722 D722:H722" name="Rango2_10_17_4"/>
    <protectedRange algorithmName="SHA-512" hashValue="6a5oYwZw9WJcgjqXpleUXH8uaqNEuymPPpeOb7lKBc1WoM6IG/DNyDLWmj2lYwxnZO2yhl+B61kwrxD9m9AdhQ==" saltValue="tdNQPzLQd+n9Ww064QJIaQ==" spinCount="100000" sqref="I723" name="Rango2_61_17_5"/>
    <protectedRange algorithmName="SHA-512" hashValue="XM8+0Jh5zLWw02PI0Lt8dLqjTcW5ulySion19FAnruDN6QRp4UwcVqdfQxnOQAItgpWG7rNsELzjwy0iXOonxw==" saltValue="Sd4WFUedDfLKoMQTDrxJuQ==" spinCount="100000" sqref="K723" name="Rango2_88_4_4_17_5"/>
    <protectedRange algorithmName="SHA-512" hashValue="EMMPgE8t/az1rHHzaZAQIhz+GQV0k2O/tQGA96sJqEEMzz1efIRa4CcLzC7iY9CCscto3g7dwz41haOE28iXYg==" saltValue="CVzFsG4X4LXUMo7796PiDQ==" spinCount="100000" sqref="B723 J723 L723:M723 D723:H723" name="Rango2_10_17_5"/>
    <protectedRange algorithmName="SHA-512" hashValue="XZw03RosI/l0z9FxmTtF29EdZ7P+4+ybhqoaAAUmURojSR5XbGfjC4f2i8gMqfY+RI9JvfdCA6PSh9TduXfUxA==" saltValue="5TPtLq2WoiRSae/yaDPnTw==" spinCount="100000" sqref="O708" name="Rango2_99_2_1"/>
    <protectedRange algorithmName="SHA-512" hashValue="KHhv3JU/LRdRrRTxxkgFceEHPZ5UzadmpZRZR3zmQRnPvkUJZuanRafIJ+qde0IWwLZSvFIQDyUAHq6v6k7XIg==" saltValue="2GKG1kCzVNNcn+vbOPuhJA==" spinCount="100000" sqref="Q708" name="Rango2_2_5_2_1"/>
    <protectedRange algorithmName="SHA-512" hashValue="fPHvtIAf3pQeZUoAI9C2/vdXMHBpqqEq+67P5Ypyu4+9IWqs3yc9TZcMWQ0THLxUwqseQPyVvakuYFtCwJHsxA==" saltValue="QHIogSs2PrwAfdqa9PAOFQ==" spinCount="100000" sqref="AC708" name="Rango2_88_5_5_2_1"/>
    <protectedRange algorithmName="SHA-512" hashValue="AYYX88LSDB6RDNMvSqt0KPGWPjBqTk56tMxTOlv5QD61MGTKAAQnSnudvNDWPN0Bbllh2qRQC+P5uq7goxjdrw==" saltValue="i/iPMewnks1FoXYOjKMEVg==" spinCount="100000" sqref="AB708" name="Rango2_87_6_2_1"/>
    <protectedRange algorithmName="SHA-512" hashValue="NUll9P9xh7KbSfMYpMxsRZLfDw/y/AzW2LSWlpXVscBDqiAxmzo71xjs+a2lh+jRa7pceOC849slke4+ZKx8LA==" saltValue="8qbkKpQ+CiQuLnqgShNvXA==" spinCount="100000" sqref="T708" name="Rango2_88_6_2_1"/>
    <protectedRange algorithmName="SHA-512" hashValue="XZw03RosI/l0z9FxmTtF29EdZ7P+4+ybhqoaAAUmURojSR5XbGfjC4f2i8gMqfY+RI9JvfdCA6PSh9TduXfUxA==" saltValue="5TPtLq2WoiRSae/yaDPnTw==" spinCount="100000" sqref="U708:AA708 R708:S708" name="Rango2_99_19_2"/>
    <protectedRange algorithmName="SHA-512" hashValue="9+DNppQbWrLYYUMoJ+lyQctV2bX3Vq9kZnegLbpjTLP49It2ovUbcartuoQTeXgP+TGpY//7mDH/UQlFCKDGiA==" saltValue="KUnni6YEm00anzSSvyLqQA==" spinCount="100000" sqref="AD708" name="Rango2_22_1"/>
    <protectedRange algorithmName="SHA-512" hashValue="CHipOQaT63FWw628cQcXXJRZlrbNZ7OgmnEbDx38UmmH7z19GRYEzXFiVOzHAy1OAaAbST7g2bHZHDKQp2qm3w==" saltValue="iRVuL+373yLHv0ZHzS9qog==" spinCount="100000" sqref="AG708:AH708 AJ708" name="Rango2_88_7_5_2_1"/>
    <protectedRange algorithmName="SHA-512" hashValue="LEEeiU6pKqm7TAP46VGlz0q+evvFwpT/0iLpRuWuQ7MacbP0OGL1/FSmrIEOg2rb6M+Jla2bPbVWiGag27j87w==" saltValue="HEVt+pS5OloNDlqSnzGLLw==" spinCount="100000" sqref="AI708" name="Rango2_8_7_2_1"/>
    <protectedRange algorithmName="SHA-512" hashValue="q2z5hEFmXS0v2chiPTC/VCoDWNlnhp+Xe6Ybfxe48vIsnB/KTJQxJv+pFUnCXfZ9T6vyJopuqFFNROfQTW/JUw==" saltValue="IctfdGJb5tOTpq+KPi9vww==" spinCount="100000" sqref="AE708:AF708" name="Rango2_88_39_2_1"/>
    <protectedRange algorithmName="SHA-512" hashValue="RQ91b7oAw60DVtcgB2vRpial2kSdzJx5guGCTYUwXYkKrtrUHfiYnLf9R+SNpYXlJDYpyEJLhcWwP0EqNN86dQ==" saltValue="W3RbH3zrcY9sy39xNwXNxg==" spinCount="100000" sqref="BA708:BI708" name="Rango2_88_99_2_1"/>
    <protectedRange algorithmName="SHA-512" hashValue="fMbmUM1DQ7FuAPRNvFL5mPdHUYjQnlLFhkuaxvHguaqR7aWyDxcmJs0jLYQfQKY+oyhsMb4Lew4VL6i7um3/ew==" saltValue="ydaTm0CeH8+/cYqoL/AMaQ==" spinCount="100000" sqref="AU708 AW708:AZ708" name="Rango2_88_91_2_1"/>
    <protectedRange algorithmName="SHA-512" hashValue="CHipOQaT63FWw628cQcXXJRZlrbNZ7OgmnEbDx38UmmH7z19GRYEzXFiVOzHAy1OAaAbST7g2bHZHDKQp2qm3w==" saltValue="iRVuL+373yLHv0ZHzS9qog==" spinCount="100000" sqref="AL708" name="Rango2_88_7_5_19_2"/>
    <protectedRange algorithmName="SHA-512" hashValue="NkG6oHuDGvGBEiLAAq8MEJHEfLQUMyjihfH+DBXhT+eQW0r1yri7tOJEFRM9nbOejjjXiviq9RFo7KB7wF+xJA==" saltValue="bpjB0AAANu2X/PeR3eiFkA==" spinCount="100000" sqref="AM708:AS708" name="Rango2_88_65_2_1"/>
    <protectedRange algorithmName="SHA-512" hashValue="XZw03RosI/l0z9FxmTtF29EdZ7P+4+ybhqoaAAUmURojSR5XbGfjC4f2i8gMqfY+RI9JvfdCA6PSh9TduXfUxA==" saltValue="5TPtLq2WoiRSae/yaDPnTw==" spinCount="100000" sqref="AT708 AV708 BJ708:BK708" name="Rango2_99_36_5"/>
    <protectedRange algorithmName="SHA-512" hashValue="RQ91b7oAw60DVtcgB2vRpial2kSdzJx5guGCTYUwXYkKrtrUHfiYnLf9R+SNpYXlJDYpyEJLhcWwP0EqNN86dQ==" saltValue="W3RbH3zrcY9sy39xNwXNxg==" spinCount="100000" sqref="BV708:BY708" name="Rango2_88_99_19_2"/>
    <protectedRange algorithmName="SHA-512" hashValue="XZw03RosI/l0z9FxmTtF29EdZ7P+4+ybhqoaAAUmURojSR5XbGfjC4f2i8gMqfY+RI9JvfdCA6PSh9TduXfUxA==" saltValue="5TPtLq2WoiRSae/yaDPnTw==" spinCount="100000" sqref="BZ708:CB708 BR708:BU708" name="Rango2_99_53_2"/>
    <protectedRange algorithmName="SHA-512" hashValue="XZw03RosI/l0z9FxmTtF29EdZ7P+4+ybhqoaAAUmURojSR5XbGfjC4f2i8gMqfY+RI9JvfdCA6PSh9TduXfUxA==" saltValue="5TPtLq2WoiRSae/yaDPnTw==" spinCount="100000" sqref="CE708:CF708" name="Rango2_99_70_6"/>
    <protectedRange algorithmName="SHA-512" hashValue="XZw03RosI/l0z9FxmTtF29EdZ7P+4+ybhqoaAAUmURojSR5XbGfjC4f2i8gMqfY+RI9JvfdCA6PSh9TduXfUxA==" saltValue="5TPtLq2WoiRSae/yaDPnTw==" spinCount="100000" sqref="CJ708:CK708" name="Rango2_99_87_1"/>
    <protectedRange algorithmName="SHA-512" hashValue="XZw03RosI/l0z9FxmTtF29EdZ7P+4+ybhqoaAAUmURojSR5XbGfjC4f2i8gMqfY+RI9JvfdCA6PSh9TduXfUxA==" saltValue="5TPtLq2WoiRSae/yaDPnTw==" spinCount="100000" sqref="O709" name="Rango2_99_4_2"/>
    <protectedRange algorithmName="SHA-512" hashValue="KHhv3JU/LRdRrRTxxkgFceEHPZ5UzadmpZRZR3zmQRnPvkUJZuanRafIJ+qde0IWwLZSvFIQDyUAHq6v6k7XIg==" saltValue="2GKG1kCzVNNcn+vbOPuhJA==" spinCount="100000" sqref="Q709" name="Rango2_2_5_4_2"/>
    <protectedRange algorithmName="SHA-512" hashValue="fPHvtIAf3pQeZUoAI9C2/vdXMHBpqqEq+67P5Ypyu4+9IWqs3yc9TZcMWQ0THLxUwqseQPyVvakuYFtCwJHsxA==" saltValue="QHIogSs2PrwAfdqa9PAOFQ==" spinCount="100000" sqref="AC709" name="Rango2_88_5_5_4_3"/>
    <protectedRange algorithmName="SHA-512" hashValue="AYYX88LSDB6RDNMvSqt0KPGWPjBqTk56tMxTOlv5QD61MGTKAAQnSnudvNDWPN0Bbllh2qRQC+P5uq7goxjdrw==" saltValue="i/iPMewnks1FoXYOjKMEVg==" spinCount="100000" sqref="AB709" name="Rango2_87_6_4_2"/>
    <protectedRange algorithmName="SHA-512" hashValue="NUll9P9xh7KbSfMYpMxsRZLfDw/y/AzW2LSWlpXVscBDqiAxmzo71xjs+a2lh+jRa7pceOC849slke4+ZKx8LA==" saltValue="8qbkKpQ+CiQuLnqgShNvXA==" spinCount="100000" sqref="T709" name="Rango2_88_6_4_2"/>
    <protectedRange algorithmName="SHA-512" hashValue="XZw03RosI/l0z9FxmTtF29EdZ7P+4+ybhqoaAAUmURojSR5XbGfjC4f2i8gMqfY+RI9JvfdCA6PSh9TduXfUxA==" saltValue="5TPtLq2WoiRSae/yaDPnTw==" spinCount="100000" sqref="U709:AA709 R709:S709" name="Rango2_99_21_5"/>
    <protectedRange algorithmName="SHA-512" hashValue="9+DNppQbWrLYYUMoJ+lyQctV2bX3Vq9kZnegLbpjTLP49It2ovUbcartuoQTeXgP+TGpY//7mDH/UQlFCKDGiA==" saltValue="KUnni6YEm00anzSSvyLqQA==" spinCount="100000" sqref="AD709" name="Rango2_25_2"/>
    <protectedRange algorithmName="SHA-512" hashValue="CHipOQaT63FWw628cQcXXJRZlrbNZ7OgmnEbDx38UmmH7z19GRYEzXFiVOzHAy1OAaAbST7g2bHZHDKQp2qm3w==" saltValue="iRVuL+373yLHv0ZHzS9qog==" spinCount="100000" sqref="AG709:AH709 AJ709" name="Rango2_88_7_5_4_2"/>
    <protectedRange algorithmName="SHA-512" hashValue="LEEeiU6pKqm7TAP46VGlz0q+evvFwpT/0iLpRuWuQ7MacbP0OGL1/FSmrIEOg2rb6M+Jla2bPbVWiGag27j87w==" saltValue="HEVt+pS5OloNDlqSnzGLLw==" spinCount="100000" sqref="AI709" name="Rango2_8_7_4_2"/>
    <protectedRange algorithmName="SHA-512" hashValue="q2z5hEFmXS0v2chiPTC/VCoDWNlnhp+Xe6Ybfxe48vIsnB/KTJQxJv+pFUnCXfZ9T6vyJopuqFFNROfQTW/JUw==" saltValue="IctfdGJb5tOTpq+KPi9vww==" spinCount="100000" sqref="AE709:AF709" name="Rango2_88_39_4_2"/>
    <protectedRange algorithmName="SHA-512" hashValue="RQ91b7oAw60DVtcgB2vRpial2kSdzJx5guGCTYUwXYkKrtrUHfiYnLf9R+SNpYXlJDYpyEJLhcWwP0EqNN86dQ==" saltValue="W3RbH3zrcY9sy39xNwXNxg==" spinCount="100000" sqref="BA709:BI709" name="Rango2_88_99_4_2"/>
    <protectedRange algorithmName="SHA-512" hashValue="fMbmUM1DQ7FuAPRNvFL5mPdHUYjQnlLFhkuaxvHguaqR7aWyDxcmJs0jLYQfQKY+oyhsMb4Lew4VL6i7um3/ew==" saltValue="ydaTm0CeH8+/cYqoL/AMaQ==" spinCount="100000" sqref="AU709 AW709:AZ709" name="Rango2_88_91_4_2"/>
    <protectedRange algorithmName="SHA-512" hashValue="CHipOQaT63FWw628cQcXXJRZlrbNZ7OgmnEbDx38UmmH7z19GRYEzXFiVOzHAy1OAaAbST7g2bHZHDKQp2qm3w==" saltValue="iRVuL+373yLHv0ZHzS9qog==" spinCount="100000" sqref="AL709" name="Rango2_88_7_5_21_2"/>
    <protectedRange algorithmName="SHA-512" hashValue="NkG6oHuDGvGBEiLAAq8MEJHEfLQUMyjihfH+DBXhT+eQW0r1yri7tOJEFRM9nbOejjjXiviq9RFo7KB7wF+xJA==" saltValue="bpjB0AAANu2X/PeR3eiFkA==" spinCount="100000" sqref="AM709:AS709" name="Rango2_88_65_4_2"/>
    <protectedRange algorithmName="SHA-512" hashValue="XZw03RosI/l0z9FxmTtF29EdZ7P+4+ybhqoaAAUmURojSR5XbGfjC4f2i8gMqfY+RI9JvfdCA6PSh9TduXfUxA==" saltValue="5TPtLq2WoiRSae/yaDPnTw==" spinCount="100000" sqref="AT709 AV709 BJ709:BK709" name="Rango2_99_38_2"/>
    <protectedRange algorithmName="SHA-512" hashValue="RQ91b7oAw60DVtcgB2vRpial2kSdzJx5guGCTYUwXYkKrtrUHfiYnLf9R+SNpYXlJDYpyEJLhcWwP0EqNN86dQ==" saltValue="W3RbH3zrcY9sy39xNwXNxg==" spinCount="100000" sqref="BV709:BY709" name="Rango2_88_99_21_2"/>
    <protectedRange algorithmName="SHA-512" hashValue="XZw03RosI/l0z9FxmTtF29EdZ7P+4+ybhqoaAAUmURojSR5XbGfjC4f2i8gMqfY+RI9JvfdCA6PSh9TduXfUxA==" saltValue="5TPtLq2WoiRSae/yaDPnTw==" spinCount="100000" sqref="BZ709:CB709 BR709:BU709" name="Rango2_99_55_1"/>
    <protectedRange algorithmName="SHA-512" hashValue="XZw03RosI/l0z9FxmTtF29EdZ7P+4+ybhqoaAAUmURojSR5XbGfjC4f2i8gMqfY+RI9JvfdCA6PSh9TduXfUxA==" saltValue="5TPtLq2WoiRSae/yaDPnTw==" spinCount="100000" sqref="CE709:CF709" name="Rango2_99_72_4"/>
    <protectedRange algorithmName="SHA-512" hashValue="XZw03RosI/l0z9FxmTtF29EdZ7P+4+ybhqoaAAUmURojSR5XbGfjC4f2i8gMqfY+RI9JvfdCA6PSh9TduXfUxA==" saltValue="5TPtLq2WoiRSae/yaDPnTw==" spinCount="100000" sqref="CJ709:CK709" name="Rango2_99_89_1"/>
    <protectedRange algorithmName="SHA-512" hashValue="XZw03RosI/l0z9FxmTtF29EdZ7P+4+ybhqoaAAUmURojSR5XbGfjC4f2i8gMqfY+RI9JvfdCA6PSh9TduXfUxA==" saltValue="5TPtLq2WoiRSae/yaDPnTw==" spinCount="100000" sqref="O710" name="Rango2_99_6_4"/>
    <protectedRange algorithmName="SHA-512" hashValue="KHhv3JU/LRdRrRTxxkgFceEHPZ5UzadmpZRZR3zmQRnPvkUJZuanRafIJ+qde0IWwLZSvFIQDyUAHq6v6k7XIg==" saltValue="2GKG1kCzVNNcn+vbOPuhJA==" spinCount="100000" sqref="Q710" name="Rango2_2_5_6_1"/>
    <protectedRange algorithmName="SHA-512" hashValue="fPHvtIAf3pQeZUoAI9C2/vdXMHBpqqEq+67P5Ypyu4+9IWqs3yc9TZcMWQ0THLxUwqseQPyVvakuYFtCwJHsxA==" saltValue="QHIogSs2PrwAfdqa9PAOFQ==" spinCount="100000" sqref="AC710" name="Rango2_88_5_5_6_1"/>
    <protectedRange algorithmName="SHA-512" hashValue="AYYX88LSDB6RDNMvSqt0KPGWPjBqTk56tMxTOlv5QD61MGTKAAQnSnudvNDWPN0Bbllh2qRQC+P5uq7goxjdrw==" saltValue="i/iPMewnks1FoXYOjKMEVg==" spinCount="100000" sqref="AB710" name="Rango2_87_6_6_1"/>
    <protectedRange algorithmName="SHA-512" hashValue="NUll9P9xh7KbSfMYpMxsRZLfDw/y/AzW2LSWlpXVscBDqiAxmzo71xjs+a2lh+jRa7pceOC849slke4+ZKx8LA==" saltValue="8qbkKpQ+CiQuLnqgShNvXA==" spinCount="100000" sqref="T710" name="Rango2_88_6_6_1"/>
    <protectedRange algorithmName="SHA-512" hashValue="XZw03RosI/l0z9FxmTtF29EdZ7P+4+ybhqoaAAUmURojSR5XbGfjC4f2i8gMqfY+RI9JvfdCA6PSh9TduXfUxA==" saltValue="5TPtLq2WoiRSae/yaDPnTw==" spinCount="100000" sqref="U710:AA710 R710:S710" name="Rango2_99_23_3"/>
    <protectedRange algorithmName="SHA-512" hashValue="9+DNppQbWrLYYUMoJ+lyQctV2bX3Vq9kZnegLbpjTLP49It2ovUbcartuoQTeXgP+TGpY//7mDH/UQlFCKDGiA==" saltValue="KUnni6YEm00anzSSvyLqQA==" spinCount="100000" sqref="AD710" name="Rango2_32_4"/>
    <protectedRange algorithmName="SHA-512" hashValue="CHipOQaT63FWw628cQcXXJRZlrbNZ7OgmnEbDx38UmmH7z19GRYEzXFiVOzHAy1OAaAbST7g2bHZHDKQp2qm3w==" saltValue="iRVuL+373yLHv0ZHzS9qog==" spinCount="100000" sqref="AG710:AH710 AJ710" name="Rango2_88_7_5_6_1"/>
    <protectedRange algorithmName="SHA-512" hashValue="LEEeiU6pKqm7TAP46VGlz0q+evvFwpT/0iLpRuWuQ7MacbP0OGL1/FSmrIEOg2rb6M+Jla2bPbVWiGag27j87w==" saltValue="HEVt+pS5OloNDlqSnzGLLw==" spinCount="100000" sqref="AI710" name="Rango2_8_7_6_1"/>
    <protectedRange algorithmName="SHA-512" hashValue="q2z5hEFmXS0v2chiPTC/VCoDWNlnhp+Xe6Ybfxe48vIsnB/KTJQxJv+pFUnCXfZ9T6vyJopuqFFNROfQTW/JUw==" saltValue="IctfdGJb5tOTpq+KPi9vww==" spinCount="100000" sqref="AE710:AF710" name="Rango2_88_39_6_4"/>
    <protectedRange algorithmName="SHA-512" hashValue="RQ91b7oAw60DVtcgB2vRpial2kSdzJx5guGCTYUwXYkKrtrUHfiYnLf9R+SNpYXlJDYpyEJLhcWwP0EqNN86dQ==" saltValue="W3RbH3zrcY9sy39xNwXNxg==" spinCount="100000" sqref="BA710:BI710" name="Rango2_88_99_6_1"/>
    <protectedRange algorithmName="SHA-512" hashValue="fMbmUM1DQ7FuAPRNvFL5mPdHUYjQnlLFhkuaxvHguaqR7aWyDxcmJs0jLYQfQKY+oyhsMb4Lew4VL6i7um3/ew==" saltValue="ydaTm0CeH8+/cYqoL/AMaQ==" spinCount="100000" sqref="AU710 AW710:AZ710" name="Rango2_88_91_6_1"/>
    <protectedRange algorithmName="SHA-512" hashValue="CHipOQaT63FWw628cQcXXJRZlrbNZ7OgmnEbDx38UmmH7z19GRYEzXFiVOzHAy1OAaAbST7g2bHZHDKQp2qm3w==" saltValue="iRVuL+373yLHv0ZHzS9qog==" spinCount="100000" sqref="AL710" name="Rango2_88_7_5_23_2"/>
    <protectedRange algorithmName="SHA-512" hashValue="NkG6oHuDGvGBEiLAAq8MEJHEfLQUMyjihfH+DBXhT+eQW0r1yri7tOJEFRM9nbOejjjXiviq9RFo7KB7wF+xJA==" saltValue="bpjB0AAANu2X/PeR3eiFkA==" spinCount="100000" sqref="AM710:AS710" name="Rango2_88_65_6_1"/>
    <protectedRange algorithmName="SHA-512" hashValue="XZw03RosI/l0z9FxmTtF29EdZ7P+4+ybhqoaAAUmURojSR5XbGfjC4f2i8gMqfY+RI9JvfdCA6PSh9TduXfUxA==" saltValue="5TPtLq2WoiRSae/yaDPnTw==" spinCount="100000" sqref="AT710 AV710 BJ710:BK710" name="Rango2_99_40_4"/>
    <protectedRange algorithmName="SHA-512" hashValue="RQ91b7oAw60DVtcgB2vRpial2kSdzJx5guGCTYUwXYkKrtrUHfiYnLf9R+SNpYXlJDYpyEJLhcWwP0EqNN86dQ==" saltValue="W3RbH3zrcY9sy39xNwXNxg==" spinCount="100000" sqref="BV710:BY710" name="Rango2_88_99_23_3"/>
    <protectedRange algorithmName="SHA-512" hashValue="XZw03RosI/l0z9FxmTtF29EdZ7P+4+ybhqoaAAUmURojSR5XbGfjC4f2i8gMqfY+RI9JvfdCA6PSh9TduXfUxA==" saltValue="5TPtLq2WoiRSae/yaDPnTw==" spinCount="100000" sqref="BZ710:CB710 BR710:BU710" name="Rango2_99_57_1"/>
    <protectedRange algorithmName="SHA-512" hashValue="XZw03RosI/l0z9FxmTtF29EdZ7P+4+ybhqoaAAUmURojSR5XbGfjC4f2i8gMqfY+RI9JvfdCA6PSh9TduXfUxA==" saltValue="5TPtLq2WoiRSae/yaDPnTw==" spinCount="100000" sqref="CE710:CF710" name="Rango2_99_74_1"/>
    <protectedRange algorithmName="SHA-512" hashValue="XZw03RosI/l0z9FxmTtF29EdZ7P+4+ybhqoaAAUmURojSR5XbGfjC4f2i8gMqfY+RI9JvfdCA6PSh9TduXfUxA==" saltValue="5TPtLq2WoiRSae/yaDPnTw==" spinCount="100000" sqref="CJ710:CK710" name="Rango2_99_91_1"/>
    <protectedRange algorithmName="SHA-512" hashValue="XZw03RosI/l0z9FxmTtF29EdZ7P+4+ybhqoaAAUmURojSR5XbGfjC4f2i8gMqfY+RI9JvfdCA6PSh9TduXfUxA==" saltValue="5TPtLq2WoiRSae/yaDPnTw==" spinCount="100000" sqref="O711" name="Rango2_99_9_2"/>
    <protectedRange algorithmName="SHA-512" hashValue="XZw03RosI/l0z9FxmTtF29EdZ7P+4+ybhqoaAAUmURojSR5XbGfjC4f2i8gMqfY+RI9JvfdCA6PSh9TduXfUxA==" saltValue="5TPtLq2WoiRSae/yaDPnTw==" spinCount="100000" sqref="O712" name="Rango2_99_10_2"/>
    <protectedRange algorithmName="SHA-512" hashValue="KHhv3JU/LRdRrRTxxkgFceEHPZ5UzadmpZRZR3zmQRnPvkUJZuanRafIJ+qde0IWwLZSvFIQDyUAHq6v6k7XIg==" saltValue="2GKG1kCzVNNcn+vbOPuhJA==" spinCount="100000" sqref="Q711" name="Rango2_2_5_9_5"/>
    <protectedRange algorithmName="SHA-512" hashValue="KHhv3JU/LRdRrRTxxkgFceEHPZ5UzadmpZRZR3zmQRnPvkUJZuanRafIJ+qde0IWwLZSvFIQDyUAHq6v6k7XIg==" saltValue="2GKG1kCzVNNcn+vbOPuhJA==" spinCount="100000" sqref="Q712" name="Rango2_2_5_10_2"/>
    <protectedRange algorithmName="SHA-512" hashValue="fPHvtIAf3pQeZUoAI9C2/vdXMHBpqqEq+67P5Ypyu4+9IWqs3yc9TZcMWQ0THLxUwqseQPyVvakuYFtCwJHsxA==" saltValue="QHIogSs2PrwAfdqa9PAOFQ==" spinCount="100000" sqref="AC711" name="Rango2_88_5_5_9_5"/>
    <protectedRange algorithmName="SHA-512" hashValue="AYYX88LSDB6RDNMvSqt0KPGWPjBqTk56tMxTOlv5QD61MGTKAAQnSnudvNDWPN0Bbllh2qRQC+P5uq7goxjdrw==" saltValue="i/iPMewnks1FoXYOjKMEVg==" spinCount="100000" sqref="AB711" name="Rango2_87_6_9_5"/>
    <protectedRange algorithmName="SHA-512" hashValue="NUll9P9xh7KbSfMYpMxsRZLfDw/y/AzW2LSWlpXVscBDqiAxmzo71xjs+a2lh+jRa7pceOC849slke4+ZKx8LA==" saltValue="8qbkKpQ+CiQuLnqgShNvXA==" spinCount="100000" sqref="T711" name="Rango2_88_6_9_5"/>
    <protectedRange algorithmName="SHA-512" hashValue="XZw03RosI/l0z9FxmTtF29EdZ7P+4+ybhqoaAAUmURojSR5XbGfjC4f2i8gMqfY+RI9JvfdCA6PSh9TduXfUxA==" saltValue="5TPtLq2WoiRSae/yaDPnTw==" spinCount="100000" sqref="U711:AA711 R711:S711" name="Rango2_99_26_1"/>
    <protectedRange algorithmName="SHA-512" hashValue="9+DNppQbWrLYYUMoJ+lyQctV2bX3Vq9kZnegLbpjTLP49It2ovUbcartuoQTeXgP+TGpY//7mDH/UQlFCKDGiA==" saltValue="KUnni6YEm00anzSSvyLqQA==" spinCount="100000" sqref="AD711" name="Rango2_36_2"/>
    <protectedRange algorithmName="SHA-512" hashValue="fPHvtIAf3pQeZUoAI9C2/vdXMHBpqqEq+67P5Ypyu4+9IWqs3yc9TZcMWQ0THLxUwqseQPyVvakuYFtCwJHsxA==" saltValue="QHIogSs2PrwAfdqa9PAOFQ==" spinCount="100000" sqref="AC712" name="Rango2_88_5_5_10_2"/>
    <protectedRange algorithmName="SHA-512" hashValue="AYYX88LSDB6RDNMvSqt0KPGWPjBqTk56tMxTOlv5QD61MGTKAAQnSnudvNDWPN0Bbllh2qRQC+P5uq7goxjdrw==" saltValue="i/iPMewnks1FoXYOjKMEVg==" spinCount="100000" sqref="AB712" name="Rango2_87_6_10_2"/>
    <protectedRange algorithmName="SHA-512" hashValue="NUll9P9xh7KbSfMYpMxsRZLfDw/y/AzW2LSWlpXVscBDqiAxmzo71xjs+a2lh+jRa7pceOC849slke4+ZKx8LA==" saltValue="8qbkKpQ+CiQuLnqgShNvXA==" spinCount="100000" sqref="T712" name="Rango2_88_6_10_2"/>
    <protectedRange algorithmName="SHA-512" hashValue="XZw03RosI/l0z9FxmTtF29EdZ7P+4+ybhqoaAAUmURojSR5XbGfjC4f2i8gMqfY+RI9JvfdCA6PSh9TduXfUxA==" saltValue="5TPtLq2WoiRSae/yaDPnTw==" spinCount="100000" sqref="U712:AA712 R712:S712" name="Rango2_99_27_4"/>
    <protectedRange algorithmName="SHA-512" hashValue="9+DNppQbWrLYYUMoJ+lyQctV2bX3Vq9kZnegLbpjTLP49It2ovUbcartuoQTeXgP+TGpY//7mDH/UQlFCKDGiA==" saltValue="KUnni6YEm00anzSSvyLqQA==" spinCount="100000" sqref="AD712" name="Rango2_37_2"/>
    <protectedRange algorithmName="SHA-512" hashValue="CHipOQaT63FWw628cQcXXJRZlrbNZ7OgmnEbDx38UmmH7z19GRYEzXFiVOzHAy1OAaAbST7g2bHZHDKQp2qm3w==" saltValue="iRVuL+373yLHv0ZHzS9qog==" spinCount="100000" sqref="AG711:AH711 AJ711" name="Rango2_88_7_5_9_5"/>
    <protectedRange algorithmName="SHA-512" hashValue="LEEeiU6pKqm7TAP46VGlz0q+evvFwpT/0iLpRuWuQ7MacbP0OGL1/FSmrIEOg2rb6M+Jla2bPbVWiGag27j87w==" saltValue="HEVt+pS5OloNDlqSnzGLLw==" spinCount="100000" sqref="AI711" name="Rango2_8_7_9_5"/>
    <protectedRange algorithmName="SHA-512" hashValue="q2z5hEFmXS0v2chiPTC/VCoDWNlnhp+Xe6Ybfxe48vIsnB/KTJQxJv+pFUnCXfZ9T6vyJopuqFFNROfQTW/JUw==" saltValue="IctfdGJb5tOTpq+KPi9vww==" spinCount="100000" sqref="AE711:AF711" name="Rango2_88_39_9_2"/>
    <protectedRange algorithmName="SHA-512" hashValue="CHipOQaT63FWw628cQcXXJRZlrbNZ7OgmnEbDx38UmmH7z19GRYEzXFiVOzHAy1OAaAbST7g2bHZHDKQp2qm3w==" saltValue="iRVuL+373yLHv0ZHzS9qog==" spinCount="100000" sqref="AG712:AH712 AJ712" name="Rango2_88_7_5_10_2"/>
    <protectedRange algorithmName="SHA-512" hashValue="LEEeiU6pKqm7TAP46VGlz0q+evvFwpT/0iLpRuWuQ7MacbP0OGL1/FSmrIEOg2rb6M+Jla2bPbVWiGag27j87w==" saltValue="HEVt+pS5OloNDlqSnzGLLw==" spinCount="100000" sqref="AI712" name="Rango2_8_7_10_2"/>
    <protectedRange algorithmName="SHA-512" hashValue="q2z5hEFmXS0v2chiPTC/VCoDWNlnhp+Xe6Ybfxe48vIsnB/KTJQxJv+pFUnCXfZ9T6vyJopuqFFNROfQTW/JUw==" saltValue="IctfdGJb5tOTpq+KPi9vww==" spinCount="100000" sqref="AE712:AF712" name="Rango2_88_39_10_3"/>
    <protectedRange algorithmName="SHA-512" hashValue="RQ91b7oAw60DVtcgB2vRpial2kSdzJx5guGCTYUwXYkKrtrUHfiYnLf9R+SNpYXlJDYpyEJLhcWwP0EqNN86dQ==" saltValue="W3RbH3zrcY9sy39xNwXNxg==" spinCount="100000" sqref="BA711:BI711" name="Rango2_88_99_9_5"/>
    <protectedRange algorithmName="SHA-512" hashValue="fMbmUM1DQ7FuAPRNvFL5mPdHUYjQnlLFhkuaxvHguaqR7aWyDxcmJs0jLYQfQKY+oyhsMb4Lew4VL6i7um3/ew==" saltValue="ydaTm0CeH8+/cYqoL/AMaQ==" spinCount="100000" sqref="AU711 AW711:AZ711" name="Rango2_88_91_9_5"/>
    <protectedRange algorithmName="SHA-512" hashValue="CHipOQaT63FWw628cQcXXJRZlrbNZ7OgmnEbDx38UmmH7z19GRYEzXFiVOzHAy1OAaAbST7g2bHZHDKQp2qm3w==" saltValue="iRVuL+373yLHv0ZHzS9qog==" spinCount="100000" sqref="AL711" name="Rango2_88_7_5_26_1"/>
    <protectedRange algorithmName="SHA-512" hashValue="NkG6oHuDGvGBEiLAAq8MEJHEfLQUMyjihfH+DBXhT+eQW0r1yri7tOJEFRM9nbOejjjXiviq9RFo7KB7wF+xJA==" saltValue="bpjB0AAANu2X/PeR3eiFkA==" spinCount="100000" sqref="AM711:AS711" name="Rango2_88_65_9_5"/>
    <protectedRange algorithmName="SHA-512" hashValue="XZw03RosI/l0z9FxmTtF29EdZ7P+4+ybhqoaAAUmURojSR5XbGfjC4f2i8gMqfY+RI9JvfdCA6PSh9TduXfUxA==" saltValue="5TPtLq2WoiRSae/yaDPnTw==" spinCount="100000" sqref="AT711 AV711 BJ711:BK711" name="Rango2_99_43_2"/>
    <protectedRange algorithmName="SHA-512" hashValue="RQ91b7oAw60DVtcgB2vRpial2kSdzJx5guGCTYUwXYkKrtrUHfiYnLf9R+SNpYXlJDYpyEJLhcWwP0EqNN86dQ==" saltValue="W3RbH3zrcY9sy39xNwXNxg==" spinCount="100000" sqref="BA712:BI712" name="Rango2_88_99_10_3"/>
    <protectedRange algorithmName="SHA-512" hashValue="fMbmUM1DQ7FuAPRNvFL5mPdHUYjQnlLFhkuaxvHguaqR7aWyDxcmJs0jLYQfQKY+oyhsMb4Lew4VL6i7um3/ew==" saltValue="ydaTm0CeH8+/cYqoL/AMaQ==" spinCount="100000" sqref="AU712 AW712:AZ712" name="Rango2_88_91_10_2"/>
    <protectedRange algorithmName="SHA-512" hashValue="CHipOQaT63FWw628cQcXXJRZlrbNZ7OgmnEbDx38UmmH7z19GRYEzXFiVOzHAy1OAaAbST7g2bHZHDKQp2qm3w==" saltValue="iRVuL+373yLHv0ZHzS9qog==" spinCount="100000" sqref="AL712" name="Rango2_88_7_5_27_1"/>
    <protectedRange algorithmName="SHA-512" hashValue="NkG6oHuDGvGBEiLAAq8MEJHEfLQUMyjihfH+DBXhT+eQW0r1yri7tOJEFRM9nbOejjjXiviq9RFo7KB7wF+xJA==" saltValue="bpjB0AAANu2X/PeR3eiFkA==" spinCount="100000" sqref="AM712:AS712" name="Rango2_88_65_10_2"/>
    <protectedRange algorithmName="SHA-512" hashValue="XZw03RosI/l0z9FxmTtF29EdZ7P+4+ybhqoaAAUmURojSR5XbGfjC4f2i8gMqfY+RI9JvfdCA6PSh9TduXfUxA==" saltValue="5TPtLq2WoiRSae/yaDPnTw==" spinCount="100000" sqref="AT712 AV712 BJ712:BK712" name="Rango2_99_44_2"/>
    <protectedRange algorithmName="SHA-512" hashValue="RQ91b7oAw60DVtcgB2vRpial2kSdzJx5guGCTYUwXYkKrtrUHfiYnLf9R+SNpYXlJDYpyEJLhcWwP0EqNN86dQ==" saltValue="W3RbH3zrcY9sy39xNwXNxg==" spinCount="100000" sqref="BV711:BY711" name="Rango2_88_99_26_1"/>
    <protectedRange algorithmName="SHA-512" hashValue="XZw03RosI/l0z9FxmTtF29EdZ7P+4+ybhqoaAAUmURojSR5XbGfjC4f2i8gMqfY+RI9JvfdCA6PSh9TduXfUxA==" saltValue="5TPtLq2WoiRSae/yaDPnTw==" spinCount="100000" sqref="BZ711:CB711 BR711:BU711" name="Rango2_99_60_4"/>
    <protectedRange algorithmName="SHA-512" hashValue="RQ91b7oAw60DVtcgB2vRpial2kSdzJx5guGCTYUwXYkKrtrUHfiYnLf9R+SNpYXlJDYpyEJLhcWwP0EqNN86dQ==" saltValue="W3RbH3zrcY9sy39xNwXNxg==" spinCount="100000" sqref="BV712:BY712" name="Rango2_88_99_27_1"/>
    <protectedRange algorithmName="SHA-512" hashValue="XZw03RosI/l0z9FxmTtF29EdZ7P+4+ybhqoaAAUmURojSR5XbGfjC4f2i8gMqfY+RI9JvfdCA6PSh9TduXfUxA==" saltValue="5TPtLq2WoiRSae/yaDPnTw==" spinCount="100000" sqref="BZ712:CB712 BR712:BU712" name="Rango2_99_61_1"/>
    <protectedRange algorithmName="SHA-512" hashValue="XZw03RosI/l0z9FxmTtF29EdZ7P+4+ybhqoaAAUmURojSR5XbGfjC4f2i8gMqfY+RI9JvfdCA6PSh9TduXfUxA==" saltValue="5TPtLq2WoiRSae/yaDPnTw==" spinCount="100000" sqref="CE711:CF711" name="Rango2_99_77_1"/>
    <protectedRange algorithmName="SHA-512" hashValue="XZw03RosI/l0z9FxmTtF29EdZ7P+4+ybhqoaAAUmURojSR5XbGfjC4f2i8gMqfY+RI9JvfdCA6PSh9TduXfUxA==" saltValue="5TPtLq2WoiRSae/yaDPnTw==" spinCount="100000" sqref="CE712:CF712" name="Rango2_99_78_1"/>
    <protectedRange algorithmName="SHA-512" hashValue="XZw03RosI/l0z9FxmTtF29EdZ7P+4+ybhqoaAAUmURojSR5XbGfjC4f2i8gMqfY+RI9JvfdCA6PSh9TduXfUxA==" saltValue="5TPtLq2WoiRSae/yaDPnTw==" spinCount="100000" sqref="CJ711:CK711" name="Rango2_99_94_2"/>
    <protectedRange algorithmName="SHA-512" hashValue="XZw03RosI/l0z9FxmTtF29EdZ7P+4+ybhqoaAAUmURojSR5XbGfjC4f2i8gMqfY+RI9JvfdCA6PSh9TduXfUxA==" saltValue="5TPtLq2WoiRSae/yaDPnTw==" spinCount="100000" sqref="CJ712:CK712" name="Rango2_99_95_2"/>
    <protectedRange algorithmName="SHA-512" hashValue="XZw03RosI/l0z9FxmTtF29EdZ7P+4+ybhqoaAAUmURojSR5XbGfjC4f2i8gMqfY+RI9JvfdCA6PSh9TduXfUxA==" saltValue="5TPtLq2WoiRSae/yaDPnTw==" spinCount="100000" sqref="O713" name="Rango2_99_10_3"/>
    <protectedRange algorithmName="SHA-512" hashValue="KHhv3JU/LRdRrRTxxkgFceEHPZ5UzadmpZRZR3zmQRnPvkUJZuanRafIJ+qde0IWwLZSvFIQDyUAHq6v6k7XIg==" saltValue="2GKG1kCzVNNcn+vbOPuhJA==" spinCount="100000" sqref="Q713" name="Rango2_2_5_10_3"/>
    <protectedRange algorithmName="SHA-512" hashValue="fPHvtIAf3pQeZUoAI9C2/vdXMHBpqqEq+67P5Ypyu4+9IWqs3yc9TZcMWQ0THLxUwqseQPyVvakuYFtCwJHsxA==" saltValue="QHIogSs2PrwAfdqa9PAOFQ==" spinCount="100000" sqref="AC713" name="Rango2_88_5_5_10_3"/>
    <protectedRange algorithmName="SHA-512" hashValue="AYYX88LSDB6RDNMvSqt0KPGWPjBqTk56tMxTOlv5QD61MGTKAAQnSnudvNDWPN0Bbllh2qRQC+P5uq7goxjdrw==" saltValue="i/iPMewnks1FoXYOjKMEVg==" spinCount="100000" sqref="AB713" name="Rango2_87_6_10_3"/>
    <protectedRange algorithmName="SHA-512" hashValue="NUll9P9xh7KbSfMYpMxsRZLfDw/y/AzW2LSWlpXVscBDqiAxmzo71xjs+a2lh+jRa7pceOC849slke4+ZKx8LA==" saltValue="8qbkKpQ+CiQuLnqgShNvXA==" spinCount="100000" sqref="T713" name="Rango2_88_6_10_3"/>
    <protectedRange algorithmName="SHA-512" hashValue="XZw03RosI/l0z9FxmTtF29EdZ7P+4+ybhqoaAAUmURojSR5XbGfjC4f2i8gMqfY+RI9JvfdCA6PSh9TduXfUxA==" saltValue="5TPtLq2WoiRSae/yaDPnTw==" spinCount="100000" sqref="U713:AA713 R713:S713" name="Rango2_99_27_5"/>
    <protectedRange algorithmName="SHA-512" hashValue="9+DNppQbWrLYYUMoJ+lyQctV2bX3Vq9kZnegLbpjTLP49It2ovUbcartuoQTeXgP+TGpY//7mDH/UQlFCKDGiA==" saltValue="KUnni6YEm00anzSSvyLqQA==" spinCount="100000" sqref="AD713" name="Rango2_37_3"/>
    <protectedRange algorithmName="SHA-512" hashValue="CHipOQaT63FWw628cQcXXJRZlrbNZ7OgmnEbDx38UmmH7z19GRYEzXFiVOzHAy1OAaAbST7g2bHZHDKQp2qm3w==" saltValue="iRVuL+373yLHv0ZHzS9qog==" spinCount="100000" sqref="AG713:AH713 AJ713" name="Rango2_88_7_5_10_3"/>
    <protectedRange algorithmName="SHA-512" hashValue="LEEeiU6pKqm7TAP46VGlz0q+evvFwpT/0iLpRuWuQ7MacbP0OGL1/FSmrIEOg2rb6M+Jla2bPbVWiGag27j87w==" saltValue="HEVt+pS5OloNDlqSnzGLLw==" spinCount="100000" sqref="AI713" name="Rango2_8_7_10_3"/>
    <protectedRange algorithmName="SHA-512" hashValue="q2z5hEFmXS0v2chiPTC/VCoDWNlnhp+Xe6Ybfxe48vIsnB/KTJQxJv+pFUnCXfZ9T6vyJopuqFFNROfQTW/JUw==" saltValue="IctfdGJb5tOTpq+KPi9vww==" spinCount="100000" sqref="AE713:AF713" name="Rango2_88_39_10_4"/>
    <protectedRange algorithmName="SHA-512" hashValue="RQ91b7oAw60DVtcgB2vRpial2kSdzJx5guGCTYUwXYkKrtrUHfiYnLf9R+SNpYXlJDYpyEJLhcWwP0EqNN86dQ==" saltValue="W3RbH3zrcY9sy39xNwXNxg==" spinCount="100000" sqref="BA713:BI713" name="Rango2_88_99_10_4"/>
    <protectedRange algorithmName="SHA-512" hashValue="fMbmUM1DQ7FuAPRNvFL5mPdHUYjQnlLFhkuaxvHguaqR7aWyDxcmJs0jLYQfQKY+oyhsMb4Lew4VL6i7um3/ew==" saltValue="ydaTm0CeH8+/cYqoL/AMaQ==" spinCount="100000" sqref="AU713 AW713:AZ713" name="Rango2_88_91_10_3"/>
    <protectedRange algorithmName="SHA-512" hashValue="CHipOQaT63FWw628cQcXXJRZlrbNZ7OgmnEbDx38UmmH7z19GRYEzXFiVOzHAy1OAaAbST7g2bHZHDKQp2qm3w==" saltValue="iRVuL+373yLHv0ZHzS9qog==" spinCount="100000" sqref="AL713" name="Rango2_88_7_5_27_2"/>
    <protectedRange algorithmName="SHA-512" hashValue="NkG6oHuDGvGBEiLAAq8MEJHEfLQUMyjihfH+DBXhT+eQW0r1yri7tOJEFRM9nbOejjjXiviq9RFo7KB7wF+xJA==" saltValue="bpjB0AAANu2X/PeR3eiFkA==" spinCount="100000" sqref="AM713:AS713" name="Rango2_88_65_10_3"/>
    <protectedRange algorithmName="SHA-512" hashValue="XZw03RosI/l0z9FxmTtF29EdZ7P+4+ybhqoaAAUmURojSR5XbGfjC4f2i8gMqfY+RI9JvfdCA6PSh9TduXfUxA==" saltValue="5TPtLq2WoiRSae/yaDPnTw==" spinCount="100000" sqref="AT713 AV713 BJ713:BK713" name="Rango2_99_44_3"/>
    <protectedRange algorithmName="SHA-512" hashValue="RQ91b7oAw60DVtcgB2vRpial2kSdzJx5guGCTYUwXYkKrtrUHfiYnLf9R+SNpYXlJDYpyEJLhcWwP0EqNN86dQ==" saltValue="W3RbH3zrcY9sy39xNwXNxg==" spinCount="100000" sqref="BV713:BY713" name="Rango2_88_99_27_2"/>
    <protectedRange algorithmName="SHA-512" hashValue="XZw03RosI/l0z9FxmTtF29EdZ7P+4+ybhqoaAAUmURojSR5XbGfjC4f2i8gMqfY+RI9JvfdCA6PSh9TduXfUxA==" saltValue="5TPtLq2WoiRSae/yaDPnTw==" spinCount="100000" sqref="BZ713:CB713 BR713:BU713" name="Rango2_99_61_2"/>
    <protectedRange algorithmName="SHA-512" hashValue="XZw03RosI/l0z9FxmTtF29EdZ7P+4+ybhqoaAAUmURojSR5XbGfjC4f2i8gMqfY+RI9JvfdCA6PSh9TduXfUxA==" saltValue="5TPtLq2WoiRSae/yaDPnTw==" spinCount="100000" sqref="CE713:CF713" name="Rango2_99_78_2"/>
    <protectedRange algorithmName="SHA-512" hashValue="XZw03RosI/l0z9FxmTtF29EdZ7P+4+ybhqoaAAUmURojSR5XbGfjC4f2i8gMqfY+RI9JvfdCA6PSh9TduXfUxA==" saltValue="5TPtLq2WoiRSae/yaDPnTw==" spinCount="100000" sqref="CJ713:CK713" name="Rango2_99_95_3"/>
    <protectedRange algorithmName="SHA-512" hashValue="XZw03RosI/l0z9FxmTtF29EdZ7P+4+ybhqoaAAUmURojSR5XbGfjC4f2i8gMqfY+RI9JvfdCA6PSh9TduXfUxA==" saltValue="5TPtLq2WoiRSae/yaDPnTw==" spinCount="100000" sqref="O714" name="Rango2_99_14_6"/>
    <protectedRange algorithmName="SHA-512" hashValue="KHhv3JU/LRdRrRTxxkgFceEHPZ5UzadmpZRZR3zmQRnPvkUJZuanRafIJ+qde0IWwLZSvFIQDyUAHq6v6k7XIg==" saltValue="2GKG1kCzVNNcn+vbOPuhJA==" spinCount="100000" sqref="Q714" name="Rango2_2_5_14_1"/>
    <protectedRange algorithmName="SHA-512" hashValue="fPHvtIAf3pQeZUoAI9C2/vdXMHBpqqEq+67P5Ypyu4+9IWqs3yc9TZcMWQ0THLxUwqseQPyVvakuYFtCwJHsxA==" saltValue="QHIogSs2PrwAfdqa9PAOFQ==" spinCount="100000" sqref="AC714" name="Rango2_88_5_5_14_1"/>
    <protectedRange algorithmName="SHA-512" hashValue="AYYX88LSDB6RDNMvSqt0KPGWPjBqTk56tMxTOlv5QD61MGTKAAQnSnudvNDWPN0Bbllh2qRQC+P5uq7goxjdrw==" saltValue="i/iPMewnks1FoXYOjKMEVg==" spinCount="100000" sqref="AB714" name="Rango2_87_6_14_1"/>
    <protectedRange algorithmName="SHA-512" hashValue="NUll9P9xh7KbSfMYpMxsRZLfDw/y/AzW2LSWlpXVscBDqiAxmzo71xjs+a2lh+jRa7pceOC849slke4+ZKx8LA==" saltValue="8qbkKpQ+CiQuLnqgShNvXA==" spinCount="100000" sqref="T714" name="Rango2_88_6_14_1"/>
    <protectedRange algorithmName="SHA-512" hashValue="XZw03RosI/l0z9FxmTtF29EdZ7P+4+ybhqoaAAUmURojSR5XbGfjC4f2i8gMqfY+RI9JvfdCA6PSh9TduXfUxA==" saltValue="5TPtLq2WoiRSae/yaDPnTw==" spinCount="100000" sqref="U714:AA714 R714:S714" name="Rango2_99_31_1"/>
    <protectedRange algorithmName="SHA-512" hashValue="9+DNppQbWrLYYUMoJ+lyQctV2bX3Vq9kZnegLbpjTLP49It2ovUbcartuoQTeXgP+TGpY//7mDH/UQlFCKDGiA==" saltValue="KUnni6YEm00anzSSvyLqQA==" spinCount="100000" sqref="AD714" name="Rango2_42_1"/>
    <protectedRange algorithmName="SHA-512" hashValue="CHipOQaT63FWw628cQcXXJRZlrbNZ7OgmnEbDx38UmmH7z19GRYEzXFiVOzHAy1OAaAbST7g2bHZHDKQp2qm3w==" saltValue="iRVuL+373yLHv0ZHzS9qog==" spinCount="100000" sqref="AG714:AH714 AJ714" name="Rango2_88_7_5_14_6"/>
    <protectedRange algorithmName="SHA-512" hashValue="LEEeiU6pKqm7TAP46VGlz0q+evvFwpT/0iLpRuWuQ7MacbP0OGL1/FSmrIEOg2rb6M+Jla2bPbVWiGag27j87w==" saltValue="HEVt+pS5OloNDlqSnzGLLw==" spinCount="100000" sqref="AI714" name="Rango2_8_7_14_1"/>
    <protectedRange algorithmName="SHA-512" hashValue="q2z5hEFmXS0v2chiPTC/VCoDWNlnhp+Xe6Ybfxe48vIsnB/KTJQxJv+pFUnCXfZ9T6vyJopuqFFNROfQTW/JUw==" saltValue="IctfdGJb5tOTpq+KPi9vww==" spinCount="100000" sqref="AE714:AF714" name="Rango2_88_39_14_2"/>
    <protectedRange algorithmName="SHA-512" hashValue="RQ91b7oAw60DVtcgB2vRpial2kSdzJx5guGCTYUwXYkKrtrUHfiYnLf9R+SNpYXlJDYpyEJLhcWwP0EqNN86dQ==" saltValue="W3RbH3zrcY9sy39xNwXNxg==" spinCount="100000" sqref="BA714:BI714" name="Rango2_88_99_14_6"/>
    <protectedRange algorithmName="SHA-512" hashValue="fMbmUM1DQ7FuAPRNvFL5mPdHUYjQnlLFhkuaxvHguaqR7aWyDxcmJs0jLYQfQKY+oyhsMb4Lew4VL6i7um3/ew==" saltValue="ydaTm0CeH8+/cYqoL/AMaQ==" spinCount="100000" sqref="AU714 AW714:AZ714" name="Rango2_88_91_14_1"/>
    <protectedRange algorithmName="SHA-512" hashValue="CHipOQaT63FWw628cQcXXJRZlrbNZ7OgmnEbDx38UmmH7z19GRYEzXFiVOzHAy1OAaAbST7g2bHZHDKQp2qm3w==" saltValue="iRVuL+373yLHv0ZHzS9qog==" spinCount="100000" sqref="AL714" name="Rango2_88_7_5_31_1"/>
    <protectedRange algorithmName="SHA-512" hashValue="NkG6oHuDGvGBEiLAAq8MEJHEfLQUMyjihfH+DBXhT+eQW0r1yri7tOJEFRM9nbOejjjXiviq9RFo7KB7wF+xJA==" saltValue="bpjB0AAANu2X/PeR3eiFkA==" spinCount="100000" sqref="AM714:AS714" name="Rango2_88_65_14_1"/>
    <protectedRange algorithmName="SHA-512" hashValue="XZw03RosI/l0z9FxmTtF29EdZ7P+4+ybhqoaAAUmURojSR5XbGfjC4f2i8gMqfY+RI9JvfdCA6PSh9TduXfUxA==" saltValue="5TPtLq2WoiRSae/yaDPnTw==" spinCount="100000" sqref="AT714 AV714 BJ714:BK714" name="Rango2_99_48_5"/>
    <protectedRange algorithmName="SHA-512" hashValue="RQ91b7oAw60DVtcgB2vRpial2kSdzJx5guGCTYUwXYkKrtrUHfiYnLf9R+SNpYXlJDYpyEJLhcWwP0EqNN86dQ==" saltValue="W3RbH3zrcY9sy39xNwXNxg==" spinCount="100000" sqref="BV714:BY714" name="Rango2_88_99_31_1"/>
    <protectedRange algorithmName="SHA-512" hashValue="XZw03RosI/l0z9FxmTtF29EdZ7P+4+ybhqoaAAUmURojSR5XbGfjC4f2i8gMqfY+RI9JvfdCA6PSh9TduXfUxA==" saltValue="5TPtLq2WoiRSae/yaDPnTw==" spinCount="100000" sqref="BZ714:CB714 BR714:BU714" name="Rango2_99_65_2"/>
    <protectedRange algorithmName="SHA-512" hashValue="XZw03RosI/l0z9FxmTtF29EdZ7P+4+ybhqoaAAUmURojSR5XbGfjC4f2i8gMqfY+RI9JvfdCA6PSh9TduXfUxA==" saltValue="5TPtLq2WoiRSae/yaDPnTw==" spinCount="100000" sqref="CE714:CF714" name="Rango2_99_82_1"/>
    <protectedRange algorithmName="SHA-512" hashValue="XZw03RosI/l0z9FxmTtF29EdZ7P+4+ybhqoaAAUmURojSR5XbGfjC4f2i8gMqfY+RI9JvfdCA6PSh9TduXfUxA==" saltValue="5TPtLq2WoiRSae/yaDPnTw==" spinCount="100000" sqref="CJ714:CK714" name="Rango2_99_99_2"/>
    <protectedRange algorithmName="SHA-512" hashValue="XZw03RosI/l0z9FxmTtF29EdZ7P+4+ybhqoaAAUmURojSR5XbGfjC4f2i8gMqfY+RI9JvfdCA6PSh9TduXfUxA==" saltValue="5TPtLq2WoiRSae/yaDPnTw==" spinCount="100000" sqref="O715:O716" name="Rango2_99_16_1"/>
    <protectedRange algorithmName="SHA-512" hashValue="KHhv3JU/LRdRrRTxxkgFceEHPZ5UzadmpZRZR3zmQRnPvkUJZuanRafIJ+qde0IWwLZSvFIQDyUAHq6v6k7XIg==" saltValue="2GKG1kCzVNNcn+vbOPuhJA==" spinCount="100000" sqref="Q715:Q716" name="Rango2_2_5_16_1"/>
    <protectedRange algorithmName="SHA-512" hashValue="fPHvtIAf3pQeZUoAI9C2/vdXMHBpqqEq+67P5Ypyu4+9IWqs3yc9TZcMWQ0THLxUwqseQPyVvakuYFtCwJHsxA==" saltValue="QHIogSs2PrwAfdqa9PAOFQ==" spinCount="100000" sqref="AC715:AC716" name="Rango2_88_5_5_16_1"/>
    <protectedRange algorithmName="SHA-512" hashValue="AYYX88LSDB6RDNMvSqt0KPGWPjBqTk56tMxTOlv5QD61MGTKAAQnSnudvNDWPN0Bbllh2qRQC+P5uq7goxjdrw==" saltValue="i/iPMewnks1FoXYOjKMEVg==" spinCount="100000" sqref="AB715:AB716" name="Rango2_87_6_16_1"/>
    <protectedRange algorithmName="SHA-512" hashValue="NUll9P9xh7KbSfMYpMxsRZLfDw/y/AzW2LSWlpXVscBDqiAxmzo71xjs+a2lh+jRa7pceOC849slke4+ZKx8LA==" saltValue="8qbkKpQ+CiQuLnqgShNvXA==" spinCount="100000" sqref="T715:T716" name="Rango2_88_6_16_1"/>
    <protectedRange algorithmName="SHA-512" hashValue="XZw03RosI/l0z9FxmTtF29EdZ7P+4+ybhqoaAAUmURojSR5XbGfjC4f2i8gMqfY+RI9JvfdCA6PSh9TduXfUxA==" saltValue="5TPtLq2WoiRSae/yaDPnTw==" spinCount="100000" sqref="U715:AA716 R715:S716" name="Rango2_99_33_2"/>
    <protectedRange algorithmName="SHA-512" hashValue="9+DNppQbWrLYYUMoJ+lyQctV2bX3Vq9kZnegLbpjTLP49It2ovUbcartuoQTeXgP+TGpY//7mDH/UQlFCKDGiA==" saltValue="KUnni6YEm00anzSSvyLqQA==" spinCount="100000" sqref="AD715:AD716" name="Rango2_44_1"/>
    <protectedRange algorithmName="SHA-512" hashValue="CHipOQaT63FWw628cQcXXJRZlrbNZ7OgmnEbDx38UmmH7z19GRYEzXFiVOzHAy1OAaAbST7g2bHZHDKQp2qm3w==" saltValue="iRVuL+373yLHv0ZHzS9qog==" spinCount="100000" sqref="AG715:AH716 AJ715:AJ716" name="Rango2_88_7_5_16_1"/>
    <protectedRange algorithmName="SHA-512" hashValue="LEEeiU6pKqm7TAP46VGlz0q+evvFwpT/0iLpRuWuQ7MacbP0OGL1/FSmrIEOg2rb6M+Jla2bPbVWiGag27j87w==" saltValue="HEVt+pS5OloNDlqSnzGLLw==" spinCount="100000" sqref="AI715:AI716" name="Rango2_8_7_16_1"/>
    <protectedRange algorithmName="SHA-512" hashValue="q2z5hEFmXS0v2chiPTC/VCoDWNlnhp+Xe6Ybfxe48vIsnB/KTJQxJv+pFUnCXfZ9T6vyJopuqFFNROfQTW/JUw==" saltValue="IctfdGJb5tOTpq+KPi9vww==" spinCount="100000" sqref="AE715:AF716" name="Rango2_88_39_16_2"/>
    <protectedRange algorithmName="SHA-512" hashValue="RQ91b7oAw60DVtcgB2vRpial2kSdzJx5guGCTYUwXYkKrtrUHfiYnLf9R+SNpYXlJDYpyEJLhcWwP0EqNN86dQ==" saltValue="W3RbH3zrcY9sy39xNwXNxg==" spinCount="100000" sqref="BA715:BI716" name="Rango2_88_99_16_1"/>
    <protectedRange algorithmName="SHA-512" hashValue="fMbmUM1DQ7FuAPRNvFL5mPdHUYjQnlLFhkuaxvHguaqR7aWyDxcmJs0jLYQfQKY+oyhsMb4Lew4VL6i7um3/ew==" saltValue="ydaTm0CeH8+/cYqoL/AMaQ==" spinCount="100000" sqref="AU715:AU716 AW715:AZ716" name="Rango2_88_91_16_1"/>
    <protectedRange algorithmName="SHA-512" hashValue="CHipOQaT63FWw628cQcXXJRZlrbNZ7OgmnEbDx38UmmH7z19GRYEzXFiVOzHAy1OAaAbST7g2bHZHDKQp2qm3w==" saltValue="iRVuL+373yLHv0ZHzS9qog==" spinCount="100000" sqref="AL715:AL716" name="Rango2_88_7_5_33_1"/>
    <protectedRange algorithmName="SHA-512" hashValue="NkG6oHuDGvGBEiLAAq8MEJHEfLQUMyjihfH+DBXhT+eQW0r1yri7tOJEFRM9nbOejjjXiviq9RFo7KB7wF+xJA==" saltValue="bpjB0AAANu2X/PeR3eiFkA==" spinCount="100000" sqref="AM715:AS716" name="Rango2_88_65_16_1"/>
    <protectedRange algorithmName="SHA-512" hashValue="XZw03RosI/l0z9FxmTtF29EdZ7P+4+ybhqoaAAUmURojSR5XbGfjC4f2i8gMqfY+RI9JvfdCA6PSh9TduXfUxA==" saltValue="5TPtLq2WoiRSae/yaDPnTw==" spinCount="100000" sqref="AT715:AT716 AV715:AV716 BJ715:BK716" name="Rango2_99_50_3"/>
    <protectedRange algorithmName="SHA-512" hashValue="RQ91b7oAw60DVtcgB2vRpial2kSdzJx5guGCTYUwXYkKrtrUHfiYnLf9R+SNpYXlJDYpyEJLhcWwP0EqNN86dQ==" saltValue="W3RbH3zrcY9sy39xNwXNxg==" spinCount="100000" sqref="BV715:BY716" name="Rango2_88_99_33_1"/>
    <protectedRange algorithmName="SHA-512" hashValue="XZw03RosI/l0z9FxmTtF29EdZ7P+4+ybhqoaAAUmURojSR5XbGfjC4f2i8gMqfY+RI9JvfdCA6PSh9TduXfUxA==" saltValue="5TPtLq2WoiRSae/yaDPnTw==" spinCount="100000" sqref="BZ715:CB716 BR715:BU716" name="Rango2_99_67_1"/>
    <protectedRange algorithmName="SHA-512" hashValue="XZw03RosI/l0z9FxmTtF29EdZ7P+4+ybhqoaAAUmURojSR5XbGfjC4f2i8gMqfY+RI9JvfdCA6PSh9TduXfUxA==" saltValue="5TPtLq2WoiRSae/yaDPnTw==" spinCount="100000" sqref="CE715:CF716" name="Rango2_99_84_5"/>
    <protectedRange algorithmName="SHA-512" hashValue="XZw03RosI/l0z9FxmTtF29EdZ7P+4+ybhqoaAAUmURojSR5XbGfjC4f2i8gMqfY+RI9JvfdCA6PSh9TduXfUxA==" saltValue="5TPtLq2WoiRSae/yaDPnTw==" spinCount="100000" sqref="O717" name="Rango2_99_16_2"/>
    <protectedRange algorithmName="SHA-512" hashValue="KHhv3JU/LRdRrRTxxkgFceEHPZ5UzadmpZRZR3zmQRnPvkUJZuanRafIJ+qde0IWwLZSvFIQDyUAHq6v6k7XIg==" saltValue="2GKG1kCzVNNcn+vbOPuhJA==" spinCount="100000" sqref="Q717" name="Rango2_2_5_16_2"/>
    <protectedRange algorithmName="SHA-512" hashValue="fPHvtIAf3pQeZUoAI9C2/vdXMHBpqqEq+67P5Ypyu4+9IWqs3yc9TZcMWQ0THLxUwqseQPyVvakuYFtCwJHsxA==" saltValue="QHIogSs2PrwAfdqa9PAOFQ==" spinCount="100000" sqref="AC717" name="Rango2_88_5_5_16_2"/>
    <protectedRange algorithmName="SHA-512" hashValue="AYYX88LSDB6RDNMvSqt0KPGWPjBqTk56tMxTOlv5QD61MGTKAAQnSnudvNDWPN0Bbllh2qRQC+P5uq7goxjdrw==" saltValue="i/iPMewnks1FoXYOjKMEVg==" spinCount="100000" sqref="AB717" name="Rango2_87_6_16_2"/>
    <protectedRange algorithmName="SHA-512" hashValue="NUll9P9xh7KbSfMYpMxsRZLfDw/y/AzW2LSWlpXVscBDqiAxmzo71xjs+a2lh+jRa7pceOC849slke4+ZKx8LA==" saltValue="8qbkKpQ+CiQuLnqgShNvXA==" spinCount="100000" sqref="T717" name="Rango2_88_6_16_2"/>
    <protectedRange algorithmName="SHA-512" hashValue="XZw03RosI/l0z9FxmTtF29EdZ7P+4+ybhqoaAAUmURojSR5XbGfjC4f2i8gMqfY+RI9JvfdCA6PSh9TduXfUxA==" saltValue="5TPtLq2WoiRSae/yaDPnTw==" spinCount="100000" sqref="U717:AA717 R717:S717" name="Rango2_99_33_3"/>
    <protectedRange algorithmName="SHA-512" hashValue="9+DNppQbWrLYYUMoJ+lyQctV2bX3Vq9kZnegLbpjTLP49It2ovUbcartuoQTeXgP+TGpY//7mDH/UQlFCKDGiA==" saltValue="KUnni6YEm00anzSSvyLqQA==" spinCount="100000" sqref="AD717" name="Rango2_44_2"/>
    <protectedRange algorithmName="SHA-512" hashValue="CHipOQaT63FWw628cQcXXJRZlrbNZ7OgmnEbDx38UmmH7z19GRYEzXFiVOzHAy1OAaAbST7g2bHZHDKQp2qm3w==" saltValue="iRVuL+373yLHv0ZHzS9qog==" spinCount="100000" sqref="AG717:AH717 AJ717" name="Rango2_88_7_5_16_2"/>
    <protectedRange algorithmName="SHA-512" hashValue="LEEeiU6pKqm7TAP46VGlz0q+evvFwpT/0iLpRuWuQ7MacbP0OGL1/FSmrIEOg2rb6M+Jla2bPbVWiGag27j87w==" saltValue="HEVt+pS5OloNDlqSnzGLLw==" spinCount="100000" sqref="AI717" name="Rango2_8_7_16_2"/>
    <protectedRange algorithmName="SHA-512" hashValue="q2z5hEFmXS0v2chiPTC/VCoDWNlnhp+Xe6Ybfxe48vIsnB/KTJQxJv+pFUnCXfZ9T6vyJopuqFFNROfQTW/JUw==" saltValue="IctfdGJb5tOTpq+KPi9vww==" spinCount="100000" sqref="AE717:AF717" name="Rango2_88_39_16_3"/>
    <protectedRange algorithmName="SHA-512" hashValue="RQ91b7oAw60DVtcgB2vRpial2kSdzJx5guGCTYUwXYkKrtrUHfiYnLf9R+SNpYXlJDYpyEJLhcWwP0EqNN86dQ==" saltValue="W3RbH3zrcY9sy39xNwXNxg==" spinCount="100000" sqref="BA717:BI717" name="Rango2_88_99_16_2"/>
    <protectedRange algorithmName="SHA-512" hashValue="fMbmUM1DQ7FuAPRNvFL5mPdHUYjQnlLFhkuaxvHguaqR7aWyDxcmJs0jLYQfQKY+oyhsMb4Lew4VL6i7um3/ew==" saltValue="ydaTm0CeH8+/cYqoL/AMaQ==" spinCount="100000" sqref="AU717 AW717:AZ717" name="Rango2_88_91_16_2"/>
    <protectedRange algorithmName="SHA-512" hashValue="CHipOQaT63FWw628cQcXXJRZlrbNZ7OgmnEbDx38UmmH7z19GRYEzXFiVOzHAy1OAaAbST7g2bHZHDKQp2qm3w==" saltValue="iRVuL+373yLHv0ZHzS9qog==" spinCount="100000" sqref="AL717" name="Rango2_88_7_5_33_2"/>
    <protectedRange algorithmName="SHA-512" hashValue="NkG6oHuDGvGBEiLAAq8MEJHEfLQUMyjihfH+DBXhT+eQW0r1yri7tOJEFRM9nbOejjjXiviq9RFo7KB7wF+xJA==" saltValue="bpjB0AAANu2X/PeR3eiFkA==" spinCount="100000" sqref="AM717:AS717" name="Rango2_88_65_16_2"/>
    <protectedRange algorithmName="SHA-512" hashValue="XZw03RosI/l0z9FxmTtF29EdZ7P+4+ybhqoaAAUmURojSR5XbGfjC4f2i8gMqfY+RI9JvfdCA6PSh9TduXfUxA==" saltValue="5TPtLq2WoiRSae/yaDPnTw==" spinCount="100000" sqref="AT717 AV717 BJ717:BK717" name="Rango2_99_50_4"/>
    <protectedRange algorithmName="SHA-512" hashValue="RQ91b7oAw60DVtcgB2vRpial2kSdzJx5guGCTYUwXYkKrtrUHfiYnLf9R+SNpYXlJDYpyEJLhcWwP0EqNN86dQ==" saltValue="W3RbH3zrcY9sy39xNwXNxg==" spinCount="100000" sqref="BV717:BY717" name="Rango2_88_99_33_2"/>
    <protectedRange algorithmName="SHA-512" hashValue="XZw03RosI/l0z9FxmTtF29EdZ7P+4+ybhqoaAAUmURojSR5XbGfjC4f2i8gMqfY+RI9JvfdCA6PSh9TduXfUxA==" saltValue="5TPtLq2WoiRSae/yaDPnTw==" spinCount="100000" sqref="BZ717:CB717 BR717:BU717" name="Rango2_99_67_2"/>
    <protectedRange algorithmName="SHA-512" hashValue="XZw03RosI/l0z9FxmTtF29EdZ7P+4+ybhqoaAAUmURojSR5XbGfjC4f2i8gMqfY+RI9JvfdCA6PSh9TduXfUxA==" saltValue="5TPtLq2WoiRSae/yaDPnTw==" spinCount="100000" sqref="CE717:CF717" name="Rango2_99_84_6"/>
    <protectedRange algorithmName="SHA-512" hashValue="XZw03RosI/l0z9FxmTtF29EdZ7P+4+ybhqoaAAUmURojSR5XbGfjC4f2i8gMqfY+RI9JvfdCA6PSh9TduXfUxA==" saltValue="5TPtLq2WoiRSae/yaDPnTw==" spinCount="100000" sqref="O718" name="Rango2_99_16_3"/>
    <protectedRange algorithmName="SHA-512" hashValue="XZw03RosI/l0z9FxmTtF29EdZ7P+4+ybhqoaAAUmURojSR5XbGfjC4f2i8gMqfY+RI9JvfdCA6PSh9TduXfUxA==" saltValue="5TPtLq2WoiRSae/yaDPnTw==" spinCount="100000" sqref="O719" name="Rango2_99_17_1"/>
    <protectedRange algorithmName="SHA-512" hashValue="KHhv3JU/LRdRrRTxxkgFceEHPZ5UzadmpZRZR3zmQRnPvkUJZuanRafIJ+qde0IWwLZSvFIQDyUAHq6v6k7XIg==" saltValue="2GKG1kCzVNNcn+vbOPuhJA==" spinCount="100000" sqref="Q718" name="Rango2_2_5_16_3"/>
    <protectedRange algorithmName="SHA-512" hashValue="KHhv3JU/LRdRrRTxxkgFceEHPZ5UzadmpZRZR3zmQRnPvkUJZuanRafIJ+qde0IWwLZSvFIQDyUAHq6v6k7XIg==" saltValue="2GKG1kCzVNNcn+vbOPuhJA==" spinCount="100000" sqref="Q719" name="Rango2_2_5_17_1"/>
    <protectedRange algorithmName="SHA-512" hashValue="fPHvtIAf3pQeZUoAI9C2/vdXMHBpqqEq+67P5Ypyu4+9IWqs3yc9TZcMWQ0THLxUwqseQPyVvakuYFtCwJHsxA==" saltValue="QHIogSs2PrwAfdqa9PAOFQ==" spinCount="100000" sqref="AC718" name="Rango2_88_5_5_16_3"/>
    <protectedRange algorithmName="SHA-512" hashValue="AYYX88LSDB6RDNMvSqt0KPGWPjBqTk56tMxTOlv5QD61MGTKAAQnSnudvNDWPN0Bbllh2qRQC+P5uq7goxjdrw==" saltValue="i/iPMewnks1FoXYOjKMEVg==" spinCount="100000" sqref="AB718" name="Rango2_87_6_16_3"/>
    <protectedRange algorithmName="SHA-512" hashValue="NUll9P9xh7KbSfMYpMxsRZLfDw/y/AzW2LSWlpXVscBDqiAxmzo71xjs+a2lh+jRa7pceOC849slke4+ZKx8LA==" saltValue="8qbkKpQ+CiQuLnqgShNvXA==" spinCount="100000" sqref="T718" name="Rango2_88_6_16_3"/>
    <protectedRange algorithmName="SHA-512" hashValue="XZw03RosI/l0z9FxmTtF29EdZ7P+4+ybhqoaAAUmURojSR5XbGfjC4f2i8gMqfY+RI9JvfdCA6PSh9TduXfUxA==" saltValue="5TPtLq2WoiRSae/yaDPnTw==" spinCount="100000" sqref="U718:AA718 R718:S718" name="Rango2_99_33_4"/>
    <protectedRange algorithmName="SHA-512" hashValue="9+DNppQbWrLYYUMoJ+lyQctV2bX3Vq9kZnegLbpjTLP49It2ovUbcartuoQTeXgP+TGpY//7mDH/UQlFCKDGiA==" saltValue="KUnni6YEm00anzSSvyLqQA==" spinCount="100000" sqref="AD718" name="Rango2_44_3"/>
    <protectedRange algorithmName="SHA-512" hashValue="fPHvtIAf3pQeZUoAI9C2/vdXMHBpqqEq+67P5Ypyu4+9IWqs3yc9TZcMWQ0THLxUwqseQPyVvakuYFtCwJHsxA==" saltValue="QHIogSs2PrwAfdqa9PAOFQ==" spinCount="100000" sqref="AC719" name="Rango2_88_5_5_17_1"/>
    <protectedRange algorithmName="SHA-512" hashValue="AYYX88LSDB6RDNMvSqt0KPGWPjBqTk56tMxTOlv5QD61MGTKAAQnSnudvNDWPN0Bbllh2qRQC+P5uq7goxjdrw==" saltValue="i/iPMewnks1FoXYOjKMEVg==" spinCount="100000" sqref="AB719" name="Rango2_87_6_17_1"/>
    <protectedRange algorithmName="SHA-512" hashValue="NUll9P9xh7KbSfMYpMxsRZLfDw/y/AzW2LSWlpXVscBDqiAxmzo71xjs+a2lh+jRa7pceOC849slke4+ZKx8LA==" saltValue="8qbkKpQ+CiQuLnqgShNvXA==" spinCount="100000" sqref="T719" name="Rango2_88_6_17_1"/>
    <protectedRange algorithmName="SHA-512" hashValue="XZw03RosI/l0z9FxmTtF29EdZ7P+4+ybhqoaAAUmURojSR5XbGfjC4f2i8gMqfY+RI9JvfdCA6PSh9TduXfUxA==" saltValue="5TPtLq2WoiRSae/yaDPnTw==" spinCount="100000" sqref="R719:S719 U719:AA719" name="Rango2_99_34_2"/>
    <protectedRange algorithmName="SHA-512" hashValue="9+DNppQbWrLYYUMoJ+lyQctV2bX3Vq9kZnegLbpjTLP49It2ovUbcartuoQTeXgP+TGpY//7mDH/UQlFCKDGiA==" saltValue="KUnni6YEm00anzSSvyLqQA==" spinCount="100000" sqref="AD719" name="Rango2_45_1"/>
    <protectedRange algorithmName="SHA-512" hashValue="CHipOQaT63FWw628cQcXXJRZlrbNZ7OgmnEbDx38UmmH7z19GRYEzXFiVOzHAy1OAaAbST7g2bHZHDKQp2qm3w==" saltValue="iRVuL+373yLHv0ZHzS9qog==" spinCount="100000" sqref="AG718:AH718 AJ718" name="Rango2_88_7_5_16_3"/>
    <protectedRange algorithmName="SHA-512" hashValue="LEEeiU6pKqm7TAP46VGlz0q+evvFwpT/0iLpRuWuQ7MacbP0OGL1/FSmrIEOg2rb6M+Jla2bPbVWiGag27j87w==" saltValue="HEVt+pS5OloNDlqSnzGLLw==" spinCount="100000" sqref="AI718" name="Rango2_8_7_16_3"/>
    <protectedRange algorithmName="SHA-512" hashValue="q2z5hEFmXS0v2chiPTC/VCoDWNlnhp+Xe6Ybfxe48vIsnB/KTJQxJv+pFUnCXfZ9T6vyJopuqFFNROfQTW/JUw==" saltValue="IctfdGJb5tOTpq+KPi9vww==" spinCount="100000" sqref="AE718:AF718" name="Rango2_88_39_16_4"/>
    <protectedRange algorithmName="SHA-512" hashValue="CHipOQaT63FWw628cQcXXJRZlrbNZ7OgmnEbDx38UmmH7z19GRYEzXFiVOzHAy1OAaAbST7g2bHZHDKQp2qm3w==" saltValue="iRVuL+373yLHv0ZHzS9qog==" spinCount="100000" sqref="AG719:AH719 AJ719" name="Rango2_88_7_5_17_1"/>
    <protectedRange algorithmName="SHA-512" hashValue="LEEeiU6pKqm7TAP46VGlz0q+evvFwpT/0iLpRuWuQ7MacbP0OGL1/FSmrIEOg2rb6M+Jla2bPbVWiGag27j87w==" saltValue="HEVt+pS5OloNDlqSnzGLLw==" spinCount="100000" sqref="AI719" name="Rango2_8_7_17_1"/>
    <protectedRange algorithmName="SHA-512" hashValue="q2z5hEFmXS0v2chiPTC/VCoDWNlnhp+Xe6Ybfxe48vIsnB/KTJQxJv+pFUnCXfZ9T6vyJopuqFFNROfQTW/JUw==" saltValue="IctfdGJb5tOTpq+KPi9vww==" spinCount="100000" sqref="AE719:AF719" name="Rango2_88_39_17_2"/>
    <protectedRange algorithmName="SHA-512" hashValue="RQ91b7oAw60DVtcgB2vRpial2kSdzJx5guGCTYUwXYkKrtrUHfiYnLf9R+SNpYXlJDYpyEJLhcWwP0EqNN86dQ==" saltValue="W3RbH3zrcY9sy39xNwXNxg==" spinCount="100000" sqref="BA718:BI718" name="Rango2_88_99_16_3"/>
    <protectedRange algorithmName="SHA-512" hashValue="fMbmUM1DQ7FuAPRNvFL5mPdHUYjQnlLFhkuaxvHguaqR7aWyDxcmJs0jLYQfQKY+oyhsMb4Lew4VL6i7um3/ew==" saltValue="ydaTm0CeH8+/cYqoL/AMaQ==" spinCount="100000" sqref="AU718 AW718:AZ718" name="Rango2_88_91_16_3"/>
    <protectedRange algorithmName="SHA-512" hashValue="CHipOQaT63FWw628cQcXXJRZlrbNZ7OgmnEbDx38UmmH7z19GRYEzXFiVOzHAy1OAaAbST7g2bHZHDKQp2qm3w==" saltValue="iRVuL+373yLHv0ZHzS9qog==" spinCount="100000" sqref="AL718" name="Rango2_88_7_5_33_3"/>
    <protectedRange algorithmName="SHA-512" hashValue="NkG6oHuDGvGBEiLAAq8MEJHEfLQUMyjihfH+DBXhT+eQW0r1yri7tOJEFRM9nbOejjjXiviq9RFo7KB7wF+xJA==" saltValue="bpjB0AAANu2X/PeR3eiFkA==" spinCount="100000" sqref="AM718:AS718" name="Rango2_88_65_16_3"/>
    <protectedRange algorithmName="SHA-512" hashValue="XZw03RosI/l0z9FxmTtF29EdZ7P+4+ybhqoaAAUmURojSR5XbGfjC4f2i8gMqfY+RI9JvfdCA6PSh9TduXfUxA==" saltValue="5TPtLq2WoiRSae/yaDPnTw==" spinCount="100000" sqref="AT718 AV718 BJ718:BK718" name="Rango2_99_50_5"/>
    <protectedRange algorithmName="SHA-512" hashValue="RQ91b7oAw60DVtcgB2vRpial2kSdzJx5guGCTYUwXYkKrtrUHfiYnLf9R+SNpYXlJDYpyEJLhcWwP0EqNN86dQ==" saltValue="W3RbH3zrcY9sy39xNwXNxg==" spinCount="100000" sqref="BA719:BI719" name="Rango2_88_99_17_1"/>
    <protectedRange algorithmName="SHA-512" hashValue="fMbmUM1DQ7FuAPRNvFL5mPdHUYjQnlLFhkuaxvHguaqR7aWyDxcmJs0jLYQfQKY+oyhsMb4Lew4VL6i7um3/ew==" saltValue="ydaTm0CeH8+/cYqoL/AMaQ==" spinCount="100000" sqref="AU719 AW719:AZ719" name="Rango2_88_91_17_1"/>
    <protectedRange algorithmName="SHA-512" hashValue="CHipOQaT63FWw628cQcXXJRZlrbNZ7OgmnEbDx38UmmH7z19GRYEzXFiVOzHAy1OAaAbST7g2bHZHDKQp2qm3w==" saltValue="iRVuL+373yLHv0ZHzS9qog==" spinCount="100000" sqref="AL719" name="Rango2_88_7_5_34_1"/>
    <protectedRange algorithmName="SHA-512" hashValue="NkG6oHuDGvGBEiLAAq8MEJHEfLQUMyjihfH+DBXhT+eQW0r1yri7tOJEFRM9nbOejjjXiviq9RFo7KB7wF+xJA==" saltValue="bpjB0AAANu2X/PeR3eiFkA==" spinCount="100000" sqref="AM719:AS719" name="Rango2_88_65_17_1"/>
    <protectedRange algorithmName="SHA-512" hashValue="XZw03RosI/l0z9FxmTtF29EdZ7P+4+ybhqoaAAUmURojSR5XbGfjC4f2i8gMqfY+RI9JvfdCA6PSh9TduXfUxA==" saltValue="5TPtLq2WoiRSae/yaDPnTw==" spinCount="100000" sqref="AT719 AV719 BJ719:BK719" name="Rango2_99_51_2"/>
    <protectedRange algorithmName="SHA-512" hashValue="RQ91b7oAw60DVtcgB2vRpial2kSdzJx5guGCTYUwXYkKrtrUHfiYnLf9R+SNpYXlJDYpyEJLhcWwP0EqNN86dQ==" saltValue="W3RbH3zrcY9sy39xNwXNxg==" spinCount="100000" sqref="BV718:BY718" name="Rango2_88_99_33_3"/>
    <protectedRange algorithmName="SHA-512" hashValue="XZw03RosI/l0z9FxmTtF29EdZ7P+4+ybhqoaAAUmURojSR5XbGfjC4f2i8gMqfY+RI9JvfdCA6PSh9TduXfUxA==" saltValue="5TPtLq2WoiRSae/yaDPnTw==" spinCount="100000" sqref="BZ718:CB718 BR718:BU718" name="Rango2_99_67_3"/>
    <protectedRange algorithmName="SHA-512" hashValue="RQ91b7oAw60DVtcgB2vRpial2kSdzJx5guGCTYUwXYkKrtrUHfiYnLf9R+SNpYXlJDYpyEJLhcWwP0EqNN86dQ==" saltValue="W3RbH3zrcY9sy39xNwXNxg==" spinCount="100000" sqref="BV719:BY719" name="Rango2_88_99_34_1"/>
    <protectedRange algorithmName="SHA-512" hashValue="XZw03RosI/l0z9FxmTtF29EdZ7P+4+ybhqoaAAUmURojSR5XbGfjC4f2i8gMqfY+RI9JvfdCA6PSh9TduXfUxA==" saltValue="5TPtLq2WoiRSae/yaDPnTw==" spinCount="100000" sqref="BZ719:CB719 BR719:BU719" name="Rango2_99_68_2"/>
    <protectedRange algorithmName="SHA-512" hashValue="XZw03RosI/l0z9FxmTtF29EdZ7P+4+ybhqoaAAUmURojSR5XbGfjC4f2i8gMqfY+RI9JvfdCA6PSh9TduXfUxA==" saltValue="5TPtLq2WoiRSae/yaDPnTw==" spinCount="100000" sqref="CE718:CF718" name="Rango2_99_84_7"/>
    <protectedRange algorithmName="SHA-512" hashValue="XZw03RosI/l0z9FxmTtF29EdZ7P+4+ybhqoaAAUmURojSR5XbGfjC4f2i8gMqfY+RI9JvfdCA6PSh9TduXfUxA==" saltValue="5TPtLq2WoiRSae/yaDPnTw==" spinCount="100000" sqref="CE719:CF719" name="Rango2_99_85_1"/>
    <protectedRange algorithmName="SHA-512" hashValue="XZw03RosI/l0z9FxmTtF29EdZ7P+4+ybhqoaAAUmURojSR5XbGfjC4f2i8gMqfY+RI9JvfdCA6PSh9TduXfUxA==" saltValue="5TPtLq2WoiRSae/yaDPnTw==" spinCount="100000" sqref="O720" name="Rango2_99_17_2"/>
    <protectedRange algorithmName="SHA-512" hashValue="KHhv3JU/LRdRrRTxxkgFceEHPZ5UzadmpZRZR3zmQRnPvkUJZuanRafIJ+qde0IWwLZSvFIQDyUAHq6v6k7XIg==" saltValue="2GKG1kCzVNNcn+vbOPuhJA==" spinCount="100000" sqref="Q720" name="Rango2_2_5_17_2"/>
    <protectedRange algorithmName="SHA-512" hashValue="fPHvtIAf3pQeZUoAI9C2/vdXMHBpqqEq+67P5Ypyu4+9IWqs3yc9TZcMWQ0THLxUwqseQPyVvakuYFtCwJHsxA==" saltValue="QHIogSs2PrwAfdqa9PAOFQ==" spinCount="100000" sqref="AC720" name="Rango2_88_5_5_17_2"/>
    <protectedRange algorithmName="SHA-512" hashValue="AYYX88LSDB6RDNMvSqt0KPGWPjBqTk56tMxTOlv5QD61MGTKAAQnSnudvNDWPN0Bbllh2qRQC+P5uq7goxjdrw==" saltValue="i/iPMewnks1FoXYOjKMEVg==" spinCount="100000" sqref="AB720" name="Rango2_87_6_17_2"/>
    <protectedRange algorithmName="SHA-512" hashValue="NUll9P9xh7KbSfMYpMxsRZLfDw/y/AzW2LSWlpXVscBDqiAxmzo71xjs+a2lh+jRa7pceOC849slke4+ZKx8LA==" saltValue="8qbkKpQ+CiQuLnqgShNvXA==" spinCount="100000" sqref="T720" name="Rango2_88_6_17_2"/>
    <protectedRange algorithmName="SHA-512" hashValue="XZw03RosI/l0z9FxmTtF29EdZ7P+4+ybhqoaAAUmURojSR5XbGfjC4f2i8gMqfY+RI9JvfdCA6PSh9TduXfUxA==" saltValue="5TPtLq2WoiRSae/yaDPnTw==" spinCount="100000" sqref="R720:S720 U720:AA720" name="Rango2_99_34_3"/>
    <protectedRange algorithmName="SHA-512" hashValue="9+DNppQbWrLYYUMoJ+lyQctV2bX3Vq9kZnegLbpjTLP49It2ovUbcartuoQTeXgP+TGpY//7mDH/UQlFCKDGiA==" saltValue="KUnni6YEm00anzSSvyLqQA==" spinCount="100000" sqref="AD720" name="Rango2_45_2"/>
    <protectedRange algorithmName="SHA-512" hashValue="CHipOQaT63FWw628cQcXXJRZlrbNZ7OgmnEbDx38UmmH7z19GRYEzXFiVOzHAy1OAaAbST7g2bHZHDKQp2qm3w==" saltValue="iRVuL+373yLHv0ZHzS9qog==" spinCount="100000" sqref="AG720:AH720 AJ720" name="Rango2_88_7_5_17_2"/>
    <protectedRange algorithmName="SHA-512" hashValue="LEEeiU6pKqm7TAP46VGlz0q+evvFwpT/0iLpRuWuQ7MacbP0OGL1/FSmrIEOg2rb6M+Jla2bPbVWiGag27j87w==" saltValue="HEVt+pS5OloNDlqSnzGLLw==" spinCount="100000" sqref="AI720" name="Rango2_8_7_17_2"/>
    <protectedRange algorithmName="SHA-512" hashValue="q2z5hEFmXS0v2chiPTC/VCoDWNlnhp+Xe6Ybfxe48vIsnB/KTJQxJv+pFUnCXfZ9T6vyJopuqFFNROfQTW/JUw==" saltValue="IctfdGJb5tOTpq+KPi9vww==" spinCount="100000" sqref="AE720:AF720" name="Rango2_88_39_17_3"/>
    <protectedRange algorithmName="SHA-512" hashValue="RQ91b7oAw60DVtcgB2vRpial2kSdzJx5guGCTYUwXYkKrtrUHfiYnLf9R+SNpYXlJDYpyEJLhcWwP0EqNN86dQ==" saltValue="W3RbH3zrcY9sy39xNwXNxg==" spinCount="100000" sqref="BA720:BI720" name="Rango2_88_99_17_2"/>
    <protectedRange algorithmName="SHA-512" hashValue="fMbmUM1DQ7FuAPRNvFL5mPdHUYjQnlLFhkuaxvHguaqR7aWyDxcmJs0jLYQfQKY+oyhsMb4Lew4VL6i7um3/ew==" saltValue="ydaTm0CeH8+/cYqoL/AMaQ==" spinCount="100000" sqref="AU720 AW720:AZ720" name="Rango2_88_91_17_2"/>
    <protectedRange algorithmName="SHA-512" hashValue="CHipOQaT63FWw628cQcXXJRZlrbNZ7OgmnEbDx38UmmH7z19GRYEzXFiVOzHAy1OAaAbST7g2bHZHDKQp2qm3w==" saltValue="iRVuL+373yLHv0ZHzS9qog==" spinCount="100000" sqref="AL720" name="Rango2_88_7_5_34_2"/>
    <protectedRange algorithmName="SHA-512" hashValue="NkG6oHuDGvGBEiLAAq8MEJHEfLQUMyjihfH+DBXhT+eQW0r1yri7tOJEFRM9nbOejjjXiviq9RFo7KB7wF+xJA==" saltValue="bpjB0AAANu2X/PeR3eiFkA==" spinCount="100000" sqref="AM720:AS720" name="Rango2_88_65_17_2"/>
    <protectedRange algorithmName="SHA-512" hashValue="XZw03RosI/l0z9FxmTtF29EdZ7P+4+ybhqoaAAUmURojSR5XbGfjC4f2i8gMqfY+RI9JvfdCA6PSh9TduXfUxA==" saltValue="5TPtLq2WoiRSae/yaDPnTw==" spinCount="100000" sqref="AT720 AV720 BJ720:BL720" name="Rango2_99_51_3"/>
    <protectedRange algorithmName="SHA-512" hashValue="RQ91b7oAw60DVtcgB2vRpial2kSdzJx5guGCTYUwXYkKrtrUHfiYnLf9R+SNpYXlJDYpyEJLhcWwP0EqNN86dQ==" saltValue="W3RbH3zrcY9sy39xNwXNxg==" spinCount="100000" sqref="BV720:BY720" name="Rango2_88_99_34_2"/>
    <protectedRange algorithmName="SHA-512" hashValue="XZw03RosI/l0z9FxmTtF29EdZ7P+4+ybhqoaAAUmURojSR5XbGfjC4f2i8gMqfY+RI9JvfdCA6PSh9TduXfUxA==" saltValue="5TPtLq2WoiRSae/yaDPnTw==" spinCount="100000" sqref="BZ720:CB720 BR720:BU720" name="Rango2_99_68_3"/>
    <protectedRange algorithmName="SHA-512" hashValue="XZw03RosI/l0z9FxmTtF29EdZ7P+4+ybhqoaAAUmURojSR5XbGfjC4f2i8gMqfY+RI9JvfdCA6PSh9TduXfUxA==" saltValue="5TPtLq2WoiRSae/yaDPnTw==" spinCount="100000" sqref="CE720:CF720" name="Rango2_99_85_2"/>
    <protectedRange algorithmName="SHA-512" hashValue="XZw03RosI/l0z9FxmTtF29EdZ7P+4+ybhqoaAAUmURojSR5XbGfjC4f2i8gMqfY+RI9JvfdCA6PSh9TduXfUxA==" saltValue="5TPtLq2WoiRSae/yaDPnTw==" spinCount="100000" sqref="O721" name="Rango2_99_17_3"/>
    <protectedRange algorithmName="SHA-512" hashValue="KHhv3JU/LRdRrRTxxkgFceEHPZ5UzadmpZRZR3zmQRnPvkUJZuanRafIJ+qde0IWwLZSvFIQDyUAHq6v6k7XIg==" saltValue="2GKG1kCzVNNcn+vbOPuhJA==" spinCount="100000" sqref="Q721" name="Rango2_2_5_17_3"/>
    <protectedRange algorithmName="SHA-512" hashValue="fPHvtIAf3pQeZUoAI9C2/vdXMHBpqqEq+67P5Ypyu4+9IWqs3yc9TZcMWQ0THLxUwqseQPyVvakuYFtCwJHsxA==" saltValue="QHIogSs2PrwAfdqa9PAOFQ==" spinCount="100000" sqref="AC721" name="Rango2_88_5_5_17_3"/>
    <protectedRange algorithmName="SHA-512" hashValue="AYYX88LSDB6RDNMvSqt0KPGWPjBqTk56tMxTOlv5QD61MGTKAAQnSnudvNDWPN0Bbllh2qRQC+P5uq7goxjdrw==" saltValue="i/iPMewnks1FoXYOjKMEVg==" spinCount="100000" sqref="AB721" name="Rango2_87_6_17_3"/>
    <protectedRange algorithmName="SHA-512" hashValue="NUll9P9xh7KbSfMYpMxsRZLfDw/y/AzW2LSWlpXVscBDqiAxmzo71xjs+a2lh+jRa7pceOC849slke4+ZKx8LA==" saltValue="8qbkKpQ+CiQuLnqgShNvXA==" spinCount="100000" sqref="T721" name="Rango2_88_6_17_3"/>
    <protectedRange algorithmName="SHA-512" hashValue="XZw03RosI/l0z9FxmTtF29EdZ7P+4+ybhqoaAAUmURojSR5XbGfjC4f2i8gMqfY+RI9JvfdCA6PSh9TduXfUxA==" saltValue="5TPtLq2WoiRSae/yaDPnTw==" spinCount="100000" sqref="R721:S721 U721:AA721" name="Rango2_99_34_4"/>
    <protectedRange algorithmName="SHA-512" hashValue="9+DNppQbWrLYYUMoJ+lyQctV2bX3Vq9kZnegLbpjTLP49It2ovUbcartuoQTeXgP+TGpY//7mDH/UQlFCKDGiA==" saltValue="KUnni6YEm00anzSSvyLqQA==" spinCount="100000" sqref="AD721" name="Rango2_45_3"/>
    <protectedRange algorithmName="SHA-512" hashValue="CHipOQaT63FWw628cQcXXJRZlrbNZ7OgmnEbDx38UmmH7z19GRYEzXFiVOzHAy1OAaAbST7g2bHZHDKQp2qm3w==" saltValue="iRVuL+373yLHv0ZHzS9qog==" spinCount="100000" sqref="AG721:AH721 AJ721" name="Rango2_88_7_5_17_3"/>
    <protectedRange algorithmName="SHA-512" hashValue="LEEeiU6pKqm7TAP46VGlz0q+evvFwpT/0iLpRuWuQ7MacbP0OGL1/FSmrIEOg2rb6M+Jla2bPbVWiGag27j87w==" saltValue="HEVt+pS5OloNDlqSnzGLLw==" spinCount="100000" sqref="AI721" name="Rango2_8_7_17_3"/>
    <protectedRange algorithmName="SHA-512" hashValue="q2z5hEFmXS0v2chiPTC/VCoDWNlnhp+Xe6Ybfxe48vIsnB/KTJQxJv+pFUnCXfZ9T6vyJopuqFFNROfQTW/JUw==" saltValue="IctfdGJb5tOTpq+KPi9vww==" spinCount="100000" sqref="AE721:AF721" name="Rango2_88_39_17_4"/>
    <protectedRange algorithmName="SHA-512" hashValue="RQ91b7oAw60DVtcgB2vRpial2kSdzJx5guGCTYUwXYkKrtrUHfiYnLf9R+SNpYXlJDYpyEJLhcWwP0EqNN86dQ==" saltValue="W3RbH3zrcY9sy39xNwXNxg==" spinCount="100000" sqref="BA721:BI721" name="Rango2_88_99_17_3"/>
    <protectedRange algorithmName="SHA-512" hashValue="fMbmUM1DQ7FuAPRNvFL5mPdHUYjQnlLFhkuaxvHguaqR7aWyDxcmJs0jLYQfQKY+oyhsMb4Lew4VL6i7um3/ew==" saltValue="ydaTm0CeH8+/cYqoL/AMaQ==" spinCount="100000" sqref="AU721 AW721:AZ721" name="Rango2_88_91_17_3"/>
    <protectedRange algorithmName="SHA-512" hashValue="CHipOQaT63FWw628cQcXXJRZlrbNZ7OgmnEbDx38UmmH7z19GRYEzXFiVOzHAy1OAaAbST7g2bHZHDKQp2qm3w==" saltValue="iRVuL+373yLHv0ZHzS9qog==" spinCount="100000" sqref="AL721" name="Rango2_88_7_5_34_3"/>
    <protectedRange algorithmName="SHA-512" hashValue="NkG6oHuDGvGBEiLAAq8MEJHEfLQUMyjihfH+DBXhT+eQW0r1yri7tOJEFRM9nbOejjjXiviq9RFo7KB7wF+xJA==" saltValue="bpjB0AAANu2X/PeR3eiFkA==" spinCount="100000" sqref="AM721:AS721" name="Rango2_88_65_17_3"/>
    <protectedRange algorithmName="SHA-512" hashValue="XZw03RosI/l0z9FxmTtF29EdZ7P+4+ybhqoaAAUmURojSR5XbGfjC4f2i8gMqfY+RI9JvfdCA6PSh9TduXfUxA==" saltValue="5TPtLq2WoiRSae/yaDPnTw==" spinCount="100000" sqref="AT721 AV721 BJ721:BK721" name="Rango2_99_51_4"/>
    <protectedRange algorithmName="SHA-512" hashValue="RQ91b7oAw60DVtcgB2vRpial2kSdzJx5guGCTYUwXYkKrtrUHfiYnLf9R+SNpYXlJDYpyEJLhcWwP0EqNN86dQ==" saltValue="W3RbH3zrcY9sy39xNwXNxg==" spinCount="100000" sqref="BV721:BY721" name="Rango2_88_99_34_3"/>
    <protectedRange algorithmName="SHA-512" hashValue="XZw03RosI/l0z9FxmTtF29EdZ7P+4+ybhqoaAAUmURojSR5XbGfjC4f2i8gMqfY+RI9JvfdCA6PSh9TduXfUxA==" saltValue="5TPtLq2WoiRSae/yaDPnTw==" spinCount="100000" sqref="BZ721:CB721 BR721:BU721" name="Rango2_99_68_4"/>
    <protectedRange algorithmName="SHA-512" hashValue="XZw03RosI/l0z9FxmTtF29EdZ7P+4+ybhqoaAAUmURojSR5XbGfjC4f2i8gMqfY+RI9JvfdCA6PSh9TduXfUxA==" saltValue="5TPtLq2WoiRSae/yaDPnTw==" spinCount="100000" sqref="CE721:CF721" name="Rango2_99_85_3"/>
    <protectedRange algorithmName="SHA-512" hashValue="XZw03RosI/l0z9FxmTtF29EdZ7P+4+ybhqoaAAUmURojSR5XbGfjC4f2i8gMqfY+RI9JvfdCA6PSh9TduXfUxA==" saltValue="5TPtLq2WoiRSae/yaDPnTw==" spinCount="100000" sqref="O722" name="Rango2_99_17_4"/>
    <protectedRange algorithmName="SHA-512" hashValue="KHhv3JU/LRdRrRTxxkgFceEHPZ5UzadmpZRZR3zmQRnPvkUJZuanRafIJ+qde0IWwLZSvFIQDyUAHq6v6k7XIg==" saltValue="2GKG1kCzVNNcn+vbOPuhJA==" spinCount="100000" sqref="Q722" name="Rango2_2_5_17_4"/>
    <protectedRange algorithmName="SHA-512" hashValue="fPHvtIAf3pQeZUoAI9C2/vdXMHBpqqEq+67P5Ypyu4+9IWqs3yc9TZcMWQ0THLxUwqseQPyVvakuYFtCwJHsxA==" saltValue="QHIogSs2PrwAfdqa9PAOFQ==" spinCount="100000" sqref="AC722" name="Rango2_88_5_5_17_4"/>
    <protectedRange algorithmName="SHA-512" hashValue="AYYX88LSDB6RDNMvSqt0KPGWPjBqTk56tMxTOlv5QD61MGTKAAQnSnudvNDWPN0Bbllh2qRQC+P5uq7goxjdrw==" saltValue="i/iPMewnks1FoXYOjKMEVg==" spinCount="100000" sqref="AB722" name="Rango2_87_6_17_4"/>
    <protectedRange algorithmName="SHA-512" hashValue="NUll9P9xh7KbSfMYpMxsRZLfDw/y/AzW2LSWlpXVscBDqiAxmzo71xjs+a2lh+jRa7pceOC849slke4+ZKx8LA==" saltValue="8qbkKpQ+CiQuLnqgShNvXA==" spinCount="100000" sqref="T722" name="Rango2_88_6_17_4"/>
    <protectedRange algorithmName="SHA-512" hashValue="XZw03RosI/l0z9FxmTtF29EdZ7P+4+ybhqoaAAUmURojSR5XbGfjC4f2i8gMqfY+RI9JvfdCA6PSh9TduXfUxA==" saltValue="5TPtLq2WoiRSae/yaDPnTw==" spinCount="100000" sqref="R722:S722 U722:AA722" name="Rango2_99_34_5"/>
    <protectedRange algorithmName="SHA-512" hashValue="9+DNppQbWrLYYUMoJ+lyQctV2bX3Vq9kZnegLbpjTLP49It2ovUbcartuoQTeXgP+TGpY//7mDH/UQlFCKDGiA==" saltValue="KUnni6YEm00anzSSvyLqQA==" spinCount="100000" sqref="AD722" name="Rango2_45_4"/>
    <protectedRange algorithmName="SHA-512" hashValue="CHipOQaT63FWw628cQcXXJRZlrbNZ7OgmnEbDx38UmmH7z19GRYEzXFiVOzHAy1OAaAbST7g2bHZHDKQp2qm3w==" saltValue="iRVuL+373yLHv0ZHzS9qog==" spinCount="100000" sqref="AG722:AH722 AJ722" name="Rango2_88_7_5_17_4"/>
    <protectedRange algorithmName="SHA-512" hashValue="LEEeiU6pKqm7TAP46VGlz0q+evvFwpT/0iLpRuWuQ7MacbP0OGL1/FSmrIEOg2rb6M+Jla2bPbVWiGag27j87w==" saltValue="HEVt+pS5OloNDlqSnzGLLw==" spinCount="100000" sqref="AI722" name="Rango2_8_7_17_4"/>
    <protectedRange algorithmName="SHA-512" hashValue="q2z5hEFmXS0v2chiPTC/VCoDWNlnhp+Xe6Ybfxe48vIsnB/KTJQxJv+pFUnCXfZ9T6vyJopuqFFNROfQTW/JUw==" saltValue="IctfdGJb5tOTpq+KPi9vww==" spinCount="100000" sqref="AE722:AF722" name="Rango2_88_39_17_5"/>
    <protectedRange algorithmName="SHA-512" hashValue="RQ91b7oAw60DVtcgB2vRpial2kSdzJx5guGCTYUwXYkKrtrUHfiYnLf9R+SNpYXlJDYpyEJLhcWwP0EqNN86dQ==" saltValue="W3RbH3zrcY9sy39xNwXNxg==" spinCount="100000" sqref="BA722:BI722" name="Rango2_88_99_17_4"/>
    <protectedRange algorithmName="SHA-512" hashValue="fMbmUM1DQ7FuAPRNvFL5mPdHUYjQnlLFhkuaxvHguaqR7aWyDxcmJs0jLYQfQKY+oyhsMb4Lew4VL6i7um3/ew==" saltValue="ydaTm0CeH8+/cYqoL/AMaQ==" spinCount="100000" sqref="AU722 AW722:AZ722" name="Rango2_88_91_17_4"/>
    <protectedRange algorithmName="SHA-512" hashValue="CHipOQaT63FWw628cQcXXJRZlrbNZ7OgmnEbDx38UmmH7z19GRYEzXFiVOzHAy1OAaAbST7g2bHZHDKQp2qm3w==" saltValue="iRVuL+373yLHv0ZHzS9qog==" spinCount="100000" sqref="AL722" name="Rango2_88_7_5_34_4"/>
    <protectedRange algorithmName="SHA-512" hashValue="NkG6oHuDGvGBEiLAAq8MEJHEfLQUMyjihfH+DBXhT+eQW0r1yri7tOJEFRM9nbOejjjXiviq9RFo7KB7wF+xJA==" saltValue="bpjB0AAANu2X/PeR3eiFkA==" spinCount="100000" sqref="AM722:AS722" name="Rango2_88_65_17_4"/>
    <protectedRange algorithmName="SHA-512" hashValue="XZw03RosI/l0z9FxmTtF29EdZ7P+4+ybhqoaAAUmURojSR5XbGfjC4f2i8gMqfY+RI9JvfdCA6PSh9TduXfUxA==" saltValue="5TPtLq2WoiRSae/yaDPnTw==" spinCount="100000" sqref="AT722 AV722 BJ722:BL722" name="Rango2_99_51_5"/>
    <protectedRange algorithmName="SHA-512" hashValue="RQ91b7oAw60DVtcgB2vRpial2kSdzJx5guGCTYUwXYkKrtrUHfiYnLf9R+SNpYXlJDYpyEJLhcWwP0EqNN86dQ==" saltValue="W3RbH3zrcY9sy39xNwXNxg==" spinCount="100000" sqref="BV722:BY722" name="Rango2_88_99_34_4"/>
    <protectedRange algorithmName="SHA-512" hashValue="XZw03RosI/l0z9FxmTtF29EdZ7P+4+ybhqoaAAUmURojSR5XbGfjC4f2i8gMqfY+RI9JvfdCA6PSh9TduXfUxA==" saltValue="5TPtLq2WoiRSae/yaDPnTw==" spinCount="100000" sqref="BZ722:CB722 BR722:BU722" name="Rango2_99_68_5"/>
    <protectedRange algorithmName="SHA-512" hashValue="XZw03RosI/l0z9FxmTtF29EdZ7P+4+ybhqoaAAUmURojSR5XbGfjC4f2i8gMqfY+RI9JvfdCA6PSh9TduXfUxA==" saltValue="5TPtLq2WoiRSae/yaDPnTw==" spinCount="100000" sqref="CE722:CF722" name="Rango2_99_85_4"/>
    <protectedRange algorithmName="SHA-512" hashValue="XZw03RosI/l0z9FxmTtF29EdZ7P+4+ybhqoaAAUmURojSR5XbGfjC4f2i8gMqfY+RI9JvfdCA6PSh9TduXfUxA==" saltValue="5TPtLq2WoiRSae/yaDPnTw==" spinCount="100000" sqref="O723" name="Rango2_99_17_5"/>
    <protectedRange algorithmName="SHA-512" hashValue="KHhv3JU/LRdRrRTxxkgFceEHPZ5UzadmpZRZR3zmQRnPvkUJZuanRafIJ+qde0IWwLZSvFIQDyUAHq6v6k7XIg==" saltValue="2GKG1kCzVNNcn+vbOPuhJA==" spinCount="100000" sqref="Q723" name="Rango2_2_5_17_5"/>
    <protectedRange algorithmName="SHA-512" hashValue="fPHvtIAf3pQeZUoAI9C2/vdXMHBpqqEq+67P5Ypyu4+9IWqs3yc9TZcMWQ0THLxUwqseQPyVvakuYFtCwJHsxA==" saltValue="QHIogSs2PrwAfdqa9PAOFQ==" spinCount="100000" sqref="AC723" name="Rango2_88_5_5_17_5"/>
    <protectedRange algorithmName="SHA-512" hashValue="AYYX88LSDB6RDNMvSqt0KPGWPjBqTk56tMxTOlv5QD61MGTKAAQnSnudvNDWPN0Bbllh2qRQC+P5uq7goxjdrw==" saltValue="i/iPMewnks1FoXYOjKMEVg==" spinCount="100000" sqref="AB723" name="Rango2_87_6_17_5"/>
    <protectedRange algorithmName="SHA-512" hashValue="NUll9P9xh7KbSfMYpMxsRZLfDw/y/AzW2LSWlpXVscBDqiAxmzo71xjs+a2lh+jRa7pceOC849slke4+ZKx8LA==" saltValue="8qbkKpQ+CiQuLnqgShNvXA==" spinCount="100000" sqref="T723" name="Rango2_88_6_17_5"/>
    <protectedRange algorithmName="SHA-512" hashValue="XZw03RosI/l0z9FxmTtF29EdZ7P+4+ybhqoaAAUmURojSR5XbGfjC4f2i8gMqfY+RI9JvfdCA6PSh9TduXfUxA==" saltValue="5TPtLq2WoiRSae/yaDPnTw==" spinCount="100000" sqref="R723:S723 U723:AA723" name="Rango2_99_34_6"/>
    <protectedRange algorithmName="SHA-512" hashValue="9+DNppQbWrLYYUMoJ+lyQctV2bX3Vq9kZnegLbpjTLP49It2ovUbcartuoQTeXgP+TGpY//7mDH/UQlFCKDGiA==" saltValue="KUnni6YEm00anzSSvyLqQA==" spinCount="100000" sqref="AD723" name="Rango2_45_5"/>
    <protectedRange algorithmName="SHA-512" hashValue="CHipOQaT63FWw628cQcXXJRZlrbNZ7OgmnEbDx38UmmH7z19GRYEzXFiVOzHAy1OAaAbST7g2bHZHDKQp2qm3w==" saltValue="iRVuL+373yLHv0ZHzS9qog==" spinCount="100000" sqref="AG723:AH723 AJ723" name="Rango2_88_7_5_17_5"/>
    <protectedRange algorithmName="SHA-512" hashValue="LEEeiU6pKqm7TAP46VGlz0q+evvFwpT/0iLpRuWuQ7MacbP0OGL1/FSmrIEOg2rb6M+Jla2bPbVWiGag27j87w==" saltValue="HEVt+pS5OloNDlqSnzGLLw==" spinCount="100000" sqref="AI723" name="Rango2_8_7_17_5"/>
    <protectedRange algorithmName="SHA-512" hashValue="q2z5hEFmXS0v2chiPTC/VCoDWNlnhp+Xe6Ybfxe48vIsnB/KTJQxJv+pFUnCXfZ9T6vyJopuqFFNROfQTW/JUw==" saltValue="IctfdGJb5tOTpq+KPi9vww==" spinCount="100000" sqref="AE723:AF723" name="Rango2_88_39_17_6"/>
    <protectedRange algorithmName="SHA-512" hashValue="RQ91b7oAw60DVtcgB2vRpial2kSdzJx5guGCTYUwXYkKrtrUHfiYnLf9R+SNpYXlJDYpyEJLhcWwP0EqNN86dQ==" saltValue="W3RbH3zrcY9sy39xNwXNxg==" spinCount="100000" sqref="BA723:BI723" name="Rango2_88_99_17_5"/>
    <protectedRange algorithmName="SHA-512" hashValue="fMbmUM1DQ7FuAPRNvFL5mPdHUYjQnlLFhkuaxvHguaqR7aWyDxcmJs0jLYQfQKY+oyhsMb4Lew4VL6i7um3/ew==" saltValue="ydaTm0CeH8+/cYqoL/AMaQ==" spinCount="100000" sqref="AU723 AW723:AZ723" name="Rango2_88_91_17_5"/>
    <protectedRange algorithmName="SHA-512" hashValue="CHipOQaT63FWw628cQcXXJRZlrbNZ7OgmnEbDx38UmmH7z19GRYEzXFiVOzHAy1OAaAbST7g2bHZHDKQp2qm3w==" saltValue="iRVuL+373yLHv0ZHzS9qog==" spinCount="100000" sqref="AL723" name="Rango2_88_7_5_34_5"/>
    <protectedRange algorithmName="SHA-512" hashValue="NkG6oHuDGvGBEiLAAq8MEJHEfLQUMyjihfH+DBXhT+eQW0r1yri7tOJEFRM9nbOejjjXiviq9RFo7KB7wF+xJA==" saltValue="bpjB0AAANu2X/PeR3eiFkA==" spinCount="100000" sqref="AM723:AS723" name="Rango2_88_65_17_5"/>
    <protectedRange algorithmName="SHA-512" hashValue="XZw03RosI/l0z9FxmTtF29EdZ7P+4+ybhqoaAAUmURojSR5XbGfjC4f2i8gMqfY+RI9JvfdCA6PSh9TduXfUxA==" saltValue="5TPtLq2WoiRSae/yaDPnTw==" spinCount="100000" sqref="AT723 AV723 BJ723:BK723" name="Rango2_99_51_6"/>
    <protectedRange algorithmName="SHA-512" hashValue="RQ91b7oAw60DVtcgB2vRpial2kSdzJx5guGCTYUwXYkKrtrUHfiYnLf9R+SNpYXlJDYpyEJLhcWwP0EqNN86dQ==" saltValue="W3RbH3zrcY9sy39xNwXNxg==" spinCount="100000" sqref="BV723:BY723" name="Rango2_88_99_34_5"/>
    <protectedRange algorithmName="SHA-512" hashValue="XZw03RosI/l0z9FxmTtF29EdZ7P+4+ybhqoaAAUmURojSR5XbGfjC4f2i8gMqfY+RI9JvfdCA6PSh9TduXfUxA==" saltValue="5TPtLq2WoiRSae/yaDPnTw==" spinCount="100000" sqref="BZ723:CB723 BR723:BU723" name="Rango2_99_68_6"/>
    <protectedRange algorithmName="SHA-512" hashValue="XZw03RosI/l0z9FxmTtF29EdZ7P+4+ybhqoaAAUmURojSR5XbGfjC4f2i8gMqfY+RI9JvfdCA6PSh9TduXfUxA==" saltValue="5TPtLq2WoiRSae/yaDPnTw==" spinCount="100000" sqref="CE723:CF723" name="Rango2_99_85_5"/>
    <protectedRange algorithmName="SHA-512" hashValue="9+DNppQbWrLYYUMoJ+lyQctV2bX3Vq9kZnegLbpjTLP49It2ovUbcartuoQTeXgP+TGpY//7mDH/UQlFCKDGiA==" saltValue="KUnni6YEm00anzSSvyLqQA==" spinCount="100000" sqref="EY708:FA708" name="Rango2_47_1"/>
    <protectedRange algorithmName="SHA-512" hashValue="9+DNppQbWrLYYUMoJ+lyQctV2bX3Vq9kZnegLbpjTLP49It2ovUbcartuoQTeXgP+TGpY//7mDH/UQlFCKDGiA==" saltValue="KUnni6YEm00anzSSvyLqQA==" spinCount="100000" sqref="FC708" name="Rango2_76_5"/>
    <protectedRange algorithmName="SHA-512" hashValue="pL4tgTKqwEsWSIEGFTBd+4pvEhE7d5Q99Eijs+L/Y1rhA0saQGGRJw5Pv2HLOP0quglztFwB6WVnQ1YGxd4AiQ==" saltValue="IF5mhk2RcoEjrcYppes1VA==" spinCount="100000" sqref="FT708" name="Rango2_30_3_1"/>
    <protectedRange algorithmName="SHA-512" hashValue="Umj9+5Ys20VQPxBFtc6qE5LtKKSgPKwit+B8dd4XnEUaLfBM2ozpkEC4YxwK0SbBiAHDDex+pY+LomQ0lyuamQ==" saltValue="N2/MCRws+mmA+NXw0axolg==" spinCount="100000" sqref="FY708" name="Rango2_31_2_2_1"/>
    <protectedRange algorithmName="SHA-512" hashValue="YXHanhqXL0e4jPrzkCF8r/22WmlCviFUW909WKuG1JOcU0mp0/Huh0aP3EaGYxV2ep0WGu48HsShAy4Ka2uOiw==" saltValue="h/7U5iwJm7DLR4tRVfwZYw==" spinCount="100000" sqref="GC708" name="Rango2_33_3_4"/>
    <protectedRange algorithmName="SHA-512" hashValue="Rgskw+AQdeJ5qbJdarzTa3SCkJfDGziy0Uan5N0F3IWn/H3Z/e+VcB56R7Nes7MPxNHewNP1sSSucVjz3iTLeA==" saltValue="qKZH3DnwaZHBzy3cBZo1qQ==" spinCount="100000" sqref="GF708" name="Rango2_31_28_2_1"/>
    <protectedRange algorithmName="SHA-512" hashValue="Umj9+5Ys20VQPxBFtc6qE5LtKKSgPKwit+B8dd4XnEUaLfBM2ozpkEC4YxwK0SbBiAHDDex+pY+LomQ0lyuamQ==" saltValue="N2/MCRws+mmA+NXw0axolg==" spinCount="100000" sqref="GE708" name="Rango2_31_2_36_1"/>
    <protectedRange algorithmName="SHA-512" hashValue="EEHzbvEYwO1eufllBljOz0uf9BJ2ENtvOScQ7IsS321QhYbwKn7qhHKKP8cKj02rTDvVRMWvwQ1ZP0mZWsBprQ==" saltValue="CjXqBRFbKezlWOFV37MnDQ==" spinCount="100000" sqref="GN708" name="Rango2_30_2_2_1"/>
    <protectedRange algorithmName="SHA-512" hashValue="EEHzbvEYwO1eufllBljOz0uf9BJ2ENtvOScQ7IsS321QhYbwKn7qhHKKP8cKj02rTDvVRMWvwQ1ZP0mZWsBprQ==" saltValue="CjXqBRFbKezlWOFV37MnDQ==" spinCount="100000" sqref="GQ708:GR708" name="Rango2_30_2_19_1"/>
    <protectedRange algorithmName="SHA-512" hashValue="EEHzbvEYwO1eufllBljOz0uf9BJ2ENtvOScQ7IsS321QhYbwKn7qhHKKP8cKj02rTDvVRMWvwQ1ZP0mZWsBprQ==" saltValue="CjXqBRFbKezlWOFV37MnDQ==" spinCount="100000" sqref="GW708" name="Rango2_30_2_36_1"/>
    <protectedRange algorithmName="SHA-512" hashValue="q2z5hEFmXS0v2chiPTC/VCoDWNlnhp+Xe6Ybfxe48vIsnB/KTJQxJv+pFUnCXfZ9T6vyJopuqFFNROfQTW/JUw==" saltValue="IctfdGJb5tOTpq+KPi9vww==" spinCount="100000" sqref="ID708:IF708" name="Rango2_88_39_53_1"/>
    <protectedRange algorithmName="SHA-512" hashValue="9+DNppQbWrLYYUMoJ+lyQctV2bX3Vq9kZnegLbpjTLP49It2ovUbcartuoQTeXgP+TGpY//7mDH/UQlFCKDGiA==" saltValue="KUnni6YEm00anzSSvyLqQA==" spinCount="100000" sqref="EY709:FA709" name="Rango2_49_7"/>
    <protectedRange algorithmName="SHA-512" hashValue="9+DNppQbWrLYYUMoJ+lyQctV2bX3Vq9kZnegLbpjTLP49It2ovUbcartuoQTeXgP+TGpY//7mDH/UQlFCKDGiA==" saltValue="KUnni6YEm00anzSSvyLqQA==" spinCount="100000" sqref="FC709" name="Rango2_81_2"/>
    <protectedRange algorithmName="SHA-512" hashValue="pL4tgTKqwEsWSIEGFTBd+4pvEhE7d5Q99Eijs+L/Y1rhA0saQGGRJw5Pv2HLOP0quglztFwB6WVnQ1YGxd4AiQ==" saltValue="IF5mhk2RcoEjrcYppes1VA==" spinCount="100000" sqref="FT709" name="Rango2_30_5_1"/>
    <protectedRange algorithmName="SHA-512" hashValue="Umj9+5Ys20VQPxBFtc6qE5LtKKSgPKwit+B8dd4XnEUaLfBM2ozpkEC4YxwK0SbBiAHDDex+pY+LomQ0lyuamQ==" saltValue="N2/MCRws+mmA+NXw0axolg==" spinCount="100000" sqref="FY709" name="Rango2_31_2_4_1"/>
    <protectedRange algorithmName="SHA-512" hashValue="YXHanhqXL0e4jPrzkCF8r/22WmlCviFUW909WKuG1JOcU0mp0/Huh0aP3EaGYxV2ep0WGu48HsShAy4Ka2uOiw==" saltValue="h/7U5iwJm7DLR4tRVfwZYw==" spinCount="100000" sqref="GC709" name="Rango2_33_5_1"/>
    <protectedRange algorithmName="SHA-512" hashValue="Rgskw+AQdeJ5qbJdarzTa3SCkJfDGziy0Uan5N0F3IWn/H3Z/e+VcB56R7Nes7MPxNHewNP1sSSucVjz3iTLeA==" saltValue="qKZH3DnwaZHBzy3cBZo1qQ==" spinCount="100000" sqref="GF709" name="Rango2_31_28_4_1"/>
    <protectedRange algorithmName="SHA-512" hashValue="Umj9+5Ys20VQPxBFtc6qE5LtKKSgPKwit+B8dd4XnEUaLfBM2ozpkEC4YxwK0SbBiAHDDex+pY+LomQ0lyuamQ==" saltValue="N2/MCRws+mmA+NXw0axolg==" spinCount="100000" sqref="GE709" name="Rango2_31_2_38_1"/>
    <protectedRange algorithmName="SHA-512" hashValue="EEHzbvEYwO1eufllBljOz0uf9BJ2ENtvOScQ7IsS321QhYbwKn7qhHKKP8cKj02rTDvVRMWvwQ1ZP0mZWsBprQ==" saltValue="CjXqBRFbKezlWOFV37MnDQ==" spinCount="100000" sqref="GN709" name="Rango2_30_2_4_1"/>
    <protectedRange algorithmName="SHA-512" hashValue="EEHzbvEYwO1eufllBljOz0uf9BJ2ENtvOScQ7IsS321QhYbwKn7qhHKKP8cKj02rTDvVRMWvwQ1ZP0mZWsBprQ==" saltValue="CjXqBRFbKezlWOFV37MnDQ==" spinCount="100000" sqref="GQ709:GR709" name="Rango2_30_2_21_1"/>
    <protectedRange algorithmName="SHA-512" hashValue="EEHzbvEYwO1eufllBljOz0uf9BJ2ENtvOScQ7IsS321QhYbwKn7qhHKKP8cKj02rTDvVRMWvwQ1ZP0mZWsBprQ==" saltValue="CjXqBRFbKezlWOFV37MnDQ==" spinCount="100000" sqref="GW709" name="Rango2_30_2_38_1"/>
    <protectedRange algorithmName="SHA-512" hashValue="q2z5hEFmXS0v2chiPTC/VCoDWNlnhp+Xe6Ybfxe48vIsnB/KTJQxJv+pFUnCXfZ9T6vyJopuqFFNROfQTW/JUw==" saltValue="IctfdGJb5tOTpq+KPi9vww==" spinCount="100000" sqref="ID709:IF709" name="Rango2_88_39_55_1"/>
    <protectedRange algorithmName="SHA-512" hashValue="9+DNppQbWrLYYUMoJ+lyQctV2bX3Vq9kZnegLbpjTLP49It2ovUbcartuoQTeXgP+TGpY//7mDH/UQlFCKDGiA==" saltValue="KUnni6YEm00anzSSvyLqQA==" spinCount="100000" sqref="EY710:FA710" name="Rango2_52_2"/>
    <protectedRange algorithmName="SHA-512" hashValue="9+DNppQbWrLYYUMoJ+lyQctV2bX3Vq9kZnegLbpjTLP49It2ovUbcartuoQTeXgP+TGpY//7mDH/UQlFCKDGiA==" saltValue="KUnni6YEm00anzSSvyLqQA==" spinCount="100000" sqref="FC710" name="Rango2_83_2"/>
    <protectedRange algorithmName="SHA-512" hashValue="pL4tgTKqwEsWSIEGFTBd+4pvEhE7d5Q99Eijs+L/Y1rhA0saQGGRJw5Pv2HLOP0quglztFwB6WVnQ1YGxd4AiQ==" saltValue="IF5mhk2RcoEjrcYppes1VA==" spinCount="100000" sqref="FT710" name="Rango2_30_7_1"/>
    <protectedRange algorithmName="SHA-512" hashValue="Umj9+5Ys20VQPxBFtc6qE5LtKKSgPKwit+B8dd4XnEUaLfBM2ozpkEC4YxwK0SbBiAHDDex+pY+LomQ0lyuamQ==" saltValue="N2/MCRws+mmA+NXw0axolg==" spinCount="100000" sqref="FY710" name="Rango2_31_2_6_1"/>
    <protectedRange algorithmName="SHA-512" hashValue="YXHanhqXL0e4jPrzkCF8r/22WmlCviFUW909WKuG1JOcU0mp0/Huh0aP3EaGYxV2ep0WGu48HsShAy4Ka2uOiw==" saltValue="h/7U5iwJm7DLR4tRVfwZYw==" spinCount="100000" sqref="GC710" name="Rango2_33_7_1"/>
    <protectedRange algorithmName="SHA-512" hashValue="Rgskw+AQdeJ5qbJdarzTa3SCkJfDGziy0Uan5N0F3IWn/H3Z/e+VcB56R7Nes7MPxNHewNP1sSSucVjz3iTLeA==" saltValue="qKZH3DnwaZHBzy3cBZo1qQ==" spinCount="100000" sqref="GF710" name="Rango2_31_28_6_1"/>
    <protectedRange algorithmName="SHA-512" hashValue="Umj9+5Ys20VQPxBFtc6qE5LtKKSgPKwit+B8dd4XnEUaLfBM2ozpkEC4YxwK0SbBiAHDDex+pY+LomQ0lyuamQ==" saltValue="N2/MCRws+mmA+NXw0axolg==" spinCount="100000" sqref="GE710" name="Rango2_31_2_40_6"/>
    <protectedRange algorithmName="SHA-512" hashValue="EEHzbvEYwO1eufllBljOz0uf9BJ2ENtvOScQ7IsS321QhYbwKn7qhHKKP8cKj02rTDvVRMWvwQ1ZP0mZWsBprQ==" saltValue="CjXqBRFbKezlWOFV37MnDQ==" spinCount="100000" sqref="GN710" name="Rango2_30_2_6_1"/>
    <protectedRange algorithmName="SHA-512" hashValue="EEHzbvEYwO1eufllBljOz0uf9BJ2ENtvOScQ7IsS321QhYbwKn7qhHKKP8cKj02rTDvVRMWvwQ1ZP0mZWsBprQ==" saltValue="CjXqBRFbKezlWOFV37MnDQ==" spinCount="100000" sqref="GQ710:GR710" name="Rango2_30_2_23_1"/>
    <protectedRange algorithmName="SHA-512" hashValue="EEHzbvEYwO1eufllBljOz0uf9BJ2ENtvOScQ7IsS321QhYbwKn7qhHKKP8cKj02rTDvVRMWvwQ1ZP0mZWsBprQ==" saltValue="CjXqBRFbKezlWOFV37MnDQ==" spinCount="100000" sqref="GW710" name="Rango2_30_2_40_6"/>
    <protectedRange algorithmName="SHA-512" hashValue="q2z5hEFmXS0v2chiPTC/VCoDWNlnhp+Xe6Ybfxe48vIsnB/KTJQxJv+pFUnCXfZ9T6vyJopuqFFNROfQTW/JUw==" saltValue="IctfdGJb5tOTpq+KPi9vww==" spinCount="100000" sqref="ID710:IF710" name="Rango2_88_39_57_1"/>
    <protectedRange algorithmName="SHA-512" hashValue="9+DNppQbWrLYYUMoJ+lyQctV2bX3Vq9kZnegLbpjTLP49It2ovUbcartuoQTeXgP+TGpY//7mDH/UQlFCKDGiA==" saltValue="KUnni6YEm00anzSSvyLqQA==" spinCount="100000" sqref="EY711:FA711" name="Rango2_65_2"/>
    <protectedRange algorithmName="SHA-512" hashValue="9+DNppQbWrLYYUMoJ+lyQctV2bX3Vq9kZnegLbpjTLP49It2ovUbcartuoQTeXgP+TGpY//7mDH/UQlFCKDGiA==" saltValue="KUnni6YEm00anzSSvyLqQA==" spinCount="100000" sqref="EY712:FA712" name="Rango2_66_2"/>
    <protectedRange algorithmName="SHA-512" hashValue="9+DNppQbWrLYYUMoJ+lyQctV2bX3Vq9kZnegLbpjTLP49It2ovUbcartuoQTeXgP+TGpY//7mDH/UQlFCKDGiA==" saltValue="KUnni6YEm00anzSSvyLqQA==" spinCount="100000" sqref="FC711" name="Rango2_87_1"/>
    <protectedRange algorithmName="SHA-512" hashValue="9+DNppQbWrLYYUMoJ+lyQctV2bX3Vq9kZnegLbpjTLP49It2ovUbcartuoQTeXgP+TGpY//7mDH/UQlFCKDGiA==" saltValue="KUnni6YEm00anzSSvyLqQA==" spinCount="100000" sqref="FC712" name="Rango2_90_2"/>
    <protectedRange algorithmName="SHA-512" hashValue="pL4tgTKqwEsWSIEGFTBd+4pvEhE7d5Q99Eijs+L/Y1rhA0saQGGRJw5Pv2HLOP0quglztFwB6WVnQ1YGxd4AiQ==" saltValue="IF5mhk2RcoEjrcYppes1VA==" spinCount="100000" sqref="FT711" name="Rango2_30_10_4"/>
    <protectedRange algorithmName="SHA-512" hashValue="pL4tgTKqwEsWSIEGFTBd+4pvEhE7d5Q99Eijs+L/Y1rhA0saQGGRJw5Pv2HLOP0quglztFwB6WVnQ1YGxd4AiQ==" saltValue="IF5mhk2RcoEjrcYppes1VA==" spinCount="100000" sqref="FT712" name="Rango2_30_11_1"/>
    <protectedRange algorithmName="SHA-512" hashValue="Umj9+5Ys20VQPxBFtc6qE5LtKKSgPKwit+B8dd4XnEUaLfBM2ozpkEC4YxwK0SbBiAHDDex+pY+LomQ0lyuamQ==" saltValue="N2/MCRws+mmA+NXw0axolg==" spinCount="100000" sqref="FY711" name="Rango2_31_2_9_4"/>
    <protectedRange algorithmName="SHA-512" hashValue="Umj9+5Ys20VQPxBFtc6qE5LtKKSgPKwit+B8dd4XnEUaLfBM2ozpkEC4YxwK0SbBiAHDDex+pY+LomQ0lyuamQ==" saltValue="N2/MCRws+mmA+NXw0axolg==" spinCount="100000" sqref="FY712" name="Rango2_31_2_10_1"/>
    <protectedRange algorithmName="SHA-512" hashValue="YXHanhqXL0e4jPrzkCF8r/22WmlCviFUW909WKuG1JOcU0mp0/Huh0aP3EaGYxV2ep0WGu48HsShAy4Ka2uOiw==" saltValue="h/7U5iwJm7DLR4tRVfwZYw==" spinCount="100000" sqref="GC711" name="Rango2_33_10_2"/>
    <protectedRange algorithmName="SHA-512" hashValue="YXHanhqXL0e4jPrzkCF8r/22WmlCviFUW909WKuG1JOcU0mp0/Huh0aP3EaGYxV2ep0WGu48HsShAy4Ka2uOiw==" saltValue="h/7U5iwJm7DLR4tRVfwZYw==" spinCount="100000" sqref="GC712" name="Rango2_33_11_2"/>
    <protectedRange algorithmName="SHA-512" hashValue="Rgskw+AQdeJ5qbJdarzTa3SCkJfDGziy0Uan5N0F3IWn/H3Z/e+VcB56R7Nes7MPxNHewNP1sSSucVjz3iTLeA==" saltValue="qKZH3DnwaZHBzy3cBZo1qQ==" spinCount="100000" sqref="GF711" name="Rango2_31_28_9_4"/>
    <protectedRange algorithmName="SHA-512" hashValue="Umj9+5Ys20VQPxBFtc6qE5LtKKSgPKwit+B8dd4XnEUaLfBM2ozpkEC4YxwK0SbBiAHDDex+pY+LomQ0lyuamQ==" saltValue="N2/MCRws+mmA+NXw0axolg==" spinCount="100000" sqref="GE711" name="Rango2_31_2_43_2"/>
    <protectedRange algorithmName="SHA-512" hashValue="Rgskw+AQdeJ5qbJdarzTa3SCkJfDGziy0Uan5N0F3IWn/H3Z/e+VcB56R7Nes7MPxNHewNP1sSSucVjz3iTLeA==" saltValue="qKZH3DnwaZHBzy3cBZo1qQ==" spinCount="100000" sqref="GF712" name="Rango2_31_28_10_1"/>
    <protectedRange algorithmName="SHA-512" hashValue="Umj9+5Ys20VQPxBFtc6qE5LtKKSgPKwit+B8dd4XnEUaLfBM2ozpkEC4YxwK0SbBiAHDDex+pY+LomQ0lyuamQ==" saltValue="N2/MCRws+mmA+NXw0axolg==" spinCount="100000" sqref="GE712" name="Rango2_31_2_44_1"/>
    <protectedRange algorithmName="SHA-512" hashValue="EEHzbvEYwO1eufllBljOz0uf9BJ2ENtvOScQ7IsS321QhYbwKn7qhHKKP8cKj02rTDvVRMWvwQ1ZP0mZWsBprQ==" saltValue="CjXqBRFbKezlWOFV37MnDQ==" spinCount="100000" sqref="GN711" name="Rango2_30_2_9_4"/>
    <protectedRange algorithmName="SHA-512" hashValue="EEHzbvEYwO1eufllBljOz0uf9BJ2ENtvOScQ7IsS321QhYbwKn7qhHKKP8cKj02rTDvVRMWvwQ1ZP0mZWsBprQ==" saltValue="CjXqBRFbKezlWOFV37MnDQ==" spinCount="100000" sqref="GN712" name="Rango2_30_2_10_1"/>
    <protectedRange algorithmName="SHA-512" hashValue="EEHzbvEYwO1eufllBljOz0uf9BJ2ENtvOScQ7IsS321QhYbwKn7qhHKKP8cKj02rTDvVRMWvwQ1ZP0mZWsBprQ==" saltValue="CjXqBRFbKezlWOFV37MnDQ==" spinCount="100000" sqref="GQ711:GR711" name="Rango2_30_2_26_1"/>
    <protectedRange algorithmName="SHA-512" hashValue="EEHzbvEYwO1eufllBljOz0uf9BJ2ENtvOScQ7IsS321QhYbwKn7qhHKKP8cKj02rTDvVRMWvwQ1ZP0mZWsBprQ==" saltValue="CjXqBRFbKezlWOFV37MnDQ==" spinCount="100000" sqref="GQ712:GR712" name="Rango2_30_2_27_1"/>
    <protectedRange algorithmName="SHA-512" hashValue="EEHzbvEYwO1eufllBljOz0uf9BJ2ENtvOScQ7IsS321QhYbwKn7qhHKKP8cKj02rTDvVRMWvwQ1ZP0mZWsBprQ==" saltValue="CjXqBRFbKezlWOFV37MnDQ==" spinCount="100000" sqref="GW711" name="Rango2_30_2_43_2"/>
    <protectedRange algorithmName="SHA-512" hashValue="EEHzbvEYwO1eufllBljOz0uf9BJ2ENtvOScQ7IsS321QhYbwKn7qhHKKP8cKj02rTDvVRMWvwQ1ZP0mZWsBprQ==" saltValue="CjXqBRFbKezlWOFV37MnDQ==" spinCount="100000" sqref="GW712" name="Rango2_30_2_44_1"/>
    <protectedRange algorithmName="SHA-512" hashValue="q2z5hEFmXS0v2chiPTC/VCoDWNlnhp+Xe6Ybfxe48vIsnB/KTJQxJv+pFUnCXfZ9T6vyJopuqFFNROfQTW/JUw==" saltValue="IctfdGJb5tOTpq+KPi9vww==" spinCount="100000" sqref="ID711:IF711" name="Rango2_88_39_60_1"/>
    <protectedRange algorithmName="SHA-512" hashValue="q2z5hEFmXS0v2chiPTC/VCoDWNlnhp+Xe6Ybfxe48vIsnB/KTJQxJv+pFUnCXfZ9T6vyJopuqFFNROfQTW/JUw==" saltValue="IctfdGJb5tOTpq+KPi9vww==" spinCount="100000" sqref="ID712:IF712" name="Rango2_88_39_61_1"/>
    <protectedRange algorithmName="SHA-512" hashValue="9+DNppQbWrLYYUMoJ+lyQctV2bX3Vq9kZnegLbpjTLP49It2ovUbcartuoQTeXgP+TGpY//7mDH/UQlFCKDGiA==" saltValue="KUnni6YEm00anzSSvyLqQA==" spinCount="100000" sqref="EY713:FA713" name="Rango2_66_3"/>
    <protectedRange algorithmName="SHA-512" hashValue="9+DNppQbWrLYYUMoJ+lyQctV2bX3Vq9kZnegLbpjTLP49It2ovUbcartuoQTeXgP+TGpY//7mDH/UQlFCKDGiA==" saltValue="KUnni6YEm00anzSSvyLqQA==" spinCount="100000" sqref="FC713" name="Rango2_90_3"/>
    <protectedRange algorithmName="SHA-512" hashValue="pL4tgTKqwEsWSIEGFTBd+4pvEhE7d5Q99Eijs+L/Y1rhA0saQGGRJw5Pv2HLOP0quglztFwB6WVnQ1YGxd4AiQ==" saltValue="IF5mhk2RcoEjrcYppes1VA==" spinCount="100000" sqref="FT713" name="Rango2_30_11_2"/>
    <protectedRange algorithmName="SHA-512" hashValue="Umj9+5Ys20VQPxBFtc6qE5LtKKSgPKwit+B8dd4XnEUaLfBM2ozpkEC4YxwK0SbBiAHDDex+pY+LomQ0lyuamQ==" saltValue="N2/MCRws+mmA+NXw0axolg==" spinCount="100000" sqref="FY713" name="Rango2_31_2_10_2"/>
    <protectedRange algorithmName="SHA-512" hashValue="YXHanhqXL0e4jPrzkCF8r/22WmlCviFUW909WKuG1JOcU0mp0/Huh0aP3EaGYxV2ep0WGu48HsShAy4Ka2uOiw==" saltValue="h/7U5iwJm7DLR4tRVfwZYw==" spinCount="100000" sqref="GC713" name="Rango2_33_11_3"/>
    <protectedRange algorithmName="SHA-512" hashValue="Rgskw+AQdeJ5qbJdarzTa3SCkJfDGziy0Uan5N0F3IWn/H3Z/e+VcB56R7Nes7MPxNHewNP1sSSucVjz3iTLeA==" saltValue="qKZH3DnwaZHBzy3cBZo1qQ==" spinCount="100000" sqref="GF713" name="Rango2_31_28_10_2"/>
    <protectedRange algorithmName="SHA-512" hashValue="Umj9+5Ys20VQPxBFtc6qE5LtKKSgPKwit+B8dd4XnEUaLfBM2ozpkEC4YxwK0SbBiAHDDex+pY+LomQ0lyuamQ==" saltValue="N2/MCRws+mmA+NXw0axolg==" spinCount="100000" sqref="GE713" name="Rango2_31_2_44_2"/>
    <protectedRange algorithmName="SHA-512" hashValue="EEHzbvEYwO1eufllBljOz0uf9BJ2ENtvOScQ7IsS321QhYbwKn7qhHKKP8cKj02rTDvVRMWvwQ1ZP0mZWsBprQ==" saltValue="CjXqBRFbKezlWOFV37MnDQ==" spinCount="100000" sqref="GN713" name="Rango2_30_2_10_2"/>
    <protectedRange algorithmName="SHA-512" hashValue="EEHzbvEYwO1eufllBljOz0uf9BJ2ENtvOScQ7IsS321QhYbwKn7qhHKKP8cKj02rTDvVRMWvwQ1ZP0mZWsBprQ==" saltValue="CjXqBRFbKezlWOFV37MnDQ==" spinCount="100000" sqref="GQ713:GR713" name="Rango2_30_2_27_2"/>
    <protectedRange algorithmName="SHA-512" hashValue="EEHzbvEYwO1eufllBljOz0uf9BJ2ENtvOScQ7IsS321QhYbwKn7qhHKKP8cKj02rTDvVRMWvwQ1ZP0mZWsBprQ==" saltValue="CjXqBRFbKezlWOFV37MnDQ==" spinCount="100000" sqref="GW713" name="Rango2_30_2_44_2"/>
    <protectedRange algorithmName="SHA-512" hashValue="q2z5hEFmXS0v2chiPTC/VCoDWNlnhp+Xe6Ybfxe48vIsnB/KTJQxJv+pFUnCXfZ9T6vyJopuqFFNROfQTW/JUw==" saltValue="IctfdGJb5tOTpq+KPi9vww==" spinCount="100000" sqref="ID713:IF713" name="Rango2_88_39_61_2"/>
    <protectedRange algorithmName="SHA-512" hashValue="9+DNppQbWrLYYUMoJ+lyQctV2bX3Vq9kZnegLbpjTLP49It2ovUbcartuoQTeXgP+TGpY//7mDH/UQlFCKDGiA==" saltValue="KUnni6YEm00anzSSvyLqQA==" spinCount="100000" sqref="EY714:FA714" name="Rango2_70_2"/>
    <protectedRange algorithmName="SHA-512" hashValue="9+DNppQbWrLYYUMoJ+lyQctV2bX3Vq9kZnegLbpjTLP49It2ovUbcartuoQTeXgP+TGpY//7mDH/UQlFCKDGiA==" saltValue="KUnni6YEm00anzSSvyLqQA==" spinCount="100000" sqref="FC714" name="Rango2_94_4"/>
    <protectedRange algorithmName="SHA-512" hashValue="pL4tgTKqwEsWSIEGFTBd+4pvEhE7d5Q99Eijs+L/Y1rhA0saQGGRJw5Pv2HLOP0quglztFwB6WVnQ1YGxd4AiQ==" saltValue="IF5mhk2RcoEjrcYppes1VA==" spinCount="100000" sqref="FT714" name="Rango2_30_15_2"/>
    <protectedRange algorithmName="SHA-512" hashValue="Umj9+5Ys20VQPxBFtc6qE5LtKKSgPKwit+B8dd4XnEUaLfBM2ozpkEC4YxwK0SbBiAHDDex+pY+LomQ0lyuamQ==" saltValue="N2/MCRws+mmA+NXw0axolg==" spinCount="100000" sqref="FY714" name="Rango2_31_2_14_1"/>
    <protectedRange algorithmName="SHA-512" hashValue="YXHanhqXL0e4jPrzkCF8r/22WmlCviFUW909WKuG1JOcU0mp0/Huh0aP3EaGYxV2ep0WGu48HsShAy4Ka2uOiw==" saltValue="h/7U5iwJm7DLR4tRVfwZYw==" spinCount="100000" sqref="GC714" name="Rango2_33_15_1"/>
    <protectedRange algorithmName="SHA-512" hashValue="Rgskw+AQdeJ5qbJdarzTa3SCkJfDGziy0Uan5N0F3IWn/H3Z/e+VcB56R7Nes7MPxNHewNP1sSSucVjz3iTLeA==" saltValue="qKZH3DnwaZHBzy3cBZo1qQ==" spinCount="100000" sqref="GF714" name="Rango2_31_28_14_2"/>
    <protectedRange algorithmName="SHA-512" hashValue="Umj9+5Ys20VQPxBFtc6qE5LtKKSgPKwit+B8dd4XnEUaLfBM2ozpkEC4YxwK0SbBiAHDDex+pY+LomQ0lyuamQ==" saltValue="N2/MCRws+mmA+NXw0axolg==" spinCount="100000" sqref="GE714" name="Rango2_31_2_48_2"/>
    <protectedRange algorithmName="SHA-512" hashValue="EEHzbvEYwO1eufllBljOz0uf9BJ2ENtvOScQ7IsS321QhYbwKn7qhHKKP8cKj02rTDvVRMWvwQ1ZP0mZWsBprQ==" saltValue="CjXqBRFbKezlWOFV37MnDQ==" spinCount="100000" sqref="GN714" name="Rango2_30_2_14_1"/>
    <protectedRange algorithmName="SHA-512" hashValue="EEHzbvEYwO1eufllBljOz0uf9BJ2ENtvOScQ7IsS321QhYbwKn7qhHKKP8cKj02rTDvVRMWvwQ1ZP0mZWsBprQ==" saltValue="CjXqBRFbKezlWOFV37MnDQ==" spinCount="100000" sqref="GQ714:GR714" name="Rango2_30_2_31_1"/>
    <protectedRange algorithmName="SHA-512" hashValue="EEHzbvEYwO1eufllBljOz0uf9BJ2ENtvOScQ7IsS321QhYbwKn7qhHKKP8cKj02rTDvVRMWvwQ1ZP0mZWsBprQ==" saltValue="CjXqBRFbKezlWOFV37MnDQ==" spinCount="100000" sqref="GW714" name="Rango2_30_2_48_2"/>
    <protectedRange algorithmName="SHA-512" hashValue="q2z5hEFmXS0v2chiPTC/VCoDWNlnhp+Xe6Ybfxe48vIsnB/KTJQxJv+pFUnCXfZ9T6vyJopuqFFNROfQTW/JUw==" saltValue="IctfdGJb5tOTpq+KPi9vww==" spinCount="100000" sqref="ID714:IF714" name="Rango2_88_39_65_1"/>
    <protectedRange algorithmName="SHA-512" hashValue="9+DNppQbWrLYYUMoJ+lyQctV2bX3Vq9kZnegLbpjTLP49It2ovUbcartuoQTeXgP+TGpY//7mDH/UQlFCKDGiA==" saltValue="KUnni6YEm00anzSSvyLqQA==" spinCount="100000" sqref="EY715:FA716" name="Rango2_72_2"/>
    <protectedRange algorithmName="SHA-512" hashValue="9+DNppQbWrLYYUMoJ+lyQctV2bX3Vq9kZnegLbpjTLP49It2ovUbcartuoQTeXgP+TGpY//7mDH/UQlFCKDGiA==" saltValue="KUnni6YEm00anzSSvyLqQA==" spinCount="100000" sqref="FC715:FC716" name="Rango2_98_3"/>
    <protectedRange algorithmName="SHA-512" hashValue="pL4tgTKqwEsWSIEGFTBd+4pvEhE7d5Q99Eijs+L/Y1rhA0saQGGRJw5Pv2HLOP0quglztFwB6WVnQ1YGxd4AiQ==" saltValue="IF5mhk2RcoEjrcYppes1VA==" spinCount="100000" sqref="FT715:FT716" name="Rango2_30_17_2"/>
    <protectedRange algorithmName="SHA-512" hashValue="Umj9+5Ys20VQPxBFtc6qE5LtKKSgPKwit+B8dd4XnEUaLfBM2ozpkEC4YxwK0SbBiAHDDex+pY+LomQ0lyuamQ==" saltValue="N2/MCRws+mmA+NXw0axolg==" spinCount="100000" sqref="FY715:FY716" name="Rango2_31_2_16_1"/>
    <protectedRange algorithmName="SHA-512" hashValue="YXHanhqXL0e4jPrzkCF8r/22WmlCviFUW909WKuG1JOcU0mp0/Huh0aP3EaGYxV2ep0WGu48HsShAy4Ka2uOiw==" saltValue="h/7U5iwJm7DLR4tRVfwZYw==" spinCount="100000" sqref="GC715:GC716" name="Rango2_33_17_3"/>
    <protectedRange algorithmName="SHA-512" hashValue="Rgskw+AQdeJ5qbJdarzTa3SCkJfDGziy0Uan5N0F3IWn/H3Z/e+VcB56R7Nes7MPxNHewNP1sSSucVjz3iTLeA==" saltValue="qKZH3DnwaZHBzy3cBZo1qQ==" spinCount="100000" sqref="GF715:GF716" name="Rango2_31_28_16_2"/>
    <protectedRange algorithmName="SHA-512" hashValue="Umj9+5Ys20VQPxBFtc6qE5LtKKSgPKwit+B8dd4XnEUaLfBM2ozpkEC4YxwK0SbBiAHDDex+pY+LomQ0lyuamQ==" saltValue="N2/MCRws+mmA+NXw0axolg==" spinCount="100000" sqref="GE715:GE716" name="Rango2_31_2_50_2"/>
    <protectedRange algorithmName="SHA-512" hashValue="EEHzbvEYwO1eufllBljOz0uf9BJ2ENtvOScQ7IsS321QhYbwKn7qhHKKP8cKj02rTDvVRMWvwQ1ZP0mZWsBprQ==" saltValue="CjXqBRFbKezlWOFV37MnDQ==" spinCount="100000" sqref="GN715:GN716" name="Rango2_30_2_16_1"/>
    <protectedRange algorithmName="SHA-512" hashValue="EEHzbvEYwO1eufllBljOz0uf9BJ2ENtvOScQ7IsS321QhYbwKn7qhHKKP8cKj02rTDvVRMWvwQ1ZP0mZWsBprQ==" saltValue="CjXqBRFbKezlWOFV37MnDQ==" spinCount="100000" sqref="GQ715:GR716" name="Rango2_30_2_33_1"/>
    <protectedRange algorithmName="SHA-512" hashValue="EEHzbvEYwO1eufllBljOz0uf9BJ2ENtvOScQ7IsS321QhYbwKn7qhHKKP8cKj02rTDvVRMWvwQ1ZP0mZWsBprQ==" saltValue="CjXqBRFbKezlWOFV37MnDQ==" spinCount="100000" sqref="GW715:GW716" name="Rango2_30_2_50_2"/>
    <protectedRange algorithmName="SHA-512" hashValue="q2z5hEFmXS0v2chiPTC/VCoDWNlnhp+Xe6Ybfxe48vIsnB/KTJQxJv+pFUnCXfZ9T6vyJopuqFFNROfQTW/JUw==" saltValue="IctfdGJb5tOTpq+KPi9vww==" spinCount="100000" sqref="ID715:IF716" name="Rango2_88_39_67_8"/>
    <protectedRange algorithmName="SHA-512" hashValue="9+DNppQbWrLYYUMoJ+lyQctV2bX3Vq9kZnegLbpjTLP49It2ovUbcartuoQTeXgP+TGpY//7mDH/UQlFCKDGiA==" saltValue="KUnni6YEm00anzSSvyLqQA==" spinCount="100000" sqref="EY717:FA717" name="Rango2_72_3"/>
    <protectedRange algorithmName="SHA-512" hashValue="9+DNppQbWrLYYUMoJ+lyQctV2bX3Vq9kZnegLbpjTLP49It2ovUbcartuoQTeXgP+TGpY//7mDH/UQlFCKDGiA==" saltValue="KUnni6YEm00anzSSvyLqQA==" spinCount="100000" sqref="FC717" name="Rango2_98_4"/>
    <protectedRange algorithmName="SHA-512" hashValue="pL4tgTKqwEsWSIEGFTBd+4pvEhE7d5Q99Eijs+L/Y1rhA0saQGGRJw5Pv2HLOP0quglztFwB6WVnQ1YGxd4AiQ==" saltValue="IF5mhk2RcoEjrcYppes1VA==" spinCount="100000" sqref="FT717" name="Rango2_30_17_3"/>
    <protectedRange algorithmName="SHA-512" hashValue="Umj9+5Ys20VQPxBFtc6qE5LtKKSgPKwit+B8dd4XnEUaLfBM2ozpkEC4YxwK0SbBiAHDDex+pY+LomQ0lyuamQ==" saltValue="N2/MCRws+mmA+NXw0axolg==" spinCount="100000" sqref="FY717" name="Rango2_31_2_16_2"/>
    <protectedRange algorithmName="SHA-512" hashValue="YXHanhqXL0e4jPrzkCF8r/22WmlCviFUW909WKuG1JOcU0mp0/Huh0aP3EaGYxV2ep0WGu48HsShAy4Ka2uOiw==" saltValue="h/7U5iwJm7DLR4tRVfwZYw==" spinCount="100000" sqref="GC717" name="Rango2_33_17_4"/>
    <protectedRange algorithmName="SHA-512" hashValue="Rgskw+AQdeJ5qbJdarzTa3SCkJfDGziy0Uan5N0F3IWn/H3Z/e+VcB56R7Nes7MPxNHewNP1sSSucVjz3iTLeA==" saltValue="qKZH3DnwaZHBzy3cBZo1qQ==" spinCount="100000" sqref="GF717" name="Rango2_31_28_16_3"/>
    <protectedRange algorithmName="SHA-512" hashValue="Umj9+5Ys20VQPxBFtc6qE5LtKKSgPKwit+B8dd4XnEUaLfBM2ozpkEC4YxwK0SbBiAHDDex+pY+LomQ0lyuamQ==" saltValue="N2/MCRws+mmA+NXw0axolg==" spinCount="100000" sqref="GE717" name="Rango2_31_2_50_3"/>
    <protectedRange algorithmName="SHA-512" hashValue="EEHzbvEYwO1eufllBljOz0uf9BJ2ENtvOScQ7IsS321QhYbwKn7qhHKKP8cKj02rTDvVRMWvwQ1ZP0mZWsBprQ==" saltValue="CjXqBRFbKezlWOFV37MnDQ==" spinCount="100000" sqref="GN717" name="Rango2_30_2_16_2"/>
    <protectedRange algorithmName="SHA-512" hashValue="EEHzbvEYwO1eufllBljOz0uf9BJ2ENtvOScQ7IsS321QhYbwKn7qhHKKP8cKj02rTDvVRMWvwQ1ZP0mZWsBprQ==" saltValue="CjXqBRFbKezlWOFV37MnDQ==" spinCount="100000" sqref="GQ717:GR717" name="Rango2_30_2_33_2"/>
    <protectedRange algorithmName="SHA-512" hashValue="EEHzbvEYwO1eufllBljOz0uf9BJ2ENtvOScQ7IsS321QhYbwKn7qhHKKP8cKj02rTDvVRMWvwQ1ZP0mZWsBprQ==" saltValue="CjXqBRFbKezlWOFV37MnDQ==" spinCount="100000" sqref="GW717" name="Rango2_30_2_50_3"/>
    <protectedRange algorithmName="SHA-512" hashValue="q2z5hEFmXS0v2chiPTC/VCoDWNlnhp+Xe6Ybfxe48vIsnB/KTJQxJv+pFUnCXfZ9T6vyJopuqFFNROfQTW/JUw==" saltValue="IctfdGJb5tOTpq+KPi9vww==" spinCount="100000" sqref="ID717:IF717" name="Rango2_88_39_67_9"/>
    <protectedRange algorithmName="SHA-512" hashValue="9+DNppQbWrLYYUMoJ+lyQctV2bX3Vq9kZnegLbpjTLP49It2ovUbcartuoQTeXgP+TGpY//7mDH/UQlFCKDGiA==" saltValue="KUnni6YEm00anzSSvyLqQA==" spinCount="100000" sqref="EY718:FA718" name="Rango2_72_4"/>
    <protectedRange algorithmName="SHA-512" hashValue="9+DNppQbWrLYYUMoJ+lyQctV2bX3Vq9kZnegLbpjTLP49It2ovUbcartuoQTeXgP+TGpY//7mDH/UQlFCKDGiA==" saltValue="KUnni6YEm00anzSSvyLqQA==" spinCount="100000" sqref="EY719:FA719" name="Rango2_73_2"/>
    <protectedRange algorithmName="SHA-512" hashValue="9+DNppQbWrLYYUMoJ+lyQctV2bX3Vq9kZnegLbpjTLP49It2ovUbcartuoQTeXgP+TGpY//7mDH/UQlFCKDGiA==" saltValue="KUnni6YEm00anzSSvyLqQA==" spinCount="100000" sqref="FC718" name="Rango2_98_5"/>
    <protectedRange algorithmName="SHA-512" hashValue="pL4tgTKqwEsWSIEGFTBd+4pvEhE7d5Q99Eijs+L/Y1rhA0saQGGRJw5Pv2HLOP0quglztFwB6WVnQ1YGxd4AiQ==" saltValue="IF5mhk2RcoEjrcYppes1VA==" spinCount="100000" sqref="FT718" name="Rango2_30_17_4"/>
    <protectedRange algorithmName="SHA-512" hashValue="pL4tgTKqwEsWSIEGFTBd+4pvEhE7d5Q99Eijs+L/Y1rhA0saQGGRJw5Pv2HLOP0quglztFwB6WVnQ1YGxd4AiQ==" saltValue="IF5mhk2RcoEjrcYppes1VA==" spinCount="100000" sqref="FT719" name="Rango2_30_18_2"/>
    <protectedRange algorithmName="SHA-512" hashValue="Umj9+5Ys20VQPxBFtc6qE5LtKKSgPKwit+B8dd4XnEUaLfBM2ozpkEC4YxwK0SbBiAHDDex+pY+LomQ0lyuamQ==" saltValue="N2/MCRws+mmA+NXw0axolg==" spinCount="100000" sqref="FY718" name="Rango2_31_2_16_3"/>
    <protectedRange algorithmName="SHA-512" hashValue="Umj9+5Ys20VQPxBFtc6qE5LtKKSgPKwit+B8dd4XnEUaLfBM2ozpkEC4YxwK0SbBiAHDDex+pY+LomQ0lyuamQ==" saltValue="N2/MCRws+mmA+NXw0axolg==" spinCount="100000" sqref="FY719" name="Rango2_31_2_17_1"/>
    <protectedRange algorithmName="SHA-512" hashValue="YXHanhqXL0e4jPrzkCF8r/22WmlCviFUW909WKuG1JOcU0mp0/Huh0aP3EaGYxV2ep0WGu48HsShAy4Ka2uOiw==" saltValue="h/7U5iwJm7DLR4tRVfwZYw==" spinCount="100000" sqref="GC718" name="Rango2_33_17_5"/>
    <protectedRange algorithmName="SHA-512" hashValue="YXHanhqXL0e4jPrzkCF8r/22WmlCviFUW909WKuG1JOcU0mp0/Huh0aP3EaGYxV2ep0WGu48HsShAy4Ka2uOiw==" saltValue="h/7U5iwJm7DLR4tRVfwZYw==" spinCount="100000" sqref="GC719" name="Rango2_33_18_5"/>
    <protectedRange algorithmName="SHA-512" hashValue="Rgskw+AQdeJ5qbJdarzTa3SCkJfDGziy0Uan5N0F3IWn/H3Z/e+VcB56R7Nes7MPxNHewNP1sSSucVjz3iTLeA==" saltValue="qKZH3DnwaZHBzy3cBZo1qQ==" spinCount="100000" sqref="GF718" name="Rango2_31_28_16_4"/>
    <protectedRange algorithmName="SHA-512" hashValue="Umj9+5Ys20VQPxBFtc6qE5LtKKSgPKwit+B8dd4XnEUaLfBM2ozpkEC4YxwK0SbBiAHDDex+pY+LomQ0lyuamQ==" saltValue="N2/MCRws+mmA+NXw0axolg==" spinCount="100000" sqref="GE718" name="Rango2_31_2_50_4"/>
    <protectedRange algorithmName="SHA-512" hashValue="Rgskw+AQdeJ5qbJdarzTa3SCkJfDGziy0Uan5N0F3IWn/H3Z/e+VcB56R7Nes7MPxNHewNP1sSSucVjz3iTLeA==" saltValue="qKZH3DnwaZHBzy3cBZo1qQ==" spinCount="100000" sqref="GF719" name="Rango2_31_28_17_2"/>
    <protectedRange algorithmName="SHA-512" hashValue="Umj9+5Ys20VQPxBFtc6qE5LtKKSgPKwit+B8dd4XnEUaLfBM2ozpkEC4YxwK0SbBiAHDDex+pY+LomQ0lyuamQ==" saltValue="N2/MCRws+mmA+NXw0axolg==" spinCount="100000" sqref="GE719" name="Rango2_31_2_51_2"/>
    <protectedRange algorithmName="SHA-512" hashValue="EEHzbvEYwO1eufllBljOz0uf9BJ2ENtvOScQ7IsS321QhYbwKn7qhHKKP8cKj02rTDvVRMWvwQ1ZP0mZWsBprQ==" saltValue="CjXqBRFbKezlWOFV37MnDQ==" spinCount="100000" sqref="GN718" name="Rango2_30_2_16_3"/>
    <protectedRange algorithmName="SHA-512" hashValue="EEHzbvEYwO1eufllBljOz0uf9BJ2ENtvOScQ7IsS321QhYbwKn7qhHKKP8cKj02rTDvVRMWvwQ1ZP0mZWsBprQ==" saltValue="CjXqBRFbKezlWOFV37MnDQ==" spinCount="100000" sqref="GN719" name="Rango2_30_2_17_1"/>
    <protectedRange algorithmName="SHA-512" hashValue="EEHzbvEYwO1eufllBljOz0uf9BJ2ENtvOScQ7IsS321QhYbwKn7qhHKKP8cKj02rTDvVRMWvwQ1ZP0mZWsBprQ==" saltValue="CjXqBRFbKezlWOFV37MnDQ==" spinCount="100000" sqref="GQ718:GR718" name="Rango2_30_2_33_3"/>
    <protectedRange algorithmName="SHA-512" hashValue="EEHzbvEYwO1eufllBljOz0uf9BJ2ENtvOScQ7IsS321QhYbwKn7qhHKKP8cKj02rTDvVRMWvwQ1ZP0mZWsBprQ==" saltValue="CjXqBRFbKezlWOFV37MnDQ==" spinCount="100000" sqref="GQ719:GR719" name="Rango2_30_2_34_1"/>
    <protectedRange algorithmName="SHA-512" hashValue="EEHzbvEYwO1eufllBljOz0uf9BJ2ENtvOScQ7IsS321QhYbwKn7qhHKKP8cKj02rTDvVRMWvwQ1ZP0mZWsBprQ==" saltValue="CjXqBRFbKezlWOFV37MnDQ==" spinCount="100000" sqref="GW718" name="Rango2_30_2_50_4"/>
    <protectedRange algorithmName="SHA-512" hashValue="EEHzbvEYwO1eufllBljOz0uf9BJ2ENtvOScQ7IsS321QhYbwKn7qhHKKP8cKj02rTDvVRMWvwQ1ZP0mZWsBprQ==" saltValue="CjXqBRFbKezlWOFV37MnDQ==" spinCount="100000" sqref="GW719" name="Rango2_30_2_51_2"/>
    <protectedRange algorithmName="SHA-512" hashValue="q2z5hEFmXS0v2chiPTC/VCoDWNlnhp+Xe6Ybfxe48vIsnB/KTJQxJv+pFUnCXfZ9T6vyJopuqFFNROfQTW/JUw==" saltValue="IctfdGJb5tOTpq+KPi9vww==" spinCount="100000" sqref="ID718:IF718" name="Rango2_88_39_67_10"/>
    <protectedRange algorithmName="SHA-512" hashValue="q2z5hEFmXS0v2chiPTC/VCoDWNlnhp+Xe6Ybfxe48vIsnB/KTJQxJv+pFUnCXfZ9T6vyJopuqFFNROfQTW/JUw==" saltValue="IctfdGJb5tOTpq+KPi9vww==" spinCount="100000" sqref="ID719:IF719" name="Rango2_88_39_68_1"/>
    <protectedRange algorithmName="SHA-512" hashValue="9+DNppQbWrLYYUMoJ+lyQctV2bX3Vq9kZnegLbpjTLP49It2ovUbcartuoQTeXgP+TGpY//7mDH/UQlFCKDGiA==" saltValue="KUnni6YEm00anzSSvyLqQA==" spinCount="100000" sqref="EY720:FA720" name="Rango2_73_3"/>
    <protectedRange algorithmName="SHA-512" hashValue="pL4tgTKqwEsWSIEGFTBd+4pvEhE7d5Q99Eijs+L/Y1rhA0saQGGRJw5Pv2HLOP0quglztFwB6WVnQ1YGxd4AiQ==" saltValue="IF5mhk2RcoEjrcYppes1VA==" spinCount="100000" sqref="FT720" name="Rango2_30_18_3"/>
    <protectedRange algorithmName="SHA-512" hashValue="Umj9+5Ys20VQPxBFtc6qE5LtKKSgPKwit+B8dd4XnEUaLfBM2ozpkEC4YxwK0SbBiAHDDex+pY+LomQ0lyuamQ==" saltValue="N2/MCRws+mmA+NXw0axolg==" spinCount="100000" sqref="FY720" name="Rango2_31_2_17_2"/>
    <protectedRange algorithmName="SHA-512" hashValue="Rgskw+AQdeJ5qbJdarzTa3SCkJfDGziy0Uan5N0F3IWn/H3Z/e+VcB56R7Nes7MPxNHewNP1sSSucVjz3iTLeA==" saltValue="qKZH3DnwaZHBzy3cBZo1qQ==" spinCount="100000" sqref="GF720" name="Rango2_31_28_17_3"/>
    <protectedRange algorithmName="SHA-512" hashValue="Umj9+5Ys20VQPxBFtc6qE5LtKKSgPKwit+B8dd4XnEUaLfBM2ozpkEC4YxwK0SbBiAHDDex+pY+LomQ0lyuamQ==" saltValue="N2/MCRws+mmA+NXw0axolg==" spinCount="100000" sqref="GE720" name="Rango2_31_2_51_3"/>
    <protectedRange algorithmName="SHA-512" hashValue="EEHzbvEYwO1eufllBljOz0uf9BJ2ENtvOScQ7IsS321QhYbwKn7qhHKKP8cKj02rTDvVRMWvwQ1ZP0mZWsBprQ==" saltValue="CjXqBRFbKezlWOFV37MnDQ==" spinCount="100000" sqref="GN720" name="Rango2_30_2_17_2"/>
    <protectedRange algorithmName="SHA-512" hashValue="EEHzbvEYwO1eufllBljOz0uf9BJ2ENtvOScQ7IsS321QhYbwKn7qhHKKP8cKj02rTDvVRMWvwQ1ZP0mZWsBprQ==" saltValue="CjXqBRFbKezlWOFV37MnDQ==" spinCount="100000" sqref="GQ720:GR720" name="Rango2_30_2_34_2"/>
    <protectedRange algorithmName="SHA-512" hashValue="EEHzbvEYwO1eufllBljOz0uf9BJ2ENtvOScQ7IsS321QhYbwKn7qhHKKP8cKj02rTDvVRMWvwQ1ZP0mZWsBprQ==" saltValue="CjXqBRFbKezlWOFV37MnDQ==" spinCount="100000" sqref="GW720" name="Rango2_30_2_51_3"/>
    <protectedRange algorithmName="SHA-512" hashValue="q2z5hEFmXS0v2chiPTC/VCoDWNlnhp+Xe6Ybfxe48vIsnB/KTJQxJv+pFUnCXfZ9T6vyJopuqFFNROfQTW/JUw==" saltValue="IctfdGJb5tOTpq+KPi9vww==" spinCount="100000" sqref="ID720:IF720" name="Rango2_88_39_68_2"/>
    <protectedRange algorithmName="SHA-512" hashValue="9+DNppQbWrLYYUMoJ+lyQctV2bX3Vq9kZnegLbpjTLP49It2ovUbcartuoQTeXgP+TGpY//7mDH/UQlFCKDGiA==" saltValue="KUnni6YEm00anzSSvyLqQA==" spinCount="100000" sqref="EY721:FA721" name="Rango2_73_4"/>
    <protectedRange algorithmName="SHA-512" hashValue="pL4tgTKqwEsWSIEGFTBd+4pvEhE7d5Q99Eijs+L/Y1rhA0saQGGRJw5Pv2HLOP0quglztFwB6WVnQ1YGxd4AiQ==" saltValue="IF5mhk2RcoEjrcYppes1VA==" spinCount="100000" sqref="FT721" name="Rango2_30_18_4"/>
    <protectedRange algorithmName="SHA-512" hashValue="Umj9+5Ys20VQPxBFtc6qE5LtKKSgPKwit+B8dd4XnEUaLfBM2ozpkEC4YxwK0SbBiAHDDex+pY+LomQ0lyuamQ==" saltValue="N2/MCRws+mmA+NXw0axolg==" spinCount="100000" sqref="FY721" name="Rango2_31_2_17_3"/>
    <protectedRange algorithmName="SHA-512" hashValue="YXHanhqXL0e4jPrzkCF8r/22WmlCviFUW909WKuG1JOcU0mp0/Huh0aP3EaGYxV2ep0WGu48HsShAy4Ka2uOiw==" saltValue="h/7U5iwJm7DLR4tRVfwZYw==" spinCount="100000" sqref="GC721" name="Rango2_33_18_6"/>
    <protectedRange algorithmName="SHA-512" hashValue="Rgskw+AQdeJ5qbJdarzTa3SCkJfDGziy0Uan5N0F3IWn/H3Z/e+VcB56R7Nes7MPxNHewNP1sSSucVjz3iTLeA==" saltValue="qKZH3DnwaZHBzy3cBZo1qQ==" spinCount="100000" sqref="GF721" name="Rango2_31_28_17_4"/>
    <protectedRange algorithmName="SHA-512" hashValue="Umj9+5Ys20VQPxBFtc6qE5LtKKSgPKwit+B8dd4XnEUaLfBM2ozpkEC4YxwK0SbBiAHDDex+pY+LomQ0lyuamQ==" saltValue="N2/MCRws+mmA+NXw0axolg==" spinCount="100000" sqref="GE721" name="Rango2_31_2_51_4"/>
    <protectedRange algorithmName="SHA-512" hashValue="EEHzbvEYwO1eufllBljOz0uf9BJ2ENtvOScQ7IsS321QhYbwKn7qhHKKP8cKj02rTDvVRMWvwQ1ZP0mZWsBprQ==" saltValue="CjXqBRFbKezlWOFV37MnDQ==" spinCount="100000" sqref="GN721" name="Rango2_30_2_17_3"/>
    <protectedRange algorithmName="SHA-512" hashValue="EEHzbvEYwO1eufllBljOz0uf9BJ2ENtvOScQ7IsS321QhYbwKn7qhHKKP8cKj02rTDvVRMWvwQ1ZP0mZWsBprQ==" saltValue="CjXqBRFbKezlWOFV37MnDQ==" spinCount="100000" sqref="GQ721:GR721" name="Rango2_30_2_34_3"/>
    <protectedRange algorithmName="SHA-512" hashValue="EEHzbvEYwO1eufllBljOz0uf9BJ2ENtvOScQ7IsS321QhYbwKn7qhHKKP8cKj02rTDvVRMWvwQ1ZP0mZWsBprQ==" saltValue="CjXqBRFbKezlWOFV37MnDQ==" spinCount="100000" sqref="GW721" name="Rango2_30_2_51_4"/>
    <protectedRange algorithmName="SHA-512" hashValue="q2z5hEFmXS0v2chiPTC/VCoDWNlnhp+Xe6Ybfxe48vIsnB/KTJQxJv+pFUnCXfZ9T6vyJopuqFFNROfQTW/JUw==" saltValue="IctfdGJb5tOTpq+KPi9vww==" spinCount="100000" sqref="ID721:IF721" name="Rango2_88_39_68_3"/>
    <protectedRange algorithmName="SHA-512" hashValue="pL4tgTKqwEsWSIEGFTBd+4pvEhE7d5Q99Eijs+L/Y1rhA0saQGGRJw5Pv2HLOP0quglztFwB6WVnQ1YGxd4AiQ==" saltValue="IF5mhk2RcoEjrcYppes1VA==" spinCount="100000" sqref="FT722" name="Rango2_30_18_5"/>
    <protectedRange algorithmName="SHA-512" hashValue="Umj9+5Ys20VQPxBFtc6qE5LtKKSgPKwit+B8dd4XnEUaLfBM2ozpkEC4YxwK0SbBiAHDDex+pY+LomQ0lyuamQ==" saltValue="N2/MCRws+mmA+NXw0axolg==" spinCount="100000" sqref="FY722" name="Rango2_31_2_17_4"/>
    <protectedRange algorithmName="SHA-512" hashValue="YXHanhqXL0e4jPrzkCF8r/22WmlCviFUW909WKuG1JOcU0mp0/Huh0aP3EaGYxV2ep0WGu48HsShAy4Ka2uOiw==" saltValue="h/7U5iwJm7DLR4tRVfwZYw==" spinCount="100000" sqref="GC722" name="Rango2_33_18_7"/>
    <protectedRange algorithmName="SHA-512" hashValue="EEHzbvEYwO1eufllBljOz0uf9BJ2ENtvOScQ7IsS321QhYbwKn7qhHKKP8cKj02rTDvVRMWvwQ1ZP0mZWsBprQ==" saltValue="CjXqBRFbKezlWOFV37MnDQ==" spinCount="100000" sqref="GN722" name="Rango2_30_2_17_4"/>
    <protectedRange algorithmName="SHA-512" hashValue="EEHzbvEYwO1eufllBljOz0uf9BJ2ENtvOScQ7IsS321QhYbwKn7qhHKKP8cKj02rTDvVRMWvwQ1ZP0mZWsBprQ==" saltValue="CjXqBRFbKezlWOFV37MnDQ==" spinCount="100000" sqref="GQ722:GR722" name="Rango2_30_2_34_4"/>
    <protectedRange algorithmName="SHA-512" hashValue="EEHzbvEYwO1eufllBljOz0uf9BJ2ENtvOScQ7IsS321QhYbwKn7qhHKKP8cKj02rTDvVRMWvwQ1ZP0mZWsBprQ==" saltValue="CjXqBRFbKezlWOFV37MnDQ==" spinCount="100000" sqref="GW722" name="Rango2_30_2_51_5"/>
    <protectedRange algorithmName="SHA-512" hashValue="q2z5hEFmXS0v2chiPTC/VCoDWNlnhp+Xe6Ybfxe48vIsnB/KTJQxJv+pFUnCXfZ9T6vyJopuqFFNROfQTW/JUw==" saltValue="IctfdGJb5tOTpq+KPi9vww==" spinCount="100000" sqref="ID722:IF722" name="Rango2_88_39_68_4"/>
    <protectedRange algorithmName="SHA-512" hashValue="Umj9+5Ys20VQPxBFtc6qE5LtKKSgPKwit+B8dd4XnEUaLfBM2ozpkEC4YxwK0SbBiAHDDex+pY+LomQ0lyuamQ==" saltValue="N2/MCRws+mmA+NXw0axolg==" spinCount="100000" sqref="FY723" name="Rango2_31_2_17_5"/>
    <protectedRange algorithmName="SHA-512" hashValue="EEHzbvEYwO1eufllBljOz0uf9BJ2ENtvOScQ7IsS321QhYbwKn7qhHKKP8cKj02rTDvVRMWvwQ1ZP0mZWsBprQ==" saltValue="CjXqBRFbKezlWOFV37MnDQ==" spinCount="100000" sqref="GN723" name="Rango2_30_2_17_5"/>
    <protectedRange algorithmName="SHA-512" hashValue="EEHzbvEYwO1eufllBljOz0uf9BJ2ENtvOScQ7IsS321QhYbwKn7qhHKKP8cKj02rTDvVRMWvwQ1ZP0mZWsBprQ==" saltValue="CjXqBRFbKezlWOFV37MnDQ==" spinCount="100000" sqref="GQ723:GR723" name="Rango2_30_2_34_5"/>
    <protectedRange algorithmName="SHA-512" hashValue="EEHzbvEYwO1eufllBljOz0uf9BJ2ENtvOScQ7IsS321QhYbwKn7qhHKKP8cKj02rTDvVRMWvwQ1ZP0mZWsBprQ==" saltValue="CjXqBRFbKezlWOFV37MnDQ==" spinCount="100000" sqref="GW723" name="Rango2_30_2_51_6"/>
    <protectedRange algorithmName="SHA-512" hashValue="q2z5hEFmXS0v2chiPTC/VCoDWNlnhp+Xe6Ybfxe48vIsnB/KTJQxJv+pFUnCXfZ9T6vyJopuqFFNROfQTW/JUw==" saltValue="IctfdGJb5tOTpq+KPi9vww==" spinCount="100000" sqref="ID723:IF723" name="Rango2_88_39_68_5"/>
    <protectedRange algorithmName="SHA-512" hashValue="EMMPgE8t/az1rHHzaZAQIhz+GQV0k2O/tQGA96sJqEEMzz1efIRa4CcLzC7iY9CCscto3g7dwz41haOE28iXYg==" saltValue="CVzFsG4X4LXUMo7796PiDQ==" spinCount="100000" sqref="B731:B732" name="Rango2_10_39_1"/>
    <protectedRange algorithmName="SHA-512" hashValue="EMMPgE8t/az1rHHzaZAQIhz+GQV0k2O/tQGA96sJqEEMzz1efIRa4CcLzC7iY9CCscto3g7dwz41haOE28iXYg==" saltValue="CVzFsG4X4LXUMo7796PiDQ==" spinCount="100000" sqref="B733" name="Rango2_10_39_2"/>
    <protectedRange algorithmName="SHA-512" hashValue="EMMPgE8t/az1rHHzaZAQIhz+GQV0k2O/tQGA96sJqEEMzz1efIRa4CcLzC7iY9CCscto3g7dwz41haOE28iXYg==" saltValue="CVzFsG4X4LXUMo7796PiDQ==" spinCount="100000" sqref="B734" name="Rango2_10_39_3"/>
    <protectedRange algorithmName="SHA-512" hashValue="EMMPgE8t/az1rHHzaZAQIhz+GQV0k2O/tQGA96sJqEEMzz1efIRa4CcLzC7iY9CCscto3g7dwz41haOE28iXYg==" saltValue="CVzFsG4X4LXUMo7796PiDQ==" spinCount="100000" sqref="B735" name="Rango2_10_39_4"/>
    <protectedRange algorithmName="SHA-512" hashValue="EMMPgE8t/az1rHHzaZAQIhz+GQV0k2O/tQGA96sJqEEMzz1efIRa4CcLzC7iY9CCscto3g7dwz41haOE28iXYg==" saltValue="CVzFsG4X4LXUMo7796PiDQ==" spinCount="100000" sqref="B736" name="Rango2_10_39_5"/>
    <protectedRange algorithmName="SHA-512" hashValue="EMMPgE8t/az1rHHzaZAQIhz+GQV0k2O/tQGA96sJqEEMzz1efIRa4CcLzC7iY9CCscto3g7dwz41haOE28iXYg==" saltValue="CVzFsG4X4LXUMo7796PiDQ==" spinCount="100000" sqref="B737:B738" name="Rango2_10_39_6"/>
    <protectedRange algorithmName="SHA-512" hashValue="6a5oYwZw9WJcgjqXpleUXH8uaqNEuymPPpeOb7lKBc1WoM6IG/DNyDLWmj2lYwxnZO2yhl+B61kwrxD9m9AdhQ==" saltValue="tdNQPzLQd+n9Ww064QJIaQ==" spinCount="100000" sqref="I739" name="Rango2_61_19_1"/>
    <protectedRange algorithmName="SHA-512" hashValue="XM8+0Jh5zLWw02PI0Lt8dLqjTcW5ulySion19FAnruDN6QRp4UwcVqdfQxnOQAItgpWG7rNsELzjwy0iXOonxw==" saltValue="Sd4WFUedDfLKoMQTDrxJuQ==" spinCount="100000" sqref="K739" name="Rango2_88_4_4_20_1"/>
    <protectedRange algorithmName="SHA-512" hashValue="EMMPgE8t/az1rHHzaZAQIhz+GQV0k2O/tQGA96sJqEEMzz1efIRa4CcLzC7iY9CCscto3g7dwz41haOE28iXYg==" saltValue="CVzFsG4X4LXUMo7796PiDQ==" spinCount="100000" sqref="L739:M739 J739 B739 D739:H739" name="Rango2_10_77_1"/>
    <protectedRange algorithmName="SHA-512" hashValue="EMMPgE8t/az1rHHzaZAQIhz+GQV0k2O/tQGA96sJqEEMzz1efIRa4CcLzC7iY9CCscto3g7dwz41haOE28iXYg==" saltValue="CVzFsG4X4LXUMo7796PiDQ==" spinCount="100000" sqref="B741:B742" name="Rango2_10_39_7"/>
    <protectedRange algorithmName="SHA-512" hashValue="EMMPgE8t/az1rHHzaZAQIhz+GQV0k2O/tQGA96sJqEEMzz1efIRa4CcLzC7iY9CCscto3g7dwz41haOE28iXYg==" saltValue="CVzFsG4X4LXUMo7796PiDQ==" spinCount="100000" sqref="B743:B744" name="Rango2_10_39_8"/>
    <protectedRange algorithmName="SHA-512" hashValue="6a5oYwZw9WJcgjqXpleUXH8uaqNEuymPPpeOb7lKBc1WoM6IG/DNyDLWmj2lYwxnZO2yhl+B61kwrxD9m9AdhQ==" saltValue="tdNQPzLQd+n9Ww064QJIaQ==" spinCount="100000" sqref="I744" name="Rango2_61_13_1"/>
    <protectedRange algorithmName="SHA-512" hashValue="XM8+0Jh5zLWw02PI0Lt8dLqjTcW5ulySion19FAnruDN6QRp4UwcVqdfQxnOQAItgpWG7rNsELzjwy0iXOonxw==" saltValue="Sd4WFUedDfLKoMQTDrxJuQ==" spinCount="100000" sqref="K744" name="Rango2_88_4_4_14_2"/>
    <protectedRange algorithmName="SHA-512" hashValue="EMMPgE8t/az1rHHzaZAQIhz+GQV0k2O/tQGA96sJqEEMzz1efIRa4CcLzC7iY9CCscto3g7dwz41haOE28iXYg==" saltValue="CVzFsG4X4LXUMo7796PiDQ==" spinCount="100000" sqref="L744:M744 J744 D744:H744" name="Rango2_10_81_1"/>
    <protectedRange algorithmName="SHA-512" hashValue="EMMPgE8t/az1rHHzaZAQIhz+GQV0k2O/tQGA96sJqEEMzz1efIRa4CcLzC7iY9CCscto3g7dwz41haOE28iXYg==" saltValue="CVzFsG4X4LXUMo7796PiDQ==" spinCount="100000" sqref="B745" name="Rango2_10_51_2"/>
    <protectedRange algorithmName="SHA-512" hashValue="6a5oYwZw9WJcgjqXpleUXH8uaqNEuymPPpeOb7lKBc1WoM6IG/DNyDLWmj2lYwxnZO2yhl+B61kwrxD9m9AdhQ==" saltValue="tdNQPzLQd+n9Ww064QJIaQ==" spinCount="100000" sqref="I745" name="Rango2_61_13_2"/>
    <protectedRange algorithmName="SHA-512" hashValue="XM8+0Jh5zLWw02PI0Lt8dLqjTcW5ulySion19FAnruDN6QRp4UwcVqdfQxnOQAItgpWG7rNsELzjwy0iXOonxw==" saltValue="Sd4WFUedDfLKoMQTDrxJuQ==" spinCount="100000" sqref="K745" name="Rango2_88_4_4_14_3"/>
    <protectedRange algorithmName="SHA-512" hashValue="EMMPgE8t/az1rHHzaZAQIhz+GQV0k2O/tQGA96sJqEEMzz1efIRa4CcLzC7iY9CCscto3g7dwz41haOE28iXYg==" saltValue="CVzFsG4X4LXUMo7796PiDQ==" spinCount="100000" sqref="L745:M745 J745 D745:H745" name="Rango2_10_81_2"/>
    <protectedRange algorithmName="SHA-512" hashValue="EMMPgE8t/az1rHHzaZAQIhz+GQV0k2O/tQGA96sJqEEMzz1efIRa4CcLzC7iY9CCscto3g7dwz41haOE28iXYg==" saltValue="CVzFsG4X4LXUMo7796PiDQ==" spinCount="100000" sqref="B746" name="Rango2_10_51_3"/>
    <protectedRange algorithmName="SHA-512" hashValue="6a5oYwZw9WJcgjqXpleUXH8uaqNEuymPPpeOb7lKBc1WoM6IG/DNyDLWmj2lYwxnZO2yhl+B61kwrxD9m9AdhQ==" saltValue="tdNQPzLQd+n9Ww064QJIaQ==" spinCount="100000" sqref="I746" name="Rango2_61_29_1"/>
    <protectedRange algorithmName="SHA-512" hashValue="XM8+0Jh5zLWw02PI0Lt8dLqjTcW5ulySion19FAnruDN6QRp4UwcVqdfQxnOQAItgpWG7rNsELzjwy0iXOonxw==" saltValue="Sd4WFUedDfLKoMQTDrxJuQ==" spinCount="100000" sqref="K746" name="Rango2_88_4_4_30_1"/>
    <protectedRange algorithmName="SHA-512" hashValue="EMMPgE8t/az1rHHzaZAQIhz+GQV0k2O/tQGA96sJqEEMzz1efIRa4CcLzC7iY9CCscto3g7dwz41haOE28iXYg==" saltValue="CVzFsG4X4LXUMo7796PiDQ==" spinCount="100000" sqref="L746:M746 J746 D746:H746" name="Rango2_10_1_1_2"/>
    <protectedRange algorithmName="SHA-512" hashValue="EMMPgE8t/az1rHHzaZAQIhz+GQV0k2O/tQGA96sJqEEMzz1efIRa4CcLzC7iY9CCscto3g7dwz41haOE28iXYg==" saltValue="CVzFsG4X4LXUMo7796PiDQ==" spinCount="100000" sqref="B747" name="Rango2_10_39_9"/>
    <protectedRange algorithmName="SHA-512" hashValue="EMMPgE8t/az1rHHzaZAQIhz+GQV0k2O/tQGA96sJqEEMzz1efIRa4CcLzC7iY9CCscto3g7dwz41haOE28iXYg==" saltValue="CVzFsG4X4LXUMo7796PiDQ==" spinCount="100000" sqref="B748" name="Rango2_10_51_4"/>
    <protectedRange algorithmName="SHA-512" hashValue="6a5oYwZw9WJcgjqXpleUXH8uaqNEuymPPpeOb7lKBc1WoM6IG/DNyDLWmj2lYwxnZO2yhl+B61kwrxD9m9AdhQ==" saltValue="tdNQPzLQd+n9Ww064QJIaQ==" spinCount="100000" sqref="I748" name="Rango2_61_29_2"/>
    <protectedRange algorithmName="SHA-512" hashValue="XM8+0Jh5zLWw02PI0Lt8dLqjTcW5ulySion19FAnruDN6QRp4UwcVqdfQxnOQAItgpWG7rNsELzjwy0iXOonxw==" saltValue="Sd4WFUedDfLKoMQTDrxJuQ==" spinCount="100000" sqref="K748" name="Rango2_88_4_4_30_2"/>
    <protectedRange algorithmName="SHA-512" hashValue="EMMPgE8t/az1rHHzaZAQIhz+GQV0k2O/tQGA96sJqEEMzz1efIRa4CcLzC7iY9CCscto3g7dwz41haOE28iXYg==" saltValue="CVzFsG4X4LXUMo7796PiDQ==" spinCount="100000" sqref="L748:M748 J748 D748:H748" name="Rango2_10_1_1_3"/>
    <protectedRange algorithmName="SHA-512" hashValue="EMMPgE8t/az1rHHzaZAQIhz+GQV0k2O/tQGA96sJqEEMzz1efIRa4CcLzC7iY9CCscto3g7dwz41haOE28iXYg==" saltValue="CVzFsG4X4LXUMo7796PiDQ==" spinCount="100000" sqref="B749" name="Rango2_10_51_5"/>
    <protectedRange algorithmName="SHA-512" hashValue="6a5oYwZw9WJcgjqXpleUXH8uaqNEuymPPpeOb7lKBc1WoM6IG/DNyDLWmj2lYwxnZO2yhl+B61kwrxD9m9AdhQ==" saltValue="tdNQPzLQd+n9Ww064QJIaQ==" spinCount="100000" sqref="I749" name="Rango2_61_24_1"/>
    <protectedRange algorithmName="SHA-512" hashValue="XM8+0Jh5zLWw02PI0Lt8dLqjTcW5ulySion19FAnruDN6QRp4UwcVqdfQxnOQAItgpWG7rNsELzjwy0iXOonxw==" saltValue="Sd4WFUedDfLKoMQTDrxJuQ==" spinCount="100000" sqref="K749" name="Rango2_88_4_4_25_1"/>
    <protectedRange algorithmName="SHA-512" hashValue="EMMPgE8t/az1rHHzaZAQIhz+GQV0k2O/tQGA96sJqEEMzz1efIRa4CcLzC7iY9CCscto3g7dwz41haOE28iXYg==" saltValue="CVzFsG4X4LXUMo7796PiDQ==" spinCount="100000" sqref="L749:M749 J749 D749:H749" name="Rango2_10_53_2"/>
    <protectedRange sqref="I750" name="Rango2_61_1_1"/>
    <protectedRange sqref="K750" name="Rango2_88_4_4_1_1"/>
    <protectedRange sqref="L750:M750 J750 D750:H750" name="Rango2_10_1_4"/>
    <protectedRange algorithmName="SHA-512" hashValue="EMMPgE8t/az1rHHzaZAQIhz+GQV0k2O/tQGA96sJqEEMzz1efIRa4CcLzC7iY9CCscto3g7dwz41haOE28iXYg==" saltValue="CVzFsG4X4LXUMo7796PiDQ==" spinCount="100000" sqref="B750" name="Rango2_10_51_6"/>
    <protectedRange sqref="I751:I753" name="Rango2_61_1_2"/>
    <protectedRange sqref="K751:K753" name="Rango2_88_4_4_1_2"/>
    <protectedRange sqref="L751:M753 J751:J753 D751:H753" name="Rango2_10_1_5"/>
    <protectedRange algorithmName="SHA-512" hashValue="EMMPgE8t/az1rHHzaZAQIhz+GQV0k2O/tQGA96sJqEEMzz1efIRa4CcLzC7iY9CCscto3g7dwz41haOE28iXYg==" saltValue="CVzFsG4X4LXUMo7796PiDQ==" spinCount="100000" sqref="B752:B753" name="Rango2_10_39_10"/>
    <protectedRange algorithmName="SHA-512" hashValue="EMMPgE8t/az1rHHzaZAQIhz+GQV0k2O/tQGA96sJqEEMzz1efIRa4CcLzC7iY9CCscto3g7dwz41haOE28iXYg==" saltValue="CVzFsG4X4LXUMo7796PiDQ==" spinCount="100000" sqref="B751" name="Rango2_10_51_7"/>
    <protectedRange algorithmName="SHA-512" hashValue="EMMPgE8t/az1rHHzaZAQIhz+GQV0k2O/tQGA96sJqEEMzz1efIRa4CcLzC7iY9CCscto3g7dwz41haOE28iXYg==" saltValue="CVzFsG4X4LXUMo7796PiDQ==" spinCount="100000" sqref="B754" name="Rango2_10_39_11"/>
    <protectedRange sqref="I756" name="Rango2_61_1_3"/>
    <protectedRange sqref="K756" name="Rango2_88_4_4_1_3"/>
    <protectedRange sqref="D756:H756 J756 L756:M756" name="Rango2_10_1_6"/>
    <protectedRange algorithmName="SHA-512" hashValue="EMMPgE8t/az1rHHzaZAQIhz+GQV0k2O/tQGA96sJqEEMzz1efIRa4CcLzC7iY9CCscto3g7dwz41haOE28iXYg==" saltValue="CVzFsG4X4LXUMo7796PiDQ==" spinCount="100000" sqref="B756" name="Rango2_10_51_8"/>
    <protectedRange algorithmName="SHA-512" hashValue="RQ91b7oAw60DVtcgB2vRpial2kSdzJx5guGCTYUwXYkKrtrUHfiYnLf9R+SNpYXlJDYpyEJLhcWwP0EqNN86dQ==" saltValue="W3RbH3zrcY9sy39xNwXNxg==" spinCount="100000" sqref="BA739:BI739 BV739:BY739" name="Rango2_88_99_71_1"/>
    <protectedRange algorithmName="SHA-512" hashValue="fMbmUM1DQ7FuAPRNvFL5mPdHUYjQnlLFhkuaxvHguaqR7aWyDxcmJs0jLYQfQKY+oyhsMb4Lew4VL6i7um3/ew==" saltValue="ydaTm0CeH8+/cYqoL/AMaQ==" spinCount="100000" sqref="AU739 AW739:AZ739" name="Rango2_88_91_70_1"/>
    <protectedRange algorithmName="SHA-512" hashValue="CHipOQaT63FWw628cQcXXJRZlrbNZ7OgmnEbDx38UmmH7z19GRYEzXFiVOzHAy1OAaAbST7g2bHZHDKQp2qm3w==" saltValue="iRVuL+373yLHv0ZHzS9qog==" spinCount="100000" sqref="AG739:AH739 AJ739 AL739" name="Rango2_88_7_5_75_1"/>
    <protectedRange algorithmName="SHA-512" hashValue="NkG6oHuDGvGBEiLAAq8MEJHEfLQUMyjihfH+DBXhT+eQW0r1yri7tOJEFRM9nbOejjjXiviq9RFo7KB7wF+xJA==" saltValue="bpjB0AAANu2X/PeR3eiFkA==" spinCount="100000" sqref="AM739:AS739" name="Rango2_88_65_70_1"/>
    <protectedRange algorithmName="SHA-512" hashValue="fPHvtIAf3pQeZUoAI9C2/vdXMHBpqqEq+67P5Ypyu4+9IWqs3yc9TZcMWQ0THLxUwqseQPyVvakuYFtCwJHsxA==" saltValue="QHIogSs2PrwAfdqa9PAOFQ==" spinCount="100000" sqref="AC739" name="Rango2_88_5_5_19_1"/>
    <protectedRange algorithmName="SHA-512" hashValue="LEEeiU6pKqm7TAP46VGlz0q+evvFwpT/0iLpRuWuQ7MacbP0OGL1/FSmrIEOg2rb6M+Jla2bPbVWiGag27j87w==" saltValue="HEVt+pS5OloNDlqSnzGLLw==" spinCount="100000" sqref="AI739" name="Rango2_8_7_69_1"/>
    <protectedRange algorithmName="SHA-512" hashValue="q2z5hEFmXS0v2chiPTC/VCoDWNlnhp+Xe6Ybfxe48vIsnB/KTJQxJv+pFUnCXfZ9T6vyJopuqFFNROfQTW/JUw==" saltValue="IctfdGJb5tOTpq+KPi9vww==" spinCount="100000" sqref="AE739:AF739" name="Rango2_88_39_76_1"/>
    <protectedRange algorithmName="SHA-512" hashValue="AYYX88LSDB6RDNMvSqt0KPGWPjBqTk56tMxTOlv5QD61MGTKAAQnSnudvNDWPN0Bbllh2qRQC+P5uq7goxjdrw==" saltValue="i/iPMewnks1FoXYOjKMEVg==" spinCount="100000" sqref="AB739" name="Rango2_87_6_19_1"/>
    <protectedRange algorithmName="SHA-512" hashValue="NUll9P9xh7KbSfMYpMxsRZLfDw/y/AzW2LSWlpXVscBDqiAxmzo71xjs+a2lh+jRa7pceOC849slke4+ZKx8LA==" saltValue="8qbkKpQ+CiQuLnqgShNvXA==" spinCount="100000" sqref="T739" name="Rango2_88_6_20_1"/>
    <protectedRange algorithmName="SHA-512" hashValue="KHhv3JU/LRdRrRTxxkgFceEHPZ5UzadmpZRZR3zmQRnPvkUJZuanRafIJ+qde0IWwLZSvFIQDyUAHq6v6k7XIg==" saltValue="2GKG1kCzVNNcn+vbOPuhJA==" spinCount="100000" sqref="Q739" name="Rango2_2_5_15_1"/>
    <protectedRange algorithmName="SHA-512" hashValue="9+DNppQbWrLYYUMoJ+lyQctV2bX3Vq9kZnegLbpjTLP49It2ovUbcartuoQTeXgP+TGpY//7mDH/UQlFCKDGiA==" saltValue="KUnni6YEm00anzSSvyLqQA==" spinCount="100000" sqref="AD739" name="Rango2_48_1"/>
    <protectedRange algorithmName="SHA-512" hashValue="RQ91b7oAw60DVtcgB2vRpial2kSdzJx5guGCTYUwXYkKrtrUHfiYnLf9R+SNpYXlJDYpyEJLhcWwP0EqNN86dQ==" saltValue="W3RbH3zrcY9sy39xNwXNxg==" spinCount="100000" sqref="BA740:BI740" name="Rango2_88_99_18_2"/>
    <protectedRange algorithmName="SHA-512" hashValue="fMbmUM1DQ7FuAPRNvFL5mPdHUYjQnlLFhkuaxvHguaqR7aWyDxcmJs0jLYQfQKY+oyhsMb4Lew4VL6i7um3/ew==" saltValue="ydaTm0CeH8+/cYqoL/AMaQ==" spinCount="100000" sqref="AW740:AZ740" name="Rango2_88_91_18_1"/>
    <protectedRange algorithmName="SHA-512" hashValue="CHipOQaT63FWw628cQcXXJRZlrbNZ7OgmnEbDx38UmmH7z19GRYEzXFiVOzHAy1OAaAbST7g2bHZHDKQp2qm3w==" saltValue="iRVuL+373yLHv0ZHzS9qog==" spinCount="100000" sqref="AJ740 AG740:AH740 AL740" name="Rango2_88_7_5_19_3"/>
    <protectedRange algorithmName="SHA-512" hashValue="NkG6oHuDGvGBEiLAAq8MEJHEfLQUMyjihfH+DBXhT+eQW0r1yri7tOJEFRM9nbOejjjXiviq9RFo7KB7wF+xJA==" saltValue="bpjB0AAANu2X/PeR3eiFkA==" spinCount="100000" sqref="AM740:AQ740" name="Rango2_88_65_18_1"/>
    <protectedRange algorithmName="SHA-512" hashValue="LEEeiU6pKqm7TAP46VGlz0q+evvFwpT/0iLpRuWuQ7MacbP0OGL1/FSmrIEOg2rb6M+Jla2bPbVWiGag27j87w==" saltValue="HEVt+pS5OloNDlqSnzGLLw==" spinCount="100000" sqref="AI740" name="Rango2_8_7_18_1"/>
    <protectedRange algorithmName="SHA-512" hashValue="q2z5hEFmXS0v2chiPTC/VCoDWNlnhp+Xe6Ybfxe48vIsnB/KTJQxJv+pFUnCXfZ9T6vyJopuqFFNROfQTW/JUw==" saltValue="IctfdGJb5tOTpq+KPi9vww==" spinCount="100000" sqref="AE740:AF740" name="Rango2_88_39_20_1"/>
    <protectedRange algorithmName="SHA-512" hashValue="RQ91b7oAw60DVtcgB2vRpial2kSdzJx5guGCTYUwXYkKrtrUHfiYnLf9R+SNpYXlJDYpyEJLhcWwP0EqNN86dQ==" saltValue="W3RbH3zrcY9sy39xNwXNxg==" spinCount="100000" sqref="BA743:BI743" name="Rango2_88_99_56_1"/>
    <protectedRange algorithmName="SHA-512" hashValue="fMbmUM1DQ7FuAPRNvFL5mPdHUYjQnlLFhkuaxvHguaqR7aWyDxcmJs0jLYQfQKY+oyhsMb4Lew4VL6i7um3/ew==" saltValue="ydaTm0CeH8+/cYqoL/AMaQ==" spinCount="100000" sqref="AW743:AZ743" name="Rango2_88_91_56_1"/>
    <protectedRange algorithmName="SHA-512" hashValue="CHipOQaT63FWw628cQcXXJRZlrbNZ7OgmnEbDx38UmmH7z19GRYEzXFiVOzHAy1OAaAbST7g2bHZHDKQp2qm3w==" saltValue="iRVuL+373yLHv0ZHzS9qog==" spinCount="100000" sqref="AJ743 AG743:AH743 AL743" name="Rango2_88_7_5_57_1"/>
    <protectedRange algorithmName="SHA-512" hashValue="NkG6oHuDGvGBEiLAAq8MEJHEfLQUMyjihfH+DBXhT+eQW0r1yri7tOJEFRM9nbOejjjXiviq9RFo7KB7wF+xJA==" saltValue="bpjB0AAANu2X/PeR3eiFkA==" spinCount="100000" sqref="AM743:AQ743" name="Rango2_88_65_56_1"/>
    <protectedRange algorithmName="SHA-512" hashValue="LEEeiU6pKqm7TAP46VGlz0q+evvFwpT/0iLpRuWuQ7MacbP0OGL1/FSmrIEOg2rb6M+Jla2bPbVWiGag27j87w==" saltValue="HEVt+pS5OloNDlqSnzGLLw==" spinCount="100000" sqref="AI743" name="Rango2_8_7_56_1"/>
    <protectedRange algorithmName="SHA-512" hashValue="q2z5hEFmXS0v2chiPTC/VCoDWNlnhp+Xe6Ybfxe48vIsnB/KTJQxJv+pFUnCXfZ9T6vyJopuqFFNROfQTW/JUw==" saltValue="IctfdGJb5tOTpq+KPi9vww==" spinCount="100000" sqref="AE743:AF743" name="Rango2_88_39_70_1"/>
    <protectedRange algorithmName="SHA-512" hashValue="RQ91b7oAw60DVtcgB2vRpial2kSdzJx5guGCTYUwXYkKrtrUHfiYnLf9R+SNpYXlJDYpyEJLhcWwP0EqNN86dQ==" saltValue="W3RbH3zrcY9sy39xNwXNxg==" spinCount="100000" sqref="BA744:BI744 BV744:BY744" name="Rango2_88_99_68_1"/>
    <protectedRange algorithmName="SHA-512" hashValue="fMbmUM1DQ7FuAPRNvFL5mPdHUYjQnlLFhkuaxvHguaqR7aWyDxcmJs0jLYQfQKY+oyhsMb4Lew4VL6i7um3/ew==" saltValue="ydaTm0CeH8+/cYqoL/AMaQ==" spinCount="100000" sqref="AU744 AW744:AZ744" name="Rango2_88_91_67_1"/>
    <protectedRange algorithmName="SHA-512" hashValue="CHipOQaT63FWw628cQcXXJRZlrbNZ7OgmnEbDx38UmmH7z19GRYEzXFiVOzHAy1OAaAbST7g2bHZHDKQp2qm3w==" saltValue="iRVuL+373yLHv0ZHzS9qog==" spinCount="100000" sqref="AG744:AH744 AJ744 AL744" name="Rango2_88_7_5_72_1"/>
    <protectedRange algorithmName="SHA-512" hashValue="NkG6oHuDGvGBEiLAAq8MEJHEfLQUMyjihfH+DBXhT+eQW0r1yri7tOJEFRM9nbOejjjXiviq9RFo7KB7wF+xJA==" saltValue="bpjB0AAANu2X/PeR3eiFkA==" spinCount="100000" sqref="AM744:AS744" name="Rango2_88_65_67_1"/>
    <protectedRange algorithmName="SHA-512" hashValue="fPHvtIAf3pQeZUoAI9C2/vdXMHBpqqEq+67P5Ypyu4+9IWqs3yc9TZcMWQ0THLxUwqseQPyVvakuYFtCwJHsxA==" saltValue="QHIogSs2PrwAfdqa9PAOFQ==" spinCount="100000" sqref="AC744" name="Rango2_88_5_5_13_1"/>
    <protectedRange algorithmName="SHA-512" hashValue="LEEeiU6pKqm7TAP46VGlz0q+evvFwpT/0iLpRuWuQ7MacbP0OGL1/FSmrIEOg2rb6M+Jla2bPbVWiGag27j87w==" saltValue="HEVt+pS5OloNDlqSnzGLLw==" spinCount="100000" sqref="AI744" name="Rango2_8_7_66_1"/>
    <protectedRange algorithmName="SHA-512" hashValue="q2z5hEFmXS0v2chiPTC/VCoDWNlnhp+Xe6Ybfxe48vIsnB/KTJQxJv+pFUnCXfZ9T6vyJopuqFFNROfQTW/JUw==" saltValue="IctfdGJb5tOTpq+KPi9vww==" spinCount="100000" sqref="AE744:AF744" name="Rango2_88_39_73_1"/>
    <protectedRange algorithmName="SHA-512" hashValue="AYYX88LSDB6RDNMvSqt0KPGWPjBqTk56tMxTOlv5QD61MGTKAAQnSnudvNDWPN0Bbllh2qRQC+P5uq7goxjdrw==" saltValue="i/iPMewnks1FoXYOjKMEVg==" spinCount="100000" sqref="AB744" name="Rango2_87_6_13_1"/>
    <protectedRange algorithmName="SHA-512" hashValue="NUll9P9xh7KbSfMYpMxsRZLfDw/y/AzW2LSWlpXVscBDqiAxmzo71xjs+a2lh+jRa7pceOC849slke4+ZKx8LA==" saltValue="8qbkKpQ+CiQuLnqgShNvXA==" spinCount="100000" sqref="T744" name="Rango2_88_6_14_2"/>
    <protectedRange algorithmName="SHA-512" hashValue="KHhv3JU/LRdRrRTxxkgFceEHPZ5UzadmpZRZR3zmQRnPvkUJZuanRafIJ+qde0IWwLZSvFIQDyUAHq6v6k7XIg==" saltValue="2GKG1kCzVNNcn+vbOPuhJA==" spinCount="100000" sqref="Q744" name="Rango2_2_5_9_6"/>
    <protectedRange algorithmName="SHA-512" hashValue="RQ91b7oAw60DVtcgB2vRpial2kSdzJx5guGCTYUwXYkKrtrUHfiYnLf9R+SNpYXlJDYpyEJLhcWwP0EqNN86dQ==" saltValue="W3RbH3zrcY9sy39xNwXNxg==" spinCount="100000" sqref="BA745:BI745 BV745:BY745" name="Rango2_88_99_68_2"/>
    <protectedRange algorithmName="SHA-512" hashValue="fMbmUM1DQ7FuAPRNvFL5mPdHUYjQnlLFhkuaxvHguaqR7aWyDxcmJs0jLYQfQKY+oyhsMb4Lew4VL6i7um3/ew==" saltValue="ydaTm0CeH8+/cYqoL/AMaQ==" spinCount="100000" sqref="AU745 AW745:AZ745" name="Rango2_88_91_67_2"/>
    <protectedRange algorithmName="SHA-512" hashValue="CHipOQaT63FWw628cQcXXJRZlrbNZ7OgmnEbDx38UmmH7z19GRYEzXFiVOzHAy1OAaAbST7g2bHZHDKQp2qm3w==" saltValue="iRVuL+373yLHv0ZHzS9qog==" spinCount="100000" sqref="AG745:AH745 AJ745 AL745" name="Rango2_88_7_5_72_2"/>
    <protectedRange algorithmName="SHA-512" hashValue="NkG6oHuDGvGBEiLAAq8MEJHEfLQUMyjihfH+DBXhT+eQW0r1yri7tOJEFRM9nbOejjjXiviq9RFo7KB7wF+xJA==" saltValue="bpjB0AAANu2X/PeR3eiFkA==" spinCount="100000" sqref="AM745:AS745" name="Rango2_88_65_67_2"/>
    <protectedRange algorithmName="SHA-512" hashValue="fPHvtIAf3pQeZUoAI9C2/vdXMHBpqqEq+67P5Ypyu4+9IWqs3yc9TZcMWQ0THLxUwqseQPyVvakuYFtCwJHsxA==" saltValue="QHIogSs2PrwAfdqa9PAOFQ==" spinCount="100000" sqref="AC745" name="Rango2_88_5_5_13_2"/>
    <protectedRange algorithmName="SHA-512" hashValue="LEEeiU6pKqm7TAP46VGlz0q+evvFwpT/0iLpRuWuQ7MacbP0OGL1/FSmrIEOg2rb6M+Jla2bPbVWiGag27j87w==" saltValue="HEVt+pS5OloNDlqSnzGLLw==" spinCount="100000" sqref="AI745" name="Rango2_8_7_66_2"/>
    <protectedRange algorithmName="SHA-512" hashValue="q2z5hEFmXS0v2chiPTC/VCoDWNlnhp+Xe6Ybfxe48vIsnB/KTJQxJv+pFUnCXfZ9T6vyJopuqFFNROfQTW/JUw==" saltValue="IctfdGJb5tOTpq+KPi9vww==" spinCount="100000" sqref="AE745:AF745" name="Rango2_88_39_73_2"/>
    <protectedRange algorithmName="SHA-512" hashValue="AYYX88LSDB6RDNMvSqt0KPGWPjBqTk56tMxTOlv5QD61MGTKAAQnSnudvNDWPN0Bbllh2qRQC+P5uq7goxjdrw==" saltValue="i/iPMewnks1FoXYOjKMEVg==" spinCount="100000" sqref="AB745" name="Rango2_87_6_13_2"/>
    <protectedRange algorithmName="SHA-512" hashValue="NUll9P9xh7KbSfMYpMxsRZLfDw/y/AzW2LSWlpXVscBDqiAxmzo71xjs+a2lh+jRa7pceOC849slke4+ZKx8LA==" saltValue="8qbkKpQ+CiQuLnqgShNvXA==" spinCount="100000" sqref="T745" name="Rango2_88_6_14_3"/>
    <protectedRange algorithmName="SHA-512" hashValue="KHhv3JU/LRdRrRTxxkgFceEHPZ5UzadmpZRZR3zmQRnPvkUJZuanRafIJ+qde0IWwLZSvFIQDyUAHq6v6k7XIg==" saltValue="2GKG1kCzVNNcn+vbOPuhJA==" spinCount="100000" sqref="Q745" name="Rango2_2_5_9_7"/>
    <protectedRange algorithmName="SHA-512" hashValue="XZw03RosI/l0z9FxmTtF29EdZ7P+4+ybhqoaAAUmURojSR5XbGfjC4f2i8gMqfY+RI9JvfdCA6PSh9TduXfUxA==" saltValue="5TPtLq2WoiRSae/yaDPnTw==" spinCount="100000" sqref="O746" name="Rango2_99_9_3"/>
    <protectedRange algorithmName="SHA-512" hashValue="CHipOQaT63FWw628cQcXXJRZlrbNZ7OgmnEbDx38UmmH7z19GRYEzXFiVOzHAy1OAaAbST7g2bHZHDKQp2qm3w==" saltValue="iRVuL+373yLHv0ZHzS9qog==" spinCount="100000" sqref="AJ746 AG746:AH746" name="Rango2_88_7_5_16_4"/>
    <protectedRange algorithmName="SHA-512" hashValue="fPHvtIAf3pQeZUoAI9C2/vdXMHBpqqEq+67P5Ypyu4+9IWqs3yc9TZcMWQ0THLxUwqseQPyVvakuYFtCwJHsxA==" saltValue="QHIogSs2PrwAfdqa9PAOFQ==" spinCount="100000" sqref="AC746" name="Rango2_88_5_5_29_1"/>
    <protectedRange algorithmName="SHA-512" hashValue="LEEeiU6pKqm7TAP46VGlz0q+evvFwpT/0iLpRuWuQ7MacbP0OGL1/FSmrIEOg2rb6M+Jla2bPbVWiGag27j87w==" saltValue="HEVt+pS5OloNDlqSnzGLLw==" spinCount="100000" sqref="AI746" name="Rango2_8_7_15_1"/>
    <protectedRange algorithmName="SHA-512" hashValue="q2z5hEFmXS0v2chiPTC/VCoDWNlnhp+Xe6Ybfxe48vIsnB/KTJQxJv+pFUnCXfZ9T6vyJopuqFFNROfQTW/JUw==" saltValue="IctfdGJb5tOTpq+KPi9vww==" spinCount="100000" sqref="AE746:AF746" name="Rango2_88_39_17_7"/>
    <protectedRange algorithmName="SHA-512" hashValue="AYYX88LSDB6RDNMvSqt0KPGWPjBqTk56tMxTOlv5QD61MGTKAAQnSnudvNDWPN0Bbllh2qRQC+P5uq7goxjdrw==" saltValue="i/iPMewnks1FoXYOjKMEVg==" spinCount="100000" sqref="AB746" name="Rango2_87_6_30_1"/>
    <protectedRange algorithmName="SHA-512" hashValue="NUll9P9xh7KbSfMYpMxsRZLfDw/y/AzW2LSWlpXVscBDqiAxmzo71xjs+a2lh+jRa7pceOC849slke4+ZKx8LA==" saltValue="8qbkKpQ+CiQuLnqgShNvXA==" spinCount="100000" sqref="T746" name="Rango2_88_6_30_1"/>
    <protectedRange algorithmName="SHA-512" hashValue="KHhv3JU/LRdRrRTxxkgFceEHPZ5UzadmpZRZR3zmQRnPvkUJZuanRafIJ+qde0IWwLZSvFIQDyUAHq6v6k7XIg==" saltValue="2GKG1kCzVNNcn+vbOPuhJA==" spinCount="100000" sqref="Q746" name="Rango2_2_5_25_1"/>
    <protectedRange algorithmName="SHA-512" hashValue="XZw03RosI/l0z9FxmTtF29EdZ7P+4+ybhqoaAAUmURojSR5XbGfjC4f2i8gMqfY+RI9JvfdCA6PSh9TduXfUxA==" saltValue="5TPtLq2WoiRSae/yaDPnTw==" spinCount="100000" sqref="U746:AA746 R746:S746" name="Rango2_99_9_1_1"/>
    <protectedRange algorithmName="SHA-512" hashValue="9+DNppQbWrLYYUMoJ+lyQctV2bX3Vq9kZnegLbpjTLP49It2ovUbcartuoQTeXgP+TGpY//7mDH/UQlFCKDGiA==" saltValue="KUnni6YEm00anzSSvyLqQA==" spinCount="100000" sqref="AD746" name="Rango2_45_6"/>
    <protectedRange algorithmName="SHA-512" hashValue="RQ91b7oAw60DVtcgB2vRpial2kSdzJx5guGCTYUwXYkKrtrUHfiYnLf9R+SNpYXlJDYpyEJLhcWwP0EqNN86dQ==" saltValue="W3RbH3zrcY9sy39xNwXNxg==" spinCount="100000" sqref="BA746:BI746" name="Rango2_88_99_15_1"/>
    <protectedRange algorithmName="SHA-512" hashValue="fMbmUM1DQ7FuAPRNvFL5mPdHUYjQnlLFhkuaxvHguaqR7aWyDxcmJs0jLYQfQKY+oyhsMb4Lew4VL6i7um3/ew==" saltValue="ydaTm0CeH8+/cYqoL/AMaQ==" spinCount="100000" sqref="AW746:AZ746 AU746" name="Rango2_88_91_15_1"/>
    <protectedRange algorithmName="SHA-512" hashValue="CHipOQaT63FWw628cQcXXJRZlrbNZ7OgmnEbDx38UmmH7z19GRYEzXFiVOzHAy1OAaAbST7g2bHZHDKQp2qm3w==" saltValue="iRVuL+373yLHv0ZHzS9qog==" spinCount="100000" sqref="AL746" name="Rango2_88_7_5_16_1_1"/>
    <protectedRange algorithmName="SHA-512" hashValue="NkG6oHuDGvGBEiLAAq8MEJHEfLQUMyjihfH+DBXhT+eQW0r1yri7tOJEFRM9nbOejjjXiviq9RFo7KB7wF+xJA==" saltValue="bpjB0AAANu2X/PeR3eiFkA==" spinCount="100000" sqref="AM746:AS746" name="Rango2_88_65_15_1"/>
    <protectedRange algorithmName="SHA-512" hashValue="XZw03RosI/l0z9FxmTtF29EdZ7P+4+ybhqoaAAUmURojSR5XbGfjC4f2i8gMqfY+RI9JvfdCA6PSh9TduXfUxA==" saltValue="5TPtLq2WoiRSae/yaDPnTw==" spinCount="100000" sqref="BJ746:BK746 AV746 AT746" name="Rango2_99_9_2_1"/>
    <protectedRange algorithmName="SHA-512" hashValue="RQ91b7oAw60DVtcgB2vRpial2kSdzJx5guGCTYUwXYkKrtrUHfiYnLf9R+SNpYXlJDYpyEJLhcWwP0EqNN86dQ==" saltValue="W3RbH3zrcY9sy39xNwXNxg==" spinCount="100000" sqref="BV746:BY746" name="Rango2_88_99_15_1_1"/>
    <protectedRange algorithmName="SHA-512" hashValue="XZw03RosI/l0z9FxmTtF29EdZ7P+4+ybhqoaAAUmURojSR5XbGfjC4f2i8gMqfY+RI9JvfdCA6PSh9TduXfUxA==" saltValue="5TPtLq2WoiRSae/yaDPnTw==" spinCount="100000" sqref="BZ746:CB746 BR746:BU746" name="Rango2_99_9_3_1"/>
    <protectedRange algorithmName="SHA-512" hashValue="XZw03RosI/l0z9FxmTtF29EdZ7P+4+ybhqoaAAUmURojSR5XbGfjC4f2i8gMqfY+RI9JvfdCA6PSh9TduXfUxA==" saltValue="5TPtLq2WoiRSae/yaDPnTw==" spinCount="100000" sqref="CE746:CF746" name="Rango2_99_9_4"/>
    <protectedRange algorithmName="SHA-512" hashValue="XZw03RosI/l0z9FxmTtF29EdZ7P+4+ybhqoaAAUmURojSR5XbGfjC4f2i8gMqfY+RI9JvfdCA6PSh9TduXfUxA==" saltValue="5TPtLq2WoiRSae/yaDPnTw==" spinCount="100000" sqref="CJ746:CK746" name="Rango2_99_9_5"/>
    <protectedRange algorithmName="SHA-512" hashValue="XZw03RosI/l0z9FxmTtF29EdZ7P+4+ybhqoaAAUmURojSR5XbGfjC4f2i8gMqfY+RI9JvfdCA6PSh9TduXfUxA==" saltValue="5TPtLq2WoiRSae/yaDPnTw==" spinCount="100000" sqref="CP746:CQ746" name="Rango2_99_9_6"/>
    <protectedRange algorithmName="SHA-512" hashValue="XZw03RosI/l0z9FxmTtF29EdZ7P+4+ybhqoaAAUmURojSR5XbGfjC4f2i8gMqfY+RI9JvfdCA6PSh9TduXfUxA==" saltValue="5TPtLq2WoiRSae/yaDPnTw==" spinCount="100000" sqref="CS746:CT746" name="Rango2_99_9_7"/>
    <protectedRange algorithmName="SHA-512" hashValue="XZw03RosI/l0z9FxmTtF29EdZ7P+4+ybhqoaAAUmURojSR5XbGfjC4f2i8gMqfY+RI9JvfdCA6PSh9TduXfUxA==" saltValue="5TPtLq2WoiRSae/yaDPnTw==" spinCount="100000" sqref="CV746:CY746" name="Rango2_99_9_8"/>
    <protectedRange algorithmName="SHA-512" hashValue="XZw03RosI/l0z9FxmTtF29EdZ7P+4+ybhqoaAAUmURojSR5XbGfjC4f2i8gMqfY+RI9JvfdCA6PSh9TduXfUxA==" saltValue="5TPtLq2WoiRSae/yaDPnTw==" spinCount="100000" sqref="DA746:DL746" name="Rango2_99_9_9"/>
    <protectedRange algorithmName="SHA-512" hashValue="XZw03RosI/l0z9FxmTtF29EdZ7P+4+ybhqoaAAUmURojSR5XbGfjC4f2i8gMqfY+RI9JvfdCA6PSh9TduXfUxA==" saltValue="5TPtLq2WoiRSae/yaDPnTw==" spinCount="100000" sqref="CK747" name="Rango2_99_9_5_1"/>
    <protectedRange algorithmName="SHA-512" hashValue="XZw03RosI/l0z9FxmTtF29EdZ7P+4+ybhqoaAAUmURojSR5XbGfjC4f2i8gMqfY+RI9JvfdCA6PSh9TduXfUxA==" saltValue="5TPtLq2WoiRSae/yaDPnTw==" spinCount="100000" sqref="DF747:DL747" name="Rango2_99_9_9_1"/>
    <protectedRange algorithmName="SHA-512" hashValue="RQ91b7oAw60DVtcgB2vRpial2kSdzJx5guGCTYUwXYkKrtrUHfiYnLf9R+SNpYXlJDYpyEJLhcWwP0EqNN86dQ==" saltValue="W3RbH3zrcY9sy39xNwXNxg==" spinCount="100000" sqref="BA747:BI747" name="Rango2_88_99_70_1"/>
    <protectedRange algorithmName="SHA-512" hashValue="fMbmUM1DQ7FuAPRNvFL5mPdHUYjQnlLFhkuaxvHguaqR7aWyDxcmJs0jLYQfQKY+oyhsMb4Lew4VL6i7um3/ew==" saltValue="ydaTm0CeH8+/cYqoL/AMaQ==" spinCount="100000" sqref="AW747:AZ747" name="Rango2_88_91_69_1"/>
    <protectedRange algorithmName="SHA-512" hashValue="CHipOQaT63FWw628cQcXXJRZlrbNZ7OgmnEbDx38UmmH7z19GRYEzXFiVOzHAy1OAaAbST7g2bHZHDKQp2qm3w==" saltValue="iRVuL+373yLHv0ZHzS9qog==" spinCount="100000" sqref="AG747:AH747 AL747" name="Rango2_88_7_5_74_1"/>
    <protectedRange algorithmName="SHA-512" hashValue="NkG6oHuDGvGBEiLAAq8MEJHEfLQUMyjihfH+DBXhT+eQW0r1yri7tOJEFRM9nbOejjjXiviq9RFo7KB7wF+xJA==" saltValue="bpjB0AAANu2X/PeR3eiFkA==" spinCount="100000" sqref="AM747:AQ747" name="Rango2_88_65_69_1"/>
    <protectedRange algorithmName="SHA-512" hashValue="LEEeiU6pKqm7TAP46VGlz0q+evvFwpT/0iLpRuWuQ7MacbP0OGL1/FSmrIEOg2rb6M+Jla2bPbVWiGag27j87w==" saltValue="HEVt+pS5OloNDlqSnzGLLw==" spinCount="100000" sqref="AI747" name="Rango2_8_7_68_1"/>
    <protectedRange algorithmName="SHA-512" hashValue="q2z5hEFmXS0v2chiPTC/VCoDWNlnhp+Xe6Ybfxe48vIsnB/KTJQxJv+pFUnCXfZ9T6vyJopuqFFNROfQTW/JUw==" saltValue="IctfdGJb5tOTpq+KPi9vww==" spinCount="100000" sqref="AE747:AF747" name="Rango2_88_39_75_1"/>
    <protectedRange algorithmName="SHA-512" hashValue="XZw03RosI/l0z9FxmTtF29EdZ7P+4+ybhqoaAAUmURojSR5XbGfjC4f2i8gMqfY+RI9JvfdCA6PSh9TduXfUxA==" saltValue="5TPtLq2WoiRSae/yaDPnTw==" spinCount="100000" sqref="O748" name="Rango2_99_9_10"/>
    <protectedRange algorithmName="SHA-512" hashValue="CHipOQaT63FWw628cQcXXJRZlrbNZ7OgmnEbDx38UmmH7z19GRYEzXFiVOzHAy1OAaAbST7g2bHZHDKQp2qm3w==" saltValue="iRVuL+373yLHv0ZHzS9qog==" spinCount="100000" sqref="AJ748 AG748:AH748" name="Rango2_88_7_5_16_5"/>
    <protectedRange algorithmName="SHA-512" hashValue="fPHvtIAf3pQeZUoAI9C2/vdXMHBpqqEq+67P5Ypyu4+9IWqs3yc9TZcMWQ0THLxUwqseQPyVvakuYFtCwJHsxA==" saltValue="QHIogSs2PrwAfdqa9PAOFQ==" spinCount="100000" sqref="AC748" name="Rango2_88_5_5_29_2"/>
    <protectedRange algorithmName="SHA-512" hashValue="LEEeiU6pKqm7TAP46VGlz0q+evvFwpT/0iLpRuWuQ7MacbP0OGL1/FSmrIEOg2rb6M+Jla2bPbVWiGag27j87w==" saltValue="HEVt+pS5OloNDlqSnzGLLw==" spinCount="100000" sqref="AI748" name="Rango2_8_7_15_2"/>
    <protectedRange algorithmName="SHA-512" hashValue="q2z5hEFmXS0v2chiPTC/VCoDWNlnhp+Xe6Ybfxe48vIsnB/KTJQxJv+pFUnCXfZ9T6vyJopuqFFNROfQTW/JUw==" saltValue="IctfdGJb5tOTpq+KPi9vww==" spinCount="100000" sqref="AE748:AF748" name="Rango2_88_39_17_8"/>
    <protectedRange algorithmName="SHA-512" hashValue="AYYX88LSDB6RDNMvSqt0KPGWPjBqTk56tMxTOlv5QD61MGTKAAQnSnudvNDWPN0Bbllh2qRQC+P5uq7goxjdrw==" saltValue="i/iPMewnks1FoXYOjKMEVg==" spinCount="100000" sqref="AB748" name="Rango2_87_6_30_2"/>
    <protectedRange algorithmName="SHA-512" hashValue="NUll9P9xh7KbSfMYpMxsRZLfDw/y/AzW2LSWlpXVscBDqiAxmzo71xjs+a2lh+jRa7pceOC849slke4+ZKx8LA==" saltValue="8qbkKpQ+CiQuLnqgShNvXA==" spinCount="100000" sqref="T748" name="Rango2_88_6_30_2"/>
    <protectedRange algorithmName="SHA-512" hashValue="KHhv3JU/LRdRrRTxxkgFceEHPZ5UzadmpZRZR3zmQRnPvkUJZuanRafIJ+qde0IWwLZSvFIQDyUAHq6v6k7XIg==" saltValue="2GKG1kCzVNNcn+vbOPuhJA==" spinCount="100000" sqref="Q748" name="Rango2_2_5_25_2"/>
    <protectedRange algorithmName="SHA-512" hashValue="XZw03RosI/l0z9FxmTtF29EdZ7P+4+ybhqoaAAUmURojSR5XbGfjC4f2i8gMqfY+RI9JvfdCA6PSh9TduXfUxA==" saltValue="5TPtLq2WoiRSae/yaDPnTw==" spinCount="100000" sqref="U748:AA748 R748:S748" name="Rango2_99_9_1_2"/>
    <protectedRange algorithmName="SHA-512" hashValue="9+DNppQbWrLYYUMoJ+lyQctV2bX3Vq9kZnegLbpjTLP49It2ovUbcartuoQTeXgP+TGpY//7mDH/UQlFCKDGiA==" saltValue="KUnni6YEm00anzSSvyLqQA==" spinCount="100000" sqref="AD748" name="Rango2_45_7"/>
    <protectedRange algorithmName="SHA-512" hashValue="RQ91b7oAw60DVtcgB2vRpial2kSdzJx5guGCTYUwXYkKrtrUHfiYnLf9R+SNpYXlJDYpyEJLhcWwP0EqNN86dQ==" saltValue="W3RbH3zrcY9sy39xNwXNxg==" spinCount="100000" sqref="BA748:BI748" name="Rango2_88_99_15_2"/>
    <protectedRange algorithmName="SHA-512" hashValue="fMbmUM1DQ7FuAPRNvFL5mPdHUYjQnlLFhkuaxvHguaqR7aWyDxcmJs0jLYQfQKY+oyhsMb4Lew4VL6i7um3/ew==" saltValue="ydaTm0CeH8+/cYqoL/AMaQ==" spinCount="100000" sqref="AW748:AZ748 AU748" name="Rango2_88_91_15_2"/>
    <protectedRange algorithmName="SHA-512" hashValue="CHipOQaT63FWw628cQcXXJRZlrbNZ7OgmnEbDx38UmmH7z19GRYEzXFiVOzHAy1OAaAbST7g2bHZHDKQp2qm3w==" saltValue="iRVuL+373yLHv0ZHzS9qog==" spinCount="100000" sqref="AL748" name="Rango2_88_7_5_16_1_2"/>
    <protectedRange algorithmName="SHA-512" hashValue="NkG6oHuDGvGBEiLAAq8MEJHEfLQUMyjihfH+DBXhT+eQW0r1yri7tOJEFRM9nbOejjjXiviq9RFo7KB7wF+xJA==" saltValue="bpjB0AAANu2X/PeR3eiFkA==" spinCount="100000" sqref="AM748:AS748" name="Rango2_88_65_15_2"/>
    <protectedRange algorithmName="SHA-512" hashValue="XZw03RosI/l0z9FxmTtF29EdZ7P+4+ybhqoaAAUmURojSR5XbGfjC4f2i8gMqfY+RI9JvfdCA6PSh9TduXfUxA==" saltValue="5TPtLq2WoiRSae/yaDPnTw==" spinCount="100000" sqref="BJ748:BK748 AV748 AT748" name="Rango2_99_9_2_2"/>
    <protectedRange algorithmName="SHA-512" hashValue="RQ91b7oAw60DVtcgB2vRpial2kSdzJx5guGCTYUwXYkKrtrUHfiYnLf9R+SNpYXlJDYpyEJLhcWwP0EqNN86dQ==" saltValue="W3RbH3zrcY9sy39xNwXNxg==" spinCount="100000" sqref="BV748:BY748" name="Rango2_88_99_15_1_2"/>
    <protectedRange algorithmName="SHA-512" hashValue="XZw03RosI/l0z9FxmTtF29EdZ7P+4+ybhqoaAAUmURojSR5XbGfjC4f2i8gMqfY+RI9JvfdCA6PSh9TduXfUxA==" saltValue="5TPtLq2WoiRSae/yaDPnTw==" spinCount="100000" sqref="BZ748:CB748 BT748:BU748" name="Rango2_99_9_3_2"/>
    <protectedRange algorithmName="SHA-512" hashValue="XZw03RosI/l0z9FxmTtF29EdZ7P+4+ybhqoaAAUmURojSR5XbGfjC4f2i8gMqfY+RI9JvfdCA6PSh9TduXfUxA==" saltValue="5TPtLq2WoiRSae/yaDPnTw==" spinCount="100000" sqref="CE748:CF748" name="Rango2_99_9_4_1"/>
    <protectedRange algorithmName="SHA-512" hashValue="XZw03RosI/l0z9FxmTtF29EdZ7P+4+ybhqoaAAUmURojSR5XbGfjC4f2i8gMqfY+RI9JvfdCA6PSh9TduXfUxA==" saltValue="5TPtLq2WoiRSae/yaDPnTw==" spinCount="100000" sqref="CP748:CQ748" name="Rango2_99_9_6_1"/>
    <protectedRange algorithmName="SHA-512" hashValue="XZw03RosI/l0z9FxmTtF29EdZ7P+4+ybhqoaAAUmURojSR5XbGfjC4f2i8gMqfY+RI9JvfdCA6PSh9TduXfUxA==" saltValue="5TPtLq2WoiRSae/yaDPnTw==" spinCount="100000" sqref="CS748:CT748" name="Rango2_99_9_7_1"/>
    <protectedRange algorithmName="SHA-512" hashValue="XZw03RosI/l0z9FxmTtF29EdZ7P+4+ybhqoaAAUmURojSR5XbGfjC4f2i8gMqfY+RI9JvfdCA6PSh9TduXfUxA==" saltValue="5TPtLq2WoiRSae/yaDPnTw==" spinCount="100000" sqref="CV748:CY748" name="Rango2_99_9_8_1"/>
    <protectedRange algorithmName="SHA-512" hashValue="XZw03RosI/l0z9FxmTtF29EdZ7P+4+ybhqoaAAUmURojSR5XbGfjC4f2i8gMqfY+RI9JvfdCA6PSh9TduXfUxA==" saltValue="5TPtLq2WoiRSae/yaDPnTw==" spinCount="100000" sqref="DA748:DL748" name="Rango2_99_9_9_2"/>
    <protectedRange algorithmName="SHA-512" hashValue="XZw03RosI/l0z9FxmTtF29EdZ7P+4+ybhqoaAAUmURojSR5XbGfjC4f2i8gMqfY+RI9JvfdCA6PSh9TduXfUxA==" saltValue="5TPtLq2WoiRSae/yaDPnTw==" spinCount="100000" sqref="O749" name="Rango2_99_70_7"/>
    <protectedRange algorithmName="SHA-512" hashValue="CHipOQaT63FWw628cQcXXJRZlrbNZ7OgmnEbDx38UmmH7z19GRYEzXFiVOzHAy1OAaAbST7g2bHZHDKQp2qm3w==" saltValue="iRVuL+373yLHv0ZHzS9qog==" spinCount="100000" sqref="AG749:AH749 AJ749" name="Rango2_88_7_5_38_1"/>
    <protectedRange algorithmName="SHA-512" hashValue="fPHvtIAf3pQeZUoAI9C2/vdXMHBpqqEq+67P5Ypyu4+9IWqs3yc9TZcMWQ0THLxUwqseQPyVvakuYFtCwJHsxA==" saltValue="QHIogSs2PrwAfdqa9PAOFQ==" spinCount="100000" sqref="AC749" name="Rango2_88_5_5_24_1"/>
    <protectedRange algorithmName="SHA-512" hashValue="LEEeiU6pKqm7TAP46VGlz0q+evvFwpT/0iLpRuWuQ7MacbP0OGL1/FSmrIEOg2rb6M+Jla2bPbVWiGag27j87w==" saltValue="HEVt+pS5OloNDlqSnzGLLw==" spinCount="100000" sqref="AI749" name="Rango2_8_7_37_1"/>
    <protectedRange algorithmName="SHA-512" hashValue="q2z5hEFmXS0v2chiPTC/VCoDWNlnhp+Xe6Ybfxe48vIsnB/KTJQxJv+pFUnCXfZ9T6vyJopuqFFNROfQTW/JUw==" saltValue="IctfdGJb5tOTpq+KPi9vww==" spinCount="100000" sqref="AE749:AF749" name="Rango2_88_39_39_1"/>
    <protectedRange algorithmName="SHA-512" hashValue="AYYX88LSDB6RDNMvSqt0KPGWPjBqTk56tMxTOlv5QD61MGTKAAQnSnudvNDWPN0Bbllh2qRQC+P5uq7goxjdrw==" saltValue="i/iPMewnks1FoXYOjKMEVg==" spinCount="100000" sqref="AB749" name="Rango2_87_6_25_1"/>
    <protectedRange algorithmName="SHA-512" hashValue="NUll9P9xh7KbSfMYpMxsRZLfDw/y/AzW2LSWlpXVscBDqiAxmzo71xjs+a2lh+jRa7pceOC849slke4+ZKx8LA==" saltValue="8qbkKpQ+CiQuLnqgShNvXA==" spinCount="100000" sqref="T749" name="Rango2_88_6_25_1"/>
    <protectedRange algorithmName="SHA-512" hashValue="KHhv3JU/LRdRrRTxxkgFceEHPZ5UzadmpZRZR3zmQRnPvkUJZuanRafIJ+qde0IWwLZSvFIQDyUAHq6v6k7XIg==" saltValue="2GKG1kCzVNNcn+vbOPuhJA==" spinCount="100000" sqref="Q749" name="Rango2_2_5_20_1"/>
    <protectedRange algorithmName="SHA-512" hashValue="XZw03RosI/l0z9FxmTtF29EdZ7P+4+ybhqoaAAUmURojSR5XbGfjC4f2i8gMqfY+RI9JvfdCA6PSh9TduXfUxA==" saltValue="5TPtLq2WoiRSae/yaDPnTw==" spinCount="100000" sqref="U749:AA749 R749:S749" name="Rango2_99_70_1_1"/>
    <protectedRange algorithmName="SHA-512" hashValue="9+DNppQbWrLYYUMoJ+lyQctV2bX3Vq9kZnegLbpjTLP49It2ovUbcartuoQTeXgP+TGpY//7mDH/UQlFCKDGiA==" saltValue="KUnni6YEm00anzSSvyLqQA==" spinCount="100000" sqref="AD749" name="Rango2_76_6"/>
    <protectedRange algorithmName="SHA-512" hashValue="RQ91b7oAw60DVtcgB2vRpial2kSdzJx5guGCTYUwXYkKrtrUHfiYnLf9R+SNpYXlJDYpyEJLhcWwP0EqNN86dQ==" saltValue="W3RbH3zrcY9sy39xNwXNxg==" spinCount="100000" sqref="BA749:BI749" name="Rango2_88_99_37_1"/>
    <protectedRange algorithmName="SHA-512" hashValue="fMbmUM1DQ7FuAPRNvFL5mPdHUYjQnlLFhkuaxvHguaqR7aWyDxcmJs0jLYQfQKY+oyhsMb4Lew4VL6i7um3/ew==" saltValue="ydaTm0CeH8+/cYqoL/AMaQ==" spinCount="100000" sqref="AU749 AW749:AZ749" name="Rango2_88_91_37_1"/>
    <protectedRange algorithmName="SHA-512" hashValue="CHipOQaT63FWw628cQcXXJRZlrbNZ7OgmnEbDx38UmmH7z19GRYEzXFiVOzHAy1OAaAbST7g2bHZHDKQp2qm3w==" saltValue="iRVuL+373yLHv0ZHzS9qog==" spinCount="100000" sqref="AL749" name="Rango2_88_7_5_38_1_1"/>
    <protectedRange algorithmName="SHA-512" hashValue="NkG6oHuDGvGBEiLAAq8MEJHEfLQUMyjihfH+DBXhT+eQW0r1yri7tOJEFRM9nbOejjjXiviq9RFo7KB7wF+xJA==" saltValue="bpjB0AAANu2X/PeR3eiFkA==" spinCount="100000" sqref="AM749:AS749" name="Rango2_88_65_37_1"/>
    <protectedRange algorithmName="SHA-512" hashValue="XZw03RosI/l0z9FxmTtF29EdZ7P+4+ybhqoaAAUmURojSR5XbGfjC4f2i8gMqfY+RI9JvfdCA6PSh9TduXfUxA==" saltValue="5TPtLq2WoiRSae/yaDPnTw==" spinCount="100000" sqref="AT749 AV749 BJ749:BK749" name="Rango2_99_70_2_1"/>
    <protectedRange algorithmName="SHA-512" hashValue="RQ91b7oAw60DVtcgB2vRpial2kSdzJx5guGCTYUwXYkKrtrUHfiYnLf9R+SNpYXlJDYpyEJLhcWwP0EqNN86dQ==" saltValue="W3RbH3zrcY9sy39xNwXNxg==" spinCount="100000" sqref="BV749:BY749" name="Rango2_88_99_37_1_1"/>
    <protectedRange algorithmName="SHA-512" hashValue="XZw03RosI/l0z9FxmTtF29EdZ7P+4+ybhqoaAAUmURojSR5XbGfjC4f2i8gMqfY+RI9JvfdCA6PSh9TduXfUxA==" saltValue="5TPtLq2WoiRSae/yaDPnTw==" spinCount="100000" sqref="BR749:BU749 BZ749:CB749" name="Rango2_99_70_3_1"/>
    <protectedRange algorithmName="SHA-512" hashValue="XZw03RosI/l0z9FxmTtF29EdZ7P+4+ybhqoaAAUmURojSR5XbGfjC4f2i8gMqfY+RI9JvfdCA6PSh9TduXfUxA==" saltValue="5TPtLq2WoiRSae/yaDPnTw==" spinCount="100000" sqref="CE749:CF749" name="Rango2_99_70_4_1"/>
    <protectedRange algorithmName="SHA-512" hashValue="XZw03RosI/l0z9FxmTtF29EdZ7P+4+ybhqoaAAUmURojSR5XbGfjC4f2i8gMqfY+RI9JvfdCA6PSh9TduXfUxA==" saltValue="5TPtLq2WoiRSae/yaDPnTw==" spinCount="100000" sqref="CJ749" name="Rango2_99_70_5_1"/>
    <protectedRange algorithmName="SHA-512" hashValue="XZw03RosI/l0z9FxmTtF29EdZ7P+4+ybhqoaAAUmURojSR5XbGfjC4f2i8gMqfY+RI9JvfdCA6PSh9TduXfUxA==" saltValue="5TPtLq2WoiRSae/yaDPnTw==" spinCount="100000" sqref="CK749" name="Rango2_99_9_5_2"/>
    <protectedRange algorithmName="SHA-512" hashValue="XZw03RosI/l0z9FxmTtF29EdZ7P+4+ybhqoaAAUmURojSR5XbGfjC4f2i8gMqfY+RI9JvfdCA6PSh9TduXfUxA==" saltValue="5TPtLq2WoiRSae/yaDPnTw==" spinCount="100000" sqref="CP749:CQ749" name="Rango2_99_70_6_1"/>
    <protectedRange algorithmName="SHA-512" hashValue="XZw03RosI/l0z9FxmTtF29EdZ7P+4+ybhqoaAAUmURojSR5XbGfjC4f2i8gMqfY+RI9JvfdCA6PSh9TduXfUxA==" saltValue="5TPtLq2WoiRSae/yaDPnTw==" spinCount="100000" sqref="CS749:CT749" name="Rango2_99_70_7_1"/>
    <protectedRange algorithmName="SHA-512" hashValue="XZw03RosI/l0z9FxmTtF29EdZ7P+4+ybhqoaAAUmURojSR5XbGfjC4f2i8gMqfY+RI9JvfdCA6PSh9TduXfUxA==" saltValue="5TPtLq2WoiRSae/yaDPnTw==" spinCount="100000" sqref="CV749:CY749" name="Rango2_99_70_8"/>
    <protectedRange algorithmName="SHA-512" hashValue="XZw03RosI/l0z9FxmTtF29EdZ7P+4+ybhqoaAAUmURojSR5XbGfjC4f2i8gMqfY+RI9JvfdCA6PSh9TduXfUxA==" saltValue="5TPtLq2WoiRSae/yaDPnTw==" spinCount="100000" sqref="DA749:DL749" name="Rango2_99_70_9"/>
    <protectedRange sqref="O750" name="Rango2_99_1_1"/>
    <protectedRange sqref="AJ750 AG750:AH750" name="Rango2_88_7_5_1_1"/>
    <protectedRange sqref="AC750" name="Rango2_88_5_5_1_1"/>
    <protectedRange sqref="AI750" name="Rango2_8_7_1_1"/>
    <protectedRange sqref="AE750:AF750" name="Rango2_88_39_1_1"/>
    <protectedRange sqref="AB750" name="Rango2_87_6_1_1"/>
    <protectedRange sqref="T750" name="Rango2_88_6_1_1"/>
    <protectedRange sqref="Q750" name="Rango2_2_5_1_1"/>
    <protectedRange sqref="U750:AA750 R750:S750" name="Rango2_99_2_2"/>
    <protectedRange sqref="AD750" name="Rango2_16_1"/>
    <protectedRange sqref="BA750:BI750" name="Rango2_88_99_1_1"/>
    <protectedRange sqref="AU750 AW750:AZ750" name="Rango2_88_91_1_1"/>
    <protectedRange sqref="AL750" name="Rango2_88_7_5_62_1"/>
    <protectedRange sqref="AM750:AS750" name="Rango2_88_65_1_1"/>
    <protectedRange sqref="BJ750:BK750 AT750 AV750" name="Rango2_99_5_2"/>
    <protectedRange sqref="BV750:BY750" name="Rango2_88_99_2_2"/>
    <protectedRange sqref="BR750:BU750 BZ750:CB750" name="Rango2_99_6_5"/>
    <protectedRange sqref="CE750:CF750" name="Rango2_99_7_3"/>
    <protectedRange sqref="CJ750:CK750" name="Rango2_99_8_3"/>
    <protectedRange sqref="CP750:CQ750" name="Rango2_99_15_4"/>
    <protectedRange sqref="CS750:CT750" name="Rango2_99_16_4"/>
    <protectedRange sqref="CV750:CY750" name="Rango2_99_17_6"/>
    <protectedRange sqref="DA750:DL750" name="Rango2_99_18_5"/>
    <protectedRange sqref="O751:O753" name="Rango2_99_1_2"/>
    <protectedRange sqref="AJ751:AJ753 AG751:AH753" name="Rango2_88_7_5_1_2"/>
    <protectedRange sqref="AC751:AC753" name="Rango2_88_5_5_1_2"/>
    <protectedRange sqref="AI751:AI753" name="Rango2_8_7_1_2"/>
    <protectedRange sqref="AE751:AF753" name="Rango2_88_39_1_2"/>
    <protectedRange sqref="AB751:AB753" name="Rango2_87_6_1_2"/>
    <protectedRange sqref="T751:T753" name="Rango2_88_6_1_2"/>
    <protectedRange sqref="Q751:Q753" name="Rango2_2_5_1_2"/>
    <protectedRange sqref="U751:AA753 R751:S753" name="Rango2_99_2_3"/>
    <protectedRange sqref="AD751:AD753" name="Rango2_16_2"/>
    <protectedRange sqref="BA751:BI753" name="Rango2_88_99_1_2"/>
    <protectedRange sqref="AU751:AU753 AW751:AZ753" name="Rango2_88_91_1_2"/>
    <protectedRange sqref="AL751:AL753" name="Rango2_88_7_5_62_2"/>
    <protectedRange sqref="AM751:AS753" name="Rango2_88_65_1_2"/>
    <protectedRange sqref="BJ751:BK753 AT751:AT753 AV751:AV753" name="Rango2_99_5_3"/>
    <protectedRange sqref="BV751:BY753" name="Rango2_88_99_2_3"/>
    <protectedRange sqref="BR751:BU753 BZ751:CB753" name="Rango2_99_6_6"/>
    <protectedRange sqref="CE751:CE752 CE753:CF753" name="Rango2_99_7_4"/>
    <protectedRange algorithmName="SHA-512" hashValue="XZw03RosI/l0z9FxmTtF29EdZ7P+4+ybhqoaAAUmURojSR5XbGfjC4f2i8gMqfY+RI9JvfdCA6PSh9TduXfUxA==" saltValue="5TPtLq2WoiRSae/yaDPnTw==" spinCount="100000" sqref="CF751:CF752" name="Rango2_99_67_4"/>
    <protectedRange sqref="CJ751:CK753" name="Rango2_99_8_4"/>
    <protectedRange sqref="CP751:CQ753" name="Rango2_99_15_5"/>
    <protectedRange sqref="CS751:CT753" name="Rango2_99_16_5"/>
    <protectedRange sqref="CV751:CY753" name="Rango2_99_17_7"/>
    <protectedRange sqref="DA751:DL753" name="Rango2_99_18_6"/>
    <protectedRange algorithmName="SHA-512" hashValue="RQ91b7oAw60DVtcgB2vRpial2kSdzJx5guGCTYUwXYkKrtrUHfiYnLf9R+SNpYXlJDYpyEJLhcWwP0EqNN86dQ==" saltValue="W3RbH3zrcY9sy39xNwXNxg==" spinCount="100000" sqref="BA754:BI754" name="Rango2_88_99_67_1"/>
    <protectedRange algorithmName="SHA-512" hashValue="fMbmUM1DQ7FuAPRNvFL5mPdHUYjQnlLFhkuaxvHguaqR7aWyDxcmJs0jLYQfQKY+oyhsMb4Lew4VL6i7um3/ew==" saltValue="ydaTm0CeH8+/cYqoL/AMaQ==" spinCount="100000" sqref="AW754:AZ754" name="Rango2_88_91_66_1"/>
    <protectedRange algorithmName="SHA-512" hashValue="CHipOQaT63FWw628cQcXXJRZlrbNZ7OgmnEbDx38UmmH7z19GRYEzXFiVOzHAy1OAaAbST7g2bHZHDKQp2qm3w==" saltValue="iRVuL+373yLHv0ZHzS9qog==" spinCount="100000" sqref="AG754 AL754" name="Rango2_88_7_5_71_1"/>
    <protectedRange algorithmName="SHA-512" hashValue="NkG6oHuDGvGBEiLAAq8MEJHEfLQUMyjihfH+DBXhT+eQW0r1yri7tOJEFRM9nbOejjjXiviq9RFo7KB7wF+xJA==" saltValue="bpjB0AAANu2X/PeR3eiFkA==" spinCount="100000" sqref="AM754:AQ754" name="Rango2_88_65_66_1"/>
    <protectedRange algorithmName="SHA-512" hashValue="q2z5hEFmXS0v2chiPTC/VCoDWNlnhp+Xe6Ybfxe48vIsnB/KTJQxJv+pFUnCXfZ9T6vyJopuqFFNROfQTW/JUw==" saltValue="IctfdGJb5tOTpq+KPi9vww==" spinCount="100000" sqref="AE754" name="Rango2_88_39_72_1"/>
    <protectedRange sqref="O756" name="Rango2_99_1_3"/>
    <protectedRange sqref="AG756:AH756 AJ756" name="Rango2_88_7_5_1_3"/>
    <protectedRange sqref="AC756" name="Rango2_88_5_5_1_3"/>
    <protectedRange sqref="AI756" name="Rango2_8_7_1_3"/>
    <protectedRange sqref="AE756:AF756" name="Rango2_88_39_1_3"/>
    <protectedRange sqref="AB756" name="Rango2_87_6_1_3"/>
    <protectedRange sqref="T756" name="Rango2_88_6_1_3"/>
    <protectedRange sqref="Q756" name="Rango2_2_5_1_3"/>
    <protectedRange sqref="U756:AA756 R756:S756" name="Rango2_99_2_4"/>
    <protectedRange sqref="AD756" name="Rango2_16_3"/>
    <protectedRange sqref="BA756:BI756" name="Rango2_88_99_1_3"/>
    <protectedRange sqref="AW756:AZ756 AU756" name="Rango2_88_91_1_3"/>
    <protectedRange sqref="AL756" name="Rango2_88_7_5_62_3"/>
    <protectedRange sqref="AM756:AS756" name="Rango2_88_65_1_3"/>
    <protectedRange sqref="AV756 AT756 BJ756:BK756" name="Rango2_99_5_4"/>
    <protectedRange sqref="BV756:BY756" name="Rango2_88_99_2_4"/>
    <protectedRange sqref="BZ756:CB756 BR756:BU756" name="Rango2_99_6_7"/>
    <protectedRange sqref="CE756:CF756" name="Rango2_99_7_5"/>
    <protectedRange sqref="CJ756:CK756" name="Rango2_99_8_5"/>
    <protectedRange sqref="CP756:CQ756" name="Rango2_99_15_6"/>
    <protectedRange sqref="CS756:CT756" name="Rango2_99_16_6"/>
    <protectedRange sqref="CV756:CY756" name="Rango2_99_17_8"/>
    <protectedRange sqref="DA756:DL756" name="Rango2_99_18_7"/>
    <protectedRange algorithmName="SHA-512" hashValue="RQ91b7oAw60DVtcgB2vRpial2kSdzJx5guGCTYUwXYkKrtrUHfiYnLf9R+SNpYXlJDYpyEJLhcWwP0EqNN86dQ==" saltValue="W3RbH3zrcY9sy39xNwXNxg==" spinCount="100000" sqref="BA755:BI755" name="Rango2_88_99_65_1"/>
    <protectedRange algorithmName="SHA-512" hashValue="fMbmUM1DQ7FuAPRNvFL5mPdHUYjQnlLFhkuaxvHguaqR7aWyDxcmJs0jLYQfQKY+oyhsMb4Lew4VL6i7um3/ew==" saltValue="ydaTm0CeH8+/cYqoL/AMaQ==" spinCount="100000" sqref="AW755:AZ755" name="Rango2_88_91_64_1"/>
    <protectedRange algorithmName="SHA-512" hashValue="CHipOQaT63FWw628cQcXXJRZlrbNZ7OgmnEbDx38UmmH7z19GRYEzXFiVOzHAy1OAaAbST7g2bHZHDKQp2qm3w==" saltValue="iRVuL+373yLHv0ZHzS9qog==" spinCount="100000" sqref="AJ755 AG755:AH755 AL755" name="Rango2_88_7_5_69_1"/>
    <protectedRange algorithmName="SHA-512" hashValue="NkG6oHuDGvGBEiLAAq8MEJHEfLQUMyjihfH+DBXhT+eQW0r1yri7tOJEFRM9nbOejjjXiviq9RFo7KB7wF+xJA==" saltValue="bpjB0AAANu2X/PeR3eiFkA==" spinCount="100000" sqref="AM755:AQ755" name="Rango2_88_65_64_1"/>
    <protectedRange algorithmName="SHA-512" hashValue="LEEeiU6pKqm7TAP46VGlz0q+evvFwpT/0iLpRuWuQ7MacbP0OGL1/FSmrIEOg2rb6M+Jla2bPbVWiGag27j87w==" saltValue="HEVt+pS5OloNDlqSnzGLLw==" spinCount="100000" sqref="AI755" name="Rango2_8_7_64_1"/>
    <protectedRange algorithmName="SHA-512" hashValue="q2z5hEFmXS0v2chiPTC/VCoDWNlnhp+Xe6Ybfxe48vIsnB/KTJQxJv+pFUnCXfZ9T6vyJopuqFFNROfQTW/JUw==" saltValue="IctfdGJb5tOTpq+KPi9vww==" spinCount="100000" sqref="AE755:AF755" name="Rango2_88_39_60_2"/>
    <protectedRange algorithmName="SHA-512" hashValue="9+DNppQbWrLYYUMoJ+lyQctV2bX3Vq9kZnegLbpjTLP49It2ovUbcartuoQTeXgP+TGpY//7mDH/UQlFCKDGiA==" saltValue="KUnni6YEm00anzSSvyLqQA==" spinCount="100000" sqref="FN731:FN732" name="Rango2_20_4"/>
    <protectedRange algorithmName="SHA-512" hashValue="9+DNppQbWrLYYUMoJ+lyQctV2bX3Vq9kZnegLbpjTLP49It2ovUbcartuoQTeXgP+TGpY//7mDH/UQlFCKDGiA==" saltValue="KUnni6YEm00anzSSvyLqQA==" spinCount="100000" sqref="FK731:FK732" name="Rango2_19_3"/>
    <protectedRange algorithmName="SHA-512" hashValue="9+DNppQbWrLYYUMoJ+lyQctV2bX3Vq9kZnegLbpjTLP49It2ovUbcartuoQTeXgP+TGpY//7mDH/UQlFCKDGiA==" saltValue="KUnni6YEm00anzSSvyLqQA==" spinCount="100000" sqref="FH731:FH732" name="Rango2_18_4"/>
    <protectedRange algorithmName="SHA-512" hashValue="9+DNppQbWrLYYUMoJ+lyQctV2bX3Vq9kZnegLbpjTLP49It2ovUbcartuoQTeXgP+TGpY//7mDH/UQlFCKDGiA==" saltValue="KUnni6YEm00anzSSvyLqQA==" spinCount="100000" sqref="FE731:FE732" name="Rango2_17_3"/>
    <protectedRange algorithmName="SHA-512" hashValue="9+DNppQbWrLYYUMoJ+lyQctV2bX3Vq9kZnegLbpjTLP49It2ovUbcartuoQTeXgP+TGpY//7mDH/UQlFCKDGiA==" saltValue="KUnni6YEm00anzSSvyLqQA==" spinCount="100000" sqref="HD731:HI732" name="Rango2_15_3"/>
    <protectedRange algorithmName="SHA-512" hashValue="9+DNppQbWrLYYUMoJ+lyQctV2bX3Vq9kZnegLbpjTLP49It2ovUbcartuoQTeXgP+TGpY//7mDH/UQlFCKDGiA==" saltValue="KUnni6YEm00anzSSvyLqQA==" spinCount="100000" sqref="FN733" name="Rango2_20_5"/>
    <protectedRange algorithmName="SHA-512" hashValue="9+DNppQbWrLYYUMoJ+lyQctV2bX3Vq9kZnegLbpjTLP49It2ovUbcartuoQTeXgP+TGpY//7mDH/UQlFCKDGiA==" saltValue="KUnni6YEm00anzSSvyLqQA==" spinCount="100000" sqref="FK733" name="Rango2_19_4"/>
    <protectedRange algorithmName="SHA-512" hashValue="9+DNppQbWrLYYUMoJ+lyQctV2bX3Vq9kZnegLbpjTLP49It2ovUbcartuoQTeXgP+TGpY//7mDH/UQlFCKDGiA==" saltValue="KUnni6YEm00anzSSvyLqQA==" spinCount="100000" sqref="FH733" name="Rango2_18_5"/>
    <protectedRange algorithmName="SHA-512" hashValue="9+DNppQbWrLYYUMoJ+lyQctV2bX3Vq9kZnegLbpjTLP49It2ovUbcartuoQTeXgP+TGpY//7mDH/UQlFCKDGiA==" saltValue="KUnni6YEm00anzSSvyLqQA==" spinCount="100000" sqref="FE733" name="Rango2_17_4"/>
    <protectedRange algorithmName="SHA-512" hashValue="9+DNppQbWrLYYUMoJ+lyQctV2bX3Vq9kZnegLbpjTLP49It2ovUbcartuoQTeXgP+TGpY//7mDH/UQlFCKDGiA==" saltValue="KUnni6YEm00anzSSvyLqQA==" spinCount="100000" sqref="HD733:HI733" name="Rango2_15_4"/>
    <protectedRange algorithmName="SHA-512" hashValue="9+DNppQbWrLYYUMoJ+lyQctV2bX3Vq9kZnegLbpjTLP49It2ovUbcartuoQTeXgP+TGpY//7mDH/UQlFCKDGiA==" saltValue="KUnni6YEm00anzSSvyLqQA==" spinCount="100000" sqref="FN734" name="Rango2_20_6"/>
    <protectedRange algorithmName="SHA-512" hashValue="9+DNppQbWrLYYUMoJ+lyQctV2bX3Vq9kZnegLbpjTLP49It2ovUbcartuoQTeXgP+TGpY//7mDH/UQlFCKDGiA==" saltValue="KUnni6YEm00anzSSvyLqQA==" spinCount="100000" sqref="FK734" name="Rango2_19_5"/>
    <protectedRange algorithmName="SHA-512" hashValue="9+DNppQbWrLYYUMoJ+lyQctV2bX3Vq9kZnegLbpjTLP49It2ovUbcartuoQTeXgP+TGpY//7mDH/UQlFCKDGiA==" saltValue="KUnni6YEm00anzSSvyLqQA==" spinCount="100000" sqref="FH734" name="Rango2_18_6"/>
    <protectedRange algorithmName="SHA-512" hashValue="9+DNppQbWrLYYUMoJ+lyQctV2bX3Vq9kZnegLbpjTLP49It2ovUbcartuoQTeXgP+TGpY//7mDH/UQlFCKDGiA==" saltValue="KUnni6YEm00anzSSvyLqQA==" spinCount="100000" sqref="FE734" name="Rango2_17_5"/>
    <protectedRange algorithmName="SHA-512" hashValue="9+DNppQbWrLYYUMoJ+lyQctV2bX3Vq9kZnegLbpjTLP49It2ovUbcartuoQTeXgP+TGpY//7mDH/UQlFCKDGiA==" saltValue="KUnni6YEm00anzSSvyLqQA==" spinCount="100000" sqref="HD734:HI734" name="Rango2_15_5"/>
    <protectedRange algorithmName="SHA-512" hashValue="9+DNppQbWrLYYUMoJ+lyQctV2bX3Vq9kZnegLbpjTLP49It2ovUbcartuoQTeXgP+TGpY//7mDH/UQlFCKDGiA==" saltValue="KUnni6YEm00anzSSvyLqQA==" spinCount="100000" sqref="FN735" name="Rango2_20_7"/>
    <protectedRange algorithmName="SHA-512" hashValue="9+DNppQbWrLYYUMoJ+lyQctV2bX3Vq9kZnegLbpjTLP49It2ovUbcartuoQTeXgP+TGpY//7mDH/UQlFCKDGiA==" saltValue="KUnni6YEm00anzSSvyLqQA==" spinCount="100000" sqref="FK735" name="Rango2_19_6"/>
    <protectedRange algorithmName="SHA-512" hashValue="9+DNppQbWrLYYUMoJ+lyQctV2bX3Vq9kZnegLbpjTLP49It2ovUbcartuoQTeXgP+TGpY//7mDH/UQlFCKDGiA==" saltValue="KUnni6YEm00anzSSvyLqQA==" spinCount="100000" sqref="FH735" name="Rango2_18_12"/>
    <protectedRange algorithmName="SHA-512" hashValue="9+DNppQbWrLYYUMoJ+lyQctV2bX3Vq9kZnegLbpjTLP49It2ovUbcartuoQTeXgP+TGpY//7mDH/UQlFCKDGiA==" saltValue="KUnni6YEm00anzSSvyLqQA==" spinCount="100000" sqref="FE735" name="Rango2_17_6"/>
    <protectedRange algorithmName="SHA-512" hashValue="9+DNppQbWrLYYUMoJ+lyQctV2bX3Vq9kZnegLbpjTLP49It2ovUbcartuoQTeXgP+TGpY//7mDH/UQlFCKDGiA==" saltValue="KUnni6YEm00anzSSvyLqQA==" spinCount="100000" sqref="HD735:HI735" name="Rango2_15_6"/>
    <protectedRange algorithmName="SHA-512" hashValue="9+DNppQbWrLYYUMoJ+lyQctV2bX3Vq9kZnegLbpjTLP49It2ovUbcartuoQTeXgP+TGpY//7mDH/UQlFCKDGiA==" saltValue="KUnni6YEm00anzSSvyLqQA==" spinCount="100000" sqref="FN736" name="Rango2_20_8"/>
    <protectedRange algorithmName="SHA-512" hashValue="9+DNppQbWrLYYUMoJ+lyQctV2bX3Vq9kZnegLbpjTLP49It2ovUbcartuoQTeXgP+TGpY//7mDH/UQlFCKDGiA==" saltValue="KUnni6YEm00anzSSvyLqQA==" spinCount="100000" sqref="FK736" name="Rango2_19_7"/>
    <protectedRange algorithmName="SHA-512" hashValue="9+DNppQbWrLYYUMoJ+lyQctV2bX3Vq9kZnegLbpjTLP49It2ovUbcartuoQTeXgP+TGpY//7mDH/UQlFCKDGiA==" saltValue="KUnni6YEm00anzSSvyLqQA==" spinCount="100000" sqref="FH736" name="Rango2_18_13"/>
    <protectedRange algorithmName="SHA-512" hashValue="9+DNppQbWrLYYUMoJ+lyQctV2bX3Vq9kZnegLbpjTLP49It2ovUbcartuoQTeXgP+TGpY//7mDH/UQlFCKDGiA==" saltValue="KUnni6YEm00anzSSvyLqQA==" spinCount="100000" sqref="FE736" name="Rango2_17_7"/>
    <protectedRange algorithmName="SHA-512" hashValue="9+DNppQbWrLYYUMoJ+lyQctV2bX3Vq9kZnegLbpjTLP49It2ovUbcartuoQTeXgP+TGpY//7mDH/UQlFCKDGiA==" saltValue="KUnni6YEm00anzSSvyLqQA==" spinCount="100000" sqref="HD736:HI736" name="Rango2_15_7"/>
    <protectedRange algorithmName="SHA-512" hashValue="9+DNppQbWrLYYUMoJ+lyQctV2bX3Vq9kZnegLbpjTLP49It2ovUbcartuoQTeXgP+TGpY//7mDH/UQlFCKDGiA==" saltValue="KUnni6YEm00anzSSvyLqQA==" spinCount="100000" sqref="FN737:FN738" name="Rango2_20_9"/>
    <protectedRange algorithmName="SHA-512" hashValue="9+DNppQbWrLYYUMoJ+lyQctV2bX3Vq9kZnegLbpjTLP49It2ovUbcartuoQTeXgP+TGpY//7mDH/UQlFCKDGiA==" saltValue="KUnni6YEm00anzSSvyLqQA==" spinCount="100000" sqref="FK737:FK738" name="Rango2_19_8"/>
    <protectedRange algorithmName="SHA-512" hashValue="9+DNppQbWrLYYUMoJ+lyQctV2bX3Vq9kZnegLbpjTLP49It2ovUbcartuoQTeXgP+TGpY//7mDH/UQlFCKDGiA==" saltValue="KUnni6YEm00anzSSvyLqQA==" spinCount="100000" sqref="FH737:FH738" name="Rango2_18_14"/>
    <protectedRange algorithmName="SHA-512" hashValue="9+DNppQbWrLYYUMoJ+lyQctV2bX3Vq9kZnegLbpjTLP49It2ovUbcartuoQTeXgP+TGpY//7mDH/UQlFCKDGiA==" saltValue="KUnni6YEm00anzSSvyLqQA==" spinCount="100000" sqref="FE737:FE738" name="Rango2_17_8"/>
    <protectedRange algorithmName="SHA-512" hashValue="9+DNppQbWrLYYUMoJ+lyQctV2bX3Vq9kZnegLbpjTLP49It2ovUbcartuoQTeXgP+TGpY//7mDH/UQlFCKDGiA==" saltValue="KUnni6YEm00anzSSvyLqQA==" spinCount="100000" sqref="HD737:HI738" name="Rango2_15_8"/>
    <protectedRange algorithmName="SHA-512" hashValue="EEHzbvEYwO1eufllBljOz0uf9BJ2ENtvOScQ7IsS321QhYbwKn7qhHKKP8cKj02rTDvVRMWvwQ1ZP0mZWsBprQ==" saltValue="CjXqBRFbKezlWOFV37MnDQ==" spinCount="100000" sqref="GQ739:GR739 GW739 GN739" name="Rango2_30_2_16_4"/>
    <protectedRange algorithmName="SHA-512" hashValue="Rgskw+AQdeJ5qbJdarzTa3SCkJfDGziy0Uan5N0F3IWn/H3Z/e+VcB56R7Nes7MPxNHewNP1sSSucVjz3iTLeA==" saltValue="qKZH3DnwaZHBzy3cBZo1qQ==" spinCount="100000" sqref="GF739" name="Rango2_31_28_14_3"/>
    <protectedRange algorithmName="SHA-512" hashValue="Umj9+5Ys20VQPxBFtc6qE5LtKKSgPKwit+B8dd4XnEUaLfBM2ozpkEC4YxwK0SbBiAHDDex+pY+LomQ0lyuamQ==" saltValue="N2/MCRws+mmA+NXw0axolg==" spinCount="100000" sqref="GJ739 GH739 GE739 GL739 FY739" name="Rango2_31_2_15_1"/>
    <protectedRange algorithmName="SHA-512" hashValue="q2z5hEFmXS0v2chiPTC/VCoDWNlnhp+Xe6Ybfxe48vIsnB/KTJQxJv+pFUnCXfZ9T6vyJopuqFFNROfQTW/JUw==" saltValue="IctfdGJb5tOTpq+KPi9vww==" spinCount="100000" sqref="IA739 ID739:IJ739" name="Rango2_88_39_76_2"/>
    <protectedRange algorithmName="SHA-512" hashValue="YXHanhqXL0e4jPrzkCF8r/22WmlCviFUW909WKuG1JOcU0mp0/Huh0aP3EaGYxV2ep0WGu48HsShAy4Ka2uOiw==" saltValue="h/7U5iwJm7DLR4tRVfwZYw==" spinCount="100000" sqref="GI739 GC739" name="Rango2_33_21_6"/>
    <protectedRange algorithmName="SHA-512" hashValue="pL4tgTKqwEsWSIEGFTBd+4pvEhE7d5Q99Eijs+L/Y1rhA0saQGGRJw5Pv2HLOP0quglztFwB6WVnQ1YGxd4AiQ==" saltValue="IF5mhk2RcoEjrcYppes1VA==" spinCount="100000" sqref="FT739" name="Rango2_30_15_3"/>
    <protectedRange algorithmName="SHA-512" hashValue="9+DNppQbWrLYYUMoJ+lyQctV2bX3Vq9kZnegLbpjTLP49It2ovUbcartuoQTeXgP+TGpY//7mDH/UQlFCKDGiA==" saltValue="KUnni6YEm00anzSSvyLqQA==" spinCount="100000" sqref="FE739 GX739 EY739:FA739 FC739 FH739 FK739:FL739 EN739 FN739:FO739 HD739:HI739 HS739:HT739" name="Rango2_48_7"/>
    <protectedRange algorithmName="SHA-512" hashValue="XZw03RosI/l0z9FxmTtF29EdZ7P+4+ybhqoaAAUmURojSR5XbGfjC4f2i8gMqfY+RI9JvfdCA6PSh9TduXfUxA==" saltValue="5TPtLq2WoiRSae/yaDPnTw==" spinCount="100000" sqref="EI740" name="Rango2_99_14_18"/>
    <protectedRange algorithmName="SHA-512" hashValue="9+DNppQbWrLYYUMoJ+lyQctV2bX3Vq9kZnegLbpjTLP49It2ovUbcartuoQTeXgP+TGpY//7mDH/UQlFCKDGiA==" saltValue="KUnni6YEm00anzSSvyLqQA==" spinCount="100000" sqref="FN741:FN742" name="Rango2_20_10"/>
    <protectedRange algorithmName="SHA-512" hashValue="9+DNppQbWrLYYUMoJ+lyQctV2bX3Vq9kZnegLbpjTLP49It2ovUbcartuoQTeXgP+TGpY//7mDH/UQlFCKDGiA==" saltValue="KUnni6YEm00anzSSvyLqQA==" spinCount="100000" sqref="FK741:FK742" name="Rango2_19_9"/>
    <protectedRange algorithmName="SHA-512" hashValue="9+DNppQbWrLYYUMoJ+lyQctV2bX3Vq9kZnegLbpjTLP49It2ovUbcartuoQTeXgP+TGpY//7mDH/UQlFCKDGiA==" saltValue="KUnni6YEm00anzSSvyLqQA==" spinCount="100000" sqref="FH741:FH742" name="Rango2_18_15"/>
    <protectedRange algorithmName="SHA-512" hashValue="9+DNppQbWrLYYUMoJ+lyQctV2bX3Vq9kZnegLbpjTLP49It2ovUbcartuoQTeXgP+TGpY//7mDH/UQlFCKDGiA==" saltValue="KUnni6YEm00anzSSvyLqQA==" spinCount="100000" sqref="FE741:FE742" name="Rango2_17_9"/>
    <protectedRange algorithmName="SHA-512" hashValue="9+DNppQbWrLYYUMoJ+lyQctV2bX3Vq9kZnegLbpjTLP49It2ovUbcartuoQTeXgP+TGpY//7mDH/UQlFCKDGiA==" saltValue="KUnni6YEm00anzSSvyLqQA==" spinCount="100000" sqref="HD741:HI742" name="Rango2_15_9"/>
    <protectedRange sqref="EI742" name="Rango2_99_19_3"/>
    <protectedRange algorithmName="SHA-512" hashValue="XZw03RosI/l0z9FxmTtF29EdZ7P+4+ybhqoaAAUmURojSR5XbGfjC4f2i8gMqfY+RI9JvfdCA6PSh9TduXfUxA==" saltValue="5TPtLq2WoiRSae/yaDPnTw==" spinCount="100000" sqref="EH741" name="Rango2_99_80_1"/>
    <protectedRange algorithmName="SHA-512" hashValue="XZw03RosI/l0z9FxmTtF29EdZ7P+4+ybhqoaAAUmURojSR5XbGfjC4f2i8gMqfY+RI9JvfdCA6PSh9TduXfUxA==" saltValue="5TPtLq2WoiRSae/yaDPnTw==" spinCount="100000" sqref="HX743" name="Rango2_99_99_3"/>
    <protectedRange algorithmName="SHA-512" hashValue="EEHzbvEYwO1eufllBljOz0uf9BJ2ENtvOScQ7IsS321QhYbwKn7qhHKKP8cKj02rTDvVRMWvwQ1ZP0mZWsBprQ==" saltValue="CjXqBRFbKezlWOFV37MnDQ==" spinCount="100000" sqref="GQ744:GR744 GW744 GN744" name="Rango2_30_2_10_3"/>
    <protectedRange algorithmName="SHA-512" hashValue="Rgskw+AQdeJ5qbJdarzTa3SCkJfDGziy0Uan5N0F3IWn/H3Z/e+VcB56R7Nes7MPxNHewNP1sSSucVjz3iTLeA==" saltValue="qKZH3DnwaZHBzy3cBZo1qQ==" spinCount="100000" sqref="GF744" name="Rango2_31_28_8_2"/>
    <protectedRange algorithmName="SHA-512" hashValue="Umj9+5Ys20VQPxBFtc6qE5LtKKSgPKwit+B8dd4XnEUaLfBM2ozpkEC4YxwK0SbBiAHDDex+pY+LomQ0lyuamQ==" saltValue="N2/MCRws+mmA+NXw0axolg==" spinCount="100000" sqref="GJ744 GH744 GE744 GB744 GL744 FY744" name="Rango2_31_2_9_5"/>
    <protectedRange algorithmName="SHA-512" hashValue="q2z5hEFmXS0v2chiPTC/VCoDWNlnhp+Xe6Ybfxe48vIsnB/KTJQxJv+pFUnCXfZ9T6vyJopuqFFNROfQTW/JUw==" saltValue="IctfdGJb5tOTpq+KPi9vww==" spinCount="100000" sqref="IA744 ID744:IJ744" name="Rango2_88_39_73_3"/>
    <protectedRange algorithmName="SHA-512" hashValue="YXHanhqXL0e4jPrzkCF8r/22WmlCviFUW909WKuG1JOcU0mp0/Huh0aP3EaGYxV2ep0WGu48HsShAy4Ka2uOiw==" saltValue="h/7U5iwJm7DLR4tRVfwZYw==" spinCount="100000" sqref="GI744 GC744" name="Rango2_33_15_2"/>
    <protectedRange algorithmName="SHA-512" hashValue="pL4tgTKqwEsWSIEGFTBd+4pvEhE7d5Q99Eijs+L/Y1rhA0saQGGRJw5Pv2HLOP0quglztFwB6WVnQ1YGxd4AiQ==" saltValue="IF5mhk2RcoEjrcYppes1VA==" spinCount="100000" sqref="FT744" name="Rango2_30_9_2"/>
    <protectedRange algorithmName="SHA-512" hashValue="EEHzbvEYwO1eufllBljOz0uf9BJ2ENtvOScQ7IsS321QhYbwKn7qhHKKP8cKj02rTDvVRMWvwQ1ZP0mZWsBprQ==" saltValue="CjXqBRFbKezlWOFV37MnDQ==" spinCount="100000" sqref="GQ745:GR745 GW745 GN745" name="Rango2_30_2_10_4"/>
    <protectedRange algorithmName="SHA-512" hashValue="Rgskw+AQdeJ5qbJdarzTa3SCkJfDGziy0Uan5N0F3IWn/H3Z/e+VcB56R7Nes7MPxNHewNP1sSSucVjz3iTLeA==" saltValue="qKZH3DnwaZHBzy3cBZo1qQ==" spinCount="100000" sqref="GF745" name="Rango2_31_28_8_3"/>
    <protectedRange algorithmName="SHA-512" hashValue="Umj9+5Ys20VQPxBFtc6qE5LtKKSgPKwit+B8dd4XnEUaLfBM2ozpkEC4YxwK0SbBiAHDDex+pY+LomQ0lyuamQ==" saltValue="N2/MCRws+mmA+NXw0axolg==" spinCount="100000" sqref="GJ745 GH745 GE745 GL745 FY745" name="Rango2_31_2_9_6"/>
    <protectedRange algorithmName="SHA-512" hashValue="q2z5hEFmXS0v2chiPTC/VCoDWNlnhp+Xe6Ybfxe48vIsnB/KTJQxJv+pFUnCXfZ9T6vyJopuqFFNROfQTW/JUw==" saltValue="IctfdGJb5tOTpq+KPi9vww==" spinCount="100000" sqref="IA745 ID745:IJ745" name="Rango2_88_39_73_4"/>
    <protectedRange algorithmName="SHA-512" hashValue="YXHanhqXL0e4jPrzkCF8r/22WmlCviFUW909WKuG1JOcU0mp0/Huh0aP3EaGYxV2ep0WGu48HsShAy4Ka2uOiw==" saltValue="h/7U5iwJm7DLR4tRVfwZYw==" spinCount="100000" sqref="GI745 GC745" name="Rango2_33_15_3"/>
    <protectedRange algorithmName="SHA-512" hashValue="pL4tgTKqwEsWSIEGFTBd+4pvEhE7d5Q99Eijs+L/Y1rhA0saQGGRJw5Pv2HLOP0quglztFwB6WVnQ1YGxd4AiQ==" saltValue="IF5mhk2RcoEjrcYppes1VA==" spinCount="100000" sqref="FT745" name="Rango2_30_9_3"/>
    <protectedRange algorithmName="SHA-512" hashValue="XZw03RosI/l0z9FxmTtF29EdZ7P+4+ybhqoaAAUmURojSR5XbGfjC4f2i8gMqfY+RI9JvfdCA6PSh9TduXfUxA==" saltValue="5TPtLq2WoiRSae/yaDPnTw==" spinCount="100000" sqref="EA746:EJ746" name="Rango2_99_80_2"/>
    <protectedRange algorithmName="SHA-512" hashValue="XZw03RosI/l0z9FxmTtF29EdZ7P+4+ybhqoaAAUmURojSR5XbGfjC4f2i8gMqfY+RI9JvfdCA6PSh9TduXfUxA==" saltValue="5TPtLq2WoiRSae/yaDPnTw==" spinCount="100000" sqref="EO746" name="Rango2_99_80_1_1"/>
    <protectedRange algorithmName="SHA-512" hashValue="9+DNppQbWrLYYUMoJ+lyQctV2bX3Vq9kZnegLbpjTLP49It2ovUbcartuoQTeXgP+TGpY//7mDH/UQlFCKDGiA==" saltValue="KUnni6YEm00anzSSvyLqQA==" spinCount="100000" sqref="EN746" name="Rango2_86_4"/>
    <protectedRange algorithmName="SHA-512" hashValue="XZw03RosI/l0z9FxmTtF29EdZ7P+4+ybhqoaAAUmURojSR5XbGfjC4f2i8gMqfY+RI9JvfdCA6PSh9TduXfUxA==" saltValue="5TPtLq2WoiRSae/yaDPnTw==" spinCount="100000" sqref="ER746:ES746" name="Rango2_99_80_2_1"/>
    <protectedRange algorithmName="SHA-512" hashValue="XZw03RosI/l0z9FxmTtF29EdZ7P+4+ybhqoaAAUmURojSR5XbGfjC4f2i8gMqfY+RI9JvfdCA6PSh9TduXfUxA==" saltValue="5TPtLq2WoiRSae/yaDPnTw==" spinCount="100000" sqref="EV746:EW746" name="Rango2_99_80_3"/>
    <protectedRange algorithmName="SHA-512" hashValue="9+DNppQbWrLYYUMoJ+lyQctV2bX3Vq9kZnegLbpjTLP49It2ovUbcartuoQTeXgP+TGpY//7mDH/UQlFCKDGiA==" saltValue="KUnni6YEm00anzSSvyLqQA==" spinCount="100000" sqref="EY746:FA746" name="Rango2_86_1_1"/>
    <protectedRange algorithmName="SHA-512" hashValue="9+DNppQbWrLYYUMoJ+lyQctV2bX3Vq9kZnegLbpjTLP49It2ovUbcartuoQTeXgP+TGpY//7mDH/UQlFCKDGiA==" saltValue="KUnni6YEm00anzSSvyLqQA==" spinCount="100000" sqref="FC746" name="Rango2_86_2_1"/>
    <protectedRange algorithmName="SHA-512" hashValue="XZw03RosI/l0z9FxmTtF29EdZ7P+4+ybhqoaAAUmURojSR5XbGfjC4f2i8gMqfY+RI9JvfdCA6PSh9TduXfUxA==" saltValue="5TPtLq2WoiRSae/yaDPnTw==" spinCount="100000" sqref="FF746" name="Rango2_99_80_4"/>
    <protectedRange algorithmName="SHA-512" hashValue="9+DNppQbWrLYYUMoJ+lyQctV2bX3Vq9kZnegLbpjTLP49It2ovUbcartuoQTeXgP+TGpY//7mDH/UQlFCKDGiA==" saltValue="KUnni6YEm00anzSSvyLqQA==" spinCount="100000" sqref="FE746" name="Rango2_86_3_1"/>
    <protectedRange algorithmName="SHA-512" hashValue="XZw03RosI/l0z9FxmTtF29EdZ7P+4+ybhqoaAAUmURojSR5XbGfjC4f2i8gMqfY+RI9JvfdCA6PSh9TduXfUxA==" saltValue="5TPtLq2WoiRSae/yaDPnTw==" spinCount="100000" sqref="FI746" name="Rango2_99_80_5"/>
    <protectedRange algorithmName="SHA-512" hashValue="9+DNppQbWrLYYUMoJ+lyQctV2bX3Vq9kZnegLbpjTLP49It2ovUbcartuoQTeXgP+TGpY//7mDH/UQlFCKDGiA==" saltValue="KUnni6YEm00anzSSvyLqQA==" spinCount="100000" sqref="FH746" name="Rango2_86_4_1"/>
    <protectedRange algorithmName="SHA-512" hashValue="9+DNppQbWrLYYUMoJ+lyQctV2bX3Vq9kZnegLbpjTLP49It2ovUbcartuoQTeXgP+TGpY//7mDH/UQlFCKDGiA==" saltValue="KUnni6YEm00anzSSvyLqQA==" spinCount="100000" sqref="FK746:FL746" name="Rango2_86_5"/>
    <protectedRange algorithmName="SHA-512" hashValue="9+DNppQbWrLYYUMoJ+lyQctV2bX3Vq9kZnegLbpjTLP49It2ovUbcartuoQTeXgP+TGpY//7mDH/UQlFCKDGiA==" saltValue="KUnni6YEm00anzSSvyLqQA==" spinCount="100000" sqref="FN746:FO746" name="Rango2_86_6"/>
    <protectedRange algorithmName="SHA-512" hashValue="XZw03RosI/l0z9FxmTtF29EdZ7P+4+ybhqoaAAUmURojSR5XbGfjC4f2i8gMqfY+RI9JvfdCA6PSh9TduXfUxA==" saltValue="5TPtLq2WoiRSae/yaDPnTw==" spinCount="100000" sqref="FQ746:FR746" name="Rango2_99_80_6"/>
    <protectedRange algorithmName="SHA-512" hashValue="XZw03RosI/l0z9FxmTtF29EdZ7P+4+ybhqoaAAUmURojSR5XbGfjC4f2i8gMqfY+RI9JvfdCA6PSh9TduXfUxA==" saltValue="5TPtLq2WoiRSae/yaDPnTw==" spinCount="100000" sqref="FU746" name="Rango2_99_80_7"/>
    <protectedRange algorithmName="SHA-512" hashValue="pL4tgTKqwEsWSIEGFTBd+4pvEhE7d5Q99Eijs+L/Y1rhA0saQGGRJw5Pv2HLOP0quglztFwB6WVnQ1YGxd4AiQ==" saltValue="IF5mhk2RcoEjrcYppes1VA==" spinCount="100000" sqref="FT746" name="Rango2_30_27_1"/>
    <protectedRange algorithmName="SHA-512" hashValue="XZw03RosI/l0z9FxmTtF29EdZ7P+4+ybhqoaAAUmURojSR5XbGfjC4f2i8gMqfY+RI9JvfdCA6PSh9TduXfUxA==" saltValue="5TPtLq2WoiRSae/yaDPnTw==" spinCount="100000" sqref="FW746:FX746" name="Rango2_99_80_9"/>
    <protectedRange algorithmName="SHA-512" hashValue="Umj9+5Ys20VQPxBFtc6qE5LtKKSgPKwit+B8dd4XnEUaLfBM2ozpkEC4YxwK0SbBiAHDDex+pY+LomQ0lyuamQ==" saltValue="N2/MCRws+mmA+NXw0axolg==" spinCount="100000" sqref="FY746" name="Rango2_31_2_27_3"/>
    <protectedRange algorithmName="SHA-512" hashValue="XZw03RosI/l0z9FxmTtF29EdZ7P+4+ybhqoaAAUmURojSR5XbGfjC4f2i8gMqfY+RI9JvfdCA6PSh9TduXfUxA==" saltValue="5TPtLq2WoiRSae/yaDPnTw==" spinCount="100000" sqref="FZ746" name="Rango2_99_80_10"/>
    <protectedRange algorithmName="SHA-512" hashValue="Umj9+5Ys20VQPxBFtc6qE5LtKKSgPKwit+B8dd4XnEUaLfBM2ozpkEC4YxwK0SbBiAHDDex+pY+LomQ0lyuamQ==" saltValue="N2/MCRws+mmA+NXw0axolg==" spinCount="100000" sqref="GB746" name="Rango2_31_2_27_1_1"/>
    <protectedRange algorithmName="SHA-512" hashValue="Rgskw+AQdeJ5qbJdarzTa3SCkJfDGziy0Uan5N0F3IWn/H3Z/e+VcB56R7Nes7MPxNHewNP1sSSucVjz3iTLeA==" saltValue="qKZH3DnwaZHBzy3cBZo1qQ==" spinCount="100000" sqref="GF746" name="Rango2_31_28_26_1"/>
    <protectedRange algorithmName="SHA-512" hashValue="Umj9+5Ys20VQPxBFtc6qE5LtKKSgPKwit+B8dd4XnEUaLfBM2ozpkEC4YxwK0SbBiAHDDex+pY+LomQ0lyuamQ==" saltValue="N2/MCRws+mmA+NXw0axolg==" spinCount="100000" sqref="GE746" name="Rango2_31_2_27_2_1"/>
    <protectedRange algorithmName="SHA-512" hashValue="EEHzbvEYwO1eufllBljOz0uf9BJ2ENtvOScQ7IsS321QhYbwKn7qhHKKP8cKj02rTDvVRMWvwQ1ZP0mZWsBprQ==" saltValue="CjXqBRFbKezlWOFV37MnDQ==" spinCount="100000" sqref="GN746" name="Rango2_30_2_28_1"/>
    <protectedRange algorithmName="SHA-512" hashValue="Umj9+5Ys20VQPxBFtc6qE5LtKKSgPKwit+B8dd4XnEUaLfBM2ozpkEC4YxwK0SbBiAHDDex+pY+LomQ0lyuamQ==" saltValue="N2/MCRws+mmA+NXw0axolg==" spinCount="100000" sqref="GL746 GH746 GJ746" name="Rango2_31_2_27_3_1"/>
    <protectedRange algorithmName="SHA-512" hashValue="XZw03RosI/l0z9FxmTtF29EdZ7P+4+ybhqoaAAUmURojSR5XbGfjC4f2i8gMqfY+RI9JvfdCA6PSh9TduXfUxA==" saltValue="5TPtLq2WoiRSae/yaDPnTw==" spinCount="100000" sqref="GK746 GM746" name="Rango2_99_80_11"/>
    <protectedRange algorithmName="SHA-512" hashValue="YXHanhqXL0e4jPrzkCF8r/22WmlCviFUW909WKuG1JOcU0mp0/Huh0aP3EaGYxV2ep0WGu48HsShAy4Ka2uOiw==" saltValue="h/7U5iwJm7DLR4tRVfwZYw==" spinCount="100000" sqref="GI746" name="Rango2_33_39_1"/>
    <protectedRange algorithmName="SHA-512" hashValue="XZw03RosI/l0z9FxmTtF29EdZ7P+4+ybhqoaAAUmURojSR5XbGfjC4f2i8gMqfY+RI9JvfdCA6PSh9TduXfUxA==" saltValue="5TPtLq2WoiRSae/yaDPnTw==" spinCount="100000" sqref="GO746" name="Rango2_99_80_12"/>
    <protectedRange algorithmName="SHA-512" hashValue="EEHzbvEYwO1eufllBljOz0uf9BJ2ENtvOScQ7IsS321QhYbwKn7qhHKKP8cKj02rTDvVRMWvwQ1ZP0mZWsBprQ==" saltValue="CjXqBRFbKezlWOFV37MnDQ==" spinCount="100000" sqref="GQ746:GR746" name="Rango2_30_2_28_1_1"/>
    <protectedRange algorithmName="SHA-512" hashValue="XZw03RosI/l0z9FxmTtF29EdZ7P+4+ybhqoaAAUmURojSR5XbGfjC4f2i8gMqfY+RI9JvfdCA6PSh9TduXfUxA==" saltValue="5TPtLq2WoiRSae/yaDPnTw==" spinCount="100000" sqref="GT746" name="Rango2_99_80_13"/>
    <protectedRange algorithmName="SHA-512" hashValue="EEHzbvEYwO1eufllBljOz0uf9BJ2ENtvOScQ7IsS321QhYbwKn7qhHKKP8cKj02rTDvVRMWvwQ1ZP0mZWsBprQ==" saltValue="CjXqBRFbKezlWOFV37MnDQ==" spinCount="100000" sqref="GW746" name="Rango2_30_2_28_2"/>
    <protectedRange algorithmName="SHA-512" hashValue="XZw03RosI/l0z9FxmTtF29EdZ7P+4+ybhqoaAAUmURojSR5XbGfjC4f2i8gMqfY+RI9JvfdCA6PSh9TduXfUxA==" saltValue="5TPtLq2WoiRSae/yaDPnTw==" spinCount="100000" sqref="GY746:GZ746" name="Rango2_99_80_14"/>
    <protectedRange algorithmName="SHA-512" hashValue="9+DNppQbWrLYYUMoJ+lyQctV2bX3Vq9kZnegLbpjTLP49It2ovUbcartuoQTeXgP+TGpY//7mDH/UQlFCKDGiA==" saltValue="KUnni6YEm00anzSSvyLqQA==" spinCount="100000" sqref="GX746" name="Rango2_86_7"/>
    <protectedRange algorithmName="SHA-512" hashValue="XZw03RosI/l0z9FxmTtF29EdZ7P+4+ybhqoaAAUmURojSR5XbGfjC4f2i8gMqfY+RI9JvfdCA6PSh9TduXfUxA==" saltValue="5TPtLq2WoiRSae/yaDPnTw==" spinCount="100000" sqref="HJ746" name="Rango2_99_80_15"/>
    <protectedRange algorithmName="SHA-512" hashValue="q2z5hEFmXS0v2chiPTC/VCoDWNlnhp+Xe6Ybfxe48vIsnB/KTJQxJv+pFUnCXfZ9T6vyJopuqFFNROfQTW/JUw==" saltValue="IctfdGJb5tOTpq+KPi9vww==" spinCount="100000" sqref="IA746" name="Rango2_88_39_45_3"/>
    <protectedRange algorithmName="SHA-512" hashValue="XZw03RosI/l0z9FxmTtF29EdZ7P+4+ybhqoaAAUmURojSR5XbGfjC4f2i8gMqfY+RI9JvfdCA6PSh9TduXfUxA==" saltValue="5TPtLq2WoiRSae/yaDPnTw==" spinCount="100000" sqref="IB746 HU746:HZ746" name="Rango2_99_80_16"/>
    <protectedRange algorithmName="SHA-512" hashValue="9+DNppQbWrLYYUMoJ+lyQctV2bX3Vq9kZnegLbpjTLP49It2ovUbcartuoQTeXgP+TGpY//7mDH/UQlFCKDGiA==" saltValue="KUnni6YEm00anzSSvyLqQA==" spinCount="100000" sqref="HT746" name="Rango2_86_8"/>
    <protectedRange algorithmName="SHA-512" hashValue="q2z5hEFmXS0v2chiPTC/VCoDWNlnhp+Xe6Ybfxe48vIsnB/KTJQxJv+pFUnCXfZ9T6vyJopuqFFNROfQTW/JUw==" saltValue="IctfdGJb5tOTpq+KPi9vww==" spinCount="100000" sqref="ID746:IJ746" name="Rango2_88_39_45_1_1"/>
    <protectedRange algorithmName="SHA-512" hashValue="XZw03RosI/l0z9FxmTtF29EdZ7P+4+ybhqoaAAUmURojSR5XbGfjC4f2i8gMqfY+RI9JvfdCA6PSh9TduXfUxA==" saltValue="5TPtLq2WoiRSae/yaDPnTw==" spinCount="100000" sqref="IL746:IM746" name="Rango2_99_80_17"/>
    <protectedRange algorithmName="SHA-512" hashValue="XZw03RosI/l0z9FxmTtF29EdZ7P+4+ybhqoaAAUmURojSR5XbGfjC4f2i8gMqfY+RI9JvfdCA6PSh9TduXfUxA==" saltValue="5TPtLq2WoiRSae/yaDPnTw==" spinCount="100000" sqref="IO746" name="Rango2_99_80_18"/>
    <protectedRange algorithmName="SHA-512" hashValue="XZw03RosI/l0z9FxmTtF29EdZ7P+4+ybhqoaAAUmURojSR5XbGfjC4f2i8gMqfY+RI9JvfdCA6PSh9TduXfUxA==" saltValue="5TPtLq2WoiRSae/yaDPnTw==" spinCount="100000" sqref="EA747:EI747" name="Rango2_99_80_8"/>
    <protectedRange algorithmName="SHA-512" hashValue="XZw03RosI/l0z9FxmTtF29EdZ7P+4+ybhqoaAAUmURojSR5XbGfjC4f2i8gMqfY+RI9JvfdCA6PSh9TduXfUxA==" saltValue="5TPtLq2WoiRSae/yaDPnTw==" spinCount="100000" sqref="EA748:EJ748" name="Rango2_99_80_19"/>
    <protectedRange algorithmName="SHA-512" hashValue="XZw03RosI/l0z9FxmTtF29EdZ7P+4+ybhqoaAAUmURojSR5XbGfjC4f2i8gMqfY+RI9JvfdCA6PSh9TduXfUxA==" saltValue="5TPtLq2WoiRSae/yaDPnTw==" spinCount="100000" sqref="EO748" name="Rango2_99_80_1_2"/>
    <protectedRange algorithmName="SHA-512" hashValue="9+DNppQbWrLYYUMoJ+lyQctV2bX3Vq9kZnegLbpjTLP49It2ovUbcartuoQTeXgP+TGpY//7mDH/UQlFCKDGiA==" saltValue="KUnni6YEm00anzSSvyLqQA==" spinCount="100000" sqref="EN748" name="Rango2_86_9"/>
    <protectedRange algorithmName="SHA-512" hashValue="XZw03RosI/l0z9FxmTtF29EdZ7P+4+ybhqoaAAUmURojSR5XbGfjC4f2i8gMqfY+RI9JvfdCA6PSh9TduXfUxA==" saltValue="5TPtLq2WoiRSae/yaDPnTw==" spinCount="100000" sqref="ER748:ES748" name="Rango2_99_80_2_2"/>
    <protectedRange algorithmName="SHA-512" hashValue="XZw03RosI/l0z9FxmTtF29EdZ7P+4+ybhqoaAAUmURojSR5XbGfjC4f2i8gMqfY+RI9JvfdCA6PSh9TduXfUxA==" saltValue="5TPtLq2WoiRSae/yaDPnTw==" spinCount="100000" sqref="EV748:EW748" name="Rango2_99_80_3_1"/>
    <protectedRange algorithmName="SHA-512" hashValue="9+DNppQbWrLYYUMoJ+lyQctV2bX3Vq9kZnegLbpjTLP49It2ovUbcartuoQTeXgP+TGpY//7mDH/UQlFCKDGiA==" saltValue="KUnni6YEm00anzSSvyLqQA==" spinCount="100000" sqref="EY748:FA748" name="Rango2_86_1_2"/>
    <protectedRange algorithmName="SHA-512" hashValue="9+DNppQbWrLYYUMoJ+lyQctV2bX3Vq9kZnegLbpjTLP49It2ovUbcartuoQTeXgP+TGpY//7mDH/UQlFCKDGiA==" saltValue="KUnni6YEm00anzSSvyLqQA==" spinCount="100000" sqref="FC748" name="Rango2_86_2_2"/>
    <protectedRange algorithmName="SHA-512" hashValue="XZw03RosI/l0z9FxmTtF29EdZ7P+4+ybhqoaAAUmURojSR5XbGfjC4f2i8gMqfY+RI9JvfdCA6PSh9TduXfUxA==" saltValue="5TPtLq2WoiRSae/yaDPnTw==" spinCount="100000" sqref="FF748" name="Rango2_99_80_4_1"/>
    <protectedRange algorithmName="SHA-512" hashValue="9+DNppQbWrLYYUMoJ+lyQctV2bX3Vq9kZnegLbpjTLP49It2ovUbcartuoQTeXgP+TGpY//7mDH/UQlFCKDGiA==" saltValue="KUnni6YEm00anzSSvyLqQA==" spinCount="100000" sqref="FE748" name="Rango2_86_3_2"/>
    <protectedRange algorithmName="SHA-512" hashValue="XZw03RosI/l0z9FxmTtF29EdZ7P+4+ybhqoaAAUmURojSR5XbGfjC4f2i8gMqfY+RI9JvfdCA6PSh9TduXfUxA==" saltValue="5TPtLq2WoiRSae/yaDPnTw==" spinCount="100000" sqref="FI748" name="Rango2_99_80_5_1"/>
    <protectedRange algorithmName="SHA-512" hashValue="9+DNppQbWrLYYUMoJ+lyQctV2bX3Vq9kZnegLbpjTLP49It2ovUbcartuoQTeXgP+TGpY//7mDH/UQlFCKDGiA==" saltValue="KUnni6YEm00anzSSvyLqQA==" spinCount="100000" sqref="FH748" name="Rango2_86_4_2"/>
    <protectedRange algorithmName="SHA-512" hashValue="9+DNppQbWrLYYUMoJ+lyQctV2bX3Vq9kZnegLbpjTLP49It2ovUbcartuoQTeXgP+TGpY//7mDH/UQlFCKDGiA==" saltValue="KUnni6YEm00anzSSvyLqQA==" spinCount="100000" sqref="FK748:FL748" name="Rango2_86_5_1"/>
    <protectedRange algorithmName="SHA-512" hashValue="9+DNppQbWrLYYUMoJ+lyQctV2bX3Vq9kZnegLbpjTLP49It2ovUbcartuoQTeXgP+TGpY//7mDH/UQlFCKDGiA==" saltValue="KUnni6YEm00anzSSvyLqQA==" spinCount="100000" sqref="FN748:FO748" name="Rango2_86_6_1"/>
    <protectedRange algorithmName="SHA-512" hashValue="XZw03RosI/l0z9FxmTtF29EdZ7P+4+ybhqoaAAUmURojSR5XbGfjC4f2i8gMqfY+RI9JvfdCA6PSh9TduXfUxA==" saltValue="5TPtLq2WoiRSae/yaDPnTw==" spinCount="100000" sqref="FQ748:FR748" name="Rango2_99_80_6_1"/>
    <protectedRange algorithmName="SHA-512" hashValue="XZw03RosI/l0z9FxmTtF29EdZ7P+4+ybhqoaAAUmURojSR5XbGfjC4f2i8gMqfY+RI9JvfdCA6PSh9TduXfUxA==" saltValue="5TPtLq2WoiRSae/yaDPnTw==" spinCount="100000" sqref="FU748" name="Rango2_99_80_7_1"/>
    <protectedRange algorithmName="SHA-512" hashValue="pL4tgTKqwEsWSIEGFTBd+4pvEhE7d5Q99Eijs+L/Y1rhA0saQGGRJw5Pv2HLOP0quglztFwB6WVnQ1YGxd4AiQ==" saltValue="IF5mhk2RcoEjrcYppes1VA==" spinCount="100000" sqref="FT748" name="Rango2_30_27_2"/>
    <protectedRange sqref="FW748" name="Rango2_99_34_7"/>
    <protectedRange algorithmName="SHA-512" hashValue="XZw03RosI/l0z9FxmTtF29EdZ7P+4+ybhqoaAAUmURojSR5XbGfjC4f2i8gMqfY+RI9JvfdCA6PSh9TduXfUxA==" saltValue="5TPtLq2WoiRSae/yaDPnTw==" spinCount="100000" sqref="FX748" name="Rango2_99_80_9_1"/>
    <protectedRange algorithmName="SHA-512" hashValue="Umj9+5Ys20VQPxBFtc6qE5LtKKSgPKwit+B8dd4XnEUaLfBM2ozpkEC4YxwK0SbBiAHDDex+pY+LomQ0lyuamQ==" saltValue="N2/MCRws+mmA+NXw0axolg==" spinCount="100000" sqref="FY748" name="Rango2_31_2_27_4"/>
    <protectedRange algorithmName="SHA-512" hashValue="XZw03RosI/l0z9FxmTtF29EdZ7P+4+ybhqoaAAUmURojSR5XbGfjC4f2i8gMqfY+RI9JvfdCA6PSh9TduXfUxA==" saltValue="5TPtLq2WoiRSae/yaDPnTw==" spinCount="100000" sqref="FZ748" name="Rango2_99_80_10_1"/>
    <protectedRange algorithmName="SHA-512" hashValue="YXHanhqXL0e4jPrzkCF8r/22WmlCviFUW909WKuG1JOcU0mp0/Huh0aP3EaGYxV2ep0WGu48HsShAy4Ka2uOiw==" saltValue="h/7U5iwJm7DLR4tRVfwZYw==" spinCount="100000" sqref="GC748" name="Rango2_33_39_2"/>
    <protectedRange algorithmName="SHA-512" hashValue="Rgskw+AQdeJ5qbJdarzTa3SCkJfDGziy0Uan5N0F3IWn/H3Z/e+VcB56R7Nes7MPxNHewNP1sSSucVjz3iTLeA==" saltValue="qKZH3DnwaZHBzy3cBZo1qQ==" spinCount="100000" sqref="GF748" name="Rango2_31_28_26_2"/>
    <protectedRange algorithmName="SHA-512" hashValue="Umj9+5Ys20VQPxBFtc6qE5LtKKSgPKwit+B8dd4XnEUaLfBM2ozpkEC4YxwK0SbBiAHDDex+pY+LomQ0lyuamQ==" saltValue="N2/MCRws+mmA+NXw0axolg==" spinCount="100000" sqref="GE748" name="Rango2_31_2_27_2_2"/>
    <protectedRange algorithmName="SHA-512" hashValue="EEHzbvEYwO1eufllBljOz0uf9BJ2ENtvOScQ7IsS321QhYbwKn7qhHKKP8cKj02rTDvVRMWvwQ1ZP0mZWsBprQ==" saltValue="CjXqBRFbKezlWOFV37MnDQ==" spinCount="100000" sqref="GN748" name="Rango2_30_2_28_3"/>
    <protectedRange algorithmName="SHA-512" hashValue="Umj9+5Ys20VQPxBFtc6qE5LtKKSgPKwit+B8dd4XnEUaLfBM2ozpkEC4YxwK0SbBiAHDDex+pY+LomQ0lyuamQ==" saltValue="N2/MCRws+mmA+NXw0axolg==" spinCount="100000" sqref="GL748 GH748 GJ748" name="Rango2_31_2_27_3_2"/>
    <protectedRange algorithmName="SHA-512" hashValue="XZw03RosI/l0z9FxmTtF29EdZ7P+4+ybhqoaAAUmURojSR5XbGfjC4f2i8gMqfY+RI9JvfdCA6PSh9TduXfUxA==" saltValue="5TPtLq2WoiRSae/yaDPnTw==" spinCount="100000" sqref="GK748 GM748" name="Rango2_99_80_11_1"/>
    <protectedRange algorithmName="SHA-512" hashValue="YXHanhqXL0e4jPrzkCF8r/22WmlCviFUW909WKuG1JOcU0mp0/Huh0aP3EaGYxV2ep0WGu48HsShAy4Ka2uOiw==" saltValue="h/7U5iwJm7DLR4tRVfwZYw==" spinCount="100000" sqref="GI748" name="Rango2_33_39_1_1"/>
    <protectedRange algorithmName="SHA-512" hashValue="XZw03RosI/l0z9FxmTtF29EdZ7P+4+ybhqoaAAUmURojSR5XbGfjC4f2i8gMqfY+RI9JvfdCA6PSh9TduXfUxA==" saltValue="5TPtLq2WoiRSae/yaDPnTw==" spinCount="100000" sqref="GO748" name="Rango2_99_80_12_1"/>
    <protectedRange algorithmName="SHA-512" hashValue="EEHzbvEYwO1eufllBljOz0uf9BJ2ENtvOScQ7IsS321QhYbwKn7qhHKKP8cKj02rTDvVRMWvwQ1ZP0mZWsBprQ==" saltValue="CjXqBRFbKezlWOFV37MnDQ==" spinCount="100000" sqref="GQ748:GR748" name="Rango2_30_2_28_1_2"/>
    <protectedRange algorithmName="SHA-512" hashValue="XZw03RosI/l0z9FxmTtF29EdZ7P+4+ybhqoaAAUmURojSR5XbGfjC4f2i8gMqfY+RI9JvfdCA6PSh9TduXfUxA==" saltValue="5TPtLq2WoiRSae/yaDPnTw==" spinCount="100000" sqref="GT748" name="Rango2_99_80_13_1"/>
    <protectedRange algorithmName="SHA-512" hashValue="EEHzbvEYwO1eufllBljOz0uf9BJ2ENtvOScQ7IsS321QhYbwKn7qhHKKP8cKj02rTDvVRMWvwQ1ZP0mZWsBprQ==" saltValue="CjXqBRFbKezlWOFV37MnDQ==" spinCount="100000" sqref="GW748" name="Rango2_30_2_28_2_1"/>
    <protectedRange algorithmName="SHA-512" hashValue="XZw03RosI/l0z9FxmTtF29EdZ7P+4+ybhqoaAAUmURojSR5XbGfjC4f2i8gMqfY+RI9JvfdCA6PSh9TduXfUxA==" saltValue="5TPtLq2WoiRSae/yaDPnTw==" spinCount="100000" sqref="GY748:GZ748" name="Rango2_99_80_14_1"/>
    <protectedRange algorithmName="SHA-512" hashValue="9+DNppQbWrLYYUMoJ+lyQctV2bX3Vq9kZnegLbpjTLP49It2ovUbcartuoQTeXgP+TGpY//7mDH/UQlFCKDGiA==" saltValue="KUnni6YEm00anzSSvyLqQA==" spinCount="100000" sqref="GX748" name="Rango2_86_7_1"/>
    <protectedRange algorithmName="SHA-512" hashValue="XZw03RosI/l0z9FxmTtF29EdZ7P+4+ybhqoaAAUmURojSR5XbGfjC4f2i8gMqfY+RI9JvfdCA6PSh9TduXfUxA==" saltValue="5TPtLq2WoiRSae/yaDPnTw==" spinCount="100000" sqref="HJ748" name="Rango2_99_80_15_1"/>
    <protectedRange algorithmName="SHA-512" hashValue="q2z5hEFmXS0v2chiPTC/VCoDWNlnhp+Xe6Ybfxe48vIsnB/KTJQxJv+pFUnCXfZ9T6vyJopuqFFNROfQTW/JUw==" saltValue="IctfdGJb5tOTpq+KPi9vww==" spinCount="100000" sqref="IA748" name="Rango2_88_39_45_4"/>
    <protectedRange algorithmName="SHA-512" hashValue="XZw03RosI/l0z9FxmTtF29EdZ7P+4+ybhqoaAAUmURojSR5XbGfjC4f2i8gMqfY+RI9JvfdCA6PSh9TduXfUxA==" saltValue="5TPtLq2WoiRSae/yaDPnTw==" spinCount="100000" sqref="IB748 HU748:HZ748" name="Rango2_99_80_16_1"/>
    <protectedRange algorithmName="SHA-512" hashValue="9+DNppQbWrLYYUMoJ+lyQctV2bX3Vq9kZnegLbpjTLP49It2ovUbcartuoQTeXgP+TGpY//7mDH/UQlFCKDGiA==" saltValue="KUnni6YEm00anzSSvyLqQA==" spinCount="100000" sqref="HT748" name="Rango2_86_8_1"/>
    <protectedRange algorithmName="SHA-512" hashValue="q2z5hEFmXS0v2chiPTC/VCoDWNlnhp+Xe6Ybfxe48vIsnB/KTJQxJv+pFUnCXfZ9T6vyJopuqFFNROfQTW/JUw==" saltValue="IctfdGJb5tOTpq+KPi9vww==" spinCount="100000" sqref="ID748:IJ748" name="Rango2_88_39_45_1_2"/>
    <protectedRange algorithmName="SHA-512" hashValue="XZw03RosI/l0z9FxmTtF29EdZ7P+4+ybhqoaAAUmURojSR5XbGfjC4f2i8gMqfY+RI9JvfdCA6PSh9TduXfUxA==" saltValue="5TPtLq2WoiRSae/yaDPnTw==" spinCount="100000" sqref="IL748:IM748" name="Rango2_99_80_17_1"/>
    <protectedRange algorithmName="SHA-512" hashValue="XZw03RosI/l0z9FxmTtF29EdZ7P+4+ybhqoaAAUmURojSR5XbGfjC4f2i8gMqfY+RI9JvfdCA6PSh9TduXfUxA==" saltValue="5TPtLq2WoiRSae/yaDPnTw==" spinCount="100000" sqref="IO748" name="Rango2_99_80_18_1"/>
    <protectedRange algorithmName="SHA-512" hashValue="XZw03RosI/l0z9FxmTtF29EdZ7P+4+ybhqoaAAUmURojSR5XbGfjC4f2i8gMqfY+RI9JvfdCA6PSh9TduXfUxA==" saltValue="5TPtLq2WoiRSae/yaDPnTw==" spinCount="100000" sqref="EA749:EJ749" name="Rango2_99_70_10"/>
    <protectedRange algorithmName="SHA-512" hashValue="XZw03RosI/l0z9FxmTtF29EdZ7P+4+ybhqoaAAUmURojSR5XbGfjC4f2i8gMqfY+RI9JvfdCA6PSh9TduXfUxA==" saltValue="5TPtLq2WoiRSae/yaDPnTw==" spinCount="100000" sqref="EO749" name="Rango2_99_70_11"/>
    <protectedRange algorithmName="SHA-512" hashValue="9+DNppQbWrLYYUMoJ+lyQctV2bX3Vq9kZnegLbpjTLP49It2ovUbcartuoQTeXgP+TGpY//7mDH/UQlFCKDGiA==" saltValue="KUnni6YEm00anzSSvyLqQA==" spinCount="100000" sqref="EN749" name="Rango2_76_1_1"/>
    <protectedRange algorithmName="SHA-512" hashValue="XZw03RosI/l0z9FxmTtF29EdZ7P+4+ybhqoaAAUmURojSR5XbGfjC4f2i8gMqfY+RI9JvfdCA6PSh9TduXfUxA==" saltValue="5TPtLq2WoiRSae/yaDPnTw==" spinCount="100000" sqref="ER749:ES749" name="Rango2_99_70_12"/>
    <protectedRange algorithmName="SHA-512" hashValue="XZw03RosI/l0z9FxmTtF29EdZ7P+4+ybhqoaAAUmURojSR5XbGfjC4f2i8gMqfY+RI9JvfdCA6PSh9TduXfUxA==" saltValue="5TPtLq2WoiRSae/yaDPnTw==" spinCount="100000" sqref="EV749:EW749" name="Rango2_99_70_13"/>
    <protectedRange algorithmName="SHA-512" hashValue="9+DNppQbWrLYYUMoJ+lyQctV2bX3Vq9kZnegLbpjTLP49It2ovUbcartuoQTeXgP+TGpY//7mDH/UQlFCKDGiA==" saltValue="KUnni6YEm00anzSSvyLqQA==" spinCount="100000" sqref="EY749:FA749" name="Rango2_76_2_1"/>
    <protectedRange algorithmName="SHA-512" hashValue="9+DNppQbWrLYYUMoJ+lyQctV2bX3Vq9kZnegLbpjTLP49It2ovUbcartuoQTeXgP+TGpY//7mDH/UQlFCKDGiA==" saltValue="KUnni6YEm00anzSSvyLqQA==" spinCount="100000" sqref="FC749" name="Rango2_76_3_1"/>
    <protectedRange algorithmName="SHA-512" hashValue="XZw03RosI/l0z9FxmTtF29EdZ7P+4+ybhqoaAAUmURojSR5XbGfjC4f2i8gMqfY+RI9JvfdCA6PSh9TduXfUxA==" saltValue="5TPtLq2WoiRSae/yaDPnTw==" spinCount="100000" sqref="FF749" name="Rango2_99_70_14"/>
    <protectedRange algorithmName="SHA-512" hashValue="9+DNppQbWrLYYUMoJ+lyQctV2bX3Vq9kZnegLbpjTLP49It2ovUbcartuoQTeXgP+TGpY//7mDH/UQlFCKDGiA==" saltValue="KUnni6YEm00anzSSvyLqQA==" spinCount="100000" sqref="FE749" name="Rango2_76_4_1"/>
    <protectedRange algorithmName="SHA-512" hashValue="XZw03RosI/l0z9FxmTtF29EdZ7P+4+ybhqoaAAUmURojSR5XbGfjC4f2i8gMqfY+RI9JvfdCA6PSh9TduXfUxA==" saltValue="5TPtLq2WoiRSae/yaDPnTw==" spinCount="100000" sqref="FI749" name="Rango2_99_70_15"/>
    <protectedRange algorithmName="SHA-512" hashValue="9+DNppQbWrLYYUMoJ+lyQctV2bX3Vq9kZnegLbpjTLP49It2ovUbcartuoQTeXgP+TGpY//7mDH/UQlFCKDGiA==" saltValue="KUnni6YEm00anzSSvyLqQA==" spinCount="100000" sqref="FH749" name="Rango2_76_5_1"/>
    <protectedRange algorithmName="SHA-512" hashValue="XZw03RosI/l0z9FxmTtF29EdZ7P+4+ybhqoaAAUmURojSR5XbGfjC4f2i8gMqfY+RI9JvfdCA6PSh9TduXfUxA==" saltValue="5TPtLq2WoiRSae/yaDPnTw==" spinCount="100000" sqref="FL749" name="Rango2_99_70_16"/>
    <protectedRange algorithmName="SHA-512" hashValue="9+DNppQbWrLYYUMoJ+lyQctV2bX3Vq9kZnegLbpjTLP49It2ovUbcartuoQTeXgP+TGpY//7mDH/UQlFCKDGiA==" saltValue="KUnni6YEm00anzSSvyLqQA==" spinCount="100000" sqref="FK749" name="Rango2_76_6_1"/>
    <protectedRange algorithmName="SHA-512" hashValue="9+DNppQbWrLYYUMoJ+lyQctV2bX3Vq9kZnegLbpjTLP49It2ovUbcartuoQTeXgP+TGpY//7mDH/UQlFCKDGiA==" saltValue="KUnni6YEm00anzSSvyLqQA==" spinCount="100000" sqref="FN749:FO749" name="Rango2_76_7"/>
    <protectedRange algorithmName="SHA-512" hashValue="XZw03RosI/l0z9FxmTtF29EdZ7P+4+ybhqoaAAUmURojSR5XbGfjC4f2i8gMqfY+RI9JvfdCA6PSh9TduXfUxA==" saltValue="5TPtLq2WoiRSae/yaDPnTw==" spinCount="100000" sqref="FQ749:FR749" name="Rango2_99_70_17"/>
    <protectedRange algorithmName="SHA-512" hashValue="XZw03RosI/l0z9FxmTtF29EdZ7P+4+ybhqoaAAUmURojSR5XbGfjC4f2i8gMqfY+RI9JvfdCA6PSh9TduXfUxA==" saltValue="5TPtLq2WoiRSae/yaDPnTw==" spinCount="100000" sqref="FU749" name="Rango2_99_70_18"/>
    <protectedRange algorithmName="SHA-512" hashValue="pL4tgTKqwEsWSIEGFTBd+4pvEhE7d5Q99Eijs+L/Y1rhA0saQGGRJw5Pv2HLOP0quglztFwB6WVnQ1YGxd4AiQ==" saltValue="IF5mhk2RcoEjrcYppes1VA==" spinCount="100000" sqref="FT749" name="Rango2_30_20_2"/>
    <protectedRange algorithmName="SHA-512" hashValue="XZw03RosI/l0z9FxmTtF29EdZ7P+4+ybhqoaAAUmURojSR5XbGfjC4f2i8gMqfY+RI9JvfdCA6PSh9TduXfUxA==" saltValue="5TPtLq2WoiRSae/yaDPnTw==" spinCount="100000" sqref="FW749:FX749" name="Rango2_99_70_19"/>
    <protectedRange algorithmName="SHA-512" hashValue="Umj9+5Ys20VQPxBFtc6qE5LtKKSgPKwit+B8dd4XnEUaLfBM2ozpkEC4YxwK0SbBiAHDDex+pY+LomQ0lyuamQ==" saltValue="N2/MCRws+mmA+NXw0axolg==" spinCount="100000" sqref="FY749" name="Rango2_31_2_20_1"/>
    <protectedRange algorithmName="SHA-512" hashValue="XZw03RosI/l0z9FxmTtF29EdZ7P+4+ybhqoaAAUmURojSR5XbGfjC4f2i8gMqfY+RI9JvfdCA6PSh9TduXfUxA==" saltValue="5TPtLq2WoiRSae/yaDPnTw==" spinCount="100000" sqref="FZ749" name="Rango2_99_70_20"/>
    <protectedRange algorithmName="SHA-512" hashValue="YXHanhqXL0e4jPrzkCF8r/22WmlCviFUW909WKuG1JOcU0mp0/Huh0aP3EaGYxV2ep0WGu48HsShAy4Ka2uOiw==" saltValue="h/7U5iwJm7DLR4tRVfwZYw==" spinCount="100000" sqref="GC749" name="Rango2_33_34_1"/>
    <protectedRange algorithmName="SHA-512" hashValue="Rgskw+AQdeJ5qbJdarzTa3SCkJfDGziy0Uan5N0F3IWn/H3Z/e+VcB56R7Nes7MPxNHewNP1sSSucVjz3iTLeA==" saltValue="qKZH3DnwaZHBzy3cBZo1qQ==" spinCount="100000" sqref="GF749" name="Rango2_31_28_19_2"/>
    <protectedRange algorithmName="SHA-512" hashValue="Umj9+5Ys20VQPxBFtc6qE5LtKKSgPKwit+B8dd4XnEUaLfBM2ozpkEC4YxwK0SbBiAHDDex+pY+LomQ0lyuamQ==" saltValue="N2/MCRws+mmA+NXw0axolg==" spinCount="100000" sqref="GE749" name="Rango2_31_2_20_2"/>
    <protectedRange algorithmName="SHA-512" hashValue="EEHzbvEYwO1eufllBljOz0uf9BJ2ENtvOScQ7IsS321QhYbwKn7qhHKKP8cKj02rTDvVRMWvwQ1ZP0mZWsBprQ==" saltValue="CjXqBRFbKezlWOFV37MnDQ==" spinCount="100000" sqref="GN749" name="Rango2_30_2_21_2"/>
    <protectedRange algorithmName="SHA-512" hashValue="Umj9+5Ys20VQPxBFtc6qE5LtKKSgPKwit+B8dd4XnEUaLfBM2ozpkEC4YxwK0SbBiAHDDex+pY+LomQ0lyuamQ==" saltValue="N2/MCRws+mmA+NXw0axolg==" spinCount="100000" sqref="GJ749 GH749 GL749" name="Rango2_31_2_20_3"/>
    <protectedRange algorithmName="SHA-512" hashValue="XZw03RosI/l0z9FxmTtF29EdZ7P+4+ybhqoaAAUmURojSR5XbGfjC4f2i8gMqfY+RI9JvfdCA6PSh9TduXfUxA==" saltValue="5TPtLq2WoiRSae/yaDPnTw==" spinCount="100000" sqref="GM749 GK749" name="Rango2_99_70_21"/>
    <protectedRange algorithmName="SHA-512" hashValue="YXHanhqXL0e4jPrzkCF8r/22WmlCviFUW909WKuG1JOcU0mp0/Huh0aP3EaGYxV2ep0WGu48HsShAy4Ka2uOiw==" saltValue="h/7U5iwJm7DLR4tRVfwZYw==" spinCount="100000" sqref="GI749" name="Rango2_33_34_1_1"/>
    <protectedRange algorithmName="SHA-512" hashValue="XZw03RosI/l0z9FxmTtF29EdZ7P+4+ybhqoaAAUmURojSR5XbGfjC4f2i8gMqfY+RI9JvfdCA6PSh9TduXfUxA==" saltValue="5TPtLq2WoiRSae/yaDPnTw==" spinCount="100000" sqref="GO749" name="Rango2_99_70_22"/>
    <protectedRange algorithmName="SHA-512" hashValue="EEHzbvEYwO1eufllBljOz0uf9BJ2ENtvOScQ7IsS321QhYbwKn7qhHKKP8cKj02rTDvVRMWvwQ1ZP0mZWsBprQ==" saltValue="CjXqBRFbKezlWOFV37MnDQ==" spinCount="100000" sqref="GQ749:GR749" name="Rango2_30_2_21_1_1"/>
    <protectedRange algorithmName="SHA-512" hashValue="XZw03RosI/l0z9FxmTtF29EdZ7P+4+ybhqoaAAUmURojSR5XbGfjC4f2i8gMqfY+RI9JvfdCA6PSh9TduXfUxA==" saltValue="5TPtLq2WoiRSae/yaDPnTw==" spinCount="100000" sqref="GT749" name="Rango2_99_70_23"/>
    <protectedRange algorithmName="SHA-512" hashValue="EEHzbvEYwO1eufllBljOz0uf9BJ2ENtvOScQ7IsS321QhYbwKn7qhHKKP8cKj02rTDvVRMWvwQ1ZP0mZWsBprQ==" saltValue="CjXqBRFbKezlWOFV37MnDQ==" spinCount="100000" sqref="GW749" name="Rango2_30_2_21_2_1"/>
    <protectedRange algorithmName="SHA-512" hashValue="XZw03RosI/l0z9FxmTtF29EdZ7P+4+ybhqoaAAUmURojSR5XbGfjC4f2i8gMqfY+RI9JvfdCA6PSh9TduXfUxA==" saltValue="5TPtLq2WoiRSae/yaDPnTw==" spinCount="100000" sqref="GY749:GZ749" name="Rango2_99_70_24"/>
    <protectedRange algorithmName="SHA-512" hashValue="9+DNppQbWrLYYUMoJ+lyQctV2bX3Vq9kZnegLbpjTLP49It2ovUbcartuoQTeXgP+TGpY//7mDH/UQlFCKDGiA==" saltValue="KUnni6YEm00anzSSvyLqQA==" spinCount="100000" sqref="GX749" name="Rango2_76_8"/>
    <protectedRange algorithmName="SHA-512" hashValue="XZw03RosI/l0z9FxmTtF29EdZ7P+4+ybhqoaAAUmURojSR5XbGfjC4f2i8gMqfY+RI9JvfdCA6PSh9TduXfUxA==" saltValue="5TPtLq2WoiRSae/yaDPnTw==" spinCount="100000" sqref="HJ749" name="Rango2_99_70_25"/>
    <protectedRange algorithmName="SHA-512" hashValue="q2z5hEFmXS0v2chiPTC/VCoDWNlnhp+Xe6Ybfxe48vIsnB/KTJQxJv+pFUnCXfZ9T6vyJopuqFFNROfQTW/JUw==" saltValue="IctfdGJb5tOTpq+KPi9vww==" spinCount="100000" sqref="IA749" name="Rango2_88_39_39_1_1"/>
    <protectedRange algorithmName="SHA-512" hashValue="XZw03RosI/l0z9FxmTtF29EdZ7P+4+ybhqoaAAUmURojSR5XbGfjC4f2i8gMqfY+RI9JvfdCA6PSh9TduXfUxA==" saltValue="5TPtLq2WoiRSae/yaDPnTw==" spinCount="100000" sqref="HU749:HZ749 IB749" name="Rango2_99_70_26"/>
    <protectedRange algorithmName="SHA-512" hashValue="9+DNppQbWrLYYUMoJ+lyQctV2bX3Vq9kZnegLbpjTLP49It2ovUbcartuoQTeXgP+TGpY//7mDH/UQlFCKDGiA==" saltValue="KUnni6YEm00anzSSvyLqQA==" spinCount="100000" sqref="HS749:HT749" name="Rango2_76_9"/>
    <protectedRange algorithmName="SHA-512" hashValue="q2z5hEFmXS0v2chiPTC/VCoDWNlnhp+Xe6Ybfxe48vIsnB/KTJQxJv+pFUnCXfZ9T6vyJopuqFFNROfQTW/JUw==" saltValue="IctfdGJb5tOTpq+KPi9vww==" spinCount="100000" sqref="ID749:IJ749" name="Rango2_88_39_39_2"/>
    <protectedRange algorithmName="SHA-512" hashValue="XZw03RosI/l0z9FxmTtF29EdZ7P+4+ybhqoaAAUmURojSR5XbGfjC4f2i8gMqfY+RI9JvfdCA6PSh9TduXfUxA==" saltValue="5TPtLq2WoiRSae/yaDPnTw==" spinCount="100000" sqref="IL749:IM749" name="Rango2_99_70_27"/>
    <protectedRange algorithmName="SHA-512" hashValue="XZw03RosI/l0z9FxmTtF29EdZ7P+4+ybhqoaAAUmURojSR5XbGfjC4f2i8gMqfY+RI9JvfdCA6PSh9TduXfUxA==" saltValue="5TPtLq2WoiRSae/yaDPnTw==" spinCount="100000" sqref="IO749" name="Rango2_99_70_28"/>
    <protectedRange sqref="EA750:EJ750" name="Rango2_99_19_4"/>
    <protectedRange sqref="EO750" name="Rango2_99_20_1"/>
    <protectedRange sqref="EN750" name="Rango2_25_3"/>
    <protectedRange sqref="ER750:ES750" name="Rango2_99_21_6"/>
    <protectedRange sqref="EV750:EW750" name="Rango2_99_22_2"/>
    <protectedRange sqref="EY750:FA750" name="Rango2_32_5"/>
    <protectedRange sqref="FC750" name="Rango2_39_4"/>
    <protectedRange sqref="FF750" name="Rango2_99_23_4"/>
    <protectedRange sqref="FE750" name="Rango2_40_1"/>
    <protectedRange sqref="FI750" name="Rango2_99_24_6"/>
    <protectedRange sqref="FH750" name="Rango2_43_4"/>
    <protectedRange sqref="FK750:FL750" name="Rango2_46_4"/>
    <protectedRange sqref="FN750:FO750" name="Rango2_49_8"/>
    <protectedRange sqref="FQ750:FR750" name="Rango2_99_26_2"/>
    <protectedRange sqref="FU750" name="Rango2_99_32_3"/>
    <protectedRange sqref="FT750" name="Rango2_30_1_1"/>
    <protectedRange sqref="FW750:FX750" name="Rango2_99_34_8"/>
    <protectedRange sqref="FY750" name="Rango2_31_2_1_1"/>
    <protectedRange sqref="FZ750" name="Rango2_99_37_2"/>
    <protectedRange sqref="GB750" name="Rango2_31_2_25_1"/>
    <protectedRange sqref="GC750" name="Rango2_33_1_1"/>
    <protectedRange sqref="GF750" name="Rango2_31_28_1_1"/>
    <protectedRange sqref="GE750" name="Rango2_31_2_33_4"/>
    <protectedRange sqref="GN750" name="Rango2_30_2_1_1"/>
    <protectedRange sqref="GJ750 GH750 GL750" name="Rango2_31_2_34_5"/>
    <protectedRange sqref="GM750 GK750" name="Rango2_99_51_7"/>
    <protectedRange sqref="GI750" name="Rango2_33_6_4"/>
    <protectedRange sqref="GO750" name="Rango2_99_52_3"/>
    <protectedRange sqref="GQ750:GR750" name="Rango2_30_2_2_2"/>
    <protectedRange sqref="GT750" name="Rango2_99_53_3"/>
    <protectedRange sqref="GW750" name="Rango2_30_2_34_6"/>
    <protectedRange sqref="GY750:GZ750" name="Rango2_99_58_2"/>
    <protectedRange sqref="GX750" name="Rango2_52_3"/>
    <protectedRange sqref="HJ750" name="Rango2_99_62_2"/>
    <protectedRange sqref="IA750" name="Rango2_88_39_4_3"/>
    <protectedRange sqref="HU750:HZ750 IB750" name="Rango2_99_75_1"/>
    <protectedRange sqref="HS750:HT750" name="Rango2_62_4"/>
    <protectedRange sqref="ID750:IE750 IH750:IJ750" name="Rango2_88_39_65_2"/>
    <protectedRange sqref="EA751:EJ753" name="Rango2_99_19_5"/>
    <protectedRange sqref="EO751:EO753" name="Rango2_99_20_2"/>
    <protectedRange sqref="EN751:EN753" name="Rango2_25_4"/>
    <protectedRange sqref="ER753:ES753" name="Rango2_99_21_7"/>
    <protectedRange sqref="EV753:EW753" name="Rango2_99_22_3"/>
    <protectedRange sqref="EY753:FA753" name="Rango2_32_6"/>
    <protectedRange sqref="FC753" name="Rango2_39_5"/>
    <protectedRange sqref="FF753" name="Rango2_99_23_5"/>
    <protectedRange sqref="FE753" name="Rango2_40_3"/>
    <protectedRange sqref="FI753" name="Rango2_99_24_7"/>
    <protectedRange sqref="FH753" name="Rango2_43_5"/>
    <protectedRange sqref="FK753:FL753" name="Rango2_46_5"/>
    <protectedRange sqref="FN753:FO753" name="Rango2_49_9"/>
    <protectedRange sqref="FQ753:FR753" name="Rango2_99_26_3"/>
    <protectedRange sqref="FU753" name="Rango2_99_32_4"/>
    <protectedRange sqref="FT753" name="Rango2_30_1_2"/>
    <protectedRange sqref="FW753:FX753" name="Rango2_99_34_9"/>
    <protectedRange sqref="FY753" name="Rango2_31_2_1_2"/>
    <protectedRange sqref="FZ753" name="Rango2_99_37_3"/>
    <protectedRange sqref="GB753" name="Rango2_31_2_25_2"/>
    <protectedRange sqref="GC753" name="Rango2_33_1_2"/>
    <protectedRange sqref="GF753" name="Rango2_31_28_1_2"/>
    <protectedRange sqref="GE753" name="Rango2_31_2_33_5"/>
    <protectedRange sqref="GN753" name="Rango2_30_2_1_2"/>
    <protectedRange sqref="GJ753 GH753 GL753" name="Rango2_31_2_34_6"/>
    <protectedRange sqref="GM753 GK753" name="Rango2_99_51_8"/>
    <protectedRange sqref="GI753" name="Rango2_33_6_5"/>
    <protectedRange sqref="GO753" name="Rango2_99_52_4"/>
    <protectedRange sqref="GQ753:GR753" name="Rango2_30_2_2_3"/>
    <protectedRange sqref="GT753" name="Rango2_99_53_4"/>
    <protectedRange sqref="GW753" name="Rango2_30_2_34_7"/>
    <protectedRange sqref="GY753:GZ753" name="Rango2_99_58_3"/>
    <protectedRange sqref="GX753" name="Rango2_52_4"/>
    <protectedRange sqref="HJ751:HJ753" name="Rango2_99_62_3"/>
    <protectedRange sqref="IA751:IA753" name="Rango2_88_39_4_4"/>
    <protectedRange sqref="HU751:HZ753 IB751:IB753" name="Rango2_99_75_2"/>
    <protectedRange sqref="HS751:HT753" name="Rango2_62_5"/>
    <protectedRange sqref="ID753:IJ753 ID751:IE752 IH751:IJ752" name="Rango2_88_39_65_3"/>
    <protectedRange algorithmName="SHA-512" hashValue="XZw03RosI/l0z9FxmTtF29EdZ7P+4+ybhqoaAAUmURojSR5XbGfjC4f2i8gMqfY+RI9JvfdCA6PSh9TduXfUxA==" saltValue="5TPtLq2WoiRSae/yaDPnTw==" spinCount="100000" sqref="EI754" name="Rango2_99_14_12"/>
    <protectedRange sqref="EA756:EJ756" name="Rango2_99_19_6"/>
    <protectedRange sqref="EO756" name="Rango2_99_20_3"/>
    <protectedRange sqref="EN756" name="Rango2_25_5"/>
    <protectedRange sqref="ER756:ES756" name="Rango2_99_21_8"/>
    <protectedRange sqref="EV756:EW756" name="Rango2_99_22_4"/>
    <protectedRange sqref="EY756:FA756" name="Rango2_32_7"/>
    <protectedRange sqref="FC756" name="Rango2_39_6"/>
    <protectedRange sqref="FF756" name="Rango2_99_23_6"/>
    <protectedRange sqref="FI756" name="Rango2_99_24_8"/>
    <protectedRange sqref="FH756" name="Rango2_43_6"/>
    <protectedRange sqref="FK756:FL756" name="Rango2_46_6"/>
    <protectedRange sqref="FN756:FO756" name="Rango2_49_10"/>
    <protectedRange sqref="FQ756:FR756" name="Rango2_99_26_4"/>
    <protectedRange sqref="FU756" name="Rango2_99_32_5"/>
    <protectedRange sqref="FT756" name="Rango2_30_1_3"/>
    <protectedRange sqref="FW756:FX756" name="Rango2_99_34_10"/>
    <protectedRange sqref="FY756" name="Rango2_31_2_1_3"/>
    <protectedRange sqref="FZ756" name="Rango2_99_37_4"/>
    <protectedRange sqref="GB756" name="Rango2_31_2_25_3"/>
    <protectedRange sqref="GC756" name="Rango2_33_1_3"/>
    <protectedRange sqref="GF756" name="Rango2_31_28_1_3"/>
    <protectedRange sqref="GE756" name="Rango2_31_2_33_6"/>
    <protectedRange sqref="GN756" name="Rango2_30_2_1_3"/>
    <protectedRange sqref="GL756 GH756 GJ756" name="Rango2_31_2_34_7"/>
    <protectedRange sqref="GK756 GM756" name="Rango2_99_51_9"/>
    <protectedRange sqref="GI756" name="Rango2_33_6_6"/>
    <protectedRange sqref="GO756" name="Rango2_99_52_5"/>
    <protectedRange sqref="GQ756:GR756" name="Rango2_30_2_2_4"/>
    <protectedRange sqref="GT756" name="Rango2_99_53_5"/>
    <protectedRange sqref="GW756" name="Rango2_30_2_34_8"/>
    <protectedRange sqref="GY756:GZ756" name="Rango2_99_58_4"/>
    <protectedRange sqref="GX756" name="Rango2_52_5"/>
    <protectedRange sqref="HJ756" name="Rango2_99_62_4"/>
    <protectedRange sqref="IA756" name="Rango2_88_39_4_5"/>
    <protectedRange sqref="IB756 HU756:HZ756" name="Rango2_99_75_3"/>
    <protectedRange sqref="HT756" name="Rango2_62_6"/>
    <protectedRange sqref="ID756:IJ756" name="Rango2_88_39_65_4"/>
    <protectedRange algorithmName="SHA-512" hashValue="XZw03RosI/l0z9FxmTtF29EdZ7P+4+ybhqoaAAUmURojSR5XbGfjC4f2i8gMqfY+RI9JvfdCA6PSh9TduXfUxA==" saltValue="5TPtLq2WoiRSae/yaDPnTw==" spinCount="100000" sqref="HX755 HZ755" name="Rango2_99_45_2"/>
    <protectedRange algorithmName="SHA-512" hashValue="D8TacORwT7iz0mF9GEucchnMHfB5er2FFjQsxyeWWyeJkM6Bt3gYQ3LbcHPxZXFpVAYtFOuTrzYOCJrlZDx16g==" saltValue="QtCzIBktdS4NZkOEGcLTRQ==" spinCount="100000" sqref="IW731:IW732" name="Rango2_41_14_1"/>
    <protectedRange algorithmName="SHA-512" hashValue="D8TacORwT7iz0mF9GEucchnMHfB5er2FFjQsxyeWWyeJkM6Bt3gYQ3LbcHPxZXFpVAYtFOuTrzYOCJrlZDx16g==" saltValue="QtCzIBktdS4NZkOEGcLTRQ==" spinCount="100000" sqref="IW733" name="Rango2_41_14_2"/>
    <protectedRange algorithmName="SHA-512" hashValue="D8TacORwT7iz0mF9GEucchnMHfB5er2FFjQsxyeWWyeJkM6Bt3gYQ3LbcHPxZXFpVAYtFOuTrzYOCJrlZDx16g==" saltValue="QtCzIBktdS4NZkOEGcLTRQ==" spinCount="100000" sqref="IW734" name="Rango2_41_14_3"/>
    <protectedRange algorithmName="SHA-512" hashValue="D8TacORwT7iz0mF9GEucchnMHfB5er2FFjQsxyeWWyeJkM6Bt3gYQ3LbcHPxZXFpVAYtFOuTrzYOCJrlZDx16g==" saltValue="QtCzIBktdS4NZkOEGcLTRQ==" spinCount="100000" sqref="IW735" name="Rango2_41_14_4"/>
    <protectedRange algorithmName="SHA-512" hashValue="D8TacORwT7iz0mF9GEucchnMHfB5er2FFjQsxyeWWyeJkM6Bt3gYQ3LbcHPxZXFpVAYtFOuTrzYOCJrlZDx16g==" saltValue="QtCzIBktdS4NZkOEGcLTRQ==" spinCount="100000" sqref="IW736" name="Rango2_41_14_5"/>
    <protectedRange algorithmName="SHA-512" hashValue="D8TacORwT7iz0mF9GEucchnMHfB5er2FFjQsxyeWWyeJkM6Bt3gYQ3LbcHPxZXFpVAYtFOuTrzYOCJrlZDx16g==" saltValue="QtCzIBktdS4NZkOEGcLTRQ==" spinCount="100000" sqref="IW737:IW738" name="Rango2_41_14_6"/>
    <protectedRange algorithmName="SHA-512" hashValue="Gqwr8n5jYbCESAqCFk8dpOzViQICBV+k0xoqBoQaZ5lHaRlvT9TZDB4yXtm+qC6OhD064ZDBOFWkwo+LHXu1sg==" saltValue="gEL9PCN2ekF2IxW9yqAGYA==" spinCount="100000" sqref="IS739" name="Rango2_40_2_22_1"/>
    <protectedRange algorithmName="SHA-512" hashValue="9+DNppQbWrLYYUMoJ+lyQctV2bX3Vq9kZnegLbpjTLP49It2ovUbcartuoQTeXgP+TGpY//7mDH/UQlFCKDGiA==" saltValue="KUnni6YEm00anzSSvyLqQA==" spinCount="100000" sqref="IT739:IV739 IX739 IZ739:JM739 JO739:JW739 JY739:KF739 KH739 KJ739:LJ739" name="Rango2_48_8"/>
    <protectedRange algorithmName="SHA-512" hashValue="D8TacORwT7iz0mF9GEucchnMHfB5er2FFjQsxyeWWyeJkM6Bt3gYQ3LbcHPxZXFpVAYtFOuTrzYOCJrlZDx16g==" saltValue="QtCzIBktdS4NZkOEGcLTRQ==" spinCount="100000" sqref="IW741:IW742" name="Rango2_41_14_7"/>
    <protectedRange algorithmName="SHA-512" hashValue="Gqwr8n5jYbCESAqCFk8dpOzViQICBV+k0xoqBoQaZ5lHaRlvT9TZDB4yXtm+qC6OhD064ZDBOFWkwo+LHXu1sg==" saltValue="gEL9PCN2ekF2IxW9yqAGYA==" spinCount="100000" sqref="IS744" name="Rango2_40_2_8_3"/>
    <protectedRange algorithmName="SHA-512" hashValue="D8TacORwT7iz0mF9GEucchnMHfB5er2FFjQsxyeWWyeJkM6Bt3gYQ3LbcHPxZXFpVAYtFOuTrzYOCJrlZDx16g==" saltValue="QtCzIBktdS4NZkOEGcLTRQ==" spinCount="100000" sqref="IW744" name="Rango2_41_28_1"/>
    <protectedRange algorithmName="SHA-512" hashValue="Gqwr8n5jYbCESAqCFk8dpOzViQICBV+k0xoqBoQaZ5lHaRlvT9TZDB4yXtm+qC6OhD064ZDBOFWkwo+LHXu1sg==" saltValue="gEL9PCN2ekF2IxW9yqAGYA==" spinCount="100000" sqref="IS745" name="Rango2_40_2_8_4"/>
    <protectedRange algorithmName="SHA-512" hashValue="D8TacORwT7iz0mF9GEucchnMHfB5er2FFjQsxyeWWyeJkM6Bt3gYQ3LbcHPxZXFpVAYtFOuTrzYOCJrlZDx16g==" saltValue="QtCzIBktdS4NZkOEGcLTRQ==" spinCount="100000" sqref="IW745" name="Rango2_41_28_2"/>
    <protectedRange algorithmName="SHA-512" hashValue="Gqwr8n5jYbCESAqCFk8dpOzViQICBV+k0xoqBoQaZ5lHaRlvT9TZDB4yXtm+qC6OhD064ZDBOFWkwo+LHXu1sg==" saltValue="gEL9PCN2ekF2IxW9yqAGYA==" spinCount="100000" sqref="IS746" name="Rango2_40_2_27_1"/>
    <protectedRange algorithmName="SHA-512" hashValue="9+DNppQbWrLYYUMoJ+lyQctV2bX3Vq9kZnegLbpjTLP49It2ovUbcartuoQTeXgP+TGpY//7mDH/UQlFCKDGiA==" saltValue="KUnni6YEm00anzSSvyLqQA==" spinCount="100000" sqref="LH746:LN746" name="Rango2_86_14"/>
    <protectedRange algorithmName="SHA-512" hashValue="9+DNppQbWrLYYUMoJ+lyQctV2bX3Vq9kZnegLbpjTLP49It2ovUbcartuoQTeXgP+TGpY//7mDH/UQlFCKDGiA==" saltValue="KUnni6YEm00anzSSvyLqQA==" spinCount="100000" sqref="JD747:JM747" name="Rango2_86_10"/>
    <protectedRange algorithmName="SHA-512" hashValue="9+DNppQbWrLYYUMoJ+lyQctV2bX3Vq9kZnegLbpjTLP49It2ovUbcartuoQTeXgP+TGpY//7mDH/UQlFCKDGiA==" saltValue="KUnni6YEm00anzSSvyLqQA==" spinCount="100000" sqref="JO747:JW747" name="Rango2_86_11"/>
    <protectedRange algorithmName="SHA-512" hashValue="9+DNppQbWrLYYUMoJ+lyQctV2bX3Vq9kZnegLbpjTLP49It2ovUbcartuoQTeXgP+TGpY//7mDH/UQlFCKDGiA==" saltValue="KUnni6YEm00anzSSvyLqQA==" spinCount="100000" sqref="KF747" name="Rango2_86_12"/>
    <protectedRange algorithmName="SHA-512" hashValue="9+DNppQbWrLYYUMoJ+lyQctV2bX3Vq9kZnegLbpjTLP49It2ovUbcartuoQTeXgP+TGpY//7mDH/UQlFCKDGiA==" saltValue="KUnni6YEm00anzSSvyLqQA==" spinCount="100000" sqref="KH747" name="Rango2_86_13"/>
    <protectedRange algorithmName="SHA-512" hashValue="9+DNppQbWrLYYUMoJ+lyQctV2bX3Vq9kZnegLbpjTLP49It2ovUbcartuoQTeXgP+TGpY//7mDH/UQlFCKDGiA==" saltValue="KUnni6YEm00anzSSvyLqQA==" spinCount="100000" sqref="KJ747:LN747" name="Rango2_86_14_1"/>
    <protectedRange algorithmName="SHA-512" hashValue="Gqwr8n5jYbCESAqCFk8dpOzViQICBV+k0xoqBoQaZ5lHaRlvT9TZDB4yXtm+qC6OhD064ZDBOFWkwo+LHXu1sg==" saltValue="gEL9PCN2ekF2IxW9yqAGYA==" spinCount="100000" sqref="IS748" name="Rango2_40_2_27_2"/>
    <protectedRange algorithmName="SHA-512" hashValue="D8TacORwT7iz0mF9GEucchnMHfB5er2FFjQsxyeWWyeJkM6Bt3gYQ3LbcHPxZXFpVAYtFOuTrzYOCJrlZDx16g==" saltValue="QtCzIBktdS4NZkOEGcLTRQ==" spinCount="100000" sqref="IW748" name="Rango2_41_27_1"/>
    <protectedRange algorithmName="SHA-512" hashValue="9+DNppQbWrLYYUMoJ+lyQctV2bX3Vq9kZnegLbpjTLP49It2ovUbcartuoQTeXgP+TGpY//7mDH/UQlFCKDGiA==" saltValue="KUnni6YEm00anzSSvyLqQA==" spinCount="100000" sqref="IX748 IT748:IV748" name="Rango2_86_9_1"/>
    <protectedRange algorithmName="SHA-512" hashValue="9+DNppQbWrLYYUMoJ+lyQctV2bX3Vq9kZnegLbpjTLP49It2ovUbcartuoQTeXgP+TGpY//7mDH/UQlFCKDGiA==" saltValue="KUnni6YEm00anzSSvyLqQA==" spinCount="100000" sqref="IZ748:JM748" name="Rango2_86_10_1"/>
    <protectedRange algorithmName="SHA-512" hashValue="9+DNppQbWrLYYUMoJ+lyQctV2bX3Vq9kZnegLbpjTLP49It2ovUbcartuoQTeXgP+TGpY//7mDH/UQlFCKDGiA==" saltValue="KUnni6YEm00anzSSvyLqQA==" spinCount="100000" sqref="JO748:JW748" name="Rango2_86_11_1"/>
    <protectedRange algorithmName="SHA-512" hashValue="9+DNppQbWrLYYUMoJ+lyQctV2bX3Vq9kZnegLbpjTLP49It2ovUbcartuoQTeXgP+TGpY//7mDH/UQlFCKDGiA==" saltValue="KUnni6YEm00anzSSvyLqQA==" spinCount="100000" sqref="KF748" name="Rango2_86_12_1"/>
    <protectedRange algorithmName="SHA-512" hashValue="9+DNppQbWrLYYUMoJ+lyQctV2bX3Vq9kZnegLbpjTLP49It2ovUbcartuoQTeXgP+TGpY//7mDH/UQlFCKDGiA==" saltValue="KUnni6YEm00anzSSvyLqQA==" spinCount="100000" sqref="KH748" name="Rango2_86_13_1"/>
    <protectedRange algorithmName="SHA-512" hashValue="9+DNppQbWrLYYUMoJ+lyQctV2bX3Vq9kZnegLbpjTLP49It2ovUbcartuoQTeXgP+TGpY//7mDH/UQlFCKDGiA==" saltValue="KUnni6YEm00anzSSvyLqQA==" spinCount="100000" sqref="KJ748:LN748" name="Rango2_86_14_2"/>
    <protectedRange algorithmName="SHA-512" hashValue="Gqwr8n5jYbCESAqCFk8dpOzViQICBV+k0xoqBoQaZ5lHaRlvT9TZDB4yXtm+qC6OhD064ZDBOFWkwo+LHXu1sg==" saltValue="gEL9PCN2ekF2IxW9yqAGYA==" spinCount="100000" sqref="IS749" name="Rango2_40_2_14_1"/>
    <protectedRange algorithmName="SHA-512" hashValue="D8TacORwT7iz0mF9GEucchnMHfB5er2FFjQsxyeWWyeJkM6Bt3gYQ3LbcHPxZXFpVAYtFOuTrzYOCJrlZDx16g==" saltValue="QtCzIBktdS4NZkOEGcLTRQ==" spinCount="100000" sqref="IW749" name="Rango2_41_35_1"/>
    <protectedRange algorithmName="SHA-512" hashValue="9+DNppQbWrLYYUMoJ+lyQctV2bX3Vq9kZnegLbpjTLP49It2ovUbcartuoQTeXgP+TGpY//7mDH/UQlFCKDGiA==" saltValue="KUnni6YEm00anzSSvyLqQA==" spinCount="100000" sqref="IS750" name="Rango2_82_1"/>
    <protectedRange algorithmName="SHA-512" hashValue="D8TacORwT7iz0mF9GEucchnMHfB5er2FFjQsxyeWWyeJkM6Bt3gYQ3LbcHPxZXFpVAYtFOuTrzYOCJrlZDx16g==" saltValue="QtCzIBktdS4NZkOEGcLTRQ==" spinCount="100000" sqref="IW750" name="Rango2_41_22_1"/>
    <protectedRange sqref="IS751:IS753" name="Rango2_40_2_1_1"/>
    <protectedRange sqref="IW751:IW753" name="Rango2_41_1_1"/>
    <protectedRange sqref="IX751:IX753 IT751:IV753" name="Rango2_64_2"/>
    <protectedRange sqref="IZ751:JM753" name="Rango2_91_1"/>
    <protectedRange sqref="JO751:JW753" name="Rango2_92_2"/>
    <protectedRange sqref="IS756" name="Rango2_40_2_1_2"/>
    <protectedRange sqref="IW756" name="Rango2_41_1_2"/>
    <protectedRange sqref="IT756:IV756 IX756" name="Rango2_64_3"/>
    <protectedRange sqref="IZ756:JM756" name="Rango2_91_2"/>
    <protectedRange sqref="JO756:JW756" name="Rango2_92_3"/>
    <protectedRange sqref="D757" name="Rango2_10_4_6"/>
    <protectedRange sqref="B758" name="Rango2_71_3"/>
    <protectedRange sqref="D759" name="Rango2_10_6_4"/>
    <protectedRange sqref="B760 M760" name="Rango2_10_1_7"/>
    <protectedRange sqref="I760" name="Rango2_61_4_3"/>
    <protectedRange sqref="K760" name="Rango2_88_4_4_4_3"/>
    <protectedRange sqref="L760 J760 E760:H760" name="Rango2_10_11_1"/>
    <protectedRange algorithmName="SHA-512" hashValue="9+DNppQbWrLYYUMoJ+lyQctV2bX3Vq9kZnegLbpjTLP49It2ovUbcartuoQTeXgP+TGpY//7mDH/UQlFCKDGiA==" saltValue="KUnni6YEm00anzSSvyLqQA==" spinCount="100000" sqref="B761" name="Rango2_47_2"/>
    <protectedRange algorithmName="SHA-512" hashValue="9+DNppQbWrLYYUMoJ+lyQctV2bX3Vq9kZnegLbpjTLP49It2ovUbcartuoQTeXgP+TGpY//7mDH/UQlFCKDGiA==" saltValue="KUnni6YEm00anzSSvyLqQA==" spinCount="100000" sqref="B762" name="Rango2_48_9"/>
    <protectedRange algorithmName="SHA-512" hashValue="6a5oYwZw9WJcgjqXpleUXH8uaqNEuymPPpeOb7lKBc1WoM6IG/DNyDLWmj2lYwxnZO2yhl+B61kwrxD9m9AdhQ==" saltValue="tdNQPzLQd+n9Ww064QJIaQ==" spinCount="100000" sqref="I767:I768" name="Rango2_61_9_5"/>
    <protectedRange algorithmName="SHA-512" hashValue="XM8+0Jh5zLWw02PI0Lt8dLqjTcW5ulySion19FAnruDN6QRp4UwcVqdfQxnOQAItgpWG7rNsELzjwy0iXOonxw==" saltValue="Sd4WFUedDfLKoMQTDrxJuQ==" spinCount="100000" sqref="K767:K768" name="Rango2_88_4_4_9_5"/>
    <protectedRange algorithmName="SHA-512" hashValue="EMMPgE8t/az1rHHzaZAQIhz+GQV0k2O/tQGA96sJqEEMzz1efIRa4CcLzC7iY9CCscto3g7dwz41haOE28iXYg==" saltValue="CVzFsG4X4LXUMo7796PiDQ==" spinCount="100000" sqref="L767:M768 J767:J768 B767:B768 D767:H768" name="Rango2_10_17_6"/>
    <protectedRange algorithmName="SHA-512" hashValue="6a5oYwZw9WJcgjqXpleUXH8uaqNEuymPPpeOb7lKBc1WoM6IG/DNyDLWmj2lYwxnZO2yhl+B61kwrxD9m9AdhQ==" saltValue="tdNQPzLQd+n9Ww064QJIaQ==" spinCount="100000" sqref="I769" name="Rango2_61_9_6"/>
    <protectedRange algorithmName="SHA-512" hashValue="XM8+0Jh5zLWw02PI0Lt8dLqjTcW5ulySion19FAnruDN6QRp4UwcVqdfQxnOQAItgpWG7rNsELzjwy0iXOonxw==" saltValue="Sd4WFUedDfLKoMQTDrxJuQ==" spinCount="100000" sqref="K769" name="Rango2_88_4_4_9_6"/>
    <protectedRange algorithmName="SHA-512" hashValue="EMMPgE8t/az1rHHzaZAQIhz+GQV0k2O/tQGA96sJqEEMzz1efIRa4CcLzC7iY9CCscto3g7dwz41haOE28iXYg==" saltValue="CVzFsG4X4LXUMo7796PiDQ==" spinCount="100000" sqref="L769:M769 J769 B769 D769:H769" name="Rango2_10_17_7"/>
    <protectedRange algorithmName="SHA-512" hashValue="6a5oYwZw9WJcgjqXpleUXH8uaqNEuymPPpeOb7lKBc1WoM6IG/DNyDLWmj2lYwxnZO2yhl+B61kwrxD9m9AdhQ==" saltValue="tdNQPzLQd+n9Ww064QJIaQ==" spinCount="100000" sqref="I771" name="Rango2_61_12_1"/>
    <protectedRange algorithmName="SHA-512" hashValue="XM8+0Jh5zLWw02PI0Lt8dLqjTcW5ulySion19FAnruDN6QRp4UwcVqdfQxnOQAItgpWG7rNsELzjwy0iXOonxw==" saltValue="Sd4WFUedDfLKoMQTDrxJuQ==" spinCount="100000" sqref="K771" name="Rango2_88_4_4_12_1"/>
    <protectedRange algorithmName="SHA-512" hashValue="EMMPgE8t/az1rHHzaZAQIhz+GQV0k2O/tQGA96sJqEEMzz1efIRa4CcLzC7iY9CCscto3g7dwz41haOE28iXYg==" saltValue="CVzFsG4X4LXUMo7796PiDQ==" spinCount="100000" sqref="L771:M771 J771 B771 D771:H771" name="Rango2_10_20_1"/>
    <protectedRange algorithmName="SHA-512" hashValue="EMMPgE8t/az1rHHzaZAQIhz+GQV0k2O/tQGA96sJqEEMzz1efIRa4CcLzC7iY9CCscto3g7dwz41haOE28iXYg==" saltValue="CVzFsG4X4LXUMo7796PiDQ==" spinCount="100000" sqref="B772" name="Rango2_10_21_1"/>
    <protectedRange algorithmName="SHA-512" hashValue="6a5oYwZw9WJcgjqXpleUXH8uaqNEuymPPpeOb7lKBc1WoM6IG/DNyDLWmj2lYwxnZO2yhl+B61kwrxD9m9AdhQ==" saltValue="tdNQPzLQd+n9Ww064QJIaQ==" spinCount="100000" sqref="I776" name="Rango2_61_13_3"/>
    <protectedRange algorithmName="SHA-512" hashValue="XM8+0Jh5zLWw02PI0Lt8dLqjTcW5ulySion19FAnruDN6QRp4UwcVqdfQxnOQAItgpWG7rNsELzjwy0iXOonxw==" saltValue="Sd4WFUedDfLKoMQTDrxJuQ==" spinCount="100000" sqref="K776" name="Rango2_88_4_4_13_1"/>
    <protectedRange algorithmName="SHA-512" hashValue="EMMPgE8t/az1rHHzaZAQIhz+GQV0k2O/tQGA96sJqEEMzz1efIRa4CcLzC7iY9CCscto3g7dwz41haOE28iXYg==" saltValue="CVzFsG4X4LXUMo7796PiDQ==" spinCount="100000" sqref="L776:M776 J776 B776 D776:H776" name="Rango2_10_22_1"/>
    <protectedRange algorithmName="SHA-512" hashValue="6a5oYwZw9WJcgjqXpleUXH8uaqNEuymPPpeOb7lKBc1WoM6IG/DNyDLWmj2lYwxnZO2yhl+B61kwrxD9m9AdhQ==" saltValue="tdNQPzLQd+n9Ww064QJIaQ==" spinCount="100000" sqref="I780" name="Rango2_61_14_2"/>
    <protectedRange algorithmName="SHA-512" hashValue="XM8+0Jh5zLWw02PI0Lt8dLqjTcW5ulySion19FAnruDN6QRp4UwcVqdfQxnOQAItgpWG7rNsELzjwy0iXOonxw==" saltValue="Sd4WFUedDfLKoMQTDrxJuQ==" spinCount="100000" sqref="K780" name="Rango2_88_4_4_14_4"/>
    <protectedRange algorithmName="SHA-512" hashValue="EMMPgE8t/az1rHHzaZAQIhz+GQV0k2O/tQGA96sJqEEMzz1efIRa4CcLzC7iY9CCscto3g7dwz41haOE28iXYg==" saltValue="CVzFsG4X4LXUMo7796PiDQ==" spinCount="100000" sqref="L780:M780 J780 B780 D780:H780" name="Rango2_10_23_5"/>
    <protectedRange algorithmName="SHA-512" hashValue="EMMPgE8t/az1rHHzaZAQIhz+GQV0k2O/tQGA96sJqEEMzz1efIRa4CcLzC7iY9CCscto3g7dwz41haOE28iXYg==" saltValue="CVzFsG4X4LXUMo7796PiDQ==" spinCount="100000" sqref="B781" name="Rango2_10_24_1"/>
    <protectedRange algorithmName="SHA-512" hashValue="6a5oYwZw9WJcgjqXpleUXH8uaqNEuymPPpeOb7lKBc1WoM6IG/DNyDLWmj2lYwxnZO2yhl+B61kwrxD9m9AdhQ==" saltValue="tdNQPzLQd+n9Ww064QJIaQ==" spinCount="100000" sqref="I784" name="Rango2_61_15_1"/>
    <protectedRange algorithmName="SHA-512" hashValue="XM8+0Jh5zLWw02PI0Lt8dLqjTcW5ulySion19FAnruDN6QRp4UwcVqdfQxnOQAItgpWG7rNsELzjwy0iXOonxw==" saltValue="Sd4WFUedDfLKoMQTDrxJuQ==" spinCount="100000" sqref="K784" name="Rango2_88_4_4_15_1"/>
    <protectedRange algorithmName="SHA-512" hashValue="EMMPgE8t/az1rHHzaZAQIhz+GQV0k2O/tQGA96sJqEEMzz1efIRa4CcLzC7iY9CCscto3g7dwz41haOE28iXYg==" saltValue="CVzFsG4X4LXUMo7796PiDQ==" spinCount="100000" sqref="L784:M784 J784 B784 D784:H784" name="Rango2_10_25_1"/>
    <protectedRange algorithmName="SHA-512" hashValue="6a5oYwZw9WJcgjqXpleUXH8uaqNEuymPPpeOb7lKBc1WoM6IG/DNyDLWmj2lYwxnZO2yhl+B61kwrxD9m9AdhQ==" saltValue="tdNQPzLQd+n9Ww064QJIaQ==" spinCount="100000" sqref="I785:I786" name="Rango2_61_16_4"/>
    <protectedRange algorithmName="SHA-512" hashValue="XM8+0Jh5zLWw02PI0Lt8dLqjTcW5ulySion19FAnruDN6QRp4UwcVqdfQxnOQAItgpWG7rNsELzjwy0iXOonxw==" saltValue="Sd4WFUedDfLKoMQTDrxJuQ==" spinCount="100000" sqref="K785:K786" name="Rango2_88_4_4_16_4"/>
    <protectedRange algorithmName="SHA-512" hashValue="EMMPgE8t/az1rHHzaZAQIhz+GQV0k2O/tQGA96sJqEEMzz1efIRa4CcLzC7iY9CCscto3g7dwz41haOE28iXYg==" saltValue="CVzFsG4X4LXUMo7796PiDQ==" spinCount="100000" sqref="B785:B786 L785:M786 J785:J786 D785:H786" name="Rango2_10_26_1"/>
    <protectedRange algorithmName="SHA-512" hashValue="EMMPgE8t/az1rHHzaZAQIhz+GQV0k2O/tQGA96sJqEEMzz1efIRa4CcLzC7iY9CCscto3g7dwz41haOE28iXYg==" saltValue="CVzFsG4X4LXUMo7796PiDQ==" spinCount="100000" sqref="B787" name="Rango2_10_28_1"/>
    <protectedRange sqref="O757" name="Rango2_99_86_1"/>
    <protectedRange sqref="Q757" name="Rango2_2_5_1_1_1"/>
    <protectedRange sqref="AE757:AF757" name="Rango2_88_39_3_4"/>
    <protectedRange sqref="AI757" name="Rango2_8_7_9_1_1"/>
    <protectedRange sqref="AJ757 AG757:AH757" name="Rango2_88_7_5_4_3"/>
    <protectedRange sqref="AD757" name="Rango2_46_7"/>
    <protectedRange sqref="U757:AA757 R757:S757" name="Rango2_99_87_2"/>
    <protectedRange sqref="T757" name="Rango2_88_6_10_4"/>
    <protectedRange sqref="AB757" name="Rango2_87_6_10_4"/>
    <protectedRange sqref="AC757" name="Rango2_88_5_5_10_4"/>
    <protectedRange sqref="AM757:AQ757" name="Rango2_88_65_2_1_1"/>
    <protectedRange sqref="AL757" name="Rango2_88_7_5_5_3"/>
    <protectedRange sqref="AT757 BJ757:BK757 AV757" name="Rango2_99_88_1"/>
    <protectedRange sqref="AR757:AS757" name="Rango2_88_65_3_4"/>
    <protectedRange sqref="AU757 AW757:AZ757" name="Rango2_88_91_3_4"/>
    <protectedRange sqref="BA757:BI757" name="Rango2_88_99_5_3"/>
    <protectedRange sqref="BV757:BY757" name="Rango2_88_99_4_3"/>
    <protectedRange sqref="BZ757" name="Rango2_99_89_2"/>
    <protectedRange sqref="CA757:CB757" name="Rango2_99_90_1"/>
    <protectedRange sqref="CP757:CQ757" name="Rango2_99_92_2"/>
    <protectedRange sqref="CS757:CT757" name="Rango2_99_92_1_1"/>
    <protectedRange sqref="DA757:DL757" name="Rango2_99_94_3"/>
    <protectedRange sqref="O759" name="Rango2_99_1_1_1"/>
    <protectedRange sqref="R759:S759 U759:AA759" name="Rango2_99_2_1_1"/>
    <protectedRange sqref="Q758:Q759" name="Rango2_2_5_1_1_2"/>
    <protectedRange sqref="AD759" name="Rango2_82_2"/>
    <protectedRange sqref="T759" name="Rango2_88_6_12_1"/>
    <protectedRange sqref="AB759" name="Rango2_87_6_12_1"/>
    <protectedRange sqref="AE759:AF759" name="Rango2_88_39_4_6"/>
    <protectedRange sqref="AI759" name="Rango2_8_7_10_4"/>
    <protectedRange sqref="AC759" name="Rango2_88_5_5_12_1"/>
    <protectedRange sqref="AG759:AH759 AJ759" name="Rango2_88_7_5_6_2"/>
    <protectedRange sqref="BJ759:BK759 AV759 AT759" name="Rango2_99_3_3_1"/>
    <protectedRange sqref="AM758:AQ758" name="Rango2_88_65_2_1_2"/>
    <protectedRange sqref="AL758" name="Rango2_88_7_5_5_4"/>
    <protectedRange sqref="AM759:AS759" name="Rango2_88_65_5_3"/>
    <protectedRange sqref="AL759" name="Rango2_88_7_5_7_3"/>
    <protectedRange sqref="AU759 AW759:AZ759" name="Rango2_88_91_5_3"/>
    <protectedRange sqref="BA759:BI759" name="Rango2_88_99_7_2"/>
    <protectedRange sqref="BV758:BY759" name="Rango2_88_99_4_4"/>
    <protectedRange sqref="BR759:BS759" name="Rango2_99_22_3_1"/>
    <protectedRange sqref="CS759:CT759" name="Rango2_99_22_4_1"/>
    <protectedRange sqref="DA759:DC759" name="Rango2_99_12_1_1"/>
    <protectedRange sqref="O760" name="Rango2_99_1_4"/>
    <protectedRange sqref="AG760:AH760 AJ760" name="Rango2_88_7_5_1_4"/>
    <protectedRange sqref="AI760" name="Rango2_8_7_1_4"/>
    <protectedRange sqref="AE760:AF760" name="Rango2_88_39_1_4"/>
    <protectedRange sqref="Q760:Q790 Q792:Q794 Q796:Q802 Q804 Q806:Q810 Q812:Q815 Q818:Q857 Q859 Q861:Q886 Q888:Q1003 Q1005:Q1010 Q1012:Q1035 Q1037:Q1058 Q1060 Q1062:Q1074 Q1076:Q1110 Q1112:Q1145 Q1147:Q1176 Q1389:Q1395 Q1397:Q1411 Q1413:Q1474 Q1476:Q1586 Q1588:Q1647 Q1649:Q1673 Q1675:Q1679 Q1681:Q1705 Q1907:Q1908 Q1910:Q1911 Q1913:Q1916 Q1918:Q1920 Q1922:Q1923 Q1925:Q1931 Q1933:Q1935 Q1937:Q1942 Q1944 Q1947 Q1949:Q1955 Q1957 Q1961:Q1962 Q1964:Q1970 Q1972:Q1973 Q1978:Q1981 Q1983:Q1984 Q1986:Q1990 Q1994:Q2032 Q2035:Q2064 Q2066:Q2080 Q2082 Q2084:Q2100 Q2102:Q2103 Q2105:Q2200 Q2202:Q2207 Q2209:Q2212 Q2214:Q2217 Q2219:Q2222 Q2224:Q2256 Q1707:Q1888 Q1178:Q1387" name="Rango2_2_5_1_4"/>
    <protectedRange sqref="AC760" name="Rango2_88_5_5_17_6"/>
    <protectedRange sqref="AB760" name="Rango2_87_6_17_6"/>
    <protectedRange sqref="T760" name="Rango2_88_6_17_6"/>
    <protectedRange sqref="R760:S760 U760:AA760" name="Rango2_99_3_4"/>
    <protectedRange sqref="AD760" name="Rango2_35_3"/>
    <protectedRange sqref="AU760" name="Rango2_88_91_1_4"/>
    <protectedRange sqref="AV760 BJ760:BK760" name="Rango2_99_4_3"/>
    <protectedRange sqref="AM760:AQ760" name="Rango2_88_65_6_2"/>
    <protectedRange sqref="AL760" name="Rango2_88_7_5_9_6"/>
    <protectedRange sqref="AW760:AZ760" name="Rango2_88_91_43_2"/>
    <protectedRange sqref="BA760:BI760" name="Rango2_88_99_65_2"/>
    <protectedRange sqref="AR760:AS760" name="Rango2_88_65_11_3"/>
    <protectedRange sqref="AT760" name="Rango2_99_5_5"/>
    <protectedRange sqref="BR760:BS760" name="Rango2_99_6_8"/>
    <protectedRange sqref="BV760:BY760" name="Rango2_88_99_13_1"/>
    <protectedRange sqref="BZ760:CB760" name="Rango2_99_7_6"/>
    <protectedRange sqref="CP760:CQ760" name="Rango2_99_27_6"/>
    <protectedRange sqref="CV760:CY760" name="Rango2_99_47_4"/>
    <protectedRange sqref="DF760:DL760" name="Rango2_99_48_6"/>
    <protectedRange sqref="DA760:DB760" name="Rango2_99_49_1"/>
    <protectedRange sqref="CS760:CT760" name="Rango2_99_29_4"/>
    <protectedRange sqref="DC760" name="Rango2_99_48_5_1"/>
    <protectedRange sqref="CJ760:CK760 CE760:CF760" name="Rango2_99_25_2"/>
    <protectedRange sqref="DD760" name="Rango2_99_48_6_1"/>
    <protectedRange sqref="BT760:BU760" name="Rango2_99_6_5_1"/>
    <protectedRange sqref="DE760" name="Rango2_99_48_8"/>
    <protectedRange algorithmName="SHA-512" hashValue="RQ91b7oAw60DVtcgB2vRpial2kSdzJx5guGCTYUwXYkKrtrUHfiYnLf9R+SNpYXlJDYpyEJLhcWwP0EqNN86dQ==" saltValue="W3RbH3zrcY9sy39xNwXNxg==" spinCount="100000" sqref="BA767:BI768" name="Rango2_88_99_21_3"/>
    <protectedRange algorithmName="SHA-512" hashValue="fMbmUM1DQ7FuAPRNvFL5mPdHUYjQnlLFhkuaxvHguaqR7aWyDxcmJs0jLYQfQKY+oyhsMb4Lew4VL6i7um3/ew==" saltValue="ydaTm0CeH8+/cYqoL/AMaQ==" spinCount="100000" sqref="AU767:AU768 AW767:AZ768" name="Rango2_88_91_15_3"/>
    <protectedRange algorithmName="SHA-512" hashValue="CHipOQaT63FWw628cQcXXJRZlrbNZ7OgmnEbDx38UmmH7z19GRYEzXFiVOzHAy1OAaAbST7g2bHZHDKQp2qm3w==" saltValue="iRVuL+373yLHv0ZHzS9qog==" spinCount="100000" sqref="AG767:AH768 AJ767:AJ768 AL767:AL768" name="Rango2_88_7_5_18_2"/>
    <protectedRange algorithmName="SHA-512" hashValue="NkG6oHuDGvGBEiLAAq8MEJHEfLQUMyjihfH+DBXhT+eQW0r1yri7tOJEFRM9nbOejjjXiviq9RFo7KB7wF+xJA==" saltValue="bpjB0AAANu2X/PeR3eiFkA==" spinCount="100000" sqref="AM767:AS768" name="Rango2_88_65_16_4"/>
    <protectedRange algorithmName="SHA-512" hashValue="fPHvtIAf3pQeZUoAI9C2/vdXMHBpqqEq+67P5Ypyu4+9IWqs3yc9TZcMWQ0THLxUwqseQPyVvakuYFtCwJHsxA==" saltValue="QHIogSs2PrwAfdqa9PAOFQ==" spinCount="100000" sqref="AC767:AC768" name="Rango2_88_5_5_22_1"/>
    <protectedRange algorithmName="SHA-512" hashValue="LEEeiU6pKqm7TAP46VGlz0q+evvFwpT/0iLpRuWuQ7MacbP0OGL1/FSmrIEOg2rb6M+Jla2bPbVWiGag27j87w==" saltValue="HEVt+pS5OloNDlqSnzGLLw==" spinCount="100000" sqref="AI767:AI768" name="Rango2_8_7_19_1"/>
    <protectedRange algorithmName="SHA-512" hashValue="q2z5hEFmXS0v2chiPTC/VCoDWNlnhp+Xe6Ybfxe48vIsnB/KTJQxJv+pFUnCXfZ9T6vyJopuqFFNROfQTW/JUw==" saltValue="IctfdGJb5tOTpq+KPi9vww==" spinCount="100000" sqref="AE767:AF768" name="Rango2_88_39_33_1"/>
    <protectedRange algorithmName="SHA-512" hashValue="AYYX88LSDB6RDNMvSqt0KPGWPjBqTk56tMxTOlv5QD61MGTKAAQnSnudvNDWPN0Bbllh2qRQC+P5uq7goxjdrw==" saltValue="i/iPMewnks1FoXYOjKMEVg==" spinCount="100000" sqref="AB767:AB768" name="Rango2_87_6_22_1"/>
    <protectedRange algorithmName="SHA-512" hashValue="NUll9P9xh7KbSfMYpMxsRZLfDw/y/AzW2LSWlpXVscBDqiAxmzo71xjs+a2lh+jRa7pceOC849slke4+ZKx8LA==" saltValue="8qbkKpQ+CiQuLnqgShNvXA==" spinCount="100000" sqref="T767:T768" name="Rango2_88_6_22_1"/>
    <protectedRange algorithmName="SHA-512" hashValue="RQ91b7oAw60DVtcgB2vRpial2kSdzJx5guGCTYUwXYkKrtrUHfiYnLf9R+SNpYXlJDYpyEJLhcWwP0EqNN86dQ==" saltValue="W3RbH3zrcY9sy39xNwXNxg==" spinCount="100000" sqref="BV767:BY768" name="Rango2_88_99_22_3"/>
    <protectedRange algorithmName="SHA-512" hashValue="RQ91b7oAw60DVtcgB2vRpial2kSdzJx5guGCTYUwXYkKrtrUHfiYnLf9R+SNpYXlJDYpyEJLhcWwP0EqNN86dQ==" saltValue="W3RbH3zrcY9sy39xNwXNxg==" spinCount="100000" sqref="BA769:BI769" name="Rango2_88_99_21_4"/>
    <protectedRange algorithmName="SHA-512" hashValue="fMbmUM1DQ7FuAPRNvFL5mPdHUYjQnlLFhkuaxvHguaqR7aWyDxcmJs0jLYQfQKY+oyhsMb4Lew4VL6i7um3/ew==" saltValue="ydaTm0CeH8+/cYqoL/AMaQ==" spinCount="100000" sqref="AU769 AW769:AZ769" name="Rango2_88_91_15_4"/>
    <protectedRange algorithmName="SHA-512" hashValue="CHipOQaT63FWw628cQcXXJRZlrbNZ7OgmnEbDx38UmmH7z19GRYEzXFiVOzHAy1OAaAbST7g2bHZHDKQp2qm3w==" saltValue="iRVuL+373yLHv0ZHzS9qog==" spinCount="100000" sqref="AG769:AH769 AJ769 AL769" name="Rango2_88_7_5_18_3"/>
    <protectedRange algorithmName="SHA-512" hashValue="NkG6oHuDGvGBEiLAAq8MEJHEfLQUMyjihfH+DBXhT+eQW0r1yri7tOJEFRM9nbOejjjXiviq9RFo7KB7wF+xJA==" saltValue="bpjB0AAANu2X/PeR3eiFkA==" spinCount="100000" sqref="AM769:AS769" name="Rango2_88_65_16_5"/>
    <protectedRange algorithmName="SHA-512" hashValue="fPHvtIAf3pQeZUoAI9C2/vdXMHBpqqEq+67P5Ypyu4+9IWqs3yc9TZcMWQ0THLxUwqseQPyVvakuYFtCwJHsxA==" saltValue="QHIogSs2PrwAfdqa9PAOFQ==" spinCount="100000" sqref="AC769" name="Rango2_88_5_5_22_2"/>
    <protectedRange algorithmName="SHA-512" hashValue="LEEeiU6pKqm7TAP46VGlz0q+evvFwpT/0iLpRuWuQ7MacbP0OGL1/FSmrIEOg2rb6M+Jla2bPbVWiGag27j87w==" saltValue="HEVt+pS5OloNDlqSnzGLLw==" spinCount="100000" sqref="AI769" name="Rango2_8_7_19_2"/>
    <protectedRange algorithmName="SHA-512" hashValue="q2z5hEFmXS0v2chiPTC/VCoDWNlnhp+Xe6Ybfxe48vIsnB/KTJQxJv+pFUnCXfZ9T6vyJopuqFFNROfQTW/JUw==" saltValue="IctfdGJb5tOTpq+KPi9vww==" spinCount="100000" sqref="AE769:AF769" name="Rango2_88_39_33_2"/>
    <protectedRange algorithmName="SHA-512" hashValue="AYYX88LSDB6RDNMvSqt0KPGWPjBqTk56tMxTOlv5QD61MGTKAAQnSnudvNDWPN0Bbllh2qRQC+P5uq7goxjdrw==" saltValue="i/iPMewnks1FoXYOjKMEVg==" spinCount="100000" sqref="AB769" name="Rango2_87_6_22_2"/>
    <protectedRange algorithmName="SHA-512" hashValue="NUll9P9xh7KbSfMYpMxsRZLfDw/y/AzW2LSWlpXVscBDqiAxmzo71xjs+a2lh+jRa7pceOC849slke4+ZKx8LA==" saltValue="8qbkKpQ+CiQuLnqgShNvXA==" spinCount="100000" sqref="T769" name="Rango2_88_6_22_2"/>
    <protectedRange algorithmName="SHA-512" hashValue="RQ91b7oAw60DVtcgB2vRpial2kSdzJx5guGCTYUwXYkKrtrUHfiYnLf9R+SNpYXlJDYpyEJLhcWwP0EqNN86dQ==" saltValue="W3RbH3zrcY9sy39xNwXNxg==" spinCount="100000" sqref="BV769:BY769" name="Rango2_88_99_22_4"/>
    <protectedRange sqref="AE770:AF770" name="Rango2_88_39_9_1_1"/>
    <protectedRange sqref="AI770" name="Rango2_8_7_14_1_1"/>
    <protectedRange sqref="AJ770 AG770:AH770" name="Rango2_88_7_5_12_1"/>
    <protectedRange sqref="AM770:AQ770" name="Rango2_88_65_6_1_1"/>
    <protectedRange sqref="AL770" name="Rango2_88_7_5_9_1_1"/>
    <protectedRange sqref="AU770 AW770:BI770" name="Rango2_88_91_10_1_1"/>
    <protectedRange sqref="BV770:BY770" name="Rango2_88_99_13_1_1"/>
    <protectedRange algorithmName="SHA-512" hashValue="RQ91b7oAw60DVtcgB2vRpial2kSdzJx5guGCTYUwXYkKrtrUHfiYnLf9R+SNpYXlJDYpyEJLhcWwP0EqNN86dQ==" saltValue="W3RbH3zrcY9sy39xNwXNxg==" spinCount="100000" sqref="BA771:BI771 BV771:BY771" name="Rango2_88_99_23_4"/>
    <protectedRange algorithmName="SHA-512" hashValue="fMbmUM1DQ7FuAPRNvFL5mPdHUYjQnlLFhkuaxvHguaqR7aWyDxcmJs0jLYQfQKY+oyhsMb4Lew4VL6i7um3/ew==" saltValue="ydaTm0CeH8+/cYqoL/AMaQ==" spinCount="100000" sqref="AU771 AW771:AZ771" name="Rango2_88_91_18_2"/>
    <protectedRange algorithmName="SHA-512" hashValue="CHipOQaT63FWw628cQcXXJRZlrbNZ7OgmnEbDx38UmmH7z19GRYEzXFiVOzHAy1OAaAbST7g2bHZHDKQp2qm3w==" saltValue="iRVuL+373yLHv0ZHzS9qog==" spinCount="100000" sqref="AG771:AH771 AJ771 AL771" name="Rango2_88_7_5_21_3"/>
    <protectedRange algorithmName="SHA-512" hashValue="NkG6oHuDGvGBEiLAAq8MEJHEfLQUMyjihfH+DBXhT+eQW0r1yri7tOJEFRM9nbOejjjXiviq9RFo7KB7wF+xJA==" saltValue="bpjB0AAANu2X/PeR3eiFkA==" spinCount="100000" sqref="AM771:AS771" name="Rango2_88_65_19_1"/>
    <protectedRange algorithmName="SHA-512" hashValue="fPHvtIAf3pQeZUoAI9C2/vdXMHBpqqEq+67P5Ypyu4+9IWqs3yc9TZcMWQ0THLxUwqseQPyVvakuYFtCwJHsxA==" saltValue="QHIogSs2PrwAfdqa9PAOFQ==" spinCount="100000" sqref="AC771" name="Rango2_88_5_5_25_1"/>
    <protectedRange algorithmName="SHA-512" hashValue="LEEeiU6pKqm7TAP46VGlz0q+evvFwpT/0iLpRuWuQ7MacbP0OGL1/FSmrIEOg2rb6M+Jla2bPbVWiGag27j87w==" saltValue="HEVt+pS5OloNDlqSnzGLLw==" spinCount="100000" sqref="AI771" name="Rango2_8_7_22_1"/>
    <protectedRange algorithmName="SHA-512" hashValue="q2z5hEFmXS0v2chiPTC/VCoDWNlnhp+Xe6Ybfxe48vIsnB/KTJQxJv+pFUnCXfZ9T6vyJopuqFFNROfQTW/JUw==" saltValue="IctfdGJb5tOTpq+KPi9vww==" spinCount="100000" sqref="AE771:AF771" name="Rango2_88_39_39_3"/>
    <protectedRange algorithmName="SHA-512" hashValue="AYYX88LSDB6RDNMvSqt0KPGWPjBqTk56tMxTOlv5QD61MGTKAAQnSnudvNDWPN0Bbllh2qRQC+P5uq7goxjdrw==" saltValue="i/iPMewnks1FoXYOjKMEVg==" spinCount="100000" sqref="AB771" name="Rango2_87_6_25_2"/>
    <protectedRange algorithmName="SHA-512" hashValue="NUll9P9xh7KbSfMYpMxsRZLfDw/y/AzW2LSWlpXVscBDqiAxmzo71xjs+a2lh+jRa7pceOC849slke4+ZKx8LA==" saltValue="8qbkKpQ+CiQuLnqgShNvXA==" spinCount="100000" sqref="T771" name="Rango2_88_6_25_2"/>
    <protectedRange sqref="CF772" name="Rango2_99_16_4_1"/>
    <protectedRange algorithmName="SHA-512" hashValue="RQ91b7oAw60DVtcgB2vRpial2kSdzJx5guGCTYUwXYkKrtrUHfiYnLf9R+SNpYXlJDYpyEJLhcWwP0EqNN86dQ==" saltValue="W3RbH3zrcY9sy39xNwXNxg==" spinCount="100000" sqref="BA776:BI776 BV776:BY776" name="Rango2_88_99_24_4"/>
    <protectedRange algorithmName="SHA-512" hashValue="fMbmUM1DQ7FuAPRNvFL5mPdHUYjQnlLFhkuaxvHguaqR7aWyDxcmJs0jLYQfQKY+oyhsMb4Lew4VL6i7um3/ew==" saltValue="ydaTm0CeH8+/cYqoL/AMaQ==" spinCount="100000" sqref="AU776 AW776:AZ776" name="Rango2_88_91_19_1"/>
    <protectedRange algorithmName="SHA-512" hashValue="CHipOQaT63FWw628cQcXXJRZlrbNZ7OgmnEbDx38UmmH7z19GRYEzXFiVOzHAy1OAaAbST7g2bHZHDKQp2qm3w==" saltValue="iRVuL+373yLHv0ZHzS9qog==" spinCount="100000" sqref="AG776:AH776 AJ776 AL776" name="Rango2_88_7_5_22_2"/>
    <protectedRange algorithmName="SHA-512" hashValue="NkG6oHuDGvGBEiLAAq8MEJHEfLQUMyjihfH+DBXhT+eQW0r1yri7tOJEFRM9nbOejjjXiviq9RFo7KB7wF+xJA==" saltValue="bpjB0AAANu2X/PeR3eiFkA==" spinCount="100000" sqref="AM776:AS776" name="Rango2_88_65_20_1"/>
    <protectedRange algorithmName="SHA-512" hashValue="fPHvtIAf3pQeZUoAI9C2/vdXMHBpqqEq+67P5Ypyu4+9IWqs3yc9TZcMWQ0THLxUwqseQPyVvakuYFtCwJHsxA==" saltValue="QHIogSs2PrwAfdqa9PAOFQ==" spinCount="100000" sqref="AC776" name="Rango2_88_5_5_26_1"/>
    <protectedRange algorithmName="SHA-512" hashValue="LEEeiU6pKqm7TAP46VGlz0q+evvFwpT/0iLpRuWuQ7MacbP0OGL1/FSmrIEOg2rb6M+Jla2bPbVWiGag27j87w==" saltValue="HEVt+pS5OloNDlqSnzGLLw==" spinCount="100000" sqref="AI776" name="Rango2_8_7_23_6"/>
    <protectedRange algorithmName="SHA-512" hashValue="q2z5hEFmXS0v2chiPTC/VCoDWNlnhp+Xe6Ybfxe48vIsnB/KTJQxJv+pFUnCXfZ9T6vyJopuqFFNROfQTW/JUw==" saltValue="IctfdGJb5tOTpq+KPi9vww==" spinCount="100000" sqref="AE776:AF776" name="Rango2_88_39_40_2"/>
    <protectedRange algorithmName="SHA-512" hashValue="AYYX88LSDB6RDNMvSqt0KPGWPjBqTk56tMxTOlv5QD61MGTKAAQnSnudvNDWPN0Bbllh2qRQC+P5uq7goxjdrw==" saltValue="i/iPMewnks1FoXYOjKMEVg==" spinCount="100000" sqref="AB776" name="Rango2_87_6_26_1"/>
    <protectedRange algorithmName="SHA-512" hashValue="NUll9P9xh7KbSfMYpMxsRZLfDw/y/AzW2LSWlpXVscBDqiAxmzo71xjs+a2lh+jRa7pceOC849slke4+ZKx8LA==" saltValue="8qbkKpQ+CiQuLnqgShNvXA==" spinCount="100000" sqref="T776" name="Rango2_88_6_26_1"/>
    <protectedRange algorithmName="SHA-512" hashValue="RQ91b7oAw60DVtcgB2vRpial2kSdzJx5guGCTYUwXYkKrtrUHfiYnLf9R+SNpYXlJDYpyEJLhcWwP0EqNN86dQ==" saltValue="W3RbH3zrcY9sy39xNwXNxg==" spinCount="100000" sqref="BA780:BI780 BV780:BY780" name="Rango2_88_99_25_1"/>
    <protectedRange algorithmName="SHA-512" hashValue="fMbmUM1DQ7FuAPRNvFL5mPdHUYjQnlLFhkuaxvHguaqR7aWyDxcmJs0jLYQfQKY+oyhsMb4Lew4VL6i7um3/ew==" saltValue="ydaTm0CeH8+/cYqoL/AMaQ==" spinCount="100000" sqref="AU780 AW780:AZ780" name="Rango2_88_91_20_1"/>
    <protectedRange algorithmName="SHA-512" hashValue="CHipOQaT63FWw628cQcXXJRZlrbNZ7OgmnEbDx38UmmH7z19GRYEzXFiVOzHAy1OAaAbST7g2bHZHDKQp2qm3w==" saltValue="iRVuL+373yLHv0ZHzS9qog==" spinCount="100000" sqref="AG780:AH780 AJ780 AL780" name="Rango2_88_7_5_23_3"/>
    <protectedRange algorithmName="SHA-512" hashValue="NkG6oHuDGvGBEiLAAq8MEJHEfLQUMyjihfH+DBXhT+eQW0r1yri7tOJEFRM9nbOejjjXiviq9RFo7KB7wF+xJA==" saltValue="bpjB0AAANu2X/PeR3eiFkA==" spinCount="100000" sqref="AM780:AS780" name="Rango2_88_65_21_1"/>
    <protectedRange algorithmName="SHA-512" hashValue="fPHvtIAf3pQeZUoAI9C2/vdXMHBpqqEq+67P5Ypyu4+9IWqs3yc9TZcMWQ0THLxUwqseQPyVvakuYFtCwJHsxA==" saltValue="QHIogSs2PrwAfdqa9PAOFQ==" spinCount="100000" sqref="AC780" name="Rango2_88_5_5_27_1"/>
    <protectedRange algorithmName="SHA-512" hashValue="LEEeiU6pKqm7TAP46VGlz0q+evvFwpT/0iLpRuWuQ7MacbP0OGL1/FSmrIEOg2rb6M+Jla2bPbVWiGag27j87w==" saltValue="HEVt+pS5OloNDlqSnzGLLw==" spinCount="100000" sqref="AI780" name="Rango2_8_7_24_1"/>
    <protectedRange algorithmName="SHA-512" hashValue="q2z5hEFmXS0v2chiPTC/VCoDWNlnhp+Xe6Ybfxe48vIsnB/KTJQxJv+pFUnCXfZ9T6vyJopuqFFNROfQTW/JUw==" saltValue="IctfdGJb5tOTpq+KPi9vww==" spinCount="100000" sqref="AE780:AF780" name="Rango2_88_39_41_6"/>
    <protectedRange algorithmName="SHA-512" hashValue="AYYX88LSDB6RDNMvSqt0KPGWPjBqTk56tMxTOlv5QD61MGTKAAQnSnudvNDWPN0Bbllh2qRQC+P5uq7goxjdrw==" saltValue="i/iPMewnks1FoXYOjKMEVg==" spinCount="100000" sqref="AB780" name="Rango2_87_6_27_1"/>
    <protectedRange algorithmName="SHA-512" hashValue="NUll9P9xh7KbSfMYpMxsRZLfDw/y/AzW2LSWlpXVscBDqiAxmzo71xjs+a2lh+jRa7pceOC849slke4+ZKx8LA==" saltValue="8qbkKpQ+CiQuLnqgShNvXA==" spinCount="100000" sqref="T780" name="Rango2_88_6_27_1"/>
    <protectedRange sqref="AG781:AH781 AJ781" name="Rango2_88_7_5_1_2_1"/>
    <protectedRange sqref="AI781" name="Rango2_8_7_1_3_1"/>
    <protectedRange sqref="AF781" name="Rango2_88_39_1_2_1"/>
    <protectedRange sqref="AU781" name="Rango2_88_91_1_3_1"/>
    <protectedRange sqref="AM781:AQ781" name="Rango2_88_65_6_3"/>
    <protectedRange sqref="AL781" name="Rango2_88_7_5_9_3_1"/>
    <protectedRange sqref="AW781:AZ781" name="Rango2_88_91_43_2_1"/>
    <protectedRange sqref="BA781:BI781" name="Rango2_88_99_65_2_1"/>
    <protectedRange sqref="BV781:BY781" name="Rango2_88_99_13_3"/>
    <protectedRange sqref="CF781" name="Rango2_99_16_6_1"/>
    <protectedRange algorithmName="SHA-512" hashValue="RQ91b7oAw60DVtcgB2vRpial2kSdzJx5guGCTYUwXYkKrtrUHfiYnLf9R+SNpYXlJDYpyEJLhcWwP0EqNN86dQ==" saltValue="W3RbH3zrcY9sy39xNwXNxg==" spinCount="100000" sqref="BA784:BI784 BV784:BY784" name="Rango2_88_99_26_2"/>
    <protectedRange algorithmName="SHA-512" hashValue="fMbmUM1DQ7FuAPRNvFL5mPdHUYjQnlLFhkuaxvHguaqR7aWyDxcmJs0jLYQfQKY+oyhsMb4Lew4VL6i7um3/ew==" saltValue="ydaTm0CeH8+/cYqoL/AMaQ==" spinCount="100000" sqref="AU784 AW784:AZ784" name="Rango2_88_91_21_1"/>
    <protectedRange algorithmName="SHA-512" hashValue="CHipOQaT63FWw628cQcXXJRZlrbNZ7OgmnEbDx38UmmH7z19GRYEzXFiVOzHAy1OAaAbST7g2bHZHDKQp2qm3w==" saltValue="iRVuL+373yLHv0ZHzS9qog==" spinCount="100000" sqref="AG784:AH784 AJ784 AL784" name="Rango2_88_7_5_24_1"/>
    <protectedRange algorithmName="SHA-512" hashValue="NkG6oHuDGvGBEiLAAq8MEJHEfLQUMyjihfH+DBXhT+eQW0r1yri7tOJEFRM9nbOejjjXiviq9RFo7KB7wF+xJA==" saltValue="bpjB0AAANu2X/PeR3eiFkA==" spinCount="100000" sqref="AM784:AS784" name="Rango2_88_65_22_1"/>
    <protectedRange algorithmName="SHA-512" hashValue="fPHvtIAf3pQeZUoAI9C2/vdXMHBpqqEq+67P5Ypyu4+9IWqs3yc9TZcMWQ0THLxUwqseQPyVvakuYFtCwJHsxA==" saltValue="QHIogSs2PrwAfdqa9PAOFQ==" spinCount="100000" sqref="AC784" name="Rango2_88_5_5_28_1"/>
    <protectedRange algorithmName="SHA-512" hashValue="LEEeiU6pKqm7TAP46VGlz0q+evvFwpT/0iLpRuWuQ7MacbP0OGL1/FSmrIEOg2rb6M+Jla2bPbVWiGag27j87w==" saltValue="HEVt+pS5OloNDlqSnzGLLw==" spinCount="100000" sqref="AI784" name="Rango2_8_7_25_1"/>
    <protectedRange algorithmName="SHA-512" hashValue="q2z5hEFmXS0v2chiPTC/VCoDWNlnhp+Xe6Ybfxe48vIsnB/KTJQxJv+pFUnCXfZ9T6vyJopuqFFNROfQTW/JUw==" saltValue="IctfdGJb5tOTpq+KPi9vww==" spinCount="100000" sqref="AE784:AF784" name="Rango2_88_39_43_2"/>
    <protectedRange algorithmName="SHA-512" hashValue="AYYX88LSDB6RDNMvSqt0KPGWPjBqTk56tMxTOlv5QD61MGTKAAQnSnudvNDWPN0Bbllh2qRQC+P5uq7goxjdrw==" saltValue="i/iPMewnks1FoXYOjKMEVg==" spinCount="100000" sqref="AB784" name="Rango2_87_6_28_1"/>
    <protectedRange algorithmName="SHA-512" hashValue="NUll9P9xh7KbSfMYpMxsRZLfDw/y/AzW2LSWlpXVscBDqiAxmzo71xjs+a2lh+jRa7pceOC849slke4+ZKx8LA==" saltValue="8qbkKpQ+CiQuLnqgShNvXA==" spinCount="100000" sqref="T784" name="Rango2_88_6_28_1"/>
    <protectedRange algorithmName="SHA-512" hashValue="RQ91b7oAw60DVtcgB2vRpial2kSdzJx5guGCTYUwXYkKrtrUHfiYnLf9R+SNpYXlJDYpyEJLhcWwP0EqNN86dQ==" saltValue="W3RbH3zrcY9sy39xNwXNxg==" spinCount="100000" sqref="BV785:BY786 BA785:BI786" name="Rango2_88_99_27_3"/>
    <protectedRange algorithmName="SHA-512" hashValue="fMbmUM1DQ7FuAPRNvFL5mPdHUYjQnlLFhkuaxvHguaqR7aWyDxcmJs0jLYQfQKY+oyhsMb4Lew4VL6i7um3/ew==" saltValue="ydaTm0CeH8+/cYqoL/AMaQ==" spinCount="100000" sqref="AW785:AZ786 AU785:AU786" name="Rango2_88_91_22_1"/>
    <protectedRange algorithmName="SHA-512" hashValue="CHipOQaT63FWw628cQcXXJRZlrbNZ7OgmnEbDx38UmmH7z19GRYEzXFiVOzHAy1OAaAbST7g2bHZHDKQp2qm3w==" saltValue="iRVuL+373yLHv0ZHzS9qog==" spinCount="100000" sqref="AL785:AL786 AJ785:AJ786 AG785:AH786" name="Rango2_88_7_5_25_1"/>
    <protectedRange algorithmName="SHA-512" hashValue="NkG6oHuDGvGBEiLAAq8MEJHEfLQUMyjihfH+DBXhT+eQW0r1yri7tOJEFRM9nbOejjjXiviq9RFo7KB7wF+xJA==" saltValue="bpjB0AAANu2X/PeR3eiFkA==" spinCount="100000" sqref="AM785:AS786" name="Rango2_88_65_23_6"/>
    <protectedRange algorithmName="SHA-512" hashValue="fPHvtIAf3pQeZUoAI9C2/vdXMHBpqqEq+67P5Ypyu4+9IWqs3yc9TZcMWQ0THLxUwqseQPyVvakuYFtCwJHsxA==" saltValue="QHIogSs2PrwAfdqa9PAOFQ==" spinCount="100000" sqref="AC785:AC786" name="Rango2_88_5_5_29_3"/>
    <protectedRange algorithmName="SHA-512" hashValue="LEEeiU6pKqm7TAP46VGlz0q+evvFwpT/0iLpRuWuQ7MacbP0OGL1/FSmrIEOg2rb6M+Jla2bPbVWiGag27j87w==" saltValue="HEVt+pS5OloNDlqSnzGLLw==" spinCount="100000" sqref="AI785:AI786" name="Rango2_8_7_26_1"/>
    <protectedRange algorithmName="SHA-512" hashValue="q2z5hEFmXS0v2chiPTC/VCoDWNlnhp+Xe6Ybfxe48vIsnB/KTJQxJv+pFUnCXfZ9T6vyJopuqFFNROfQTW/JUw==" saltValue="IctfdGJb5tOTpq+KPi9vww==" spinCount="100000" sqref="AE785:AF786" name="Rango2_88_39_44_1"/>
    <protectedRange algorithmName="SHA-512" hashValue="AYYX88LSDB6RDNMvSqt0KPGWPjBqTk56tMxTOlv5QD61MGTKAAQnSnudvNDWPN0Bbllh2qRQC+P5uq7goxjdrw==" saltValue="i/iPMewnks1FoXYOjKMEVg==" spinCount="100000" sqref="AB785:AB786" name="Rango2_87_6_29_1"/>
    <protectedRange algorithmName="SHA-512" hashValue="NUll9P9xh7KbSfMYpMxsRZLfDw/y/AzW2LSWlpXVscBDqiAxmzo71xjs+a2lh+jRa7pceOC849slke4+ZKx8LA==" saltValue="8qbkKpQ+CiQuLnqgShNvXA==" spinCount="100000" sqref="T785:T786" name="Rango2_88_6_29_1"/>
    <protectedRange sqref="AG787:AH787 AJ787" name="Rango2_88_7_5_1_4_1"/>
    <protectedRange sqref="AI787" name="Rango2_8_7_1_5"/>
    <protectedRange sqref="AF787" name="Rango2_88_39_1_4_1"/>
    <protectedRange sqref="AU787" name="Rango2_88_91_1_5"/>
    <protectedRange sqref="AM787:AQ787" name="Rango2_88_65_6_5"/>
    <protectedRange sqref="AL787" name="Rango2_88_7_5_9_5_1"/>
    <protectedRange sqref="AW787:AZ787" name="Rango2_88_91_43_2_3"/>
    <protectedRange sqref="BA787:BI787" name="Rango2_88_99_65_2_3"/>
    <protectedRange sqref="BV787:BY787" name="Rango2_88_99_13_5"/>
    <protectedRange sqref="CF787" name="Rango2_99_16_8"/>
    <protectedRange sqref="EA757 EC757 EE757" name="Rango2_99_94_1_1"/>
    <protectedRange sqref="FH757" name="Rango2_32_8"/>
    <protectedRange sqref="FQ757" name="Rango2_99_97_2"/>
    <protectedRange sqref="FY757" name="Rango2_31_2_1_1_1"/>
    <protectedRange sqref="GB757" name="Rango2_31_2_2_2"/>
    <protectedRange sqref="GN757" name="Rango2_30_2_1_1_2"/>
    <protectedRange sqref="GQ757:GR757" name="Rango2_30_2_2_2_1"/>
    <protectedRange sqref="IA757" name="Rango2_88_39_14_3"/>
    <protectedRange sqref="HS757:HT757" name="Rango2_21_1_1"/>
    <protectedRange sqref="ID757" name="Rango2_88_39_15_1"/>
    <protectedRange sqref="IE757:IJ757" name="Rango2_88_39_16_5"/>
    <protectedRange sqref="EF758" name="Rango2_99_24_1_1"/>
    <protectedRange sqref="EA759:EH759" name="Rango2_99_97_3"/>
    <protectedRange sqref="FH758:FH759" name="Rango2_32_9"/>
    <protectedRange sqref="FY758:FY759" name="Rango2_31_2_1_1_2"/>
    <protectedRange sqref="GB758:GB759" name="Rango2_31_2_2_3"/>
    <protectedRange sqref="GN758:GN759" name="Rango2_30_2_1_1_2_1"/>
    <protectedRange sqref="GQ758:GR759" name="Rango2_30_2_2_2_1_1"/>
    <protectedRange sqref="IA758:IA759" name="Rango2_88_39_14_4"/>
    <protectedRange sqref="HS758:HT759" name="Rango2_21_1_1_1"/>
    <protectedRange sqref="ID758:ID759" name="Rango2_88_39_15_2"/>
    <protectedRange sqref="IE758:IJ759" name="Rango2_88_39_16_6"/>
    <protectedRange sqref="EI760:EJ760" name="Rango2_99_79_1"/>
    <protectedRange sqref="EA760:EH760" name="Rango2_99_99_4"/>
    <protectedRange sqref="EN760" name="Rango2_16_4"/>
    <protectedRange sqref="EY760:FA760" name="Rango2_24_4"/>
    <protectedRange sqref="FC760" name="Rango2_25_6"/>
    <protectedRange sqref="FH760" name="Rango2_32_10"/>
    <protectedRange sqref="FK760:FL760" name="Rango2_34_2"/>
    <protectedRange sqref="FN760:FO760" name="Rango2_36_3"/>
    <protectedRange sqref="FY760" name="Rango2_31_2_1_4"/>
    <protectedRange sqref="GB760" name="Rango2_31_2_2_4"/>
    <protectedRange sqref="GC760" name="Rango2_33_1_4"/>
    <protectedRange sqref="GF760" name="Rango2_31_28_1_4"/>
    <protectedRange sqref="GE760" name="Rango2_31_2_3_4"/>
    <protectedRange sqref="GN760" name="Rango2_30_2_1_4"/>
    <protectedRange sqref="GJ760 GH760 GL760" name="Rango2_31_2_4_2"/>
    <protectedRange sqref="GI760" name="Rango2_33_2_1"/>
    <protectedRange sqref="GQ760:GR760" name="Rango2_30_2_2_5"/>
    <protectedRange sqref="IA760" name="Rango2_88_39_14_5"/>
    <protectedRange sqref="HS760:HT760" name="Rango2_37_4"/>
    <protectedRange sqref="ID760" name="Rango2_88_39_15_3"/>
    <protectedRange sqref="IE760:IJ760" name="Rango2_88_39_16_7"/>
    <protectedRange algorithmName="SHA-512" hashValue="pL4tgTKqwEsWSIEGFTBd+4pvEhE7d5Q99Eijs+L/Y1rhA0saQGGRJw5Pv2HLOP0quglztFwB6WVnQ1YGxd4AiQ==" saltValue="IF5mhk2RcoEjrcYppes1VA==" spinCount="100000" sqref="FT760" name="Rango2_30_14_2"/>
    <protectedRange sqref="FY762" name="Rango2_31_2_1_5"/>
    <protectedRange sqref="GN762" name="Rango2_30_2_1_3_1"/>
    <protectedRange sqref="GQ762" name="Rango2_30_2_2_2_2"/>
    <protectedRange sqref="ER763:ER765" name="Rango2_99_48_1_1"/>
    <protectedRange sqref="ER766" name="Rango2_99_48_1_2"/>
    <protectedRange algorithmName="SHA-512" hashValue="Umj9+5Ys20VQPxBFtc6qE5LtKKSgPKwit+B8dd4XnEUaLfBM2ozpkEC4YxwK0SbBiAHDDex+pY+LomQ0lyuamQ==" saltValue="N2/MCRws+mmA+NXw0axolg==" spinCount="100000" sqref="FY768" name="Rango2_31_2_17_6"/>
    <protectedRange algorithmName="SHA-512" hashValue="EEHzbvEYwO1eufllBljOz0uf9BJ2ENtvOScQ7IsS321QhYbwKn7qhHKKP8cKj02rTDvVRMWvwQ1ZP0mZWsBprQ==" saltValue="CjXqBRFbKezlWOFV37MnDQ==" spinCount="100000" sqref="GW768 GN768 GQ768:GR768" name="Rango2_30_2_17_6"/>
    <protectedRange algorithmName="SHA-512" hashValue="q2z5hEFmXS0v2chiPTC/VCoDWNlnhp+Xe6Ybfxe48vIsnB/KTJQxJv+pFUnCXfZ9T6vyJopuqFFNROfQTW/JUw==" saltValue="IctfdGJb5tOTpq+KPi9vww==" spinCount="100000" sqref="ID767:ID768" name="Rango2_88_39_34_1"/>
    <protectedRange algorithmName="SHA-512" hashValue="q2z5hEFmXS0v2chiPTC/VCoDWNlnhp+Xe6Ybfxe48vIsnB/KTJQxJv+pFUnCXfZ9T6vyJopuqFFNROfQTW/JUw==" saltValue="IctfdGJb5tOTpq+KPi9vww==" spinCount="100000" sqref="IE767:IE768" name="Rango2_88_39_35_1"/>
    <protectedRange algorithmName="SHA-512" hashValue="EEHzbvEYwO1eufllBljOz0uf9BJ2ENtvOScQ7IsS321QhYbwKn7qhHKKP8cKj02rTDvVRMWvwQ1ZP0mZWsBprQ==" saltValue="CjXqBRFbKezlWOFV37MnDQ==" spinCount="100000" sqref="GQ766:GR767" name="Rango2_30_2_21_3"/>
    <protectedRange algorithmName="SHA-512" hashValue="YXHanhqXL0e4jPrzkCF8r/22WmlCviFUW909WKuG1JOcU0mp0/Huh0aP3EaGYxV2ep0WGu48HsShAy4Ka2uOiw==" saltValue="h/7U5iwJm7DLR4tRVfwZYw==" spinCount="100000" sqref="GC767" name="Rango2_33_33_1"/>
    <protectedRange algorithmName="SHA-512" hashValue="EEHzbvEYwO1eufllBljOz0uf9BJ2ENtvOScQ7IsS321QhYbwKn7qhHKKP8cKj02rTDvVRMWvwQ1ZP0mZWsBprQ==" saltValue="CjXqBRFbKezlWOFV37MnDQ==" spinCount="100000" sqref="GN767" name="Rango2_30_2_28_4"/>
    <protectedRange algorithmName="SHA-512" hashValue="q2z5hEFmXS0v2chiPTC/VCoDWNlnhp+Xe6Ybfxe48vIsnB/KTJQxJv+pFUnCXfZ9T6vyJopuqFFNROfQTW/JUw==" saltValue="IctfdGJb5tOTpq+KPi9vww==" spinCount="100000" sqref="ID769" name="Rango2_88_39_34_2"/>
    <protectedRange algorithmName="SHA-512" hashValue="q2z5hEFmXS0v2chiPTC/VCoDWNlnhp+Xe6Ybfxe48vIsnB/KTJQxJv+pFUnCXfZ9T6vyJopuqFFNROfQTW/JUw==" saltValue="IctfdGJb5tOTpq+KPi9vww==" spinCount="100000" sqref="IE769" name="Rango2_88_39_35_2"/>
    <protectedRange sqref="ER770" name="Rango2_99_48_1_3"/>
    <protectedRange algorithmName="SHA-512" hashValue="Umj9+5Ys20VQPxBFtc6qE5LtKKSgPKwit+B8dd4XnEUaLfBM2ozpkEC4YxwK0SbBiAHDDex+pY+LomQ0lyuamQ==" saltValue="N2/MCRws+mmA+NXw0axolg==" spinCount="100000" sqref="FY769" name="Rango2_31_2_21_2"/>
    <protectedRange algorithmName="SHA-512" hashValue="EEHzbvEYwO1eufllBljOz0uf9BJ2ENtvOScQ7IsS321QhYbwKn7qhHKKP8cKj02rTDvVRMWvwQ1ZP0mZWsBprQ==" saltValue="CjXqBRFbKezlWOFV37MnDQ==" spinCount="100000" sqref="GQ769:GR769 GN769" name="Rango2_30_2_23_2"/>
    <protectedRange algorithmName="SHA-512" hashValue="YXHanhqXL0e4jPrzkCF8r/22WmlCviFUW909WKuG1JOcU0mp0/Huh0aP3EaGYxV2ep0WGu48HsShAy4Ka2uOiw==" saltValue="h/7U5iwJm7DLR4tRVfwZYw==" spinCount="100000" sqref="GC769" name="Rango2_33_34_2"/>
    <protectedRange algorithmName="SHA-512" hashValue="EEHzbvEYwO1eufllBljOz0uf9BJ2ENtvOScQ7IsS321QhYbwKn7qhHKKP8cKj02rTDvVRMWvwQ1ZP0mZWsBprQ==" saltValue="CjXqBRFbKezlWOFV37MnDQ==" spinCount="100000" sqref="GW771" name="Rango2_30_2_24_1"/>
    <protectedRange algorithmName="SHA-512" hashValue="Rgskw+AQdeJ5qbJdarzTa3SCkJfDGziy0Uan5N0F3IWn/H3Z/e+VcB56R7Nes7MPxNHewNP1sSSucVjz3iTLeA==" saltValue="qKZH3DnwaZHBzy3cBZo1qQ==" spinCount="100000" sqref="GF771" name="Rango2_31_28_11_1"/>
    <protectedRange algorithmName="SHA-512" hashValue="Umj9+5Ys20VQPxBFtc6qE5LtKKSgPKwit+B8dd4XnEUaLfBM2ozpkEC4YxwK0SbBiAHDDex+pY+LomQ0lyuamQ==" saltValue="N2/MCRws+mmA+NXw0axolg==" spinCount="100000" sqref="GJ771 GH771 GE771 GL771 FY771" name="Rango2_31_2_22_1"/>
    <protectedRange algorithmName="SHA-512" hashValue="q2z5hEFmXS0v2chiPTC/VCoDWNlnhp+Xe6Ybfxe48vIsnB/KTJQxJv+pFUnCXfZ9T6vyJopuqFFNROfQTW/JUw==" saltValue="IctfdGJb5tOTpq+KPi9vww==" spinCount="100000" sqref="IA771 ID771:IJ771" name="Rango2_88_39_39_4"/>
    <protectedRange algorithmName="SHA-512" hashValue="YXHanhqXL0e4jPrzkCF8r/22WmlCviFUW909WKuG1JOcU0mp0/Huh0aP3EaGYxV2ep0WGu48HsShAy4Ka2uOiw==" saltValue="h/7U5iwJm7DLR4tRVfwZYw==" spinCount="100000" sqref="GI771" name="Rango2_33_28_1"/>
    <protectedRange algorithmName="SHA-512" hashValue="pL4tgTKqwEsWSIEGFTBd+4pvEhE7d5Q99Eijs+L/Y1rhA0saQGGRJw5Pv2HLOP0quglztFwB6WVnQ1YGxd4AiQ==" saltValue="IF5mhk2RcoEjrcYppes1VA==" spinCount="100000" sqref="FT771" name="Rango2_30_16_1"/>
    <protectedRange sqref="ER773" name="Rango2_99_48_1_5"/>
    <protectedRange sqref="HT772" name="Rango2_37_2_1"/>
    <protectedRange algorithmName="SHA-512" hashValue="XZw03RosI/l0z9FxmTtF29EdZ7P+4+ybhqoaAAUmURojSR5XbGfjC4f2i8gMqfY+RI9JvfdCA6PSh9TduXfUxA==" saltValue="5TPtLq2WoiRSae/yaDPnTw==" spinCount="100000" sqref="EI771:EJ771" name="Rango2_99_16_7"/>
    <protectedRange algorithmName="SHA-512" hashValue="EEHzbvEYwO1eufllBljOz0uf9BJ2ENtvOScQ7IsS321QhYbwKn7qhHKKP8cKj02rTDvVRMWvwQ1ZP0mZWsBprQ==" saltValue="CjXqBRFbKezlWOFV37MnDQ==" spinCount="100000" sqref="GN771" name="Rango2_30_2_29_1"/>
    <protectedRange sqref="ER774" name="Rango2_99_48_1_5_1"/>
    <protectedRange algorithmName="SHA-512" hashValue="EEHzbvEYwO1eufllBljOz0uf9BJ2ENtvOScQ7IsS321QhYbwKn7qhHKKP8cKj02rTDvVRMWvwQ1ZP0mZWsBprQ==" saltValue="CjXqBRFbKezlWOFV37MnDQ==" spinCount="100000" sqref="GQ776:GR776 GW776" name="Rango2_30_2_27_3"/>
    <protectedRange algorithmName="SHA-512" hashValue="Rgskw+AQdeJ5qbJdarzTa3SCkJfDGziy0Uan5N0F3IWn/H3Z/e+VcB56R7Nes7MPxNHewNP1sSSucVjz3iTLeA==" saltValue="qKZH3DnwaZHBzy3cBZo1qQ==" spinCount="100000" sqref="GF776" name="Rango2_31_28_12_1"/>
    <protectedRange algorithmName="SHA-512" hashValue="Umj9+5Ys20VQPxBFtc6qE5LtKKSgPKwit+B8dd4XnEUaLfBM2ozpkEC4YxwK0SbBiAHDDex+pY+LomQ0lyuamQ==" saltValue="N2/MCRws+mmA+NXw0axolg==" spinCount="100000" sqref="GJ776 GH776 GE776 GL776 FY776" name="Rango2_31_2_25_4"/>
    <protectedRange algorithmName="SHA-512" hashValue="q2z5hEFmXS0v2chiPTC/VCoDWNlnhp+Xe6Ybfxe48vIsnB/KTJQxJv+pFUnCXfZ9T6vyJopuqFFNROfQTW/JUw==" saltValue="IctfdGJb5tOTpq+KPi9vww==" spinCount="100000" sqref="IA776 ID776:IJ776" name="Rango2_88_39_40_3"/>
    <protectedRange algorithmName="SHA-512" hashValue="YXHanhqXL0e4jPrzkCF8r/22WmlCviFUW909WKuG1JOcU0mp0/Huh0aP3EaGYxV2ep0WGu48HsShAy4Ka2uOiw==" saltValue="h/7U5iwJm7DLR4tRVfwZYw==" spinCount="100000" sqref="GI776" name="Rango2_33_31_1"/>
    <protectedRange algorithmName="SHA-512" hashValue="pL4tgTKqwEsWSIEGFTBd+4pvEhE7d5Q99Eijs+L/Y1rhA0saQGGRJw5Pv2HLOP0quglztFwB6WVnQ1YGxd4AiQ==" saltValue="IF5mhk2RcoEjrcYppes1VA==" spinCount="100000" sqref="FT776" name="Rango2_30_17_5"/>
    <protectedRange sqref="ER777 ER779" name="Rango2_99_48_1_6"/>
    <protectedRange algorithmName="SHA-512" hashValue="EEHzbvEYwO1eufllBljOz0uf9BJ2ENtvOScQ7IsS321QhYbwKn7qhHKKP8cKj02rTDvVRMWvwQ1ZP0mZWsBprQ==" saltValue="CjXqBRFbKezlWOFV37MnDQ==" spinCount="100000" sqref="GN776" name="Rango2_30_2_30_1"/>
    <protectedRange algorithmName="SHA-512" hashValue="EEHzbvEYwO1eufllBljOz0uf9BJ2ENtvOScQ7IsS321QhYbwKn7qhHKKP8cKj02rTDvVRMWvwQ1ZP0mZWsBprQ==" saltValue="CjXqBRFbKezlWOFV37MnDQ==" spinCount="100000" sqref="GW780" name="Rango2_30_2_31_2"/>
    <protectedRange algorithmName="SHA-512" hashValue="Rgskw+AQdeJ5qbJdarzTa3SCkJfDGziy0Uan5N0F3IWn/H3Z/e+VcB56R7Nes7MPxNHewNP1sSSucVjz3iTLeA==" saltValue="qKZH3DnwaZHBzy3cBZo1qQ==" spinCount="100000" sqref="GF780" name="Rango2_31_28_13_2"/>
    <protectedRange algorithmName="SHA-512" hashValue="Umj9+5Ys20VQPxBFtc6qE5LtKKSgPKwit+B8dd4XnEUaLfBM2ozpkEC4YxwK0SbBiAHDDex+pY+LomQ0lyuamQ==" saltValue="N2/MCRws+mmA+NXw0axolg==" spinCount="100000" sqref="GJ780 GH780 GE780 GL780 FY780" name="Rango2_31_2_33_7"/>
    <protectedRange algorithmName="SHA-512" hashValue="YXHanhqXL0e4jPrzkCF8r/22WmlCviFUW909WKuG1JOcU0mp0/Huh0aP3EaGYxV2ep0WGu48HsShAy4Ka2uOiw==" saltValue="h/7U5iwJm7DLR4tRVfwZYw==" spinCount="100000" sqref="GI780" name="Rango2_33_35_1"/>
    <protectedRange algorithmName="SHA-512" hashValue="pL4tgTKqwEsWSIEGFTBd+4pvEhE7d5Q99Eijs+L/Y1rhA0saQGGRJw5Pv2HLOP0quglztFwB6WVnQ1YGxd4AiQ==" saltValue="IF5mhk2RcoEjrcYppes1VA==" spinCount="100000" sqref="FT780" name="Rango2_30_18_6"/>
    <protectedRange sqref="HT781" name="Rango2_37_3_1"/>
    <protectedRange sqref="ER775" name="Rango2_99_48_1_7"/>
    <protectedRange sqref="ER782:ER783" name="Rango2_99_48_1_8"/>
    <protectedRange algorithmName="SHA-512" hashValue="EEHzbvEYwO1eufllBljOz0uf9BJ2ENtvOScQ7IsS321QhYbwKn7qhHKKP8cKj02rTDvVRMWvwQ1ZP0mZWsBprQ==" saltValue="CjXqBRFbKezlWOFV37MnDQ==" spinCount="100000" sqref="GN780" name="Rango2_30_2_32_1"/>
    <protectedRange algorithmName="SHA-512" hashValue="EEHzbvEYwO1eufllBljOz0uf9BJ2ENtvOScQ7IsS321QhYbwKn7qhHKKP8cKj02rTDvVRMWvwQ1ZP0mZWsBprQ==" saltValue="CjXqBRFbKezlWOFV37MnDQ==" spinCount="100000" sqref="GQ780:GR780" name="Rango2_30_2_33_4"/>
    <protectedRange algorithmName="SHA-512" hashValue="q2z5hEFmXS0v2chiPTC/VCoDWNlnhp+Xe6Ybfxe48vIsnB/KTJQxJv+pFUnCXfZ9T6vyJopuqFFNROfQTW/JUw==" saltValue="IctfdGJb5tOTpq+KPi9vww==" spinCount="100000" sqref="IA780 ID780:IJ780" name="Rango2_88_39_42_2"/>
    <protectedRange algorithmName="SHA-512" hashValue="EEHzbvEYwO1eufllBljOz0uf9BJ2ENtvOScQ7IsS321QhYbwKn7qhHKKP8cKj02rTDvVRMWvwQ1ZP0mZWsBprQ==" saltValue="CjXqBRFbKezlWOFV37MnDQ==" spinCount="100000" sqref="GQ784:GR784 GW784 GN784" name="Rango2_30_2_34_9"/>
    <protectedRange algorithmName="SHA-512" hashValue="Rgskw+AQdeJ5qbJdarzTa3SCkJfDGziy0Uan5N0F3IWn/H3Z/e+VcB56R7Nes7MPxNHewNP1sSSucVjz3iTLeA==" saltValue="qKZH3DnwaZHBzy3cBZo1qQ==" spinCount="100000" sqref="GF784" name="Rango2_31_28_15_1"/>
    <protectedRange algorithmName="SHA-512" hashValue="Umj9+5Ys20VQPxBFtc6qE5LtKKSgPKwit+B8dd4XnEUaLfBM2ozpkEC4YxwK0SbBiAHDDex+pY+LomQ0lyuamQ==" saltValue="N2/MCRws+mmA+NXw0axolg==" spinCount="100000" sqref="GJ784 GH784 GE784 GB784 GL784 FY784" name="Rango2_31_2_36_2"/>
    <protectedRange algorithmName="SHA-512" hashValue="q2z5hEFmXS0v2chiPTC/VCoDWNlnhp+Xe6Ybfxe48vIsnB/KTJQxJv+pFUnCXfZ9T6vyJopuqFFNROfQTW/JUw==" saltValue="IctfdGJb5tOTpq+KPi9vww==" spinCount="100000" sqref="IA784 ID784:IJ784" name="Rango2_88_39_43_3"/>
    <protectedRange algorithmName="SHA-512" hashValue="YXHanhqXL0e4jPrzkCF8r/22WmlCviFUW909WKuG1JOcU0mp0/Huh0aP3EaGYxV2ep0WGu48HsShAy4Ka2uOiw==" saltValue="h/7U5iwJm7DLR4tRVfwZYw==" spinCount="100000" sqref="GI784 GC784" name="Rango2_33_38_1"/>
    <protectedRange algorithmName="SHA-512" hashValue="pL4tgTKqwEsWSIEGFTBd+4pvEhE7d5Q99Eijs+L/Y1rhA0saQGGRJw5Pv2HLOP0quglztFwB6WVnQ1YGxd4AiQ==" saltValue="IF5mhk2RcoEjrcYppes1VA==" spinCount="100000" sqref="FT784" name="Rango2_30_19_2"/>
    <protectedRange algorithmName="SHA-512" hashValue="EEHzbvEYwO1eufllBljOz0uf9BJ2ENtvOScQ7IsS321QhYbwKn7qhHKKP8cKj02rTDvVRMWvwQ1ZP0mZWsBprQ==" saltValue="CjXqBRFbKezlWOFV37MnDQ==" spinCount="100000" sqref="GN785:GN786 GW785:GW786 GQ785:GR786" name="Rango2_30_2_35_1"/>
    <protectedRange algorithmName="SHA-512" hashValue="Rgskw+AQdeJ5qbJdarzTa3SCkJfDGziy0Uan5N0F3IWn/H3Z/e+VcB56R7Nes7MPxNHewNP1sSSucVjz3iTLeA==" saltValue="qKZH3DnwaZHBzy3cBZo1qQ==" spinCount="100000" sqref="GF785:GF786" name="Rango2_31_28_16_5"/>
    <protectedRange algorithmName="SHA-512" hashValue="Umj9+5Ys20VQPxBFtc6qE5LtKKSgPKwit+B8dd4XnEUaLfBM2ozpkEC4YxwK0SbBiAHDDex+pY+LomQ0lyuamQ==" saltValue="N2/MCRws+mmA+NXw0axolg==" spinCount="100000" sqref="FY785:FY786 GL785:GL786 GB785:GB786 GE785:GE786 GH785:GH786 GJ785:GJ786" name="Rango2_31_2_37_1"/>
    <protectedRange algorithmName="SHA-512" hashValue="q2z5hEFmXS0v2chiPTC/VCoDWNlnhp+Xe6Ybfxe48vIsnB/KTJQxJv+pFUnCXfZ9T6vyJopuqFFNROfQTW/JUw==" saltValue="IctfdGJb5tOTpq+KPi9vww==" spinCount="100000" sqref="ID785:IJ786 IA785:IA786" name="Rango2_88_39_44_2"/>
    <protectedRange algorithmName="SHA-512" hashValue="YXHanhqXL0e4jPrzkCF8r/22WmlCviFUW909WKuG1JOcU0mp0/Huh0aP3EaGYxV2ep0WGu48HsShAy4Ka2uOiw==" saltValue="h/7U5iwJm7DLR4tRVfwZYw==" spinCount="100000" sqref="GC785:GC786 GI785:GI786" name="Rango2_33_39_3"/>
    <protectedRange algorithmName="SHA-512" hashValue="pL4tgTKqwEsWSIEGFTBd+4pvEhE7d5Q99Eijs+L/Y1rhA0saQGGRJw5Pv2HLOP0quglztFwB6WVnQ1YGxd4AiQ==" saltValue="IF5mhk2RcoEjrcYppes1VA==" spinCount="100000" sqref="FT785:FT786" name="Rango2_30_20_3"/>
    <protectedRange sqref="HT787" name="Rango2_37_5"/>
    <protectedRange algorithmName="SHA-512" hashValue="Gqwr8n5jYbCESAqCFk8dpOzViQICBV+k0xoqBoQaZ5lHaRlvT9TZDB4yXtm+qC6OhD064ZDBOFWkwo+LHXu1sg==" saltValue="gEL9PCN2ekF2IxW9yqAGYA==" spinCount="100000" sqref="IS757" name="Rango2_40_2_1_3"/>
    <protectedRange algorithmName="SHA-512" hashValue="D8TacORwT7iz0mF9GEucchnMHfB5er2FFjQsxyeWWyeJkM6Bt3gYQ3LbcHPxZXFpVAYtFOuTrzYOCJrlZDx16g==" saltValue="QtCzIBktdS4NZkOEGcLTRQ==" spinCount="100000" sqref="IW757" name="Rango2_41_10_2"/>
    <protectedRange algorithmName="SHA-512" hashValue="9+DNppQbWrLYYUMoJ+lyQctV2bX3Vq9kZnegLbpjTLP49It2ovUbcartuoQTeXgP+TGpY//7mDH/UQlFCKDGiA==" saltValue="KUnni6YEm00anzSSvyLqQA==" spinCount="100000" sqref="IX757" name="Rango2_43_7"/>
    <protectedRange algorithmName="SHA-512" hashValue="9+DNppQbWrLYYUMoJ+lyQctV2bX3Vq9kZnegLbpjTLP49It2ovUbcartuoQTeXgP+TGpY//7mDH/UQlFCKDGiA==" saltValue="KUnni6YEm00anzSSvyLqQA==" spinCount="100000" sqref="IZ757:JM757" name="Rango2_44_4"/>
    <protectedRange algorithmName="SHA-512" hashValue="9+DNppQbWrLYYUMoJ+lyQctV2bX3Vq9kZnegLbpjTLP49It2ovUbcartuoQTeXgP+TGpY//7mDH/UQlFCKDGiA==" saltValue="KUnni6YEm00anzSSvyLqQA==" spinCount="100000" sqref="KH757" name="Rango2_45_8"/>
    <protectedRange algorithmName="SHA-512" hashValue="9+DNppQbWrLYYUMoJ+lyQctV2bX3Vq9kZnegLbpjTLP49It2ovUbcartuoQTeXgP+TGpY//7mDH/UQlFCKDGiA==" saltValue="KUnni6YEm00anzSSvyLqQA==" spinCount="100000" sqref="IT757:IV757" name="Rango2_43_6_1"/>
    <protectedRange algorithmName="SHA-512" hashValue="Gqwr8n5jYbCESAqCFk8dpOzViQICBV+k0xoqBoQaZ5lHaRlvT9TZDB4yXtm+qC6OhD064ZDBOFWkwo+LHXu1sg==" saltValue="gEL9PCN2ekF2IxW9yqAGYA==" spinCount="100000" sqref="IS759" name="Rango2_40_2_1_4"/>
    <protectedRange algorithmName="SHA-512" hashValue="9+DNppQbWrLYYUMoJ+lyQctV2bX3Vq9kZnegLbpjTLP49It2ovUbcartuoQTeXgP+TGpY//7mDH/UQlFCKDGiA==" saltValue="KUnni6YEm00anzSSvyLqQA==" spinCount="100000" sqref="JM759" name="Rango2_44_5"/>
    <protectedRange algorithmName="SHA-512" hashValue="9+DNppQbWrLYYUMoJ+lyQctV2bX3Vq9kZnegLbpjTLP49It2ovUbcartuoQTeXgP+TGpY//7mDH/UQlFCKDGiA==" saltValue="KUnni6YEm00anzSSvyLqQA==" spinCount="100000" sqref="KH758:KH759" name="Rango2_45_9"/>
    <protectedRange algorithmName="SHA-512" hashValue="Gqwr8n5jYbCESAqCFk8dpOzViQICBV+k0xoqBoQaZ5lHaRlvT9TZDB4yXtm+qC6OhD064ZDBOFWkwo+LHXu1sg==" saltValue="gEL9PCN2ekF2IxW9yqAGYA==" spinCount="100000" sqref="IS758" name="Rango2_40_2_1_6"/>
    <protectedRange algorithmName="SHA-512" hashValue="D8TacORwT7iz0mF9GEucchnMHfB5er2FFjQsxyeWWyeJkM6Bt3gYQ3LbcHPxZXFpVAYtFOuTrzYOCJrlZDx16g==" saltValue="QtCzIBktdS4NZkOEGcLTRQ==" spinCount="100000" sqref="IW758" name="Rango2_41_10_5"/>
    <protectedRange algorithmName="SHA-512" hashValue="9+DNppQbWrLYYUMoJ+lyQctV2bX3Vq9kZnegLbpjTLP49It2ovUbcartuoQTeXgP+TGpY//7mDH/UQlFCKDGiA==" saltValue="KUnni6YEm00anzSSvyLqQA==" spinCount="100000" sqref="IT758:IV758 IX758" name="Rango2_43_7_1"/>
    <protectedRange algorithmName="SHA-512" hashValue="9+DNppQbWrLYYUMoJ+lyQctV2bX3Vq9kZnegLbpjTLP49It2ovUbcartuoQTeXgP+TGpY//7mDH/UQlFCKDGiA==" saltValue="KUnni6YEm00anzSSvyLqQA==" spinCount="100000" sqref="IZ758:JM758" name="Rango2_44_5_1"/>
    <protectedRange algorithmName="SHA-512" hashValue="D8TacORwT7iz0mF9GEucchnMHfB5er2FFjQsxyeWWyeJkM6Bt3gYQ3LbcHPxZXFpVAYtFOuTrzYOCJrlZDx16g==" saltValue="QtCzIBktdS4NZkOEGcLTRQ==" spinCount="100000" sqref="IW759" name="Rango2_41_10_6"/>
    <protectedRange algorithmName="SHA-512" hashValue="9+DNppQbWrLYYUMoJ+lyQctV2bX3Vq9kZnegLbpjTLP49It2ovUbcartuoQTeXgP+TGpY//7mDH/UQlFCKDGiA==" saltValue="KUnni6YEm00anzSSvyLqQA==" spinCount="100000" sqref="IT759:IV759 IX759" name="Rango2_43_8"/>
    <protectedRange algorithmName="SHA-512" hashValue="9+DNppQbWrLYYUMoJ+lyQctV2bX3Vq9kZnegLbpjTLP49It2ovUbcartuoQTeXgP+TGpY//7mDH/UQlFCKDGiA==" saltValue="KUnni6YEm00anzSSvyLqQA==" spinCount="100000" sqref="IZ759:JL759" name="Rango2_44_6"/>
    <protectedRange algorithmName="SHA-512" hashValue="Gqwr8n5jYbCESAqCFk8dpOzViQICBV+k0xoqBoQaZ5lHaRlvT9TZDB4yXtm+qC6OhD064ZDBOFWkwo+LHXu1sg==" saltValue="gEL9PCN2ekF2IxW9yqAGYA==" spinCount="100000" sqref="IS760" name="Rango2_40_2_25_1"/>
    <protectedRange algorithmName="SHA-512" hashValue="D8TacORwT7iz0mF9GEucchnMHfB5er2FFjQsxyeWWyeJkM6Bt3gYQ3LbcHPxZXFpVAYtFOuTrzYOCJrlZDx16g==" saltValue="QtCzIBktdS4NZkOEGcLTRQ==" spinCount="100000" sqref="IW760" name="Rango2_41_24_1"/>
    <protectedRange algorithmName="SHA-512" hashValue="9+DNppQbWrLYYUMoJ+lyQctV2bX3Vq9kZnegLbpjTLP49It2ovUbcartuoQTeXgP+TGpY//7mDH/UQlFCKDGiA==" saltValue="KUnni6YEm00anzSSvyLqQA==" spinCount="100000" sqref="IZ760:JM760" name="Rango2_44_7"/>
    <protectedRange algorithmName="SHA-512" hashValue="9+DNppQbWrLYYUMoJ+lyQctV2bX3Vq9kZnegLbpjTLP49It2ovUbcartuoQTeXgP+TGpY//7mDH/UQlFCKDGiA==" saltValue="KUnni6YEm00anzSSvyLqQA==" spinCount="100000" sqref="JA761:JM761" name="Rango2_44_8"/>
    <protectedRange algorithmName="SHA-512" hashValue="Gqwr8n5jYbCESAqCFk8dpOzViQICBV+k0xoqBoQaZ5lHaRlvT9TZDB4yXtm+qC6OhD064ZDBOFWkwo+LHXu1sg==" saltValue="gEL9PCN2ekF2IxW9yqAGYA==" spinCount="100000" sqref="IS768" name="Rango2_40_2_26_1"/>
    <protectedRange algorithmName="SHA-512" hashValue="D8TacORwT7iz0mF9GEucchnMHfB5er2FFjQsxyeWWyeJkM6Bt3gYQ3LbcHPxZXFpVAYtFOuTrzYOCJrlZDx16g==" saltValue="QtCzIBktdS4NZkOEGcLTRQ==" spinCount="100000" sqref="IW768" name="Rango2_41_25_1"/>
    <protectedRange algorithmName="SHA-512" hashValue="Gqwr8n5jYbCESAqCFk8dpOzViQICBV+k0xoqBoQaZ5lHaRlvT9TZDB4yXtm+qC6OhD064ZDBOFWkwo+LHXu1sg==" saltValue="gEL9PCN2ekF2IxW9yqAGYA==" spinCount="100000" sqref="IS771" name="Rango2_40_2_10_2"/>
    <protectedRange algorithmName="SHA-512" hashValue="D8TacORwT7iz0mF9GEucchnMHfB5er2FFjQsxyeWWyeJkM6Bt3gYQ3LbcHPxZXFpVAYtFOuTrzYOCJrlZDx16g==" saltValue="QtCzIBktdS4NZkOEGcLTRQ==" spinCount="100000" sqref="IW771" name="Rango2_41_9_5"/>
    <protectedRange algorithmName="SHA-512" hashValue="Gqwr8n5jYbCESAqCFk8dpOzViQICBV+k0xoqBoQaZ5lHaRlvT9TZDB4yXtm+qC6OhD064ZDBOFWkwo+LHXu1sg==" saltValue="gEL9PCN2ekF2IxW9yqAGYA==" spinCount="100000" sqref="IS776" name="Rango2_40_2_20_1"/>
    <protectedRange algorithmName="SHA-512" hashValue="D8TacORwT7iz0mF9GEucchnMHfB5er2FFjQsxyeWWyeJkM6Bt3gYQ3LbcHPxZXFpVAYtFOuTrzYOCJrlZDx16g==" saltValue="QtCzIBktdS4NZkOEGcLTRQ==" spinCount="100000" sqref="IW776" name="Rango2_41_19_1"/>
    <protectedRange algorithmName="SHA-512" hashValue="Gqwr8n5jYbCESAqCFk8dpOzViQICBV+k0xoqBoQaZ5lHaRlvT9TZDB4yXtm+qC6OhD064ZDBOFWkwo+LHXu1sg==" saltValue="gEL9PCN2ekF2IxW9yqAGYA==" spinCount="100000" sqref="IS780" name="Rango2_40_2_24_1"/>
    <protectedRange algorithmName="SHA-512" hashValue="D8TacORwT7iz0mF9GEucchnMHfB5er2FFjQsxyeWWyeJkM6Bt3gYQ3LbcHPxZXFpVAYtFOuTrzYOCJrlZDx16g==" saltValue="QtCzIBktdS4NZkOEGcLTRQ==" spinCount="100000" sqref="IW780" name="Rango2_41_23_1"/>
    <protectedRange sqref="L789:M789" name="Rango2_10_7_3"/>
    <protectedRange sqref="B791" name="Rango2_86_15"/>
    <protectedRange sqref="B792" name="Rango2_87_2"/>
    <protectedRange sqref="B793" name="Rango2_90_4"/>
    <protectedRange sqref="B794" name="Rango2_91_3"/>
    <protectedRange sqref="AJ788" name="Rango2_88_7_5_1_7"/>
    <protectedRange sqref="AV788" name="Rango2_99_12_8"/>
    <protectedRange sqref="AW788:AZ788" name="Rango2_88_91_1_8"/>
    <protectedRange sqref="BA789:BI789" name="Rango2_88_99_9_6"/>
    <protectedRange sqref="AU789" name="Rango2_88_91_3_5"/>
    <protectedRange sqref="AG789:AH789" name="Rango2_88_7_5_8_3"/>
    <protectedRange sqref="BZ789:CB789 CV789:CY789 CS789:CT789 U789:AA789 O789" name="Rango2_99_61_3"/>
    <protectedRange sqref="V790" name="Rango2_99_62_5"/>
    <protectedRange sqref="AG791:AH791" name="Rango2_88_7_5_10_4"/>
    <protectedRange sqref="V791 AA791" name="Rango2_99_65_3"/>
    <protectedRange sqref="AG792:AH792" name="Rango2_88_7_5_11_2"/>
    <protectedRange sqref="AC792" name="Rango2_88_5_5_6_2"/>
    <protectedRange sqref="V792 AA792" name="Rango2_99_66_4"/>
    <protectedRange sqref="AG793:AH793" name="Rango2_88_7_5_12_2"/>
    <protectedRange sqref="AC793" name="Rango2_88_5_5_7_3"/>
    <protectedRange sqref="V793 AA793" name="Rango2_99_67_5"/>
    <protectedRange sqref="AG794:AH794" name="Rango2_88_7_5_13_1"/>
    <protectedRange sqref="AC794" name="Rango2_88_5_5_8_3"/>
    <protectedRange sqref="V794 AA794" name="Rango2_99_68_7"/>
    <protectedRange sqref="GJ788" name="Rango2_31_2_19_2"/>
    <protectedRange sqref="HD788:HI788" name="Rango2_80_3"/>
    <protectedRange sqref="FW788" name="Rango2_99_36_8"/>
    <protectedRange sqref="HV788:HZ788" name="Rango2_99_41_7"/>
    <protectedRange sqref="GN789" name="Rango2_30_2_5_2"/>
    <protectedRange sqref="FY789 GJ789 GH789" name="Rango2_31_2_20_4"/>
    <protectedRange sqref="IA789" name="Rango2_88_39_16_8"/>
    <protectedRange sqref="FU789 FZ789 EV789:EW789 FQ789:FR789 IB789 GY789:GZ789 FI789" name="Rango2_99_61_4"/>
    <protectedRange sqref="HD789:HI789 FN789:FO789 FC789" name="Rango2_81_4"/>
    <protectedRange sqref="GH790" name="Rango2_31_2_21_3"/>
    <protectedRange sqref="IA790" name="Rango2_88_39_17_9"/>
    <protectedRange sqref="HJ790" name="Rango2_99_62_6"/>
    <protectedRange sqref="FN790" name="Rango2_82_3"/>
    <protectedRange sqref="GH791" name="Rango2_31_2_24_1"/>
    <protectedRange sqref="IA791" name="Rango2_88_39_19_1"/>
    <protectedRange sqref="HJ791" name="Rango2_99_65_4"/>
    <protectedRange sqref="FN791" name="Rango2_86_16"/>
    <protectedRange sqref="GH792" name="Rango2_31_2_25_5"/>
    <protectedRange sqref="IA792" name="Rango2_88_39_20_2"/>
    <protectedRange sqref="HJ792" name="Rango2_99_66_5"/>
    <protectedRange sqref="IA793" name="Rango2_88_39_21_1"/>
    <protectedRange sqref="HJ793" name="Rango2_99_67_6"/>
    <protectedRange sqref="IA794" name="Rango2_88_39_22_1"/>
    <protectedRange sqref="HJ794" name="Rango2_99_68_8"/>
    <protectedRange sqref="JV788 JQ788" name="Rango2_19_11"/>
    <protectedRange sqref="IT789:IV789" name="Rango2_81_5"/>
    <protectedRange sqref="JR790 IT790:IV790 JP790 JD790:JM790 KJ790:KL790 KH790 KF790" name="Rango2_82_4"/>
    <protectedRange sqref="JR791 IT791:IV791 JD791:JL791 JP791 KJ791 KL791" name="Rango2_86_17"/>
    <protectedRange sqref="JR792 IT792:IV792 JD792:JL792 JP792 KJ792 KL792" name="Rango2_87_3"/>
    <protectedRange sqref="JR793 IT793:IV793 JD793:JL793 JP793 KJ793 KL793" name="Rango2_90_5"/>
    <protectedRange algorithmName="SHA-512" hashValue="XZw03RosI/l0z9FxmTtF29EdZ7P+4+ybhqoaAAUmURojSR5XbGfjC4f2i8gMqfY+RI9JvfdCA6PSh9TduXfUxA==" saltValue="5TPtLq2WoiRSae/yaDPnTw==" spinCount="100000" sqref="ES807" name="Rango2_99_2_5"/>
    <protectedRange algorithmName="SHA-512" hashValue="XZw03RosI/l0z9FxmTtF29EdZ7P+4+ybhqoaAAUmURojSR5XbGfjC4f2i8gMqfY+RI9JvfdCA6PSh9TduXfUxA==" saltValue="5TPtLq2WoiRSae/yaDPnTw==" spinCount="100000" sqref="FF807" name="Rango2_99_3_5"/>
    <protectedRange algorithmName="SHA-512" hashValue="9+DNppQbWrLYYUMoJ+lyQctV2bX3Vq9kZnegLbpjTLP49It2ovUbcartuoQTeXgP+TGpY//7mDH/UQlFCKDGiA==" saltValue="KUnni6YEm00anzSSvyLqQA==" spinCount="100000" sqref="FE807" name="Rango2_16_5"/>
    <protectedRange algorithmName="SHA-512" hashValue="XZw03RosI/l0z9FxmTtF29EdZ7P+4+ybhqoaAAUmURojSR5XbGfjC4f2i8gMqfY+RI9JvfdCA6PSh9TduXfUxA==" saltValue="5TPtLq2WoiRSae/yaDPnTw==" spinCount="100000" sqref="FQ807:FR807" name="Rango2_99_4_4"/>
    <protectedRange algorithmName="SHA-512" hashValue="XZw03RosI/l0z9FxmTtF29EdZ7P+4+ybhqoaAAUmURojSR5XbGfjC4f2i8gMqfY+RI9JvfdCA6PSh9TduXfUxA==" saltValue="5TPtLq2WoiRSae/yaDPnTw==" spinCount="100000" sqref="BR849:BU849" name="Rango2_99_1_5"/>
    <protectedRange algorithmName="SHA-512" hashValue="XZw03RosI/l0z9FxmTtF29EdZ7P+4+ybhqoaAAUmURojSR5XbGfjC4f2i8gMqfY+RI9JvfdCA6PSh9TduXfUxA==" saltValue="5TPtLq2WoiRSae/yaDPnTw==" spinCount="100000" sqref="EW832" name="Rango2_99_15_7"/>
    <protectedRange algorithmName="SHA-512" hashValue="XZw03RosI/l0z9FxmTtF29EdZ7P+4+ybhqoaAAUmURojSR5XbGfjC4f2i8gMqfY+RI9JvfdCA6PSh9TduXfUxA==" saltValue="5TPtLq2WoiRSae/yaDPnTw==" spinCount="100000" sqref="EW825" name="Rango2_99_24_9"/>
    <protectedRange algorithmName="SHA-512" hashValue="XZw03RosI/l0z9FxmTtF29EdZ7P+4+ybhqoaAAUmURojSR5XbGfjC4f2i8gMqfY+RI9JvfdCA6PSh9TduXfUxA==" saltValue="5TPtLq2WoiRSae/yaDPnTw==" spinCount="100000" sqref="EW824" name="Rango2_99_28_9"/>
    <protectedRange algorithmName="SHA-512" hashValue="XZw03RosI/l0z9FxmTtF29EdZ7P+4+ybhqoaAAUmURojSR5XbGfjC4f2i8gMqfY+RI9JvfdCA6PSh9TduXfUxA==" saltValue="5TPtLq2WoiRSae/yaDPnTw==" spinCount="100000" sqref="EW827" name="Rango2_99_37_5"/>
    <protectedRange algorithmName="SHA-512" hashValue="XZw03RosI/l0z9FxmTtF29EdZ7P+4+ybhqoaAAUmURojSR5XbGfjC4f2i8gMqfY+RI9JvfdCA6PSh9TduXfUxA==" saltValue="5TPtLq2WoiRSae/yaDPnTw==" spinCount="100000" sqref="EW828" name="Rango2_99_38_3"/>
    <protectedRange algorithmName="SHA-512" hashValue="XZw03RosI/l0z9FxmTtF29EdZ7P+4+ybhqoaAAUmURojSR5XbGfjC4f2i8gMqfY+RI9JvfdCA6PSh9TduXfUxA==" saltValue="5TPtLq2WoiRSae/yaDPnTw==" spinCount="100000" sqref="EW820" name="Rango2_99_40_5"/>
    <protectedRange algorithmName="SHA-512" hashValue="XZw03RosI/l0z9FxmTtF29EdZ7P+4+ybhqoaAAUmURojSR5XbGfjC4f2i8gMqfY+RI9JvfdCA6PSh9TduXfUxA==" saltValue="5TPtLq2WoiRSae/yaDPnTw==" spinCount="100000" sqref="EW830" name="Rango2_99_41_1"/>
    <protectedRange algorithmName="SHA-512" hashValue="XZw03RosI/l0z9FxmTtF29EdZ7P+4+ybhqoaAAUmURojSR5XbGfjC4f2i8gMqfY+RI9JvfdCA6PSh9TduXfUxA==" saltValue="5TPtLq2WoiRSae/yaDPnTw==" spinCount="100000" sqref="EW834" name="Rango2_99_12_4"/>
    <protectedRange algorithmName="SHA-512" hashValue="XZw03RosI/l0z9FxmTtF29EdZ7P+4+ybhqoaAAUmURojSR5XbGfjC4f2i8gMqfY+RI9JvfdCA6PSh9TduXfUxA==" saltValue="5TPtLq2WoiRSae/yaDPnTw==" spinCount="100000" sqref="EW836" name="Rango2_99_25_3"/>
    <protectedRange algorithmName="SHA-512" hashValue="XZw03RosI/l0z9FxmTtF29EdZ7P+4+ybhqoaAAUmURojSR5XbGfjC4f2i8gMqfY+RI9JvfdCA6PSh9TduXfUxA==" saltValue="5TPtLq2WoiRSae/yaDPnTw==" spinCount="100000" sqref="EW837" name="Rango2_99_48_7"/>
    <protectedRange algorithmName="SHA-512" hashValue="XZw03RosI/l0z9FxmTtF29EdZ7P+4+ybhqoaAAUmURojSR5XbGfjC4f2i8gMqfY+RI9JvfdCA6PSh9TduXfUxA==" saltValue="5TPtLq2WoiRSae/yaDPnTw==" spinCount="100000" sqref="EW840" name="Rango2_99_20_4"/>
    <protectedRange algorithmName="SHA-512" hashValue="XZw03RosI/l0z9FxmTtF29EdZ7P+4+ybhqoaAAUmURojSR5XbGfjC4f2i8gMqfY+RI9JvfdCA6PSh9TduXfUxA==" saltValue="5TPtLq2WoiRSae/yaDPnTw==" spinCount="100000" sqref="EW839" name="Rango2_99_31_2"/>
    <protectedRange algorithmName="SHA-512" hashValue="XZw03RosI/l0z9FxmTtF29EdZ7P+4+ybhqoaAAUmURojSR5XbGfjC4f2i8gMqfY+RI9JvfdCA6PSh9TduXfUxA==" saltValue="5TPtLq2WoiRSae/yaDPnTw==" spinCount="100000" sqref="EW842" name="Rango2_99_3_6"/>
    <protectedRange algorithmName="SHA-512" hashValue="XZw03RosI/l0z9FxmTtF29EdZ7P+4+ybhqoaAAUmURojSR5XbGfjC4f2i8gMqfY+RI9JvfdCA6PSh9TduXfUxA==" saltValue="5TPtLq2WoiRSae/yaDPnTw==" spinCount="100000" sqref="EW845" name="Rango2_99_29_2"/>
    <protectedRange algorithmName="SHA-512" hashValue="XZw03RosI/l0z9FxmTtF29EdZ7P+4+ybhqoaAAUmURojSR5XbGfjC4f2i8gMqfY+RI9JvfdCA6PSh9TduXfUxA==" saltValue="5TPtLq2WoiRSae/yaDPnTw==" spinCount="100000" sqref="EW846" name="Rango2_99_39_1"/>
    <protectedRange algorithmName="SHA-512" hashValue="XZw03RosI/l0z9FxmTtF29EdZ7P+4+ybhqoaAAUmURojSR5XbGfjC4f2i8gMqfY+RI9JvfdCA6PSh9TduXfUxA==" saltValue="5TPtLq2WoiRSae/yaDPnTw==" spinCount="100000" sqref="EW853" name="Rango2_99_7_7"/>
    <protectedRange algorithmName="SHA-512" hashValue="XZw03RosI/l0z9FxmTtF29EdZ7P+4+ybhqoaAAUmURojSR5XbGfjC4f2i8gMqfY+RI9JvfdCA6PSh9TduXfUxA==" saltValue="5TPtLq2WoiRSae/yaDPnTw==" spinCount="100000" sqref="EW848" name="Rango2_99_16_9"/>
    <protectedRange algorithmName="SHA-512" hashValue="XZw03RosI/l0z9FxmTtF29EdZ7P+4+ybhqoaAAUmURojSR5XbGfjC4f2i8gMqfY+RI9JvfdCA6PSh9TduXfUxA==" saltValue="5TPtLq2WoiRSae/yaDPnTw==" spinCount="100000" sqref="EW851" name="Rango2_99_31_3"/>
    <protectedRange algorithmName="SHA-512" hashValue="XZw03RosI/l0z9FxmTtF29EdZ7P+4+ybhqoaAAUmURojSR5XbGfjC4f2i8gMqfY+RI9JvfdCA6PSh9TduXfUxA==" saltValue="5TPtLq2WoiRSae/yaDPnTw==" spinCount="100000" sqref="EF849:EG849" name="Rango2_99_2_6"/>
    <protectedRange algorithmName="SHA-512" hashValue="XZw03RosI/l0z9FxmTtF29EdZ7P+4+ybhqoaAAUmURojSR5XbGfjC4f2i8gMqfY+RI9JvfdCA6PSh9TduXfUxA==" saltValue="5TPtLq2WoiRSae/yaDPnTw==" spinCount="100000" sqref="FR849" name="Rango2_99_4_6"/>
    <protectedRange algorithmName="SHA-512" hashValue="XZw03RosI/l0z9FxmTtF29EdZ7P+4+ybhqoaAAUmURojSR5XbGfjC4f2i8gMqfY+RI9JvfdCA6PSh9TduXfUxA==" saltValue="5TPtLq2WoiRSae/yaDPnTw==" spinCount="100000" sqref="FU849" name="Rango2_99_5_6"/>
    <protectedRange algorithmName="SHA-512" hashValue="XZw03RosI/l0z9FxmTtF29EdZ7P+4+ybhqoaAAUmURojSR5XbGfjC4f2i8gMqfY+RI9JvfdCA6PSh9TduXfUxA==" saltValue="5TPtLq2WoiRSae/yaDPnTw==" spinCount="100000" sqref="EW856" name="Rango2_99_17_9"/>
    <protectedRange algorithmName="SHA-512" hashValue="XZw03RosI/l0z9FxmTtF29EdZ7P+4+ybhqoaAAUmURojSR5XbGfjC4f2i8gMqfY+RI9JvfdCA6PSh9TduXfUxA==" saltValue="5TPtLq2WoiRSae/yaDPnTw==" spinCount="100000" sqref="EW859" name="Rango2_99_32_6"/>
    <protectedRange algorithmName="SHA-512" hashValue="XZw03RosI/l0z9FxmTtF29EdZ7P+4+ybhqoaAAUmURojSR5XbGfjC4f2i8gMqfY+RI9JvfdCA6PSh9TduXfUxA==" saltValue="5TPtLq2WoiRSae/yaDPnTw==" spinCount="100000" sqref="EW858" name="Rango2_99_35_3"/>
    <protectedRange algorithmName="SHA-512" hashValue="XZw03RosI/l0z9FxmTtF29EdZ7P+4+ybhqoaAAUmURojSR5XbGfjC4f2i8gMqfY+RI9JvfdCA6PSh9TduXfUxA==" saltValue="5TPtLq2WoiRSae/yaDPnTw==" spinCount="100000" sqref="EW860" name="Rango2_99_13_1"/>
    <protectedRange algorithmName="SHA-512" hashValue="XZw03RosI/l0z9FxmTtF29EdZ7P+4+ybhqoaAAUmURojSR5XbGfjC4f2i8gMqfY+RI9JvfdCA6PSh9TduXfUxA==" saltValue="5TPtLq2WoiRSae/yaDPnTw==" spinCount="100000" sqref="EW861" name="Rango2_99_8_6"/>
    <protectedRange algorithmName="SHA-512" hashValue="XZw03RosI/l0z9FxmTtF29EdZ7P+4+ybhqoaAAUmURojSR5XbGfjC4f2i8gMqfY+RI9JvfdCA6PSh9TduXfUxA==" saltValue="5TPtLq2WoiRSae/yaDPnTw==" spinCount="100000" sqref="EW870" name="Rango2_99_10_4"/>
    <protectedRange algorithmName="SHA-512" hashValue="XZw03RosI/l0z9FxmTtF29EdZ7P+4+ybhqoaAAUmURojSR5XbGfjC4f2i8gMqfY+RI9JvfdCA6PSh9TduXfUxA==" saltValue="5TPtLq2WoiRSae/yaDPnTw==" spinCount="100000" sqref="EW865" name="Rango2_99_23_7"/>
    <protectedRange algorithmName="SHA-512" hashValue="XZw03RosI/l0z9FxmTtF29EdZ7P+4+ybhqoaAAUmURojSR5XbGfjC4f2i8gMqfY+RI9JvfdCA6PSh9TduXfUxA==" saltValue="5TPtLq2WoiRSae/yaDPnTw==" spinCount="100000" sqref="EW869" name="Rango2_99_49_2"/>
    <protectedRange algorithmName="SHA-512" hashValue="XZw03RosI/l0z9FxmTtF29EdZ7P+4+ybhqoaAAUmURojSR5XbGfjC4f2i8gMqfY+RI9JvfdCA6PSh9TduXfUxA==" saltValue="5TPtLq2WoiRSae/yaDPnTw==" spinCount="100000" sqref="EW875" name="Rango2_99_11_2"/>
    <protectedRange algorithmName="SHA-512" hashValue="9+DNppQbWrLYYUMoJ+lyQctV2bX3Vq9kZnegLbpjTLP49It2ovUbcartuoQTeXgP+TGpY//7mDH/UQlFCKDGiA==" saltValue="KUnni6YEm00anzSSvyLqQA==" spinCount="100000" sqref="FH891" name="Rango2_18_16"/>
    <protectedRange algorithmName="SHA-512" hashValue="9+DNppQbWrLYYUMoJ+lyQctV2bX3Vq9kZnegLbpjTLP49It2ovUbcartuoQTeXgP+TGpY//7mDH/UQlFCKDGiA==" saltValue="KUnni6YEm00anzSSvyLqQA==" spinCount="100000" sqref="JO813 JQ813" name="Rango2_21_5"/>
    <protectedRange algorithmName="SHA-512" hashValue="9+DNppQbWrLYYUMoJ+lyQctV2bX3Vq9kZnegLbpjTLP49It2ovUbcartuoQTeXgP+TGpY//7mDH/UQlFCKDGiA==" saltValue="KUnni6YEm00anzSSvyLqQA==" spinCount="100000" sqref="JO827 JQ827" name="Rango2_16_6"/>
    <protectedRange algorithmName="SHA-512" hashValue="9+DNppQbWrLYYUMoJ+lyQctV2bX3Vq9kZnegLbpjTLP49It2ovUbcartuoQTeXgP+TGpY//7mDH/UQlFCKDGiA==" saltValue="KUnni6YEm00anzSSvyLqQA==" spinCount="100000" sqref="LE824:LF824" name="Rango2_32_11"/>
    <protectedRange algorithmName="SHA-512" hashValue="9+DNppQbWrLYYUMoJ+lyQctV2bX3Vq9kZnegLbpjTLP49It2ovUbcartuoQTeXgP+TGpY//7mDH/UQlFCKDGiA==" saltValue="KUnni6YEm00anzSSvyLqQA==" spinCount="100000" sqref="LE844:LF844 LU843:LV843" name="Rango2_32_12"/>
    <protectedRange algorithmName="SHA-512" hashValue="9+DNppQbWrLYYUMoJ+lyQctV2bX3Vq9kZnegLbpjTLP49It2ovUbcartuoQTeXgP+TGpY//7mDH/UQlFCKDGiA==" saltValue="KUnni6YEm00anzSSvyLqQA==" spinCount="100000" sqref="LM848:LN848" name="Rango2_32_13"/>
    <protectedRange algorithmName="SHA-512" hashValue="9+DNppQbWrLYYUMoJ+lyQctV2bX3Vq9kZnegLbpjTLP49It2ovUbcartuoQTeXgP+TGpY//7mDH/UQlFCKDGiA==" saltValue="KUnni6YEm00anzSSvyLqQA==" spinCount="100000" sqref="LQ862:LR862" name="Rango2_32_14"/>
    <protectedRange algorithmName="SHA-512" hashValue="9+DNppQbWrLYYUMoJ+lyQctV2bX3Vq9kZnegLbpjTLP49It2ovUbcartuoQTeXgP+TGpY//7mDH/UQlFCKDGiA==" saltValue="KUnni6YEm00anzSSvyLqQA==" spinCount="100000" sqref="JO864 JQ864" name="Rango2_22_2"/>
    <protectedRange algorithmName="SHA-512" hashValue="9+DNppQbWrLYYUMoJ+lyQctV2bX3Vq9kZnegLbpjTLP49It2ovUbcartuoQTeXgP+TGpY//7mDH/UQlFCKDGiA==" saltValue="KUnni6YEm00anzSSvyLqQA==" spinCount="100000" sqref="LM864:LN864" name="Rango2_32_15"/>
    <protectedRange algorithmName="SHA-512" hashValue="9+DNppQbWrLYYUMoJ+lyQctV2bX3Vq9kZnegLbpjTLP49It2ovUbcartuoQTeXgP+TGpY//7mDH/UQlFCKDGiA==" saltValue="KUnni6YEm00anzSSvyLqQA==" spinCount="100000" sqref="LF879" name="Rango2_26_3"/>
    <protectedRange algorithmName="SHA-512" hashValue="9+DNppQbWrLYYUMoJ+lyQctV2bX3Vq9kZnegLbpjTLP49It2ovUbcartuoQTeXgP+TGpY//7mDH/UQlFCKDGiA==" saltValue="KUnni6YEm00anzSSvyLqQA==" spinCount="100000" sqref="LE879" name="Rango2_45_10"/>
    <protectedRange algorithmName="SHA-512" hashValue="9+DNppQbWrLYYUMoJ+lyQctV2bX3Vq9kZnegLbpjTLP49It2ovUbcartuoQTeXgP+TGpY//7mDH/UQlFCKDGiA==" saltValue="KUnni6YEm00anzSSvyLqQA==" spinCount="100000" sqref="LM920:LN920" name="Rango2_32_16"/>
    <protectedRange algorithmName="SHA-512" hashValue="EMMPgE8t/az1rHHzaZAQIhz+GQV0k2O/tQGA96sJqEEMzz1efIRa4CcLzC7iY9CCscto3g7dwz41haOE28iXYg==" saltValue="CVzFsG4X4LXUMo7796PiDQ==" spinCount="100000" sqref="Z1231" name="Rango2_10_1_8"/>
    <protectedRange algorithmName="SHA-512" hashValue="9+DNppQbWrLYYUMoJ+lyQctV2bX3Vq9kZnegLbpjTLP49It2ovUbcartuoQTeXgP+TGpY//7mDH/UQlFCKDGiA==" saltValue="KUnni6YEm00anzSSvyLqQA==" spinCount="100000" sqref="FH1330" name="Rango2_18_17"/>
    <protectedRange algorithmName="SHA-512" hashValue="9+DNppQbWrLYYUMoJ+lyQctV2bX3Vq9kZnegLbpjTLP49It2ovUbcartuoQTeXgP+TGpY//7mDH/UQlFCKDGiA==" saltValue="KUnni6YEm00anzSSvyLqQA==" spinCount="100000" sqref="FN1386:FO1386" name="Rango2_16_7"/>
    <protectedRange algorithmName="SHA-512" hashValue="9+DNppQbWrLYYUMoJ+lyQctV2bX3Vq9kZnegLbpjTLP49It2ovUbcartuoQTeXgP+TGpY//7mDH/UQlFCKDGiA==" saltValue="KUnni6YEm00anzSSvyLqQA==" spinCount="100000" sqref="FN1387:FO1387" name="Rango2_16_8"/>
    <protectedRange algorithmName="SHA-512" hashValue="9+DNppQbWrLYYUMoJ+lyQctV2bX3Vq9kZnegLbpjTLP49It2ovUbcartuoQTeXgP+TGpY//7mDH/UQlFCKDGiA==" saltValue="KUnni6YEm00anzSSvyLqQA==" spinCount="100000" sqref="FN1388:FO1389" name="Rango2_16_9"/>
    <protectedRange algorithmName="SHA-512" hashValue="9+DNppQbWrLYYUMoJ+lyQctV2bX3Vq9kZnegLbpjTLP49It2ovUbcartuoQTeXgP+TGpY//7mDH/UQlFCKDGiA==" saltValue="KUnni6YEm00anzSSvyLqQA==" spinCount="100000" sqref="FN1390:FO1390" name="Rango2_16_10"/>
    <protectedRange algorithmName="SHA-512" hashValue="9+DNppQbWrLYYUMoJ+lyQctV2bX3Vq9kZnegLbpjTLP49It2ovUbcartuoQTeXgP+TGpY//7mDH/UQlFCKDGiA==" saltValue="KUnni6YEm00anzSSvyLqQA==" spinCount="100000" sqref="FN1391:FO1392" name="Rango2_16_11"/>
    <protectedRange algorithmName="SHA-512" hashValue="9+DNppQbWrLYYUMoJ+lyQctV2bX3Vq9kZnegLbpjTLP49It2ovUbcartuoQTeXgP+TGpY//7mDH/UQlFCKDGiA==" saltValue="KUnni6YEm00anzSSvyLqQA==" spinCount="100000" sqref="FN1393:FO1394" name="Rango2_16_12"/>
    <protectedRange algorithmName="SHA-512" hashValue="9+DNppQbWrLYYUMoJ+lyQctV2bX3Vq9kZnegLbpjTLP49It2ovUbcartuoQTeXgP+TGpY//7mDH/UQlFCKDGiA==" saltValue="KUnni6YEm00anzSSvyLqQA==" spinCount="100000" sqref="FN1395:FO1395" name="Rango2_16_13"/>
    <protectedRange algorithmName="SHA-512" hashValue="9+DNppQbWrLYYUMoJ+lyQctV2bX3Vq9kZnegLbpjTLP49It2ovUbcartuoQTeXgP+TGpY//7mDH/UQlFCKDGiA==" saltValue="KUnni6YEm00anzSSvyLqQA==" spinCount="100000" sqref="FN1396:FO1397" name="Rango2_16_14"/>
    <protectedRange algorithmName="SHA-512" hashValue="9+DNppQbWrLYYUMoJ+lyQctV2bX3Vq9kZnegLbpjTLP49It2ovUbcartuoQTeXgP+TGpY//7mDH/UQlFCKDGiA==" saltValue="KUnni6YEm00anzSSvyLqQA==" spinCount="100000" sqref="FN1398:FO1399" name="Rango2_16_15"/>
    <protectedRange algorithmName="SHA-512" hashValue="9+DNppQbWrLYYUMoJ+lyQctV2bX3Vq9kZnegLbpjTLP49It2ovUbcartuoQTeXgP+TGpY//7mDH/UQlFCKDGiA==" saltValue="KUnni6YEm00anzSSvyLqQA==" spinCount="100000" sqref="FN1400:FO1407" name="Rango2_16_16"/>
    <protectedRange algorithmName="SHA-512" hashValue="9+DNppQbWrLYYUMoJ+lyQctV2bX3Vq9kZnegLbpjTLP49It2ovUbcartuoQTeXgP+TGpY//7mDH/UQlFCKDGiA==" saltValue="KUnni6YEm00anzSSvyLqQA==" spinCount="100000" sqref="FN1408:FO1413" name="Rango2_16_17"/>
    <protectedRange algorithmName="SHA-512" hashValue="9+DNppQbWrLYYUMoJ+lyQctV2bX3Vq9kZnegLbpjTLP49It2ovUbcartuoQTeXgP+TGpY//7mDH/UQlFCKDGiA==" saltValue="KUnni6YEm00anzSSvyLqQA==" spinCount="100000" sqref="FN1414:FO1414" name="Rango2_16_18"/>
    <protectedRange algorithmName="SHA-512" hashValue="9+DNppQbWrLYYUMoJ+lyQctV2bX3Vq9kZnegLbpjTLP49It2ovUbcartuoQTeXgP+TGpY//7mDH/UQlFCKDGiA==" saltValue="KUnni6YEm00anzSSvyLqQA==" spinCount="100000" sqref="FN1415:FO1419" name="Rango2_16_19"/>
    <protectedRange algorithmName="SHA-512" hashValue="9+DNppQbWrLYYUMoJ+lyQctV2bX3Vq9kZnegLbpjTLP49It2ovUbcartuoQTeXgP+TGpY//7mDH/UQlFCKDGiA==" saltValue="KUnni6YEm00anzSSvyLqQA==" spinCount="100000" sqref="FN1420:FO1427" name="Rango2_16_20"/>
    <protectedRange algorithmName="SHA-512" hashValue="9+DNppQbWrLYYUMoJ+lyQctV2bX3Vq9kZnegLbpjTLP49It2ovUbcartuoQTeXgP+TGpY//7mDH/UQlFCKDGiA==" saltValue="KUnni6YEm00anzSSvyLqQA==" spinCount="100000" sqref="FN1428:FO1430" name="Rango2_16_21"/>
    <protectedRange algorithmName="SHA-512" hashValue="9+DNppQbWrLYYUMoJ+lyQctV2bX3Vq9kZnegLbpjTLP49It2ovUbcartuoQTeXgP+TGpY//7mDH/UQlFCKDGiA==" saltValue="KUnni6YEm00anzSSvyLqQA==" spinCount="100000" sqref="FN1431:FO1432" name="Rango2_16_22"/>
    <protectedRange algorithmName="SHA-512" hashValue="9+DNppQbWrLYYUMoJ+lyQctV2bX3Vq9kZnegLbpjTLP49It2ovUbcartuoQTeXgP+TGpY//7mDH/UQlFCKDGiA==" saltValue="KUnni6YEm00anzSSvyLqQA==" spinCount="100000" sqref="FN1433:FO1438" name="Rango2_16_23"/>
    <protectedRange algorithmName="SHA-512" hashValue="9+DNppQbWrLYYUMoJ+lyQctV2bX3Vq9kZnegLbpjTLP49It2ovUbcartuoQTeXgP+TGpY//7mDH/UQlFCKDGiA==" saltValue="KUnni6YEm00anzSSvyLqQA==" spinCount="100000" sqref="FN1439:FO1439" name="Rango2_16_24"/>
    <protectedRange algorithmName="SHA-512" hashValue="9+DNppQbWrLYYUMoJ+lyQctV2bX3Vq9kZnegLbpjTLP49It2ovUbcartuoQTeXgP+TGpY//7mDH/UQlFCKDGiA==" saltValue="KUnni6YEm00anzSSvyLqQA==" spinCount="100000" sqref="FN1440:FO1443" name="Rango2_16_25"/>
    <protectedRange algorithmName="SHA-512" hashValue="9+DNppQbWrLYYUMoJ+lyQctV2bX3Vq9kZnegLbpjTLP49It2ovUbcartuoQTeXgP+TGpY//7mDH/UQlFCKDGiA==" saltValue="KUnni6YEm00anzSSvyLqQA==" spinCount="100000" sqref="FN1444:FO1448" name="Rango2_16_26"/>
    <protectedRange algorithmName="SHA-512" hashValue="9+DNppQbWrLYYUMoJ+lyQctV2bX3Vq9kZnegLbpjTLP49It2ovUbcartuoQTeXgP+TGpY//7mDH/UQlFCKDGiA==" saltValue="KUnni6YEm00anzSSvyLqQA==" spinCount="100000" sqref="FN1449:FO1449" name="Rango2_16_27"/>
    <protectedRange algorithmName="SHA-512" hashValue="9+DNppQbWrLYYUMoJ+lyQctV2bX3Vq9kZnegLbpjTLP49It2ovUbcartuoQTeXgP+TGpY//7mDH/UQlFCKDGiA==" saltValue="KUnni6YEm00anzSSvyLqQA==" spinCount="100000" sqref="FN1450:FO1454" name="Rango2_16_28"/>
    <protectedRange algorithmName="SHA-512" hashValue="9+DNppQbWrLYYUMoJ+lyQctV2bX3Vq9kZnegLbpjTLP49It2ovUbcartuoQTeXgP+TGpY//7mDH/UQlFCKDGiA==" saltValue="KUnni6YEm00anzSSvyLqQA==" spinCount="100000" sqref="FN1455:FO1458" name="Rango2_16_29"/>
    <protectedRange algorithmName="SHA-512" hashValue="9+DNppQbWrLYYUMoJ+lyQctV2bX3Vq9kZnegLbpjTLP49It2ovUbcartuoQTeXgP+TGpY//7mDH/UQlFCKDGiA==" saltValue="KUnni6YEm00anzSSvyLqQA==" spinCount="100000" sqref="FN1459:FO1472" name="Rango2_16_30"/>
    <protectedRange algorithmName="SHA-512" hashValue="9+DNppQbWrLYYUMoJ+lyQctV2bX3Vq9kZnegLbpjTLP49It2ovUbcartuoQTeXgP+TGpY//7mDH/UQlFCKDGiA==" saltValue="KUnni6YEm00anzSSvyLqQA==" spinCount="100000" sqref="FN1473:FO1474" name="Rango2_16_31"/>
    <protectedRange algorithmName="SHA-512" hashValue="9+DNppQbWrLYYUMoJ+lyQctV2bX3Vq9kZnegLbpjTLP49It2ovUbcartuoQTeXgP+TGpY//7mDH/UQlFCKDGiA==" saltValue="KUnni6YEm00anzSSvyLqQA==" spinCount="100000" sqref="FN1475:FO1477" name="Rango2_16_32"/>
    <protectedRange algorithmName="SHA-512" hashValue="9+DNppQbWrLYYUMoJ+lyQctV2bX3Vq9kZnegLbpjTLP49It2ovUbcartuoQTeXgP+TGpY//7mDH/UQlFCKDGiA==" saltValue="KUnni6YEm00anzSSvyLqQA==" spinCount="100000" sqref="FN1478:FO1478" name="Rango2_16_33"/>
    <protectedRange algorithmName="SHA-512" hashValue="9+DNppQbWrLYYUMoJ+lyQctV2bX3Vq9kZnegLbpjTLP49It2ovUbcartuoQTeXgP+TGpY//7mDH/UQlFCKDGiA==" saltValue="KUnni6YEm00anzSSvyLqQA==" spinCount="100000" sqref="FN1479:FO1487" name="Rango2_16_34"/>
    <protectedRange algorithmName="SHA-512" hashValue="9+DNppQbWrLYYUMoJ+lyQctV2bX3Vq9kZnegLbpjTLP49It2ovUbcartuoQTeXgP+TGpY//7mDH/UQlFCKDGiA==" saltValue="KUnni6YEm00anzSSvyLqQA==" spinCount="100000" sqref="FN1488:FO1490" name="Rango2_16_35"/>
    <protectedRange algorithmName="SHA-512" hashValue="9+DNppQbWrLYYUMoJ+lyQctV2bX3Vq9kZnegLbpjTLP49It2ovUbcartuoQTeXgP+TGpY//7mDH/UQlFCKDGiA==" saltValue="KUnni6YEm00anzSSvyLqQA==" spinCount="100000" sqref="FN1491:FO1491" name="Rango2_16_36"/>
    <protectedRange algorithmName="SHA-512" hashValue="9+DNppQbWrLYYUMoJ+lyQctV2bX3Vq9kZnegLbpjTLP49It2ovUbcartuoQTeXgP+TGpY//7mDH/UQlFCKDGiA==" saltValue="KUnni6YEm00anzSSvyLqQA==" spinCount="100000" sqref="FN1492:FO1495" name="Rango2_16_37"/>
    <protectedRange algorithmName="SHA-512" hashValue="9+DNppQbWrLYYUMoJ+lyQctV2bX3Vq9kZnegLbpjTLP49It2ovUbcartuoQTeXgP+TGpY//7mDH/UQlFCKDGiA==" saltValue="KUnni6YEm00anzSSvyLqQA==" spinCount="100000" sqref="FN1496:FO1502" name="Rango2_16_38"/>
    <protectedRange algorithmName="SHA-512" hashValue="9+DNppQbWrLYYUMoJ+lyQctV2bX3Vq9kZnegLbpjTLP49It2ovUbcartuoQTeXgP+TGpY//7mDH/UQlFCKDGiA==" saltValue="KUnni6YEm00anzSSvyLqQA==" spinCount="100000" sqref="FN1503:FO1506" name="Rango2_16_39"/>
    <protectedRange algorithmName="SHA-512" hashValue="9+DNppQbWrLYYUMoJ+lyQctV2bX3Vq9kZnegLbpjTLP49It2ovUbcartuoQTeXgP+TGpY//7mDH/UQlFCKDGiA==" saltValue="KUnni6YEm00anzSSvyLqQA==" spinCount="100000" sqref="FN1507:FO1507" name="Rango2_16_40"/>
    <protectedRange algorithmName="SHA-512" hashValue="9+DNppQbWrLYYUMoJ+lyQctV2bX3Vq9kZnegLbpjTLP49It2ovUbcartuoQTeXgP+TGpY//7mDH/UQlFCKDGiA==" saltValue="KUnni6YEm00anzSSvyLqQA==" spinCount="100000" sqref="FN1508:FO1535" name="Rango2_16_41"/>
    <protectedRange algorithmName="SHA-512" hashValue="9+DNppQbWrLYYUMoJ+lyQctV2bX3Vq9kZnegLbpjTLP49It2ovUbcartuoQTeXgP+TGpY//7mDH/UQlFCKDGiA==" saltValue="KUnni6YEm00anzSSvyLqQA==" spinCount="100000" sqref="FN1536:FO1537" name="Rango2_16_42"/>
    <protectedRange algorithmName="SHA-512" hashValue="9+DNppQbWrLYYUMoJ+lyQctV2bX3Vq9kZnegLbpjTLP49It2ovUbcartuoQTeXgP+TGpY//7mDH/UQlFCKDGiA==" saltValue="KUnni6YEm00anzSSvyLqQA==" spinCount="100000" sqref="FN1538:FO1539" name="Rango2_16_43"/>
    <protectedRange algorithmName="SHA-512" hashValue="9+DNppQbWrLYYUMoJ+lyQctV2bX3Vq9kZnegLbpjTLP49It2ovUbcartuoQTeXgP+TGpY//7mDH/UQlFCKDGiA==" saltValue="KUnni6YEm00anzSSvyLqQA==" spinCount="100000" sqref="FN1540:FO1548" name="Rango2_16_44"/>
    <protectedRange algorithmName="SHA-512" hashValue="9+DNppQbWrLYYUMoJ+lyQctV2bX3Vq9kZnegLbpjTLP49It2ovUbcartuoQTeXgP+TGpY//7mDH/UQlFCKDGiA==" saltValue="KUnni6YEm00anzSSvyLqQA==" spinCount="100000" sqref="FN1549:FO1556" name="Rango2_16_45"/>
    <protectedRange algorithmName="SHA-512" hashValue="9+DNppQbWrLYYUMoJ+lyQctV2bX3Vq9kZnegLbpjTLP49It2ovUbcartuoQTeXgP+TGpY//7mDH/UQlFCKDGiA==" saltValue="KUnni6YEm00anzSSvyLqQA==" spinCount="100000" sqref="FN1557:FO1562" name="Rango2_16_46"/>
    <protectedRange algorithmName="SHA-512" hashValue="9+DNppQbWrLYYUMoJ+lyQctV2bX3Vq9kZnegLbpjTLP49It2ovUbcartuoQTeXgP+TGpY//7mDH/UQlFCKDGiA==" saltValue="KUnni6YEm00anzSSvyLqQA==" spinCount="100000" sqref="FH1659" name="Rango2_18_18"/>
    <protectedRange algorithmName="SHA-512" hashValue="9+DNppQbWrLYYUMoJ+lyQctV2bX3Vq9kZnegLbpjTLP49It2ovUbcartuoQTeXgP+TGpY//7mDH/UQlFCKDGiA==" saltValue="KUnni6YEm00anzSSvyLqQA==" spinCount="100000" sqref="FN1563:FO1737" name="Rango2_16_47"/>
    <protectedRange algorithmName="SHA-512" hashValue="6a5oYwZw9WJcgjqXpleUXH8uaqNEuymPPpeOb7lKBc1WoM6IG/DNyDLWmj2lYwxnZO2yhl+B61kwrxD9m9AdhQ==" saltValue="tdNQPzLQd+n9Ww064QJIaQ==" spinCount="100000" sqref="I1811:I1823" name="Rango2_61_1_4"/>
    <protectedRange algorithmName="SHA-512" hashValue="XM8+0Jh5zLWw02PI0Lt8dLqjTcW5ulySion19FAnruDN6QRp4UwcVqdfQxnOQAItgpWG7rNsELzjwy0iXOonxw==" saltValue="Sd4WFUedDfLKoMQTDrxJuQ==" spinCount="100000" sqref="K1811:K1819" name="Rango2_88_4_4_1_4"/>
    <protectedRange algorithmName="SHA-512" hashValue="EMMPgE8t/az1rHHzaZAQIhz+GQV0k2O/tQGA96sJqEEMzz1efIRa4CcLzC7iY9CCscto3g7dwz41haOE28iXYg==" saltValue="CVzFsG4X4LXUMo7796PiDQ==" spinCount="100000" sqref="E1811:H1812 L1811:M1812 J1811:J1812 L1813:L1821" name="Rango2_10_1_9"/>
    <protectedRange algorithmName="SHA-512" hashValue="6a5oYwZw9WJcgjqXpleUXH8uaqNEuymPPpeOb7lKBc1WoM6IG/DNyDLWmj2lYwxnZO2yhl+B61kwrxD9m9AdhQ==" saltValue="tdNQPzLQd+n9Ww064QJIaQ==" spinCount="100000" sqref="I1832" name="Rango2_61_2_2"/>
    <protectedRange algorithmName="SHA-512" hashValue="EMMPgE8t/az1rHHzaZAQIhz+GQV0k2O/tQGA96sJqEEMzz1efIRa4CcLzC7iY9CCscto3g7dwz41haOE28iXYg==" saltValue="CVzFsG4X4LXUMo7796PiDQ==" spinCount="100000" sqref="J1832 D1832:H1832 L1832:M1832" name="Rango2_10_2_2"/>
    <protectedRange algorithmName="SHA-512" hashValue="XZw03RosI/l0z9FxmTtF29EdZ7P+4+ybhqoaAAUmURojSR5XbGfjC4f2i8gMqfY+RI9JvfdCA6PSh9TduXfUxA==" saltValue="5TPtLq2WoiRSae/yaDPnTw==" spinCount="100000" sqref="O1811:O1812" name="Rango2_99_1_6"/>
    <protectedRange algorithmName="SHA-512" hashValue="XZw03RosI/l0z9FxmTtF29EdZ7P+4+ybhqoaAAUmURojSR5XbGfjC4f2i8gMqfY+RI9JvfdCA6PSh9TduXfUxA==" saltValue="5TPtLq2WoiRSae/yaDPnTw==" spinCount="100000" sqref="R1811:R1812" name="Rango2_99_2_7"/>
    <protectedRange algorithmName="SHA-512" hashValue="CHipOQaT63FWw628cQcXXJRZlrbNZ7OgmnEbDx38UmmH7z19GRYEzXFiVOzHAy1OAaAbST7g2bHZHDKQp2qm3w==" saltValue="iRVuL+373yLHv0ZHzS9qog==" spinCount="100000" sqref="AG1811:AH1822 AJ1811:AJ1821" name="Rango2_88_7_5_1_5"/>
    <protectedRange algorithmName="SHA-512" hashValue="fPHvtIAf3pQeZUoAI9C2/vdXMHBpqqEq+67P5Ypyu4+9IWqs3yc9TZcMWQ0THLxUwqseQPyVvakuYFtCwJHsxA==" saltValue="QHIogSs2PrwAfdqa9PAOFQ==" spinCount="100000" sqref="AC1811:AC1814" name="Rango2_88_5_5_1_4"/>
    <protectedRange algorithmName="SHA-512" hashValue="LEEeiU6pKqm7TAP46VGlz0q+evvFwpT/0iLpRuWuQ7MacbP0OGL1/FSmrIEOg2rb6M+Jla2bPbVWiGag27j87w==" saltValue="HEVt+pS5OloNDlqSnzGLLw==" spinCount="100000" sqref="AI1811:AI1822" name="Rango2_8_7_1_6"/>
    <protectedRange algorithmName="SHA-512" hashValue="q2z5hEFmXS0v2chiPTC/VCoDWNlnhp+Xe6Ybfxe48vIsnB/KTJQxJv+pFUnCXfZ9T6vyJopuqFFNROfQTW/JUw==" saltValue="IctfdGJb5tOTpq+KPi9vww==" spinCount="100000" sqref="AE1811:AF1822" name="Rango2_88_39_1_5"/>
    <protectedRange algorithmName="SHA-512" hashValue="NUll9P9xh7KbSfMYpMxsRZLfDw/y/AzW2LSWlpXVscBDqiAxmzo71xjs+a2lh+jRa7pceOC849slke4+ZKx8LA==" saltValue="8qbkKpQ+CiQuLnqgShNvXA==" spinCount="100000" sqref="T1811:T1823" name="Rango2_88_6_1_4"/>
    <protectedRange algorithmName="SHA-512" hashValue="XZw03RosI/l0z9FxmTtF29EdZ7P+4+ybhqoaAAUmURojSR5XbGfjC4f2i8gMqfY+RI9JvfdCA6PSh9TduXfUxA==" saltValue="5TPtLq2WoiRSae/yaDPnTw==" spinCount="100000" sqref="U1811:X1812 U1813:V1822 U1823 Z1811:Z1812" name="Rango2_99_3_7"/>
    <protectedRange algorithmName="SHA-512" hashValue="9+DNppQbWrLYYUMoJ+lyQctV2bX3Vq9kZnegLbpjTLP49It2ovUbcartuoQTeXgP+TGpY//7mDH/UQlFCKDGiA==" saltValue="KUnni6YEm00anzSSvyLqQA==" spinCount="100000" sqref="AD1811:AD1816" name="Rango2_19_10"/>
    <protectedRange algorithmName="SHA-512" hashValue="RQ91b7oAw60DVtcgB2vRpial2kSdzJx5guGCTYUwXYkKrtrUHfiYnLf9R+SNpYXlJDYpyEJLhcWwP0EqNN86dQ==" saltValue="W3RbH3zrcY9sy39xNwXNxg==" spinCount="100000" sqref="BA1811:BI1820 BH1821:BI1822" name="Rango2_88_99_1_4"/>
    <protectedRange algorithmName="SHA-512" hashValue="fMbmUM1DQ7FuAPRNvFL5mPdHUYjQnlLFhkuaxvHguaqR7aWyDxcmJs0jLYQfQKY+oyhsMb4Lew4VL6i7um3/ew==" saltValue="ydaTm0CeH8+/cYqoL/AMaQ==" spinCount="100000" sqref="AU1811:AU1813 AW1811:AZ1819 AY1820:AZ1820" name="Rango2_88_91_1_6"/>
    <protectedRange algorithmName="SHA-512" hashValue="CHipOQaT63FWw628cQcXXJRZlrbNZ7OgmnEbDx38UmmH7z19GRYEzXFiVOzHAy1OAaAbST7g2bHZHDKQp2qm3w==" saltValue="iRVuL+373yLHv0ZHzS9qog==" spinCount="100000" sqref="AL1811:AQ1821" name="Rango2_88_7_5_2_2"/>
    <protectedRange algorithmName="SHA-512" hashValue="NkG6oHuDGvGBEiLAAq8MEJHEfLQUMyjihfH+DBXhT+eQW0r1yri7tOJEFRM9nbOejjjXiviq9RFo7KB7wF+xJA==" saltValue="bpjB0AAANu2X/PeR3eiFkA==" spinCount="100000" sqref="AR1811:AS1812" name="Rango2_88_65_1_4"/>
    <protectedRange algorithmName="SHA-512" hashValue="XZw03RosI/l0z9FxmTtF29EdZ7P+4+ybhqoaAAUmURojSR5XbGfjC4f2i8gMqfY+RI9JvfdCA6PSh9TduXfUxA==" saltValue="5TPtLq2WoiRSae/yaDPnTw==" spinCount="100000" sqref="AT1811:AT1812 AV1811:AV1812 BJ1811:BK1812" name="Rango2_99_4_8"/>
    <protectedRange algorithmName="SHA-512" hashValue="XZw03RosI/l0z9FxmTtF29EdZ7P+4+ybhqoaAAUmURojSR5XbGfjC4f2i8gMqfY+RI9JvfdCA6PSh9TduXfUxA==" saltValue="5TPtLq2WoiRSae/yaDPnTw==" spinCount="100000" sqref="BZ1811:CB1812" name="Rango2_99_5_7"/>
    <protectedRange algorithmName="SHA-512" hashValue="XZw03RosI/l0z9FxmTtF29EdZ7P+4+ybhqoaAAUmURojSR5XbGfjC4f2i8gMqfY+RI9JvfdCA6PSh9TduXfUxA==" saltValue="5TPtLq2WoiRSae/yaDPnTw==" spinCount="100000" sqref="CE1811:CF1811" name="Rango2_99_7_8"/>
    <protectedRange algorithmName="SHA-512" hashValue="XZw03RosI/l0z9FxmTtF29EdZ7P+4+ybhqoaAAUmURojSR5XbGfjC4f2i8gMqfY+RI9JvfdCA6PSh9TduXfUxA==" saltValue="5TPtLq2WoiRSae/yaDPnTw==" spinCount="100000" sqref="CP1812:CQ1812" name="Rango2_99_8_7"/>
    <protectedRange algorithmName="SHA-512" hashValue="XZw03RosI/l0z9FxmTtF29EdZ7P+4+ybhqoaAAUmURojSR5XbGfjC4f2i8gMqfY+RI9JvfdCA6PSh9TduXfUxA==" saltValue="5TPtLq2WoiRSae/yaDPnTw==" spinCount="100000" sqref="DA1811:DB1812" name="Rango2_99_9_11"/>
    <protectedRange algorithmName="SHA-512" hashValue="9+DNppQbWrLYYUMoJ+lyQctV2bX3Vq9kZnegLbpjTLP49It2ovUbcartuoQTeXgP+TGpY//7mDH/UQlFCKDGiA==" saltValue="KUnni6YEm00anzSSvyLqQA==" spinCount="100000" sqref="FN1738" name="Rango2_20_11"/>
    <protectedRange algorithmName="SHA-512" hashValue="9+DNppQbWrLYYUMoJ+lyQctV2bX3Vq9kZnegLbpjTLP49It2ovUbcartuoQTeXgP+TGpY//7mDH/UQlFCKDGiA==" saltValue="KUnni6YEm00anzSSvyLqQA==" spinCount="100000" sqref="FK1738" name="Rango2_18_19"/>
    <protectedRange algorithmName="SHA-512" hashValue="9+DNppQbWrLYYUMoJ+lyQctV2bX3Vq9kZnegLbpjTLP49It2ovUbcartuoQTeXgP+TGpY//7mDH/UQlFCKDGiA==" saltValue="KUnni6YEm00anzSSvyLqQA==" spinCount="100000" sqref="FE1738 FH1738" name="Rango2_17_10"/>
    <protectedRange algorithmName="SHA-512" hashValue="9+DNppQbWrLYYUMoJ+lyQctV2bX3Vq9kZnegLbpjTLP49It2ovUbcartuoQTeXgP+TGpY//7mDH/UQlFCKDGiA==" saltValue="KUnni6YEm00anzSSvyLqQA==" spinCount="100000" sqref="HD1738:HI1738" name="Rango2_15_10"/>
    <protectedRange algorithmName="SHA-512" hashValue="XZw03RosI/l0z9FxmTtF29EdZ7P+4+ybhqoaAAUmURojSR5XbGfjC4f2i8gMqfY+RI9JvfdCA6PSh9TduXfUxA==" saltValue="5TPtLq2WoiRSae/yaDPnTw==" spinCount="100000" sqref="EA1811:EJ1812" name="Rango2_99_10_5"/>
    <protectedRange algorithmName="SHA-512" hashValue="XZw03RosI/l0z9FxmTtF29EdZ7P+4+ybhqoaAAUmURojSR5XbGfjC4f2i8gMqfY+RI9JvfdCA6PSh9TduXfUxA==" saltValue="5TPtLq2WoiRSae/yaDPnTw==" spinCount="100000" sqref="ER1811:ES1811" name="Rango2_99_11_3"/>
    <protectedRange algorithmName="SHA-512" hashValue="XZw03RosI/l0z9FxmTtF29EdZ7P+4+ybhqoaAAUmURojSR5XbGfjC4f2i8gMqfY+RI9JvfdCA6PSh9TduXfUxA==" saltValue="5TPtLq2WoiRSae/yaDPnTw==" spinCount="100000" sqref="EV1811:EW1811" name="Rango2_99_12_5"/>
    <protectedRange algorithmName="SHA-512" hashValue="9+DNppQbWrLYYUMoJ+lyQctV2bX3Vq9kZnegLbpjTLP49It2ovUbcartuoQTeXgP+TGpY//7mDH/UQlFCKDGiA==" saltValue="KUnni6YEm00anzSSvyLqQA==" spinCount="100000" sqref="FK1811:FL1811" name="Rango2_25_7"/>
    <protectedRange algorithmName="SHA-512" hashValue="XZw03RosI/l0z9FxmTtF29EdZ7P+4+ybhqoaAAUmURojSR5XbGfjC4f2i8gMqfY+RI9JvfdCA6PSh9TduXfUxA==" saltValue="5TPtLq2WoiRSae/yaDPnTw==" spinCount="100000" sqref="FQ1811:FR1811" name="Rango2_99_13_2"/>
    <protectedRange algorithmName="SHA-512" hashValue="9+DNppQbWrLYYUMoJ+lyQctV2bX3Vq9kZnegLbpjTLP49It2ovUbcartuoQTeXgP+TGpY//7mDH/UQlFCKDGiA==" saltValue="KUnni6YEm00anzSSvyLqQA==" spinCount="100000" sqref="JC1738" name="Rango2_21_3"/>
    <protectedRange algorithmName="SHA-512" hashValue="9+DNppQbWrLYYUMoJ+lyQctV2bX3Vq9kZnegLbpjTLP49It2ovUbcartuoQTeXgP+TGpY//7mDH/UQlFCKDGiA==" saltValue="KUnni6YEm00anzSSvyLqQA==" spinCount="100000" sqref="FN1880" name="Rango2_20_12"/>
    <protectedRange algorithmName="SHA-512" hashValue="9+DNppQbWrLYYUMoJ+lyQctV2bX3Vq9kZnegLbpjTLP49It2ovUbcartuoQTeXgP+TGpY//7mDH/UQlFCKDGiA==" saltValue="KUnni6YEm00anzSSvyLqQA==" spinCount="100000" sqref="FK1880" name="Rango2_19_12"/>
    <protectedRange algorithmName="SHA-512" hashValue="9+DNppQbWrLYYUMoJ+lyQctV2bX3Vq9kZnegLbpjTLP49It2ovUbcartuoQTeXgP+TGpY//7mDH/UQlFCKDGiA==" saltValue="KUnni6YEm00anzSSvyLqQA==" spinCount="100000" sqref="FH1880" name="Rango2_18_20"/>
    <protectedRange algorithmName="SHA-512" hashValue="9+DNppQbWrLYYUMoJ+lyQctV2bX3Vq9kZnegLbpjTLP49It2ovUbcartuoQTeXgP+TGpY//7mDH/UQlFCKDGiA==" saltValue="KUnni6YEm00anzSSvyLqQA==" spinCount="100000" sqref="FE1880" name="Rango2_17_11"/>
    <protectedRange algorithmName="SHA-512" hashValue="9+DNppQbWrLYYUMoJ+lyQctV2bX3Vq9kZnegLbpjTLP49It2ovUbcartuoQTeXgP+TGpY//7mDH/UQlFCKDGiA==" saltValue="KUnni6YEm00anzSSvyLqQA==" spinCount="100000" sqref="HD1880:HI1880" name="Rango2_15_11"/>
    <protectedRange algorithmName="SHA-512" hashValue="9+DNppQbWrLYYUMoJ+lyQctV2bX3Vq9kZnegLbpjTLP49It2ovUbcartuoQTeXgP+TGpY//7mDH/UQlFCKDGiA==" saltValue="KUnni6YEm00anzSSvyLqQA==" spinCount="100000" sqref="JC1880" name="Rango2_21_4"/>
    <protectedRange algorithmName="SHA-512" hashValue="9+DNppQbWrLYYUMoJ+lyQctV2bX3Vq9kZnegLbpjTLP49It2ovUbcartuoQTeXgP+TGpY//7mDH/UQlFCKDGiA==" saltValue="KUnni6YEm00anzSSvyLqQA==" spinCount="100000" sqref="JO1881" name="Rango2_16_48"/>
    <protectedRange algorithmName="SHA-512" hashValue="D8TacORwT7iz0mF9GEucchnMHfB5er2FFjQsxyeWWyeJkM6Bt3gYQ3LbcHPxZXFpVAYtFOuTrzYOCJrlZDx16g==" saltValue="QtCzIBktdS4NZkOEGcLTRQ==" spinCount="100000" sqref="IS1882" name="Rango2_41_1_3"/>
    <protectedRange algorithmName="SHA-512" hashValue="9+DNppQbWrLYYUMoJ+lyQctV2bX3Vq9kZnegLbpjTLP49It2ovUbcartuoQTeXgP+TGpY//7mDH/UQlFCKDGiA==" saltValue="KUnni6YEm00anzSSvyLqQA==" spinCount="100000" sqref="KQ1882" name="Rango2_34_3"/>
    <protectedRange algorithmName="SHA-512" hashValue="9+DNppQbWrLYYUMoJ+lyQctV2bX3Vq9kZnegLbpjTLP49It2ovUbcartuoQTeXgP+TGpY//7mDH/UQlFCKDGiA==" saltValue="KUnni6YEm00anzSSvyLqQA==" spinCount="100000" sqref="JM1881" name="Rango2_36_4"/>
    <protectedRange algorithmName="SHA-512" hashValue="9+DNppQbWrLYYUMoJ+lyQctV2bX3Vq9kZnegLbpjTLP49It2ovUbcartuoQTeXgP+TGpY//7mDH/UQlFCKDGiA==" saltValue="KUnni6YEm00anzSSvyLqQA==" spinCount="100000" sqref="JM1882" name="Rango2_37_6"/>
    <protectedRange algorithmName="SHA-512" hashValue="9+DNppQbWrLYYUMoJ+lyQctV2bX3Vq9kZnegLbpjTLP49It2ovUbcartuoQTeXgP+TGpY//7mDH/UQlFCKDGiA==" saltValue="KUnni6YEm00anzSSvyLqQA==" spinCount="100000" sqref="JO1882" name="Rango2_38_2"/>
    <protectedRange algorithmName="SHA-512" hashValue="9+DNppQbWrLYYUMoJ+lyQctV2bX3Vq9kZnegLbpjTLP49It2ovUbcartuoQTeXgP+TGpY//7mDH/UQlFCKDGiA==" saltValue="KUnni6YEm00anzSSvyLqQA==" spinCount="100000" sqref="KW1881" name="Rango2_39_7"/>
    <protectedRange algorithmName="SHA-512" hashValue="9+DNppQbWrLYYUMoJ+lyQctV2bX3Vq9kZnegLbpjTLP49It2ovUbcartuoQTeXgP+TGpY//7mDH/UQlFCKDGiA==" saltValue="KUnni6YEm00anzSSvyLqQA==" spinCount="100000" sqref="KW1882" name="Rango2_40_5"/>
    <protectedRange algorithmName="SHA-512" hashValue="9+DNppQbWrLYYUMoJ+lyQctV2bX3Vq9kZnegLbpjTLP49It2ovUbcartuoQTeXgP+TGpY//7mDH/UQlFCKDGiA==" saltValue="KUnni6YEm00anzSSvyLqQA==" spinCount="100000" sqref="LC1881:MP1881" name="Rango2_24_6"/>
    <protectedRange algorithmName="SHA-512" hashValue="9+DNppQbWrLYYUMoJ+lyQctV2bX3Vq9kZnegLbpjTLP49It2ovUbcartuoQTeXgP+TGpY//7mDH/UQlFCKDGiA==" saltValue="KUnni6YEm00anzSSvyLqQA==" spinCount="100000" sqref="LC1882:MP1882" name="Rango2_35_4"/>
    <protectedRange algorithmName="SHA-512" hashValue="EMMPgE8t/az1rHHzaZAQIhz+GQV0k2O/tQGA96sJqEEMzz1efIRa4CcLzC7iY9CCscto3g7dwz41haOE28iXYg==" saltValue="CVzFsG4X4LXUMo7796PiDQ==" spinCount="100000" sqref="B1904" name="Rango2_10_1_10"/>
    <protectedRange algorithmName="SHA-512" hashValue="6a5oYwZw9WJcgjqXpleUXH8uaqNEuymPPpeOb7lKBc1WoM6IG/DNyDLWmj2lYwxnZO2yhl+B61kwrxD9m9AdhQ==" saltValue="tdNQPzLQd+n9Ww064QJIaQ==" spinCount="100000" sqref="I1997" name="Rango2_61_1_5"/>
    <protectedRange algorithmName="SHA-512" hashValue="EMMPgE8t/az1rHHzaZAQIhz+GQV0k2O/tQGA96sJqEEMzz1efIRa4CcLzC7iY9CCscto3g7dwz41haOE28iXYg==" saltValue="CVzFsG4X4LXUMo7796PiDQ==" spinCount="100000" sqref="L1997:M1997 J1997 B1997:H1997 C1998:C2122" name="Rango2_10_1_1"/>
    <protectedRange algorithmName="SHA-512" hashValue="6a5oYwZw9WJcgjqXpleUXH8uaqNEuymPPpeOb7lKBc1WoM6IG/DNyDLWmj2lYwxnZO2yhl+B61kwrxD9m9AdhQ==" saltValue="tdNQPzLQd+n9Ww064QJIaQ==" spinCount="100000" sqref="I1998" name="Rango2_61_1_6"/>
    <protectedRange algorithmName="SHA-512" hashValue="EMMPgE8t/az1rHHzaZAQIhz+GQV0k2O/tQGA96sJqEEMzz1efIRa4CcLzC7iY9CCscto3g7dwz41haOE28iXYg==" saltValue="CVzFsG4X4LXUMo7796PiDQ==" spinCount="100000" sqref="L1998:M1998 J1998 B1998 D1998:H1998" name="Rango2_10_1_2"/>
    <protectedRange algorithmName="SHA-512" hashValue="6a5oYwZw9WJcgjqXpleUXH8uaqNEuymPPpeOb7lKBc1WoM6IG/DNyDLWmj2lYwxnZO2yhl+B61kwrxD9m9AdhQ==" saltValue="tdNQPzLQd+n9Ww064QJIaQ==" spinCount="100000" sqref="I1999" name="Rango2_61_1_7"/>
    <protectedRange algorithmName="SHA-512" hashValue="EMMPgE8t/az1rHHzaZAQIhz+GQV0k2O/tQGA96sJqEEMzz1efIRa4CcLzC7iY9CCscto3g7dwz41haOE28iXYg==" saltValue="CVzFsG4X4LXUMo7796PiDQ==" spinCount="100000" sqref="L1999:M1999 J1999 B1999 D1999:H1999" name="Rango2_10_1_3"/>
    <protectedRange algorithmName="SHA-512" hashValue="6a5oYwZw9WJcgjqXpleUXH8uaqNEuymPPpeOb7lKBc1WoM6IG/DNyDLWmj2lYwxnZO2yhl+B61kwrxD9m9AdhQ==" saltValue="tdNQPzLQd+n9Ww064QJIaQ==" spinCount="100000" sqref="I2000" name="Rango2_61_1_8"/>
    <protectedRange algorithmName="SHA-512" hashValue="EMMPgE8t/az1rHHzaZAQIhz+GQV0k2O/tQGA96sJqEEMzz1efIRa4CcLzC7iY9CCscto3g7dwz41haOE28iXYg==" saltValue="CVzFsG4X4LXUMo7796PiDQ==" spinCount="100000" sqref="L2000:M2000 J2000 B2000 D2000:H2000" name="Rango2_10_1_11"/>
    <protectedRange algorithmName="SHA-512" hashValue="6a5oYwZw9WJcgjqXpleUXH8uaqNEuymPPpeOb7lKBc1WoM6IG/DNyDLWmj2lYwxnZO2yhl+B61kwrxD9m9AdhQ==" saltValue="tdNQPzLQd+n9Ww064QJIaQ==" spinCount="100000" sqref="I2001" name="Rango2_61_1_9"/>
    <protectedRange algorithmName="SHA-512" hashValue="EMMPgE8t/az1rHHzaZAQIhz+GQV0k2O/tQGA96sJqEEMzz1efIRa4CcLzC7iY9CCscto3g7dwz41haOE28iXYg==" saltValue="CVzFsG4X4LXUMo7796PiDQ==" spinCount="100000" sqref="L2001:M2001 J2001 B2001 D2001:H2001" name="Rango2_10_1_12"/>
    <protectedRange algorithmName="SHA-512" hashValue="6a5oYwZw9WJcgjqXpleUXH8uaqNEuymPPpeOb7lKBc1WoM6IG/DNyDLWmj2lYwxnZO2yhl+B61kwrxD9m9AdhQ==" saltValue="tdNQPzLQd+n9Ww064QJIaQ==" spinCount="100000" sqref="I2002" name="Rango2_61_1_10"/>
    <protectedRange algorithmName="SHA-512" hashValue="EMMPgE8t/az1rHHzaZAQIhz+GQV0k2O/tQGA96sJqEEMzz1efIRa4CcLzC7iY9CCscto3g7dwz41haOE28iXYg==" saltValue="CVzFsG4X4LXUMo7796PiDQ==" spinCount="100000" sqref="L2002:M2002 J2002 B2002 D2002:H2002" name="Rango2_10_1_13"/>
    <protectedRange algorithmName="SHA-512" hashValue="6a5oYwZw9WJcgjqXpleUXH8uaqNEuymPPpeOb7lKBc1WoM6IG/DNyDLWmj2lYwxnZO2yhl+B61kwrxD9m9AdhQ==" saltValue="tdNQPzLQd+n9Ww064QJIaQ==" spinCount="100000" sqref="I2003" name="Rango2_61_1_11"/>
    <protectedRange algorithmName="SHA-512" hashValue="EMMPgE8t/az1rHHzaZAQIhz+GQV0k2O/tQGA96sJqEEMzz1efIRa4CcLzC7iY9CCscto3g7dwz41haOE28iXYg==" saltValue="CVzFsG4X4LXUMo7796PiDQ==" spinCount="100000" sqref="L2003:M2003 J2003 B2003 D2003:H2003" name="Rango2_10_1_14"/>
    <protectedRange algorithmName="SHA-512" hashValue="6a5oYwZw9WJcgjqXpleUXH8uaqNEuymPPpeOb7lKBc1WoM6IG/DNyDLWmj2lYwxnZO2yhl+B61kwrxD9m9AdhQ==" saltValue="tdNQPzLQd+n9Ww064QJIaQ==" spinCount="100000" sqref="I2004" name="Rango2_61_1_12"/>
    <protectedRange algorithmName="SHA-512" hashValue="EMMPgE8t/az1rHHzaZAQIhz+GQV0k2O/tQGA96sJqEEMzz1efIRa4CcLzC7iY9CCscto3g7dwz41haOE28iXYg==" saltValue="CVzFsG4X4LXUMo7796PiDQ==" spinCount="100000" sqref="L2004:M2004 J2004 B2004 D2004:H2004" name="Rango2_10_1_15"/>
    <protectedRange algorithmName="SHA-512" hashValue="6a5oYwZw9WJcgjqXpleUXH8uaqNEuymPPpeOb7lKBc1WoM6IG/DNyDLWmj2lYwxnZO2yhl+B61kwrxD9m9AdhQ==" saltValue="tdNQPzLQd+n9Ww064QJIaQ==" spinCount="100000" sqref="I2005" name="Rango2_61_1_13"/>
    <protectedRange algorithmName="SHA-512" hashValue="EMMPgE8t/az1rHHzaZAQIhz+GQV0k2O/tQGA96sJqEEMzz1efIRa4CcLzC7iY9CCscto3g7dwz41haOE28iXYg==" saltValue="CVzFsG4X4LXUMo7796PiDQ==" spinCount="100000" sqref="L2005:M2005 B2005 D2005:H2005" name="Rango2_10_1_16"/>
    <protectedRange algorithmName="SHA-512" hashValue="6a5oYwZw9WJcgjqXpleUXH8uaqNEuymPPpeOb7lKBc1WoM6IG/DNyDLWmj2lYwxnZO2yhl+B61kwrxD9m9AdhQ==" saltValue="tdNQPzLQd+n9Ww064QJIaQ==" spinCount="100000" sqref="I2006" name="Rango2_61_1_14"/>
    <protectedRange algorithmName="SHA-512" hashValue="EMMPgE8t/az1rHHzaZAQIhz+GQV0k2O/tQGA96sJqEEMzz1efIRa4CcLzC7iY9CCscto3g7dwz41haOE28iXYg==" saltValue="CVzFsG4X4LXUMo7796PiDQ==" spinCount="100000" sqref="L2006:M2006 J2006 B2006 D2006:H2006" name="Rango2_10_1_17"/>
    <protectedRange algorithmName="SHA-512" hashValue="6a5oYwZw9WJcgjqXpleUXH8uaqNEuymPPpeOb7lKBc1WoM6IG/DNyDLWmj2lYwxnZO2yhl+B61kwrxD9m9AdhQ==" saltValue="tdNQPzLQd+n9Ww064QJIaQ==" spinCount="100000" sqref="I2007" name="Rango2_61_1_15"/>
    <protectedRange algorithmName="SHA-512" hashValue="EMMPgE8t/az1rHHzaZAQIhz+GQV0k2O/tQGA96sJqEEMzz1efIRa4CcLzC7iY9CCscto3g7dwz41haOE28iXYg==" saltValue="CVzFsG4X4LXUMo7796PiDQ==" spinCount="100000" sqref="L2007:M2007 J2007 B2007 D2007:H2007" name="Rango2_10_1_18"/>
    <protectedRange algorithmName="SHA-512" hashValue="6a5oYwZw9WJcgjqXpleUXH8uaqNEuymPPpeOb7lKBc1WoM6IG/DNyDLWmj2lYwxnZO2yhl+B61kwrxD9m9AdhQ==" saltValue="tdNQPzLQd+n9Ww064QJIaQ==" spinCount="100000" sqref="I2008:I2010" name="Rango2_61_1_16"/>
    <protectedRange algorithmName="SHA-512" hashValue="EMMPgE8t/az1rHHzaZAQIhz+GQV0k2O/tQGA96sJqEEMzz1efIRa4CcLzC7iY9CCscto3g7dwz41haOE28iXYg==" saltValue="CVzFsG4X4LXUMo7796PiDQ==" spinCount="100000" sqref="L2008:M2010 J2008:J2010 B2008:B2010 D2008:H2010" name="Rango2_10_1_19"/>
    <protectedRange algorithmName="SHA-512" hashValue="6a5oYwZw9WJcgjqXpleUXH8uaqNEuymPPpeOb7lKBc1WoM6IG/DNyDLWmj2lYwxnZO2yhl+B61kwrxD9m9AdhQ==" saltValue="tdNQPzLQd+n9Ww064QJIaQ==" spinCount="100000" sqref="I2011" name="Rango2_61_1_17"/>
    <protectedRange algorithmName="SHA-512" hashValue="EMMPgE8t/az1rHHzaZAQIhz+GQV0k2O/tQGA96sJqEEMzz1efIRa4CcLzC7iY9CCscto3g7dwz41haOE28iXYg==" saltValue="CVzFsG4X4LXUMo7796PiDQ==" spinCount="100000" sqref="L2011:M2011 J2011 B2011 D2011:H2011" name="Rango2_10_1_20"/>
    <protectedRange algorithmName="SHA-512" hashValue="6a5oYwZw9WJcgjqXpleUXH8uaqNEuymPPpeOb7lKBc1WoM6IG/DNyDLWmj2lYwxnZO2yhl+B61kwrxD9m9AdhQ==" saltValue="tdNQPzLQd+n9Ww064QJIaQ==" spinCount="100000" sqref="I2012:I2013" name="Rango2_61_1_18"/>
    <protectedRange algorithmName="SHA-512" hashValue="EMMPgE8t/az1rHHzaZAQIhz+GQV0k2O/tQGA96sJqEEMzz1efIRa4CcLzC7iY9CCscto3g7dwz41haOE28iXYg==" saltValue="CVzFsG4X4LXUMo7796PiDQ==" spinCount="100000" sqref="L2012:M2013 B2012:B2013 D2012:H2013" name="Rango2_10_1_21"/>
    <protectedRange algorithmName="SHA-512" hashValue="6a5oYwZw9WJcgjqXpleUXH8uaqNEuymPPpeOb7lKBc1WoM6IG/DNyDLWmj2lYwxnZO2yhl+B61kwrxD9m9AdhQ==" saltValue="tdNQPzLQd+n9Ww064QJIaQ==" spinCount="100000" sqref="I2014" name="Rango2_61_1_19"/>
    <protectedRange algorithmName="SHA-512" hashValue="EMMPgE8t/az1rHHzaZAQIhz+GQV0k2O/tQGA96sJqEEMzz1efIRa4CcLzC7iY9CCscto3g7dwz41haOE28iXYg==" saltValue="CVzFsG4X4LXUMo7796PiDQ==" spinCount="100000" sqref="L2014:M2014 J2014 B2014 D2014:H2014" name="Rango2_10_1_22"/>
    <protectedRange algorithmName="SHA-512" hashValue="6a5oYwZw9WJcgjqXpleUXH8uaqNEuymPPpeOb7lKBc1WoM6IG/DNyDLWmj2lYwxnZO2yhl+B61kwrxD9m9AdhQ==" saltValue="tdNQPzLQd+n9Ww064QJIaQ==" spinCount="100000" sqref="I2015" name="Rango2_61_1_20"/>
    <protectedRange algorithmName="SHA-512" hashValue="EMMPgE8t/az1rHHzaZAQIhz+GQV0k2O/tQGA96sJqEEMzz1efIRa4CcLzC7iY9CCscto3g7dwz41haOE28iXYg==" saltValue="CVzFsG4X4LXUMo7796PiDQ==" spinCount="100000" sqref="L2015:M2015 J2015 B2015 D2015:H2015" name="Rango2_10_1_23"/>
    <protectedRange algorithmName="SHA-512" hashValue="6a5oYwZw9WJcgjqXpleUXH8uaqNEuymPPpeOb7lKBc1WoM6IG/DNyDLWmj2lYwxnZO2yhl+B61kwrxD9m9AdhQ==" saltValue="tdNQPzLQd+n9Ww064QJIaQ==" spinCount="100000" sqref="I2016" name="Rango2_61_1_21"/>
    <protectedRange algorithmName="SHA-512" hashValue="EMMPgE8t/az1rHHzaZAQIhz+GQV0k2O/tQGA96sJqEEMzz1efIRa4CcLzC7iY9CCscto3g7dwz41haOE28iXYg==" saltValue="CVzFsG4X4LXUMo7796PiDQ==" spinCount="100000" sqref="L2016:M2016 J2016 B2016 D2016:H2016" name="Rango2_10_1_24"/>
    <protectedRange algorithmName="SHA-512" hashValue="6a5oYwZw9WJcgjqXpleUXH8uaqNEuymPPpeOb7lKBc1WoM6IG/DNyDLWmj2lYwxnZO2yhl+B61kwrxD9m9AdhQ==" saltValue="tdNQPzLQd+n9Ww064QJIaQ==" spinCount="100000" sqref="I2017" name="Rango2_61_1_22"/>
    <protectedRange algorithmName="SHA-512" hashValue="EMMPgE8t/az1rHHzaZAQIhz+GQV0k2O/tQGA96sJqEEMzz1efIRa4CcLzC7iY9CCscto3g7dwz41haOE28iXYg==" saltValue="CVzFsG4X4LXUMo7796PiDQ==" spinCount="100000" sqref="L2017:M2017 J2017 B2017 D2017:H2017" name="Rango2_10_1_25"/>
    <protectedRange algorithmName="SHA-512" hashValue="6a5oYwZw9WJcgjqXpleUXH8uaqNEuymPPpeOb7lKBc1WoM6IG/DNyDLWmj2lYwxnZO2yhl+B61kwrxD9m9AdhQ==" saltValue="tdNQPzLQd+n9Ww064QJIaQ==" spinCount="100000" sqref="I2018" name="Rango2_61_1_23"/>
    <protectedRange algorithmName="SHA-512" hashValue="EMMPgE8t/az1rHHzaZAQIhz+GQV0k2O/tQGA96sJqEEMzz1efIRa4CcLzC7iY9CCscto3g7dwz41haOE28iXYg==" saltValue="CVzFsG4X4LXUMo7796PiDQ==" spinCount="100000" sqref="L2018:M2018 J2018 B2018 D2018:H2018" name="Rango2_10_1_26"/>
    <protectedRange algorithmName="SHA-512" hashValue="6a5oYwZw9WJcgjqXpleUXH8uaqNEuymPPpeOb7lKBc1WoM6IG/DNyDLWmj2lYwxnZO2yhl+B61kwrxD9m9AdhQ==" saltValue="tdNQPzLQd+n9Ww064QJIaQ==" spinCount="100000" sqref="I2019" name="Rango2_61_1_24"/>
    <protectedRange algorithmName="SHA-512" hashValue="EMMPgE8t/az1rHHzaZAQIhz+GQV0k2O/tQGA96sJqEEMzz1efIRa4CcLzC7iY9CCscto3g7dwz41haOE28iXYg==" saltValue="CVzFsG4X4LXUMo7796PiDQ==" spinCount="100000" sqref="L2019:M2019 J2019 B2019 D2019:H2019" name="Rango2_10_1_27"/>
    <protectedRange algorithmName="SHA-512" hashValue="6a5oYwZw9WJcgjqXpleUXH8uaqNEuymPPpeOb7lKBc1WoM6IG/DNyDLWmj2lYwxnZO2yhl+B61kwrxD9m9AdhQ==" saltValue="tdNQPzLQd+n9Ww064QJIaQ==" spinCount="100000" sqref="I2020:I2021" name="Rango2_61_1_25"/>
    <protectedRange algorithmName="SHA-512" hashValue="EMMPgE8t/az1rHHzaZAQIhz+GQV0k2O/tQGA96sJqEEMzz1efIRa4CcLzC7iY9CCscto3g7dwz41haOE28iXYg==" saltValue="CVzFsG4X4LXUMo7796PiDQ==" spinCount="100000" sqref="L2020:M2021 J2020:J2021 B2020:B2021 D2020:H2021" name="Rango2_10_1_28"/>
    <protectedRange algorithmName="SHA-512" hashValue="6a5oYwZw9WJcgjqXpleUXH8uaqNEuymPPpeOb7lKBc1WoM6IG/DNyDLWmj2lYwxnZO2yhl+B61kwrxD9m9AdhQ==" saltValue="tdNQPzLQd+n9Ww064QJIaQ==" spinCount="100000" sqref="I2022:I2030" name="Rango2_61_1_26"/>
    <protectedRange algorithmName="SHA-512" hashValue="EMMPgE8t/az1rHHzaZAQIhz+GQV0k2O/tQGA96sJqEEMzz1efIRa4CcLzC7iY9CCscto3g7dwz41haOE28iXYg==" saltValue="CVzFsG4X4LXUMo7796PiDQ==" spinCount="100000" sqref="L2022:M2030 J2022:J2030 B2022:B2030 D2022:H2030" name="Rango2_10_1_29"/>
    <protectedRange algorithmName="SHA-512" hashValue="6a5oYwZw9WJcgjqXpleUXH8uaqNEuymPPpeOb7lKBc1WoM6IG/DNyDLWmj2lYwxnZO2yhl+B61kwrxD9m9AdhQ==" saltValue="tdNQPzLQd+n9Ww064QJIaQ==" spinCount="100000" sqref="I2031:I2032" name="Rango2_61_1_27"/>
    <protectedRange algorithmName="SHA-512" hashValue="EMMPgE8t/az1rHHzaZAQIhz+GQV0k2O/tQGA96sJqEEMzz1efIRa4CcLzC7iY9CCscto3g7dwz41haOE28iXYg==" saltValue="CVzFsG4X4LXUMo7796PiDQ==" spinCount="100000" sqref="L2031:M2032 J2031:J2032 B2031:B2032 D2031:H2032" name="Rango2_10_1_30"/>
    <protectedRange algorithmName="SHA-512" hashValue="6a5oYwZw9WJcgjqXpleUXH8uaqNEuymPPpeOb7lKBc1WoM6IG/DNyDLWmj2lYwxnZO2yhl+B61kwrxD9m9AdhQ==" saltValue="tdNQPzLQd+n9Ww064QJIaQ==" spinCount="100000" sqref="I2033" name="Rango2_61_1_28"/>
    <protectedRange algorithmName="SHA-512" hashValue="EMMPgE8t/az1rHHzaZAQIhz+GQV0k2O/tQGA96sJqEEMzz1efIRa4CcLzC7iY9CCscto3g7dwz41haOE28iXYg==" saltValue="CVzFsG4X4LXUMo7796PiDQ==" spinCount="100000" sqref="L2033:M2033 J2033 B2033 D2033:H2033" name="Rango2_10_1_31"/>
    <protectedRange algorithmName="SHA-512" hashValue="6a5oYwZw9WJcgjqXpleUXH8uaqNEuymPPpeOb7lKBc1WoM6IG/DNyDLWmj2lYwxnZO2yhl+B61kwrxD9m9AdhQ==" saltValue="tdNQPzLQd+n9Ww064QJIaQ==" spinCount="100000" sqref="I2034:I2035" name="Rango2_61_1_29"/>
    <protectedRange algorithmName="SHA-512" hashValue="EMMPgE8t/az1rHHzaZAQIhz+GQV0k2O/tQGA96sJqEEMzz1efIRa4CcLzC7iY9CCscto3g7dwz41haOE28iXYg==" saltValue="CVzFsG4X4LXUMo7796PiDQ==" spinCount="100000" sqref="L2034:M2035 J2034:J2035 B2034:B2035 D2034:H2035" name="Rango2_10_1_32"/>
    <protectedRange algorithmName="SHA-512" hashValue="6a5oYwZw9WJcgjqXpleUXH8uaqNEuymPPpeOb7lKBc1WoM6IG/DNyDLWmj2lYwxnZO2yhl+B61kwrxD9m9AdhQ==" saltValue="tdNQPzLQd+n9Ww064QJIaQ==" spinCount="100000" sqref="I2036:I2037" name="Rango2_61_1_30"/>
    <protectedRange algorithmName="SHA-512" hashValue="EMMPgE8t/az1rHHzaZAQIhz+GQV0k2O/tQGA96sJqEEMzz1efIRa4CcLzC7iY9CCscto3g7dwz41haOE28iXYg==" saltValue="CVzFsG4X4LXUMo7796PiDQ==" spinCount="100000" sqref="L2036:M2037 J2036:J2037 B2036:B2037 D2036:H2037" name="Rango2_10_1_33"/>
    <protectedRange algorithmName="SHA-512" hashValue="6a5oYwZw9WJcgjqXpleUXH8uaqNEuymPPpeOb7lKBc1WoM6IG/DNyDLWmj2lYwxnZO2yhl+B61kwrxD9m9AdhQ==" saltValue="tdNQPzLQd+n9Ww064QJIaQ==" spinCount="100000" sqref="I2038" name="Rango2_61_1_31"/>
    <protectedRange algorithmName="SHA-512" hashValue="EMMPgE8t/az1rHHzaZAQIhz+GQV0k2O/tQGA96sJqEEMzz1efIRa4CcLzC7iY9CCscto3g7dwz41haOE28iXYg==" saltValue="CVzFsG4X4LXUMo7796PiDQ==" spinCount="100000" sqref="L2038:M2038 J2038 B2038 D2038:H2038" name="Rango2_10_1_34"/>
    <protectedRange algorithmName="SHA-512" hashValue="6a5oYwZw9WJcgjqXpleUXH8uaqNEuymPPpeOb7lKBc1WoM6IG/DNyDLWmj2lYwxnZO2yhl+B61kwrxD9m9AdhQ==" saltValue="tdNQPzLQd+n9Ww064QJIaQ==" spinCount="100000" sqref="I2039" name="Rango2_61_1_32"/>
    <protectedRange algorithmName="SHA-512" hashValue="EMMPgE8t/az1rHHzaZAQIhz+GQV0k2O/tQGA96sJqEEMzz1efIRa4CcLzC7iY9CCscto3g7dwz41haOE28iXYg==" saltValue="CVzFsG4X4LXUMo7796PiDQ==" spinCount="100000" sqref="L2039:M2039 J2039 B2039 D2039:H2039" name="Rango2_10_1_35"/>
    <protectedRange algorithmName="SHA-512" hashValue="6a5oYwZw9WJcgjqXpleUXH8uaqNEuymPPpeOb7lKBc1WoM6IG/DNyDLWmj2lYwxnZO2yhl+B61kwrxD9m9AdhQ==" saltValue="tdNQPzLQd+n9Ww064QJIaQ==" spinCount="100000" sqref="I2040" name="Rango2_61_1_33"/>
    <protectedRange algorithmName="SHA-512" hashValue="EMMPgE8t/az1rHHzaZAQIhz+GQV0k2O/tQGA96sJqEEMzz1efIRa4CcLzC7iY9CCscto3g7dwz41haOE28iXYg==" saltValue="CVzFsG4X4LXUMo7796PiDQ==" spinCount="100000" sqref="L2040:M2040 J2040 B2040 D2040:H2040" name="Rango2_10_1_36"/>
    <protectedRange algorithmName="SHA-512" hashValue="6a5oYwZw9WJcgjqXpleUXH8uaqNEuymPPpeOb7lKBc1WoM6IG/DNyDLWmj2lYwxnZO2yhl+B61kwrxD9m9AdhQ==" saltValue="tdNQPzLQd+n9Ww064QJIaQ==" spinCount="100000" sqref="I2041" name="Rango2_61_1_34"/>
    <protectedRange algorithmName="SHA-512" hashValue="EMMPgE8t/az1rHHzaZAQIhz+GQV0k2O/tQGA96sJqEEMzz1efIRa4CcLzC7iY9CCscto3g7dwz41haOE28iXYg==" saltValue="CVzFsG4X4LXUMo7796PiDQ==" spinCount="100000" sqref="L2041:M2041 J2041 B2041 D2041:H2041" name="Rango2_10_1_37"/>
    <protectedRange algorithmName="SHA-512" hashValue="6a5oYwZw9WJcgjqXpleUXH8uaqNEuymPPpeOb7lKBc1WoM6IG/DNyDLWmj2lYwxnZO2yhl+B61kwrxD9m9AdhQ==" saltValue="tdNQPzLQd+n9Ww064QJIaQ==" spinCount="100000" sqref="I2042:I2043" name="Rango2_61_1_35"/>
    <protectedRange algorithmName="SHA-512" hashValue="EMMPgE8t/az1rHHzaZAQIhz+GQV0k2O/tQGA96sJqEEMzz1efIRa4CcLzC7iY9CCscto3g7dwz41haOE28iXYg==" saltValue="CVzFsG4X4LXUMo7796PiDQ==" spinCount="100000" sqref="L2042:M2043 J2042:J2043 B2042:B2043 D2042:H2043" name="Rango2_10_1_38"/>
    <protectedRange algorithmName="SHA-512" hashValue="6a5oYwZw9WJcgjqXpleUXH8uaqNEuymPPpeOb7lKBc1WoM6IG/DNyDLWmj2lYwxnZO2yhl+B61kwrxD9m9AdhQ==" saltValue="tdNQPzLQd+n9Ww064QJIaQ==" spinCount="100000" sqref="I2044:I2045" name="Rango2_61_1_36"/>
    <protectedRange algorithmName="SHA-512" hashValue="EMMPgE8t/az1rHHzaZAQIhz+GQV0k2O/tQGA96sJqEEMzz1efIRa4CcLzC7iY9CCscto3g7dwz41haOE28iXYg==" saltValue="CVzFsG4X4LXUMo7796PiDQ==" spinCount="100000" sqref="L2044:M2045 J2044:J2045 B2044:B2045 D2044:H2045" name="Rango2_10_1_39"/>
    <protectedRange algorithmName="SHA-512" hashValue="6a5oYwZw9WJcgjqXpleUXH8uaqNEuymPPpeOb7lKBc1WoM6IG/DNyDLWmj2lYwxnZO2yhl+B61kwrxD9m9AdhQ==" saltValue="tdNQPzLQd+n9Ww064QJIaQ==" spinCount="100000" sqref="I2046:I2047" name="Rango2_61_1_37"/>
    <protectedRange algorithmName="SHA-512" hashValue="EMMPgE8t/az1rHHzaZAQIhz+GQV0k2O/tQGA96sJqEEMzz1efIRa4CcLzC7iY9CCscto3g7dwz41haOE28iXYg==" saltValue="CVzFsG4X4LXUMo7796PiDQ==" spinCount="100000" sqref="L2046:M2047 J2046:J2047 B2046:B2047 D2046:H2047" name="Rango2_10_1_40"/>
    <protectedRange algorithmName="SHA-512" hashValue="6a5oYwZw9WJcgjqXpleUXH8uaqNEuymPPpeOb7lKBc1WoM6IG/DNyDLWmj2lYwxnZO2yhl+B61kwrxD9m9AdhQ==" saltValue="tdNQPzLQd+n9Ww064QJIaQ==" spinCount="100000" sqref="I2048" name="Rango2_61_1_38"/>
    <protectedRange algorithmName="SHA-512" hashValue="EMMPgE8t/az1rHHzaZAQIhz+GQV0k2O/tQGA96sJqEEMzz1efIRa4CcLzC7iY9CCscto3g7dwz41haOE28iXYg==" saltValue="CVzFsG4X4LXUMo7796PiDQ==" spinCount="100000" sqref="L2048:M2048 J2048 B2048 D2048:H2048" name="Rango2_10_1_41"/>
    <protectedRange algorithmName="SHA-512" hashValue="6a5oYwZw9WJcgjqXpleUXH8uaqNEuymPPpeOb7lKBc1WoM6IG/DNyDLWmj2lYwxnZO2yhl+B61kwrxD9m9AdhQ==" saltValue="tdNQPzLQd+n9Ww064QJIaQ==" spinCount="100000" sqref="I2049:I2054" name="Rango2_61_1_39"/>
    <protectedRange algorithmName="SHA-512" hashValue="EMMPgE8t/az1rHHzaZAQIhz+GQV0k2O/tQGA96sJqEEMzz1efIRa4CcLzC7iY9CCscto3g7dwz41haOE28iXYg==" saltValue="CVzFsG4X4LXUMo7796PiDQ==" spinCount="100000" sqref="L2049:M2054 J2049:J2054 B2049:B2054 D2049:H2054" name="Rango2_10_1_42"/>
    <protectedRange algorithmName="SHA-512" hashValue="6a5oYwZw9WJcgjqXpleUXH8uaqNEuymPPpeOb7lKBc1WoM6IG/DNyDLWmj2lYwxnZO2yhl+B61kwrxD9m9AdhQ==" saltValue="tdNQPzLQd+n9Ww064QJIaQ==" spinCount="100000" sqref="I2055:I2096" name="Rango2_61_1_40"/>
    <protectedRange algorithmName="SHA-512" hashValue="EMMPgE8t/az1rHHzaZAQIhz+GQV0k2O/tQGA96sJqEEMzz1efIRa4CcLzC7iY9CCscto3g7dwz41haOE28iXYg==" saltValue="CVzFsG4X4LXUMo7796PiDQ==" spinCount="100000" sqref="L2055:M2096 J2055:J2096 B2055:B2096 D2055:H2096" name="Rango2_10_1_43"/>
    <protectedRange algorithmName="SHA-512" hashValue="6a5oYwZw9WJcgjqXpleUXH8uaqNEuymPPpeOb7lKBc1WoM6IG/DNyDLWmj2lYwxnZO2yhl+B61kwrxD9m9AdhQ==" saltValue="tdNQPzLQd+n9Ww064QJIaQ==" spinCount="100000" sqref="I2097:I2107" name="Rango2_61_1_41"/>
    <protectedRange algorithmName="SHA-512" hashValue="EMMPgE8t/az1rHHzaZAQIhz+GQV0k2O/tQGA96sJqEEMzz1efIRa4CcLzC7iY9CCscto3g7dwz41haOE28iXYg==" saltValue="CVzFsG4X4LXUMo7796PiDQ==" spinCount="100000" sqref="L2097:M2107 J2097:J2107 B2097:B2107 D2097:H2107" name="Rango2_10_1_44"/>
    <protectedRange algorithmName="SHA-512" hashValue="XZw03RosI/l0z9FxmTtF29EdZ7P+4+ybhqoaAAUmURojSR5XbGfjC4f2i8gMqfY+RI9JvfdCA6PSh9TduXfUxA==" saltValue="5TPtLq2WoiRSae/yaDPnTw==" spinCount="100000" sqref="O1997" name="Rango2_99_2_8"/>
    <protectedRange algorithmName="SHA-512" hashValue="fPHvtIAf3pQeZUoAI9C2/vdXMHBpqqEq+67P5Ypyu4+9IWqs3yc9TZcMWQ0THLxUwqseQPyVvakuYFtCwJHsxA==" saltValue="QHIogSs2PrwAfdqa9PAOFQ==" spinCount="100000" sqref="AC1997" name="Rango2_88_5_5_1_5"/>
    <protectedRange algorithmName="SHA-512" hashValue="LEEeiU6pKqm7TAP46VGlz0q+evvFwpT/0iLpRuWuQ7MacbP0OGL1/FSmrIEOg2rb6M+Jla2bPbVWiGag27j87w==" saltValue="HEVt+pS5OloNDlqSnzGLLw==" spinCount="100000" sqref="AI1997" name="Rango2_8_7_1_7"/>
    <protectedRange algorithmName="SHA-512" hashValue="q2z5hEFmXS0v2chiPTC/VCoDWNlnhp+Xe6Ybfxe48vIsnB/KTJQxJv+pFUnCXfZ9T6vyJopuqFFNROfQTW/JUw==" saltValue="IctfdGJb5tOTpq+KPi9vww==" spinCount="100000" sqref="AE1997:AF1997" name="Rango2_88_39_1_6"/>
    <protectedRange algorithmName="SHA-512" hashValue="NUll9P9xh7KbSfMYpMxsRZLfDw/y/AzW2LSWlpXVscBDqiAxmzo71xjs+a2lh+jRa7pceOC849slke4+ZKx8LA==" saltValue="8qbkKpQ+CiQuLnqgShNvXA==" spinCount="100000" sqref="T1997" name="Rango2_88_6_1_5"/>
    <protectedRange algorithmName="SHA-512" hashValue="XZw03RosI/l0z9FxmTtF29EdZ7P+4+ybhqoaAAUmURojSR5XbGfjC4f2i8gMqfY+RI9JvfdCA6PSh9TduXfUxA==" saltValue="5TPtLq2WoiRSae/yaDPnTw==" spinCount="100000" sqref="R1997:S1997 U1997:AA1997" name="Rango2_99_4_9"/>
    <protectedRange algorithmName="SHA-512" hashValue="fMbmUM1DQ7FuAPRNvFL5mPdHUYjQnlLFhkuaxvHguaqR7aWyDxcmJs0jLYQfQKY+oyhsMb4Lew4VL6i7um3/ew==" saltValue="ydaTm0CeH8+/cYqoL/AMaQ==" spinCount="100000" sqref="AU1997 AW1997:AZ1997" name="Rango2_88_91_1_7"/>
    <protectedRange algorithmName="SHA-512" hashValue="CHipOQaT63FWw628cQcXXJRZlrbNZ7OgmnEbDx38UmmH7z19GRYEzXFiVOzHAy1OAaAbST7g2bHZHDKQp2qm3w==" saltValue="iRVuL+373yLHv0ZHzS9qog==" spinCount="100000" sqref="AL1997" name="Rango2_88_7_5_2_3"/>
    <protectedRange algorithmName="SHA-512" hashValue="NkG6oHuDGvGBEiLAAq8MEJHEfLQUMyjihfH+DBXhT+eQW0r1yri7tOJEFRM9nbOejjjXiviq9RFo7KB7wF+xJA==" saltValue="bpjB0AAANu2X/PeR3eiFkA==" spinCount="100000" sqref="AM1997:AS1997" name="Rango2_88_65_1_5"/>
    <protectedRange algorithmName="SHA-512" hashValue="RQ91b7oAw60DVtcgB2vRpial2kSdzJx5guGCTYUwXYkKrtrUHfiYnLf9R+SNpYXlJDYpyEJLhcWwP0EqNN86dQ==" saltValue="W3RbH3zrcY9sy39xNwXNxg==" spinCount="100000" sqref="BV1997:BY1997" name="Rango2_88_99_2_5"/>
    <protectedRange algorithmName="SHA-512" hashValue="XZw03RosI/l0z9FxmTtF29EdZ7P+4+ybhqoaAAUmURojSR5XbGfjC4f2i8gMqfY+RI9JvfdCA6PSh9TduXfUxA==" saltValue="5TPtLq2WoiRSae/yaDPnTw==" spinCount="100000" sqref="BR1997:BU1997 BZ1997:CB1997" name="Rango2_99_10_6"/>
    <protectedRange algorithmName="SHA-512" hashValue="XZw03RosI/l0z9FxmTtF29EdZ7P+4+ybhqoaAAUmURojSR5XbGfjC4f2i8gMqfY+RI9JvfdCA6PSh9TduXfUxA==" saltValue="5TPtLq2WoiRSae/yaDPnTw==" spinCount="100000" sqref="CE1997:CF1997" name="Rango2_99_11_4"/>
    <protectedRange algorithmName="SHA-512" hashValue="XZw03RosI/l0z9FxmTtF29EdZ7P+4+ybhqoaAAUmURojSR5XbGfjC4f2i8gMqfY+RI9JvfdCA6PSh9TduXfUxA==" saltValue="5TPtLq2WoiRSae/yaDPnTw==" spinCount="100000" sqref="CJ1997:CK1997" name="Rango2_99_12_6"/>
    <protectedRange algorithmName="SHA-512" hashValue="XZw03RosI/l0z9FxmTtF29EdZ7P+4+ybhqoaAAUmURojSR5XbGfjC4f2i8gMqfY+RI9JvfdCA6PSh9TduXfUxA==" saltValue="5TPtLq2WoiRSae/yaDPnTw==" spinCount="100000" sqref="CP1997:CQ1997" name="Rango2_99_14_7"/>
    <protectedRange algorithmName="SHA-512" hashValue="XZw03RosI/l0z9FxmTtF29EdZ7P+4+ybhqoaAAUmURojSR5XbGfjC4f2i8gMqfY+RI9JvfdCA6PSh9TduXfUxA==" saltValue="5TPtLq2WoiRSae/yaDPnTw==" spinCount="100000" sqref="CS1997:CT1997" name="Rango2_99_15_8"/>
    <protectedRange algorithmName="SHA-512" hashValue="XZw03RosI/l0z9FxmTtF29EdZ7P+4+ybhqoaAAUmURojSR5XbGfjC4f2i8gMqfY+RI9JvfdCA6PSh9TduXfUxA==" saltValue="5TPtLq2WoiRSae/yaDPnTw==" spinCount="100000" sqref="DA1997:DN1997" name="Rango2_99_17_10"/>
    <protectedRange algorithmName="SHA-512" hashValue="XZw03RosI/l0z9FxmTtF29EdZ7P+4+ybhqoaAAUmURojSR5XbGfjC4f2i8gMqfY+RI9JvfdCA6PSh9TduXfUxA==" saltValue="5TPtLq2WoiRSae/yaDPnTw==" spinCount="100000" sqref="O1998" name="Rango2_99_2_9"/>
    <protectedRange algorithmName="SHA-512" hashValue="fPHvtIAf3pQeZUoAI9C2/vdXMHBpqqEq+67P5Ypyu4+9IWqs3yc9TZcMWQ0THLxUwqseQPyVvakuYFtCwJHsxA==" saltValue="QHIogSs2PrwAfdqa9PAOFQ==" spinCount="100000" sqref="AC1998" name="Rango2_88_5_5_1_6"/>
    <protectedRange algorithmName="SHA-512" hashValue="LEEeiU6pKqm7TAP46VGlz0q+evvFwpT/0iLpRuWuQ7MacbP0OGL1/FSmrIEOg2rb6M+Jla2bPbVWiGag27j87w==" saltValue="HEVt+pS5OloNDlqSnzGLLw==" spinCount="100000" sqref="AI1998" name="Rango2_8_7_1_8"/>
    <protectedRange algorithmName="SHA-512" hashValue="q2z5hEFmXS0v2chiPTC/VCoDWNlnhp+Xe6Ybfxe48vIsnB/KTJQxJv+pFUnCXfZ9T6vyJopuqFFNROfQTW/JUw==" saltValue="IctfdGJb5tOTpq+KPi9vww==" spinCount="100000" sqref="AE1998:AF1998" name="Rango2_88_39_1_7"/>
    <protectedRange algorithmName="SHA-512" hashValue="NUll9P9xh7KbSfMYpMxsRZLfDw/y/AzW2LSWlpXVscBDqiAxmzo71xjs+a2lh+jRa7pceOC849slke4+ZKx8LA==" saltValue="8qbkKpQ+CiQuLnqgShNvXA==" spinCount="100000" sqref="T1998" name="Rango2_88_6_1_6"/>
    <protectedRange algorithmName="SHA-512" hashValue="XZw03RosI/l0z9FxmTtF29EdZ7P+4+ybhqoaAAUmURojSR5XbGfjC4f2i8gMqfY+RI9JvfdCA6PSh9TduXfUxA==" saltValue="5TPtLq2WoiRSae/yaDPnTw==" spinCount="100000" sqref="R1998:S1998 U1998:AA1998" name="Rango2_99_4_10"/>
    <protectedRange algorithmName="SHA-512" hashValue="fMbmUM1DQ7FuAPRNvFL5mPdHUYjQnlLFhkuaxvHguaqR7aWyDxcmJs0jLYQfQKY+oyhsMb4Lew4VL6i7um3/ew==" saltValue="ydaTm0CeH8+/cYqoL/AMaQ==" spinCount="100000" sqref="AU1998 AW1998:AZ1998" name="Rango2_88_91_1_9"/>
    <protectedRange algorithmName="SHA-512" hashValue="CHipOQaT63FWw628cQcXXJRZlrbNZ7OgmnEbDx38UmmH7z19GRYEzXFiVOzHAy1OAaAbST7g2bHZHDKQp2qm3w==" saltValue="iRVuL+373yLHv0ZHzS9qog==" spinCount="100000" sqref="AL1998" name="Rango2_88_7_5_2_4"/>
    <protectedRange algorithmName="SHA-512" hashValue="NkG6oHuDGvGBEiLAAq8MEJHEfLQUMyjihfH+DBXhT+eQW0r1yri7tOJEFRM9nbOejjjXiviq9RFo7KB7wF+xJA==" saltValue="bpjB0AAANu2X/PeR3eiFkA==" spinCount="100000" sqref="AM1998:AS1998" name="Rango2_88_65_1_6"/>
    <protectedRange algorithmName="SHA-512" hashValue="RQ91b7oAw60DVtcgB2vRpial2kSdzJx5guGCTYUwXYkKrtrUHfiYnLf9R+SNpYXlJDYpyEJLhcWwP0EqNN86dQ==" saltValue="W3RbH3zrcY9sy39xNwXNxg==" spinCount="100000" sqref="BV1998:BY1998" name="Rango2_88_99_2_6"/>
    <protectedRange algorithmName="SHA-512" hashValue="XZw03RosI/l0z9FxmTtF29EdZ7P+4+ybhqoaAAUmURojSR5XbGfjC4f2i8gMqfY+RI9JvfdCA6PSh9TduXfUxA==" saltValue="5TPtLq2WoiRSae/yaDPnTw==" spinCount="100000" sqref="BZ1998:CB1998 BR1998:BU1998" name="Rango2_99_10_7"/>
    <protectedRange algorithmName="SHA-512" hashValue="XZw03RosI/l0z9FxmTtF29EdZ7P+4+ybhqoaAAUmURojSR5XbGfjC4f2i8gMqfY+RI9JvfdCA6PSh9TduXfUxA==" saltValue="5TPtLq2WoiRSae/yaDPnTw==" spinCount="100000" sqref="CE1998:CF1998" name="Rango2_99_11_5"/>
    <protectedRange algorithmName="SHA-512" hashValue="XZw03RosI/l0z9FxmTtF29EdZ7P+4+ybhqoaAAUmURojSR5XbGfjC4f2i8gMqfY+RI9JvfdCA6PSh9TduXfUxA==" saltValue="5TPtLq2WoiRSae/yaDPnTw==" spinCount="100000" sqref="CJ1998:CK1998" name="Rango2_99_12_7"/>
    <protectedRange algorithmName="SHA-512" hashValue="XZw03RosI/l0z9FxmTtF29EdZ7P+4+ybhqoaAAUmURojSR5XbGfjC4f2i8gMqfY+RI9JvfdCA6PSh9TduXfUxA==" saltValue="5TPtLq2WoiRSae/yaDPnTw==" spinCount="100000" sqref="CP1998:CQ1998" name="Rango2_99_14_8"/>
    <protectedRange algorithmName="SHA-512" hashValue="XZw03RosI/l0z9FxmTtF29EdZ7P+4+ybhqoaAAUmURojSR5XbGfjC4f2i8gMqfY+RI9JvfdCA6PSh9TduXfUxA==" saltValue="5TPtLq2WoiRSae/yaDPnTw==" spinCount="100000" sqref="CS1998:CT1998" name="Rango2_99_15_9"/>
    <protectedRange algorithmName="SHA-512" hashValue="XZw03RosI/l0z9FxmTtF29EdZ7P+4+ybhqoaAAUmURojSR5XbGfjC4f2i8gMqfY+RI9JvfdCA6PSh9TduXfUxA==" saltValue="5TPtLq2WoiRSae/yaDPnTw==" spinCount="100000" sqref="DA1998:DN1998" name="Rango2_99_17_11"/>
    <protectedRange algorithmName="SHA-512" hashValue="XZw03RosI/l0z9FxmTtF29EdZ7P+4+ybhqoaAAUmURojSR5XbGfjC4f2i8gMqfY+RI9JvfdCA6PSh9TduXfUxA==" saltValue="5TPtLq2WoiRSae/yaDPnTw==" spinCount="100000" sqref="O1999" name="Rango2_99_2_10"/>
    <protectedRange algorithmName="SHA-512" hashValue="fPHvtIAf3pQeZUoAI9C2/vdXMHBpqqEq+67P5Ypyu4+9IWqs3yc9TZcMWQ0THLxUwqseQPyVvakuYFtCwJHsxA==" saltValue="QHIogSs2PrwAfdqa9PAOFQ==" spinCount="100000" sqref="AC1999" name="Rango2_88_5_5_1_7"/>
    <protectedRange algorithmName="SHA-512" hashValue="LEEeiU6pKqm7TAP46VGlz0q+evvFwpT/0iLpRuWuQ7MacbP0OGL1/FSmrIEOg2rb6M+Jla2bPbVWiGag27j87w==" saltValue="HEVt+pS5OloNDlqSnzGLLw==" spinCount="100000" sqref="AI1999" name="Rango2_8_7_1_9"/>
    <protectedRange algorithmName="SHA-512" hashValue="q2z5hEFmXS0v2chiPTC/VCoDWNlnhp+Xe6Ybfxe48vIsnB/KTJQxJv+pFUnCXfZ9T6vyJopuqFFNROfQTW/JUw==" saltValue="IctfdGJb5tOTpq+KPi9vww==" spinCount="100000" sqref="AE1999:AF1999" name="Rango2_88_39_1_8"/>
    <protectedRange algorithmName="SHA-512" hashValue="NUll9P9xh7KbSfMYpMxsRZLfDw/y/AzW2LSWlpXVscBDqiAxmzo71xjs+a2lh+jRa7pceOC849slke4+ZKx8LA==" saltValue="8qbkKpQ+CiQuLnqgShNvXA==" spinCount="100000" sqref="T1999" name="Rango2_88_6_1_7"/>
    <protectedRange algorithmName="SHA-512" hashValue="XZw03RosI/l0z9FxmTtF29EdZ7P+4+ybhqoaAAUmURojSR5XbGfjC4f2i8gMqfY+RI9JvfdCA6PSh9TduXfUxA==" saltValue="5TPtLq2WoiRSae/yaDPnTw==" spinCount="100000" sqref="R1999:S1999 U1999:AA1999" name="Rango2_99_4_11"/>
    <protectedRange algorithmName="SHA-512" hashValue="fMbmUM1DQ7FuAPRNvFL5mPdHUYjQnlLFhkuaxvHguaqR7aWyDxcmJs0jLYQfQKY+oyhsMb4Lew4VL6i7um3/ew==" saltValue="ydaTm0CeH8+/cYqoL/AMaQ==" spinCount="100000" sqref="AU1999 AW1999:AZ1999" name="Rango2_88_91_1_10"/>
    <protectedRange algorithmName="SHA-512" hashValue="CHipOQaT63FWw628cQcXXJRZlrbNZ7OgmnEbDx38UmmH7z19GRYEzXFiVOzHAy1OAaAbST7g2bHZHDKQp2qm3w==" saltValue="iRVuL+373yLHv0ZHzS9qog==" spinCount="100000" sqref="AL1999" name="Rango2_88_7_5_2_5"/>
    <protectedRange algorithmName="SHA-512" hashValue="NkG6oHuDGvGBEiLAAq8MEJHEfLQUMyjihfH+DBXhT+eQW0r1yri7tOJEFRM9nbOejjjXiviq9RFo7KB7wF+xJA==" saltValue="bpjB0AAANu2X/PeR3eiFkA==" spinCount="100000" sqref="AM1999:AS1999" name="Rango2_88_65_1_7"/>
    <protectedRange algorithmName="SHA-512" hashValue="RQ91b7oAw60DVtcgB2vRpial2kSdzJx5guGCTYUwXYkKrtrUHfiYnLf9R+SNpYXlJDYpyEJLhcWwP0EqNN86dQ==" saltValue="W3RbH3zrcY9sy39xNwXNxg==" spinCount="100000" sqref="BV1999:BY1999" name="Rango2_88_99_2_7"/>
    <protectedRange algorithmName="SHA-512" hashValue="XZw03RosI/l0z9FxmTtF29EdZ7P+4+ybhqoaAAUmURojSR5XbGfjC4f2i8gMqfY+RI9JvfdCA6PSh9TduXfUxA==" saltValue="5TPtLq2WoiRSae/yaDPnTw==" spinCount="100000" sqref="BZ1999:CB1999 BR1999:BU1999" name="Rango2_99_10_8"/>
    <protectedRange algorithmName="SHA-512" hashValue="XZw03RosI/l0z9FxmTtF29EdZ7P+4+ybhqoaAAUmURojSR5XbGfjC4f2i8gMqfY+RI9JvfdCA6PSh9TduXfUxA==" saltValue="5TPtLq2WoiRSae/yaDPnTw==" spinCount="100000" sqref="CE1999:CF1999" name="Rango2_99_11_6"/>
    <protectedRange algorithmName="SHA-512" hashValue="XZw03RosI/l0z9FxmTtF29EdZ7P+4+ybhqoaAAUmURojSR5XbGfjC4f2i8gMqfY+RI9JvfdCA6PSh9TduXfUxA==" saltValue="5TPtLq2WoiRSae/yaDPnTw==" spinCount="100000" sqref="CJ1999:CK1999" name="Rango2_99_12_9"/>
    <protectedRange algorithmName="SHA-512" hashValue="XZw03RosI/l0z9FxmTtF29EdZ7P+4+ybhqoaAAUmURojSR5XbGfjC4f2i8gMqfY+RI9JvfdCA6PSh9TduXfUxA==" saltValue="5TPtLq2WoiRSae/yaDPnTw==" spinCount="100000" sqref="CP1999:CQ1999" name="Rango2_99_14_9"/>
    <protectedRange algorithmName="SHA-512" hashValue="XZw03RosI/l0z9FxmTtF29EdZ7P+4+ybhqoaAAUmURojSR5XbGfjC4f2i8gMqfY+RI9JvfdCA6PSh9TduXfUxA==" saltValue="5TPtLq2WoiRSae/yaDPnTw==" spinCount="100000" sqref="CS1999:CT1999" name="Rango2_99_15_10"/>
    <protectedRange algorithmName="SHA-512" hashValue="XZw03RosI/l0z9FxmTtF29EdZ7P+4+ybhqoaAAUmURojSR5XbGfjC4f2i8gMqfY+RI9JvfdCA6PSh9TduXfUxA==" saltValue="5TPtLq2WoiRSae/yaDPnTw==" spinCount="100000" sqref="DA1999:DN1999" name="Rango2_99_17_12"/>
    <protectedRange algorithmName="SHA-512" hashValue="XZw03RosI/l0z9FxmTtF29EdZ7P+4+ybhqoaAAUmURojSR5XbGfjC4f2i8gMqfY+RI9JvfdCA6PSh9TduXfUxA==" saltValue="5TPtLq2WoiRSae/yaDPnTw==" spinCount="100000" sqref="O2000" name="Rango2_99_2_11"/>
    <protectedRange algorithmName="SHA-512" hashValue="fPHvtIAf3pQeZUoAI9C2/vdXMHBpqqEq+67P5Ypyu4+9IWqs3yc9TZcMWQ0THLxUwqseQPyVvakuYFtCwJHsxA==" saltValue="QHIogSs2PrwAfdqa9PAOFQ==" spinCount="100000" sqref="AC2000" name="Rango2_88_5_5_1_8"/>
    <protectedRange algorithmName="SHA-512" hashValue="LEEeiU6pKqm7TAP46VGlz0q+evvFwpT/0iLpRuWuQ7MacbP0OGL1/FSmrIEOg2rb6M+Jla2bPbVWiGag27j87w==" saltValue="HEVt+pS5OloNDlqSnzGLLw==" spinCount="100000" sqref="AI2000" name="Rango2_8_7_1_10"/>
    <protectedRange algorithmName="SHA-512" hashValue="q2z5hEFmXS0v2chiPTC/VCoDWNlnhp+Xe6Ybfxe48vIsnB/KTJQxJv+pFUnCXfZ9T6vyJopuqFFNROfQTW/JUw==" saltValue="IctfdGJb5tOTpq+KPi9vww==" spinCount="100000" sqref="AE2000:AF2000" name="Rango2_88_39_1_9"/>
    <protectedRange algorithmName="SHA-512" hashValue="NUll9P9xh7KbSfMYpMxsRZLfDw/y/AzW2LSWlpXVscBDqiAxmzo71xjs+a2lh+jRa7pceOC849slke4+ZKx8LA==" saltValue="8qbkKpQ+CiQuLnqgShNvXA==" spinCount="100000" sqref="T2000" name="Rango2_88_6_1_8"/>
    <protectedRange algorithmName="SHA-512" hashValue="XZw03RosI/l0z9FxmTtF29EdZ7P+4+ybhqoaAAUmURojSR5XbGfjC4f2i8gMqfY+RI9JvfdCA6PSh9TduXfUxA==" saltValue="5TPtLq2WoiRSae/yaDPnTw==" spinCount="100000" sqref="R2000:S2000 U2000:AA2000" name="Rango2_99_4_12"/>
    <protectedRange algorithmName="SHA-512" hashValue="fMbmUM1DQ7FuAPRNvFL5mPdHUYjQnlLFhkuaxvHguaqR7aWyDxcmJs0jLYQfQKY+oyhsMb4Lew4VL6i7um3/ew==" saltValue="ydaTm0CeH8+/cYqoL/AMaQ==" spinCount="100000" sqref="AU2000 AW2000:AZ2000" name="Rango2_88_91_1_11"/>
    <protectedRange algorithmName="SHA-512" hashValue="CHipOQaT63FWw628cQcXXJRZlrbNZ7OgmnEbDx38UmmH7z19GRYEzXFiVOzHAy1OAaAbST7g2bHZHDKQp2qm3w==" saltValue="iRVuL+373yLHv0ZHzS9qog==" spinCount="100000" sqref="AL2000" name="Rango2_88_7_5_2_6"/>
    <protectedRange algorithmName="SHA-512" hashValue="NkG6oHuDGvGBEiLAAq8MEJHEfLQUMyjihfH+DBXhT+eQW0r1yri7tOJEFRM9nbOejjjXiviq9RFo7KB7wF+xJA==" saltValue="bpjB0AAANu2X/PeR3eiFkA==" spinCount="100000" sqref="AM2000:AS2000" name="Rango2_88_65_1_8"/>
    <protectedRange algorithmName="SHA-512" hashValue="RQ91b7oAw60DVtcgB2vRpial2kSdzJx5guGCTYUwXYkKrtrUHfiYnLf9R+SNpYXlJDYpyEJLhcWwP0EqNN86dQ==" saltValue="W3RbH3zrcY9sy39xNwXNxg==" spinCount="100000" sqref="BV2000:BY2000" name="Rango2_88_99_2_8"/>
    <protectedRange algorithmName="SHA-512" hashValue="XZw03RosI/l0z9FxmTtF29EdZ7P+4+ybhqoaAAUmURojSR5XbGfjC4f2i8gMqfY+RI9JvfdCA6PSh9TduXfUxA==" saltValue="5TPtLq2WoiRSae/yaDPnTw==" spinCount="100000" sqref="BZ2000:CB2000 BR2000:BU2000" name="Rango2_99_10_9"/>
    <protectedRange algorithmName="SHA-512" hashValue="XZw03RosI/l0z9FxmTtF29EdZ7P+4+ybhqoaAAUmURojSR5XbGfjC4f2i8gMqfY+RI9JvfdCA6PSh9TduXfUxA==" saltValue="5TPtLq2WoiRSae/yaDPnTw==" spinCount="100000" sqref="CE2000:CF2000" name="Rango2_99_11_7"/>
    <protectedRange algorithmName="SHA-512" hashValue="XZw03RosI/l0z9FxmTtF29EdZ7P+4+ybhqoaAAUmURojSR5XbGfjC4f2i8gMqfY+RI9JvfdCA6PSh9TduXfUxA==" saltValue="5TPtLq2WoiRSae/yaDPnTw==" spinCount="100000" sqref="CJ2000:CK2000" name="Rango2_99_12_10"/>
    <protectedRange algorithmName="SHA-512" hashValue="XZw03RosI/l0z9FxmTtF29EdZ7P+4+ybhqoaAAUmURojSR5XbGfjC4f2i8gMqfY+RI9JvfdCA6PSh9TduXfUxA==" saltValue="5TPtLq2WoiRSae/yaDPnTw==" spinCount="100000" sqref="CP2000:CQ2000" name="Rango2_99_14_10"/>
    <protectedRange algorithmName="SHA-512" hashValue="XZw03RosI/l0z9FxmTtF29EdZ7P+4+ybhqoaAAUmURojSR5XbGfjC4f2i8gMqfY+RI9JvfdCA6PSh9TduXfUxA==" saltValue="5TPtLq2WoiRSae/yaDPnTw==" spinCount="100000" sqref="CS2000:CT2000" name="Rango2_99_15_11"/>
    <protectedRange algorithmName="SHA-512" hashValue="XZw03RosI/l0z9FxmTtF29EdZ7P+4+ybhqoaAAUmURojSR5XbGfjC4f2i8gMqfY+RI9JvfdCA6PSh9TduXfUxA==" saltValue="5TPtLq2WoiRSae/yaDPnTw==" spinCount="100000" sqref="DA2000:DN2000" name="Rango2_99_17_13"/>
    <protectedRange algorithmName="SHA-512" hashValue="XZw03RosI/l0z9FxmTtF29EdZ7P+4+ybhqoaAAUmURojSR5XbGfjC4f2i8gMqfY+RI9JvfdCA6PSh9TduXfUxA==" saltValue="5TPtLq2WoiRSae/yaDPnTw==" spinCount="100000" sqref="O2001" name="Rango2_99_2_12"/>
    <protectedRange algorithmName="SHA-512" hashValue="fPHvtIAf3pQeZUoAI9C2/vdXMHBpqqEq+67P5Ypyu4+9IWqs3yc9TZcMWQ0THLxUwqseQPyVvakuYFtCwJHsxA==" saltValue="QHIogSs2PrwAfdqa9PAOFQ==" spinCount="100000" sqref="AC2001" name="Rango2_88_5_5_1_9"/>
    <protectedRange algorithmName="SHA-512" hashValue="LEEeiU6pKqm7TAP46VGlz0q+evvFwpT/0iLpRuWuQ7MacbP0OGL1/FSmrIEOg2rb6M+Jla2bPbVWiGag27j87w==" saltValue="HEVt+pS5OloNDlqSnzGLLw==" spinCount="100000" sqref="AI2001" name="Rango2_8_7_1_11"/>
    <protectedRange algorithmName="SHA-512" hashValue="q2z5hEFmXS0v2chiPTC/VCoDWNlnhp+Xe6Ybfxe48vIsnB/KTJQxJv+pFUnCXfZ9T6vyJopuqFFNROfQTW/JUw==" saltValue="IctfdGJb5tOTpq+KPi9vww==" spinCount="100000" sqref="AE2001:AF2001" name="Rango2_88_39_1_10"/>
    <protectedRange algorithmName="SHA-512" hashValue="NUll9P9xh7KbSfMYpMxsRZLfDw/y/AzW2LSWlpXVscBDqiAxmzo71xjs+a2lh+jRa7pceOC849slke4+ZKx8LA==" saltValue="8qbkKpQ+CiQuLnqgShNvXA==" spinCount="100000" sqref="T2001" name="Rango2_88_6_1_9"/>
    <protectedRange algorithmName="SHA-512" hashValue="XZw03RosI/l0z9FxmTtF29EdZ7P+4+ybhqoaAAUmURojSR5XbGfjC4f2i8gMqfY+RI9JvfdCA6PSh9TduXfUxA==" saltValue="5TPtLq2WoiRSae/yaDPnTw==" spinCount="100000" sqref="R2001:S2001 U2001:AA2001" name="Rango2_99_4_13"/>
    <protectedRange algorithmName="SHA-512" hashValue="fMbmUM1DQ7FuAPRNvFL5mPdHUYjQnlLFhkuaxvHguaqR7aWyDxcmJs0jLYQfQKY+oyhsMb4Lew4VL6i7um3/ew==" saltValue="ydaTm0CeH8+/cYqoL/AMaQ==" spinCount="100000" sqref="AU2001 AW2001:AZ2001" name="Rango2_88_91_1_12"/>
    <protectedRange algorithmName="SHA-512" hashValue="CHipOQaT63FWw628cQcXXJRZlrbNZ7OgmnEbDx38UmmH7z19GRYEzXFiVOzHAy1OAaAbST7g2bHZHDKQp2qm3w==" saltValue="iRVuL+373yLHv0ZHzS9qog==" spinCount="100000" sqref="AL2001" name="Rango2_88_7_5_2_7"/>
    <protectedRange algorithmName="SHA-512" hashValue="NkG6oHuDGvGBEiLAAq8MEJHEfLQUMyjihfH+DBXhT+eQW0r1yri7tOJEFRM9nbOejjjXiviq9RFo7KB7wF+xJA==" saltValue="bpjB0AAANu2X/PeR3eiFkA==" spinCount="100000" sqref="AM2001:AS2001" name="Rango2_88_65_1_9"/>
    <protectedRange algorithmName="SHA-512" hashValue="RQ91b7oAw60DVtcgB2vRpial2kSdzJx5guGCTYUwXYkKrtrUHfiYnLf9R+SNpYXlJDYpyEJLhcWwP0EqNN86dQ==" saltValue="W3RbH3zrcY9sy39xNwXNxg==" spinCount="100000" sqref="BV2001:BY2001" name="Rango2_88_99_2_9"/>
    <protectedRange algorithmName="SHA-512" hashValue="XZw03RosI/l0z9FxmTtF29EdZ7P+4+ybhqoaAAUmURojSR5XbGfjC4f2i8gMqfY+RI9JvfdCA6PSh9TduXfUxA==" saltValue="5TPtLq2WoiRSae/yaDPnTw==" spinCount="100000" sqref="BZ2001:CB2001 BR2001:BU2001" name="Rango2_99_10_10"/>
    <protectedRange algorithmName="SHA-512" hashValue="XZw03RosI/l0z9FxmTtF29EdZ7P+4+ybhqoaAAUmURojSR5XbGfjC4f2i8gMqfY+RI9JvfdCA6PSh9TduXfUxA==" saltValue="5TPtLq2WoiRSae/yaDPnTw==" spinCount="100000" sqref="CE2001:CF2001" name="Rango2_99_11_8"/>
    <protectedRange algorithmName="SHA-512" hashValue="XZw03RosI/l0z9FxmTtF29EdZ7P+4+ybhqoaAAUmURojSR5XbGfjC4f2i8gMqfY+RI9JvfdCA6PSh9TduXfUxA==" saltValue="5TPtLq2WoiRSae/yaDPnTw==" spinCount="100000" sqref="CJ2001:CK2001" name="Rango2_99_12_11"/>
    <protectedRange algorithmName="SHA-512" hashValue="XZw03RosI/l0z9FxmTtF29EdZ7P+4+ybhqoaAAUmURojSR5XbGfjC4f2i8gMqfY+RI9JvfdCA6PSh9TduXfUxA==" saltValue="5TPtLq2WoiRSae/yaDPnTw==" spinCount="100000" sqref="CP2001:CQ2001" name="Rango2_99_14_11"/>
    <protectedRange algorithmName="SHA-512" hashValue="XZw03RosI/l0z9FxmTtF29EdZ7P+4+ybhqoaAAUmURojSR5XbGfjC4f2i8gMqfY+RI9JvfdCA6PSh9TduXfUxA==" saltValue="5TPtLq2WoiRSae/yaDPnTw==" spinCount="100000" sqref="CS2001:CT2001" name="Rango2_99_15_12"/>
    <protectedRange algorithmName="SHA-512" hashValue="XZw03RosI/l0z9FxmTtF29EdZ7P+4+ybhqoaAAUmURojSR5XbGfjC4f2i8gMqfY+RI9JvfdCA6PSh9TduXfUxA==" saltValue="5TPtLq2WoiRSae/yaDPnTw==" spinCount="100000" sqref="DA2001:DN2001" name="Rango2_99_17_14"/>
    <protectedRange algorithmName="SHA-512" hashValue="XZw03RosI/l0z9FxmTtF29EdZ7P+4+ybhqoaAAUmURojSR5XbGfjC4f2i8gMqfY+RI9JvfdCA6PSh9TduXfUxA==" saltValue="5TPtLq2WoiRSae/yaDPnTw==" spinCount="100000" sqref="O2002" name="Rango2_99_2_13"/>
    <protectedRange algorithmName="SHA-512" hashValue="fPHvtIAf3pQeZUoAI9C2/vdXMHBpqqEq+67P5Ypyu4+9IWqs3yc9TZcMWQ0THLxUwqseQPyVvakuYFtCwJHsxA==" saltValue="QHIogSs2PrwAfdqa9PAOFQ==" spinCount="100000" sqref="AC2002" name="Rango2_88_5_5_1_10"/>
    <protectedRange algorithmName="SHA-512" hashValue="LEEeiU6pKqm7TAP46VGlz0q+evvFwpT/0iLpRuWuQ7MacbP0OGL1/FSmrIEOg2rb6M+Jla2bPbVWiGag27j87w==" saltValue="HEVt+pS5OloNDlqSnzGLLw==" spinCount="100000" sqref="AI2002" name="Rango2_8_7_1_12"/>
    <protectedRange algorithmName="SHA-512" hashValue="q2z5hEFmXS0v2chiPTC/VCoDWNlnhp+Xe6Ybfxe48vIsnB/KTJQxJv+pFUnCXfZ9T6vyJopuqFFNROfQTW/JUw==" saltValue="IctfdGJb5tOTpq+KPi9vww==" spinCount="100000" sqref="AE2002:AF2002" name="Rango2_88_39_1_11"/>
    <protectedRange algorithmName="SHA-512" hashValue="NUll9P9xh7KbSfMYpMxsRZLfDw/y/AzW2LSWlpXVscBDqiAxmzo71xjs+a2lh+jRa7pceOC849slke4+ZKx8LA==" saltValue="8qbkKpQ+CiQuLnqgShNvXA==" spinCount="100000" sqref="T2002" name="Rango2_88_6_1_10"/>
    <protectedRange algorithmName="SHA-512" hashValue="XZw03RosI/l0z9FxmTtF29EdZ7P+4+ybhqoaAAUmURojSR5XbGfjC4f2i8gMqfY+RI9JvfdCA6PSh9TduXfUxA==" saltValue="5TPtLq2WoiRSae/yaDPnTw==" spinCount="100000" sqref="R2002:S2002 U2002:AA2002" name="Rango2_99_4_14"/>
    <protectedRange algorithmName="SHA-512" hashValue="fMbmUM1DQ7FuAPRNvFL5mPdHUYjQnlLFhkuaxvHguaqR7aWyDxcmJs0jLYQfQKY+oyhsMb4Lew4VL6i7um3/ew==" saltValue="ydaTm0CeH8+/cYqoL/AMaQ==" spinCount="100000" sqref="AU2002 AW2002:AZ2002" name="Rango2_88_91_1_13"/>
    <protectedRange algorithmName="SHA-512" hashValue="CHipOQaT63FWw628cQcXXJRZlrbNZ7OgmnEbDx38UmmH7z19GRYEzXFiVOzHAy1OAaAbST7g2bHZHDKQp2qm3w==" saltValue="iRVuL+373yLHv0ZHzS9qog==" spinCount="100000" sqref="AL2002" name="Rango2_88_7_5_2_8"/>
    <protectedRange algorithmName="SHA-512" hashValue="NkG6oHuDGvGBEiLAAq8MEJHEfLQUMyjihfH+DBXhT+eQW0r1yri7tOJEFRM9nbOejjjXiviq9RFo7KB7wF+xJA==" saltValue="bpjB0AAANu2X/PeR3eiFkA==" spinCount="100000" sqref="AM2002:AS2002" name="Rango2_88_65_1_10"/>
    <protectedRange algorithmName="SHA-512" hashValue="RQ91b7oAw60DVtcgB2vRpial2kSdzJx5guGCTYUwXYkKrtrUHfiYnLf9R+SNpYXlJDYpyEJLhcWwP0EqNN86dQ==" saltValue="W3RbH3zrcY9sy39xNwXNxg==" spinCount="100000" sqref="BV2002:BY2002" name="Rango2_88_99_2_10"/>
    <protectedRange algorithmName="SHA-512" hashValue="XZw03RosI/l0z9FxmTtF29EdZ7P+4+ybhqoaAAUmURojSR5XbGfjC4f2i8gMqfY+RI9JvfdCA6PSh9TduXfUxA==" saltValue="5TPtLq2WoiRSae/yaDPnTw==" spinCount="100000" sqref="BZ2002:CB2002 BR2002:BU2002" name="Rango2_99_10_11"/>
    <protectedRange algorithmName="SHA-512" hashValue="XZw03RosI/l0z9FxmTtF29EdZ7P+4+ybhqoaAAUmURojSR5XbGfjC4f2i8gMqfY+RI9JvfdCA6PSh9TduXfUxA==" saltValue="5TPtLq2WoiRSae/yaDPnTw==" spinCount="100000" sqref="CE2002:CF2002" name="Rango2_99_11_9"/>
    <protectedRange algorithmName="SHA-512" hashValue="XZw03RosI/l0z9FxmTtF29EdZ7P+4+ybhqoaAAUmURojSR5XbGfjC4f2i8gMqfY+RI9JvfdCA6PSh9TduXfUxA==" saltValue="5TPtLq2WoiRSae/yaDPnTw==" spinCount="100000" sqref="CJ2002:CK2002" name="Rango2_99_12_12"/>
    <protectedRange algorithmName="SHA-512" hashValue="XZw03RosI/l0z9FxmTtF29EdZ7P+4+ybhqoaAAUmURojSR5XbGfjC4f2i8gMqfY+RI9JvfdCA6PSh9TduXfUxA==" saltValue="5TPtLq2WoiRSae/yaDPnTw==" spinCount="100000" sqref="CP2002:CQ2002" name="Rango2_99_14_13"/>
    <protectedRange algorithmName="SHA-512" hashValue="XZw03RosI/l0z9FxmTtF29EdZ7P+4+ybhqoaAAUmURojSR5XbGfjC4f2i8gMqfY+RI9JvfdCA6PSh9TduXfUxA==" saltValue="5TPtLq2WoiRSae/yaDPnTw==" spinCount="100000" sqref="CS2002:CT2002" name="Rango2_99_15_13"/>
    <protectedRange algorithmName="SHA-512" hashValue="XZw03RosI/l0z9FxmTtF29EdZ7P+4+ybhqoaAAUmURojSR5XbGfjC4f2i8gMqfY+RI9JvfdCA6PSh9TduXfUxA==" saltValue="5TPtLq2WoiRSae/yaDPnTw==" spinCount="100000" sqref="DA2002:DN2002" name="Rango2_99_17_15"/>
    <protectedRange algorithmName="SHA-512" hashValue="XZw03RosI/l0z9FxmTtF29EdZ7P+4+ybhqoaAAUmURojSR5XbGfjC4f2i8gMqfY+RI9JvfdCA6PSh9TduXfUxA==" saltValue="5TPtLq2WoiRSae/yaDPnTw==" spinCount="100000" sqref="O2003" name="Rango2_99_2_14"/>
    <protectedRange algorithmName="SHA-512" hashValue="fPHvtIAf3pQeZUoAI9C2/vdXMHBpqqEq+67P5Ypyu4+9IWqs3yc9TZcMWQ0THLxUwqseQPyVvakuYFtCwJHsxA==" saltValue="QHIogSs2PrwAfdqa9PAOFQ==" spinCount="100000" sqref="AC2003" name="Rango2_88_5_5_1_11"/>
    <protectedRange algorithmName="SHA-512" hashValue="LEEeiU6pKqm7TAP46VGlz0q+evvFwpT/0iLpRuWuQ7MacbP0OGL1/FSmrIEOg2rb6M+Jla2bPbVWiGag27j87w==" saltValue="HEVt+pS5OloNDlqSnzGLLw==" spinCount="100000" sqref="AI2003" name="Rango2_8_7_1_13"/>
    <protectedRange algorithmName="SHA-512" hashValue="q2z5hEFmXS0v2chiPTC/VCoDWNlnhp+Xe6Ybfxe48vIsnB/KTJQxJv+pFUnCXfZ9T6vyJopuqFFNROfQTW/JUw==" saltValue="IctfdGJb5tOTpq+KPi9vww==" spinCount="100000" sqref="AE2003:AF2003" name="Rango2_88_39_1_12"/>
    <protectedRange algorithmName="SHA-512" hashValue="NUll9P9xh7KbSfMYpMxsRZLfDw/y/AzW2LSWlpXVscBDqiAxmzo71xjs+a2lh+jRa7pceOC849slke4+ZKx8LA==" saltValue="8qbkKpQ+CiQuLnqgShNvXA==" spinCount="100000" sqref="T2003" name="Rango2_88_6_1_11"/>
    <protectedRange algorithmName="SHA-512" hashValue="XZw03RosI/l0z9FxmTtF29EdZ7P+4+ybhqoaAAUmURojSR5XbGfjC4f2i8gMqfY+RI9JvfdCA6PSh9TduXfUxA==" saltValue="5TPtLq2WoiRSae/yaDPnTw==" spinCount="100000" sqref="R2003:S2003 U2003:AA2003" name="Rango2_99_4_15"/>
    <protectedRange algorithmName="SHA-512" hashValue="fMbmUM1DQ7FuAPRNvFL5mPdHUYjQnlLFhkuaxvHguaqR7aWyDxcmJs0jLYQfQKY+oyhsMb4Lew4VL6i7um3/ew==" saltValue="ydaTm0CeH8+/cYqoL/AMaQ==" spinCount="100000" sqref="AU2003 AW2003:AZ2003" name="Rango2_88_91_1_14"/>
    <protectedRange algorithmName="SHA-512" hashValue="CHipOQaT63FWw628cQcXXJRZlrbNZ7OgmnEbDx38UmmH7z19GRYEzXFiVOzHAy1OAaAbST7g2bHZHDKQp2qm3w==" saltValue="iRVuL+373yLHv0ZHzS9qog==" spinCount="100000" sqref="AL2003" name="Rango2_88_7_5_2_9"/>
    <protectedRange algorithmName="SHA-512" hashValue="NkG6oHuDGvGBEiLAAq8MEJHEfLQUMyjihfH+DBXhT+eQW0r1yri7tOJEFRM9nbOejjjXiviq9RFo7KB7wF+xJA==" saltValue="bpjB0AAANu2X/PeR3eiFkA==" spinCount="100000" sqref="AM2003:AS2003" name="Rango2_88_65_1_11"/>
    <protectedRange algorithmName="SHA-512" hashValue="RQ91b7oAw60DVtcgB2vRpial2kSdzJx5guGCTYUwXYkKrtrUHfiYnLf9R+SNpYXlJDYpyEJLhcWwP0EqNN86dQ==" saltValue="W3RbH3zrcY9sy39xNwXNxg==" spinCount="100000" sqref="BV2003:BY2003" name="Rango2_88_99_2_11"/>
    <protectedRange algorithmName="SHA-512" hashValue="XZw03RosI/l0z9FxmTtF29EdZ7P+4+ybhqoaAAUmURojSR5XbGfjC4f2i8gMqfY+RI9JvfdCA6PSh9TduXfUxA==" saltValue="5TPtLq2WoiRSae/yaDPnTw==" spinCount="100000" sqref="BZ2003:CB2003 BR2003:BU2003" name="Rango2_99_10_12"/>
    <protectedRange algorithmName="SHA-512" hashValue="XZw03RosI/l0z9FxmTtF29EdZ7P+4+ybhqoaAAUmURojSR5XbGfjC4f2i8gMqfY+RI9JvfdCA6PSh9TduXfUxA==" saltValue="5TPtLq2WoiRSae/yaDPnTw==" spinCount="100000" sqref="CE2003:CF2003" name="Rango2_99_11_10"/>
    <protectedRange algorithmName="SHA-512" hashValue="XZw03RosI/l0z9FxmTtF29EdZ7P+4+ybhqoaAAUmURojSR5XbGfjC4f2i8gMqfY+RI9JvfdCA6PSh9TduXfUxA==" saltValue="5TPtLq2WoiRSae/yaDPnTw==" spinCount="100000" sqref="CJ2003:CK2003" name="Rango2_99_12_13"/>
    <protectedRange algorithmName="SHA-512" hashValue="XZw03RosI/l0z9FxmTtF29EdZ7P+4+ybhqoaAAUmURojSR5XbGfjC4f2i8gMqfY+RI9JvfdCA6PSh9TduXfUxA==" saltValue="5TPtLq2WoiRSae/yaDPnTw==" spinCount="100000" sqref="CP2003:CQ2003" name="Rango2_99_14_14"/>
    <protectedRange algorithmName="SHA-512" hashValue="XZw03RosI/l0z9FxmTtF29EdZ7P+4+ybhqoaAAUmURojSR5XbGfjC4f2i8gMqfY+RI9JvfdCA6PSh9TduXfUxA==" saltValue="5TPtLq2WoiRSae/yaDPnTw==" spinCount="100000" sqref="CS2003:CT2003" name="Rango2_99_15_14"/>
    <protectedRange algorithmName="SHA-512" hashValue="XZw03RosI/l0z9FxmTtF29EdZ7P+4+ybhqoaAAUmURojSR5XbGfjC4f2i8gMqfY+RI9JvfdCA6PSh9TduXfUxA==" saltValue="5TPtLq2WoiRSae/yaDPnTw==" spinCount="100000" sqref="DA2003:DN2003" name="Rango2_99_17_16"/>
    <protectedRange algorithmName="SHA-512" hashValue="XZw03RosI/l0z9FxmTtF29EdZ7P+4+ybhqoaAAUmURojSR5XbGfjC4f2i8gMqfY+RI9JvfdCA6PSh9TduXfUxA==" saltValue="5TPtLq2WoiRSae/yaDPnTw==" spinCount="100000" sqref="O2004" name="Rango2_99_2_15"/>
    <protectedRange algorithmName="SHA-512" hashValue="fPHvtIAf3pQeZUoAI9C2/vdXMHBpqqEq+67P5Ypyu4+9IWqs3yc9TZcMWQ0THLxUwqseQPyVvakuYFtCwJHsxA==" saltValue="QHIogSs2PrwAfdqa9PAOFQ==" spinCount="100000" sqref="AC2004" name="Rango2_88_5_5_1_12"/>
    <protectedRange algorithmName="SHA-512" hashValue="LEEeiU6pKqm7TAP46VGlz0q+evvFwpT/0iLpRuWuQ7MacbP0OGL1/FSmrIEOg2rb6M+Jla2bPbVWiGag27j87w==" saltValue="HEVt+pS5OloNDlqSnzGLLw==" spinCount="100000" sqref="AI2004" name="Rango2_8_7_1_14"/>
    <protectedRange algorithmName="SHA-512" hashValue="q2z5hEFmXS0v2chiPTC/VCoDWNlnhp+Xe6Ybfxe48vIsnB/KTJQxJv+pFUnCXfZ9T6vyJopuqFFNROfQTW/JUw==" saltValue="IctfdGJb5tOTpq+KPi9vww==" spinCount="100000" sqref="AE2004:AF2004" name="Rango2_88_39_1_13"/>
    <protectedRange algorithmName="SHA-512" hashValue="NUll9P9xh7KbSfMYpMxsRZLfDw/y/AzW2LSWlpXVscBDqiAxmzo71xjs+a2lh+jRa7pceOC849slke4+ZKx8LA==" saltValue="8qbkKpQ+CiQuLnqgShNvXA==" spinCount="100000" sqref="T2004" name="Rango2_88_6_1_12"/>
    <protectedRange algorithmName="SHA-512" hashValue="XZw03RosI/l0z9FxmTtF29EdZ7P+4+ybhqoaAAUmURojSR5XbGfjC4f2i8gMqfY+RI9JvfdCA6PSh9TduXfUxA==" saltValue="5TPtLq2WoiRSae/yaDPnTw==" spinCount="100000" sqref="R2004:S2004 U2004:AA2004" name="Rango2_99_4_16"/>
    <protectedRange algorithmName="SHA-512" hashValue="fMbmUM1DQ7FuAPRNvFL5mPdHUYjQnlLFhkuaxvHguaqR7aWyDxcmJs0jLYQfQKY+oyhsMb4Lew4VL6i7um3/ew==" saltValue="ydaTm0CeH8+/cYqoL/AMaQ==" spinCount="100000" sqref="AU2004 AW2004:AZ2004" name="Rango2_88_91_1_15"/>
    <protectedRange algorithmName="SHA-512" hashValue="CHipOQaT63FWw628cQcXXJRZlrbNZ7OgmnEbDx38UmmH7z19GRYEzXFiVOzHAy1OAaAbST7g2bHZHDKQp2qm3w==" saltValue="iRVuL+373yLHv0ZHzS9qog==" spinCount="100000" sqref="AL2004" name="Rango2_88_7_5_2_10"/>
    <protectedRange algorithmName="SHA-512" hashValue="NkG6oHuDGvGBEiLAAq8MEJHEfLQUMyjihfH+DBXhT+eQW0r1yri7tOJEFRM9nbOejjjXiviq9RFo7KB7wF+xJA==" saltValue="bpjB0AAANu2X/PeR3eiFkA==" spinCount="100000" sqref="AM2004:AS2004" name="Rango2_88_65_1_12"/>
    <protectedRange algorithmName="SHA-512" hashValue="RQ91b7oAw60DVtcgB2vRpial2kSdzJx5guGCTYUwXYkKrtrUHfiYnLf9R+SNpYXlJDYpyEJLhcWwP0EqNN86dQ==" saltValue="W3RbH3zrcY9sy39xNwXNxg==" spinCount="100000" sqref="BV2004:BY2004" name="Rango2_88_99_2_12"/>
    <protectedRange algorithmName="SHA-512" hashValue="XZw03RosI/l0z9FxmTtF29EdZ7P+4+ybhqoaAAUmURojSR5XbGfjC4f2i8gMqfY+RI9JvfdCA6PSh9TduXfUxA==" saltValue="5TPtLq2WoiRSae/yaDPnTw==" spinCount="100000" sqref="BZ2004:CB2004 BR2004:BU2004" name="Rango2_99_10_13"/>
    <protectedRange algorithmName="SHA-512" hashValue="XZw03RosI/l0z9FxmTtF29EdZ7P+4+ybhqoaAAUmURojSR5XbGfjC4f2i8gMqfY+RI9JvfdCA6PSh9TduXfUxA==" saltValue="5TPtLq2WoiRSae/yaDPnTw==" spinCount="100000" sqref="CE2004:CF2004" name="Rango2_99_11_11"/>
    <protectedRange algorithmName="SHA-512" hashValue="XZw03RosI/l0z9FxmTtF29EdZ7P+4+ybhqoaAAUmURojSR5XbGfjC4f2i8gMqfY+RI9JvfdCA6PSh9TduXfUxA==" saltValue="5TPtLq2WoiRSae/yaDPnTw==" spinCount="100000" sqref="CJ2004:CK2004" name="Rango2_99_12_14"/>
    <protectedRange algorithmName="SHA-512" hashValue="XZw03RosI/l0z9FxmTtF29EdZ7P+4+ybhqoaAAUmURojSR5XbGfjC4f2i8gMqfY+RI9JvfdCA6PSh9TduXfUxA==" saltValue="5TPtLq2WoiRSae/yaDPnTw==" spinCount="100000" sqref="CP2004:CQ2004" name="Rango2_99_14_15"/>
    <protectedRange algorithmName="SHA-512" hashValue="XZw03RosI/l0z9FxmTtF29EdZ7P+4+ybhqoaAAUmURojSR5XbGfjC4f2i8gMqfY+RI9JvfdCA6PSh9TduXfUxA==" saltValue="5TPtLq2WoiRSae/yaDPnTw==" spinCount="100000" sqref="CS2004:CT2004" name="Rango2_99_15_15"/>
    <protectedRange algorithmName="SHA-512" hashValue="XZw03RosI/l0z9FxmTtF29EdZ7P+4+ybhqoaAAUmURojSR5XbGfjC4f2i8gMqfY+RI9JvfdCA6PSh9TduXfUxA==" saltValue="5TPtLq2WoiRSae/yaDPnTw==" spinCount="100000" sqref="DA2004:DN2004" name="Rango2_99_17_17"/>
    <protectedRange algorithmName="SHA-512" hashValue="XZw03RosI/l0z9FxmTtF29EdZ7P+4+ybhqoaAAUmURojSR5XbGfjC4f2i8gMqfY+RI9JvfdCA6PSh9TduXfUxA==" saltValue="5TPtLq2WoiRSae/yaDPnTw==" spinCount="100000" sqref="O2005" name="Rango2_99_2_16"/>
    <protectedRange algorithmName="SHA-512" hashValue="fPHvtIAf3pQeZUoAI9C2/vdXMHBpqqEq+67P5Ypyu4+9IWqs3yc9TZcMWQ0THLxUwqseQPyVvakuYFtCwJHsxA==" saltValue="QHIogSs2PrwAfdqa9PAOFQ==" spinCount="100000" sqref="AC2005" name="Rango2_88_5_5_1_13"/>
    <protectedRange algorithmName="SHA-512" hashValue="LEEeiU6pKqm7TAP46VGlz0q+evvFwpT/0iLpRuWuQ7MacbP0OGL1/FSmrIEOg2rb6M+Jla2bPbVWiGag27j87w==" saltValue="HEVt+pS5OloNDlqSnzGLLw==" spinCount="100000" sqref="AI2005" name="Rango2_8_7_1_15"/>
    <protectedRange algorithmName="SHA-512" hashValue="q2z5hEFmXS0v2chiPTC/VCoDWNlnhp+Xe6Ybfxe48vIsnB/KTJQxJv+pFUnCXfZ9T6vyJopuqFFNROfQTW/JUw==" saltValue="IctfdGJb5tOTpq+KPi9vww==" spinCount="100000" sqref="AE2005:AF2005" name="Rango2_88_39_1_14"/>
    <protectedRange algorithmName="SHA-512" hashValue="NUll9P9xh7KbSfMYpMxsRZLfDw/y/AzW2LSWlpXVscBDqiAxmzo71xjs+a2lh+jRa7pceOC849slke4+ZKx8LA==" saltValue="8qbkKpQ+CiQuLnqgShNvXA==" spinCount="100000" sqref="T2005" name="Rango2_88_6_1_13"/>
    <protectedRange algorithmName="SHA-512" hashValue="XZw03RosI/l0z9FxmTtF29EdZ7P+4+ybhqoaAAUmURojSR5XbGfjC4f2i8gMqfY+RI9JvfdCA6PSh9TduXfUxA==" saltValue="5TPtLq2WoiRSae/yaDPnTw==" spinCount="100000" sqref="R2005:S2005 U2005:AA2005" name="Rango2_99_4_17"/>
    <protectedRange algorithmName="SHA-512" hashValue="fMbmUM1DQ7FuAPRNvFL5mPdHUYjQnlLFhkuaxvHguaqR7aWyDxcmJs0jLYQfQKY+oyhsMb4Lew4VL6i7um3/ew==" saltValue="ydaTm0CeH8+/cYqoL/AMaQ==" spinCount="100000" sqref="AU2005 AW2005:AZ2005" name="Rango2_88_91_1_16"/>
    <protectedRange algorithmName="SHA-512" hashValue="CHipOQaT63FWw628cQcXXJRZlrbNZ7OgmnEbDx38UmmH7z19GRYEzXFiVOzHAy1OAaAbST7g2bHZHDKQp2qm3w==" saltValue="iRVuL+373yLHv0ZHzS9qog==" spinCount="100000" sqref="AL2005" name="Rango2_88_7_5_2_11"/>
    <protectedRange algorithmName="SHA-512" hashValue="NkG6oHuDGvGBEiLAAq8MEJHEfLQUMyjihfH+DBXhT+eQW0r1yri7tOJEFRM9nbOejjjXiviq9RFo7KB7wF+xJA==" saltValue="bpjB0AAANu2X/PeR3eiFkA==" spinCount="100000" sqref="AM2005:AS2005" name="Rango2_88_65_1_13"/>
    <protectedRange algorithmName="SHA-512" hashValue="RQ91b7oAw60DVtcgB2vRpial2kSdzJx5guGCTYUwXYkKrtrUHfiYnLf9R+SNpYXlJDYpyEJLhcWwP0EqNN86dQ==" saltValue="W3RbH3zrcY9sy39xNwXNxg==" spinCount="100000" sqref="BV2005:BY2005" name="Rango2_88_99_2_13"/>
    <protectedRange algorithmName="SHA-512" hashValue="XZw03RosI/l0z9FxmTtF29EdZ7P+4+ybhqoaAAUmURojSR5XbGfjC4f2i8gMqfY+RI9JvfdCA6PSh9TduXfUxA==" saltValue="5TPtLq2WoiRSae/yaDPnTw==" spinCount="100000" sqref="BZ2005:CB2005 BR2005:BU2005" name="Rango2_99_10_14"/>
    <protectedRange algorithmName="SHA-512" hashValue="XZw03RosI/l0z9FxmTtF29EdZ7P+4+ybhqoaAAUmURojSR5XbGfjC4f2i8gMqfY+RI9JvfdCA6PSh9TduXfUxA==" saltValue="5TPtLq2WoiRSae/yaDPnTw==" spinCount="100000" sqref="CE2005:CF2005" name="Rango2_99_11_12"/>
    <protectedRange algorithmName="SHA-512" hashValue="XZw03RosI/l0z9FxmTtF29EdZ7P+4+ybhqoaAAUmURojSR5XbGfjC4f2i8gMqfY+RI9JvfdCA6PSh9TduXfUxA==" saltValue="5TPtLq2WoiRSae/yaDPnTw==" spinCount="100000" sqref="CJ2005:CK2005" name="Rango2_99_12_15"/>
    <protectedRange algorithmName="SHA-512" hashValue="XZw03RosI/l0z9FxmTtF29EdZ7P+4+ybhqoaAAUmURojSR5XbGfjC4f2i8gMqfY+RI9JvfdCA6PSh9TduXfUxA==" saltValue="5TPtLq2WoiRSae/yaDPnTw==" spinCount="100000" sqref="CP2005:CQ2005" name="Rango2_99_14_16"/>
    <protectedRange algorithmName="SHA-512" hashValue="XZw03RosI/l0z9FxmTtF29EdZ7P+4+ybhqoaAAUmURojSR5XbGfjC4f2i8gMqfY+RI9JvfdCA6PSh9TduXfUxA==" saltValue="5TPtLq2WoiRSae/yaDPnTw==" spinCount="100000" sqref="CS2005:CT2005" name="Rango2_99_15_16"/>
    <protectedRange algorithmName="SHA-512" hashValue="XZw03RosI/l0z9FxmTtF29EdZ7P+4+ybhqoaAAUmURojSR5XbGfjC4f2i8gMqfY+RI9JvfdCA6PSh9TduXfUxA==" saltValue="5TPtLq2WoiRSae/yaDPnTw==" spinCount="100000" sqref="DA2005:DN2005" name="Rango2_99_17_18"/>
    <protectedRange algorithmName="SHA-512" hashValue="XZw03RosI/l0z9FxmTtF29EdZ7P+4+ybhqoaAAUmURojSR5XbGfjC4f2i8gMqfY+RI9JvfdCA6PSh9TduXfUxA==" saltValue="5TPtLq2WoiRSae/yaDPnTw==" spinCount="100000" sqref="O2006" name="Rango2_99_2_17"/>
    <protectedRange algorithmName="SHA-512" hashValue="fPHvtIAf3pQeZUoAI9C2/vdXMHBpqqEq+67P5Ypyu4+9IWqs3yc9TZcMWQ0THLxUwqseQPyVvakuYFtCwJHsxA==" saltValue="QHIogSs2PrwAfdqa9PAOFQ==" spinCount="100000" sqref="AC2006" name="Rango2_88_5_5_1_14"/>
    <protectedRange algorithmName="SHA-512" hashValue="LEEeiU6pKqm7TAP46VGlz0q+evvFwpT/0iLpRuWuQ7MacbP0OGL1/FSmrIEOg2rb6M+Jla2bPbVWiGag27j87w==" saltValue="HEVt+pS5OloNDlqSnzGLLw==" spinCount="100000" sqref="AI2006" name="Rango2_8_7_1_16"/>
    <protectedRange algorithmName="SHA-512" hashValue="q2z5hEFmXS0v2chiPTC/VCoDWNlnhp+Xe6Ybfxe48vIsnB/KTJQxJv+pFUnCXfZ9T6vyJopuqFFNROfQTW/JUw==" saltValue="IctfdGJb5tOTpq+KPi9vww==" spinCount="100000" sqref="AE2006:AF2006" name="Rango2_88_39_1_15"/>
    <protectedRange algorithmName="SHA-512" hashValue="NUll9P9xh7KbSfMYpMxsRZLfDw/y/AzW2LSWlpXVscBDqiAxmzo71xjs+a2lh+jRa7pceOC849slke4+ZKx8LA==" saltValue="8qbkKpQ+CiQuLnqgShNvXA==" spinCount="100000" sqref="T2006" name="Rango2_88_6_1_14"/>
    <protectedRange algorithmName="SHA-512" hashValue="XZw03RosI/l0z9FxmTtF29EdZ7P+4+ybhqoaAAUmURojSR5XbGfjC4f2i8gMqfY+RI9JvfdCA6PSh9TduXfUxA==" saltValue="5TPtLq2WoiRSae/yaDPnTw==" spinCount="100000" sqref="R2006:S2006 U2006:AA2006" name="Rango2_99_4_18"/>
    <protectedRange algorithmName="SHA-512" hashValue="fMbmUM1DQ7FuAPRNvFL5mPdHUYjQnlLFhkuaxvHguaqR7aWyDxcmJs0jLYQfQKY+oyhsMb4Lew4VL6i7um3/ew==" saltValue="ydaTm0CeH8+/cYqoL/AMaQ==" spinCount="100000" sqref="AU2006 AW2006:AZ2006" name="Rango2_88_91_1_17"/>
    <protectedRange algorithmName="SHA-512" hashValue="CHipOQaT63FWw628cQcXXJRZlrbNZ7OgmnEbDx38UmmH7z19GRYEzXFiVOzHAy1OAaAbST7g2bHZHDKQp2qm3w==" saltValue="iRVuL+373yLHv0ZHzS9qog==" spinCount="100000" sqref="AL2006" name="Rango2_88_7_5_2_12"/>
    <protectedRange algorithmName="SHA-512" hashValue="NkG6oHuDGvGBEiLAAq8MEJHEfLQUMyjihfH+DBXhT+eQW0r1yri7tOJEFRM9nbOejjjXiviq9RFo7KB7wF+xJA==" saltValue="bpjB0AAANu2X/PeR3eiFkA==" spinCount="100000" sqref="AM2006:AS2006" name="Rango2_88_65_1_14"/>
    <protectedRange algorithmName="SHA-512" hashValue="RQ91b7oAw60DVtcgB2vRpial2kSdzJx5guGCTYUwXYkKrtrUHfiYnLf9R+SNpYXlJDYpyEJLhcWwP0EqNN86dQ==" saltValue="W3RbH3zrcY9sy39xNwXNxg==" spinCount="100000" sqref="BV2006:BY2006" name="Rango2_88_99_2_14"/>
    <protectedRange algorithmName="SHA-512" hashValue="XZw03RosI/l0z9FxmTtF29EdZ7P+4+ybhqoaAAUmURojSR5XbGfjC4f2i8gMqfY+RI9JvfdCA6PSh9TduXfUxA==" saltValue="5TPtLq2WoiRSae/yaDPnTw==" spinCount="100000" sqref="BZ2006:CB2006 BR2006:BU2006" name="Rango2_99_10_15"/>
    <protectedRange algorithmName="SHA-512" hashValue="XZw03RosI/l0z9FxmTtF29EdZ7P+4+ybhqoaAAUmURojSR5XbGfjC4f2i8gMqfY+RI9JvfdCA6PSh9TduXfUxA==" saltValue="5TPtLq2WoiRSae/yaDPnTw==" spinCount="100000" sqref="CE2006:CF2006" name="Rango2_99_11_13"/>
    <protectedRange algorithmName="SHA-512" hashValue="XZw03RosI/l0z9FxmTtF29EdZ7P+4+ybhqoaAAUmURojSR5XbGfjC4f2i8gMqfY+RI9JvfdCA6PSh9TduXfUxA==" saltValue="5TPtLq2WoiRSae/yaDPnTw==" spinCount="100000" sqref="CJ2006:CK2006" name="Rango2_99_12_16"/>
    <protectedRange algorithmName="SHA-512" hashValue="XZw03RosI/l0z9FxmTtF29EdZ7P+4+ybhqoaAAUmURojSR5XbGfjC4f2i8gMqfY+RI9JvfdCA6PSh9TduXfUxA==" saltValue="5TPtLq2WoiRSae/yaDPnTw==" spinCount="100000" sqref="CP2006:CQ2006" name="Rango2_99_14_17"/>
    <protectedRange algorithmName="SHA-512" hashValue="XZw03RosI/l0z9FxmTtF29EdZ7P+4+ybhqoaAAUmURojSR5XbGfjC4f2i8gMqfY+RI9JvfdCA6PSh9TduXfUxA==" saltValue="5TPtLq2WoiRSae/yaDPnTw==" spinCount="100000" sqref="CS2006:CT2006" name="Rango2_99_15_17"/>
    <protectedRange algorithmName="SHA-512" hashValue="XZw03RosI/l0z9FxmTtF29EdZ7P+4+ybhqoaAAUmURojSR5XbGfjC4f2i8gMqfY+RI9JvfdCA6PSh9TduXfUxA==" saltValue="5TPtLq2WoiRSae/yaDPnTw==" spinCount="100000" sqref="DA2006:DN2006" name="Rango2_99_17_19"/>
    <protectedRange algorithmName="SHA-512" hashValue="XZw03RosI/l0z9FxmTtF29EdZ7P+4+ybhqoaAAUmURojSR5XbGfjC4f2i8gMqfY+RI9JvfdCA6PSh9TduXfUxA==" saltValue="5TPtLq2WoiRSae/yaDPnTw==" spinCount="100000" sqref="O2007" name="Rango2_99_2_18"/>
    <protectedRange algorithmName="SHA-512" hashValue="LEEeiU6pKqm7TAP46VGlz0q+evvFwpT/0iLpRuWuQ7MacbP0OGL1/FSmrIEOg2rb6M+Jla2bPbVWiGag27j87w==" saltValue="HEVt+pS5OloNDlqSnzGLLw==" spinCount="100000" sqref="AI2007" name="Rango2_8_7_1_17"/>
    <protectedRange algorithmName="SHA-512" hashValue="q2z5hEFmXS0v2chiPTC/VCoDWNlnhp+Xe6Ybfxe48vIsnB/KTJQxJv+pFUnCXfZ9T6vyJopuqFFNROfQTW/JUw==" saltValue="IctfdGJb5tOTpq+KPi9vww==" spinCount="100000" sqref="AE2007:AF2007" name="Rango2_88_39_1_16"/>
    <protectedRange algorithmName="SHA-512" hashValue="NUll9P9xh7KbSfMYpMxsRZLfDw/y/AzW2LSWlpXVscBDqiAxmzo71xjs+a2lh+jRa7pceOC849slke4+ZKx8LA==" saltValue="8qbkKpQ+CiQuLnqgShNvXA==" spinCount="100000" sqref="T2007" name="Rango2_88_6_1_15"/>
    <protectedRange algorithmName="SHA-512" hashValue="XZw03RosI/l0z9FxmTtF29EdZ7P+4+ybhqoaAAUmURojSR5XbGfjC4f2i8gMqfY+RI9JvfdCA6PSh9TduXfUxA==" saltValue="5TPtLq2WoiRSae/yaDPnTw==" spinCount="100000" sqref="R2007:S2007 U2007:AA2007" name="Rango2_99_4_19"/>
    <protectedRange algorithmName="SHA-512" hashValue="AYYX88LSDB6RDNMvSqt0KPGWPjBqTk56tMxTOlv5QD61MGTKAAQnSnudvNDWPN0Bbllh2qRQC+P5uq7goxjdrw==" saltValue="i/iPMewnks1FoXYOjKMEVg==" spinCount="100000" sqref="AB2007" name="Rango2_87_6_2_2"/>
    <protectedRange algorithmName="SHA-512" hashValue="fMbmUM1DQ7FuAPRNvFL5mPdHUYjQnlLFhkuaxvHguaqR7aWyDxcmJs0jLYQfQKY+oyhsMb4Lew4VL6i7um3/ew==" saltValue="ydaTm0CeH8+/cYqoL/AMaQ==" spinCount="100000" sqref="AU2007 AW2007:AZ2007" name="Rango2_88_91_1_18"/>
    <protectedRange algorithmName="SHA-512" hashValue="CHipOQaT63FWw628cQcXXJRZlrbNZ7OgmnEbDx38UmmH7z19GRYEzXFiVOzHAy1OAaAbST7g2bHZHDKQp2qm3w==" saltValue="iRVuL+373yLHv0ZHzS9qog==" spinCount="100000" sqref="AL2007" name="Rango2_88_7_5_2_13"/>
    <protectedRange algorithmName="SHA-512" hashValue="NkG6oHuDGvGBEiLAAq8MEJHEfLQUMyjihfH+DBXhT+eQW0r1yri7tOJEFRM9nbOejjjXiviq9RFo7KB7wF+xJA==" saltValue="bpjB0AAANu2X/PeR3eiFkA==" spinCount="100000" sqref="AM2007:AS2007" name="Rango2_88_65_1_15"/>
    <protectedRange algorithmName="SHA-512" hashValue="RQ91b7oAw60DVtcgB2vRpial2kSdzJx5guGCTYUwXYkKrtrUHfiYnLf9R+SNpYXlJDYpyEJLhcWwP0EqNN86dQ==" saltValue="W3RbH3zrcY9sy39xNwXNxg==" spinCount="100000" sqref="BV2007:BY2007" name="Rango2_88_99_2_15"/>
    <protectedRange algorithmName="SHA-512" hashValue="XZw03RosI/l0z9FxmTtF29EdZ7P+4+ybhqoaAAUmURojSR5XbGfjC4f2i8gMqfY+RI9JvfdCA6PSh9TduXfUxA==" saltValue="5TPtLq2WoiRSae/yaDPnTw==" spinCount="100000" sqref="BZ2007:CB2007 BR2007:BU2007" name="Rango2_99_10_16"/>
    <protectedRange algorithmName="SHA-512" hashValue="XZw03RosI/l0z9FxmTtF29EdZ7P+4+ybhqoaAAUmURojSR5XbGfjC4f2i8gMqfY+RI9JvfdCA6PSh9TduXfUxA==" saltValue="5TPtLq2WoiRSae/yaDPnTw==" spinCount="100000" sqref="CE2007:CF2007" name="Rango2_99_11_14"/>
    <protectedRange algorithmName="SHA-512" hashValue="XZw03RosI/l0z9FxmTtF29EdZ7P+4+ybhqoaAAUmURojSR5XbGfjC4f2i8gMqfY+RI9JvfdCA6PSh9TduXfUxA==" saltValue="5TPtLq2WoiRSae/yaDPnTw==" spinCount="100000" sqref="CJ2007:CK2007" name="Rango2_99_12_17"/>
    <protectedRange algorithmName="SHA-512" hashValue="XZw03RosI/l0z9FxmTtF29EdZ7P+4+ybhqoaAAUmURojSR5XbGfjC4f2i8gMqfY+RI9JvfdCA6PSh9TduXfUxA==" saltValue="5TPtLq2WoiRSae/yaDPnTw==" spinCount="100000" sqref="CP2007:CQ2007" name="Rango2_99_14_19"/>
    <protectedRange algorithmName="SHA-512" hashValue="XZw03RosI/l0z9FxmTtF29EdZ7P+4+ybhqoaAAUmURojSR5XbGfjC4f2i8gMqfY+RI9JvfdCA6PSh9TduXfUxA==" saltValue="5TPtLq2WoiRSae/yaDPnTw==" spinCount="100000" sqref="CS2007:CT2007" name="Rango2_99_15_18"/>
    <protectedRange algorithmName="SHA-512" hashValue="XZw03RosI/l0z9FxmTtF29EdZ7P+4+ybhqoaAAUmURojSR5XbGfjC4f2i8gMqfY+RI9JvfdCA6PSh9TduXfUxA==" saltValue="5TPtLq2WoiRSae/yaDPnTw==" spinCount="100000" sqref="DA2007:DN2007" name="Rango2_99_17_20"/>
    <protectedRange algorithmName="SHA-512" hashValue="XZw03RosI/l0z9FxmTtF29EdZ7P+4+ybhqoaAAUmURojSR5XbGfjC4f2i8gMqfY+RI9JvfdCA6PSh9TduXfUxA==" saltValue="5TPtLq2WoiRSae/yaDPnTw==" spinCount="100000" sqref="O2008:O2010" name="Rango2_99_2_19"/>
    <protectedRange algorithmName="SHA-512" hashValue="fPHvtIAf3pQeZUoAI9C2/vdXMHBpqqEq+67P5Ypyu4+9IWqs3yc9TZcMWQ0THLxUwqseQPyVvakuYFtCwJHsxA==" saltValue="QHIogSs2PrwAfdqa9PAOFQ==" spinCount="100000" sqref="AC2008:AC2010" name="Rango2_88_5_5_1_15"/>
    <protectedRange algorithmName="SHA-512" hashValue="LEEeiU6pKqm7TAP46VGlz0q+evvFwpT/0iLpRuWuQ7MacbP0OGL1/FSmrIEOg2rb6M+Jla2bPbVWiGag27j87w==" saltValue="HEVt+pS5OloNDlqSnzGLLw==" spinCount="100000" sqref="AI2008:AI2010" name="Rango2_8_7_1_18"/>
    <protectedRange algorithmName="SHA-512" hashValue="q2z5hEFmXS0v2chiPTC/VCoDWNlnhp+Xe6Ybfxe48vIsnB/KTJQxJv+pFUnCXfZ9T6vyJopuqFFNROfQTW/JUw==" saltValue="IctfdGJb5tOTpq+KPi9vww==" spinCount="100000" sqref="AE2008:AF2010" name="Rango2_88_39_1_17"/>
    <protectedRange algorithmName="SHA-512" hashValue="NUll9P9xh7KbSfMYpMxsRZLfDw/y/AzW2LSWlpXVscBDqiAxmzo71xjs+a2lh+jRa7pceOC849slke4+ZKx8LA==" saltValue="8qbkKpQ+CiQuLnqgShNvXA==" spinCount="100000" sqref="T2008:T2010" name="Rango2_88_6_1_16"/>
    <protectedRange algorithmName="SHA-512" hashValue="XZw03RosI/l0z9FxmTtF29EdZ7P+4+ybhqoaAAUmURojSR5XbGfjC4f2i8gMqfY+RI9JvfdCA6PSh9TduXfUxA==" saltValue="5TPtLq2WoiRSae/yaDPnTw==" spinCount="100000" sqref="R2008:S2010 U2008:X2010 Z2008:AA2010" name="Rango2_99_4_20"/>
    <protectedRange algorithmName="SHA-512" hashValue="AYYX88LSDB6RDNMvSqt0KPGWPjBqTk56tMxTOlv5QD61MGTKAAQnSnudvNDWPN0Bbllh2qRQC+P5uq7goxjdrw==" saltValue="i/iPMewnks1FoXYOjKMEVg==" spinCount="100000" sqref="AB2008" name="Rango2_87_6_1_1_1"/>
    <protectedRange algorithmName="SHA-512" hashValue="XZw03RosI/l0z9FxmTtF29EdZ7P+4+ybhqoaAAUmURojSR5XbGfjC4f2i8gMqfY+RI9JvfdCA6PSh9TduXfUxA==" saltValue="5TPtLq2WoiRSae/yaDPnTw==" spinCount="100000" sqref="Y2009:Y2010" name="Rango2_99_2_2_1"/>
    <protectedRange algorithmName="SHA-512" hashValue="AYYX88LSDB6RDNMvSqt0KPGWPjBqTk56tMxTOlv5QD61MGTKAAQnSnudvNDWPN0Bbllh2qRQC+P5uq7goxjdrw==" saltValue="i/iPMewnks1FoXYOjKMEVg==" spinCount="100000" sqref="AB2009:AB2010" name="Rango2_87_6_2_1_1"/>
    <protectedRange algorithmName="SHA-512" hashValue="fMbmUM1DQ7FuAPRNvFL5mPdHUYjQnlLFhkuaxvHguaqR7aWyDxcmJs0jLYQfQKY+oyhsMb4Lew4VL6i7um3/ew==" saltValue="ydaTm0CeH8+/cYqoL/AMaQ==" spinCount="100000" sqref="AU2008:AU2010 AW2008:AZ2010" name="Rango2_88_91_1_19"/>
    <protectedRange algorithmName="SHA-512" hashValue="CHipOQaT63FWw628cQcXXJRZlrbNZ7OgmnEbDx38UmmH7z19GRYEzXFiVOzHAy1OAaAbST7g2bHZHDKQp2qm3w==" saltValue="iRVuL+373yLHv0ZHzS9qog==" spinCount="100000" sqref="AL2008:AL2010" name="Rango2_88_7_5_2_14"/>
    <protectedRange algorithmName="SHA-512" hashValue="NkG6oHuDGvGBEiLAAq8MEJHEfLQUMyjihfH+DBXhT+eQW0r1yri7tOJEFRM9nbOejjjXiviq9RFo7KB7wF+xJA==" saltValue="bpjB0AAANu2X/PeR3eiFkA==" spinCount="100000" sqref="AM2008:AS2010" name="Rango2_88_65_1_16"/>
    <protectedRange algorithmName="SHA-512" hashValue="RQ91b7oAw60DVtcgB2vRpial2kSdzJx5guGCTYUwXYkKrtrUHfiYnLf9R+SNpYXlJDYpyEJLhcWwP0EqNN86dQ==" saltValue="W3RbH3zrcY9sy39xNwXNxg==" spinCount="100000" sqref="BV2008:BY2010" name="Rango2_88_99_2_16"/>
    <protectedRange algorithmName="SHA-512" hashValue="XZw03RosI/l0z9FxmTtF29EdZ7P+4+ybhqoaAAUmURojSR5XbGfjC4f2i8gMqfY+RI9JvfdCA6PSh9TduXfUxA==" saltValue="5TPtLq2WoiRSae/yaDPnTw==" spinCount="100000" sqref="BZ2008:CB2010 BR2008:BU2010" name="Rango2_99_10_17"/>
    <protectedRange algorithmName="SHA-512" hashValue="XZw03RosI/l0z9FxmTtF29EdZ7P+4+ybhqoaAAUmURojSR5XbGfjC4f2i8gMqfY+RI9JvfdCA6PSh9TduXfUxA==" saltValue="5TPtLq2WoiRSae/yaDPnTw==" spinCount="100000" sqref="CE2008:CF2010" name="Rango2_99_11_15"/>
    <protectedRange algorithmName="SHA-512" hashValue="XZw03RosI/l0z9FxmTtF29EdZ7P+4+ybhqoaAAUmURojSR5XbGfjC4f2i8gMqfY+RI9JvfdCA6PSh9TduXfUxA==" saltValue="5TPtLq2WoiRSae/yaDPnTw==" spinCount="100000" sqref="CJ2008:CK2010" name="Rango2_99_12_18"/>
    <protectedRange algorithmName="SHA-512" hashValue="XZw03RosI/l0z9FxmTtF29EdZ7P+4+ybhqoaAAUmURojSR5XbGfjC4f2i8gMqfY+RI9JvfdCA6PSh9TduXfUxA==" saltValue="5TPtLq2WoiRSae/yaDPnTw==" spinCount="100000" sqref="CP2008:CQ2010" name="Rango2_99_14_20"/>
    <protectedRange algorithmName="SHA-512" hashValue="XZw03RosI/l0z9FxmTtF29EdZ7P+4+ybhqoaAAUmURojSR5XbGfjC4f2i8gMqfY+RI9JvfdCA6PSh9TduXfUxA==" saltValue="5TPtLq2WoiRSae/yaDPnTw==" spinCount="100000" sqref="CS2008:CT2010" name="Rango2_99_15_19"/>
    <protectedRange algorithmName="SHA-512" hashValue="XZw03RosI/l0z9FxmTtF29EdZ7P+4+ybhqoaAAUmURojSR5XbGfjC4f2i8gMqfY+RI9JvfdCA6PSh9TduXfUxA==" saltValue="5TPtLq2WoiRSae/yaDPnTw==" spinCount="100000" sqref="DA2008:DN2010" name="Rango2_99_17_21"/>
    <protectedRange algorithmName="SHA-512" hashValue="XZw03RosI/l0z9FxmTtF29EdZ7P+4+ybhqoaAAUmURojSR5XbGfjC4f2i8gMqfY+RI9JvfdCA6PSh9TduXfUxA==" saltValue="5TPtLq2WoiRSae/yaDPnTw==" spinCount="100000" sqref="O2011" name="Rango2_99_2_20"/>
    <protectedRange algorithmName="SHA-512" hashValue="fPHvtIAf3pQeZUoAI9C2/vdXMHBpqqEq+67P5Ypyu4+9IWqs3yc9TZcMWQ0THLxUwqseQPyVvakuYFtCwJHsxA==" saltValue="QHIogSs2PrwAfdqa9PAOFQ==" spinCount="100000" sqref="AC2011" name="Rango2_88_5_5_1_16"/>
    <protectedRange algorithmName="SHA-512" hashValue="LEEeiU6pKqm7TAP46VGlz0q+evvFwpT/0iLpRuWuQ7MacbP0OGL1/FSmrIEOg2rb6M+Jla2bPbVWiGag27j87w==" saltValue="HEVt+pS5OloNDlqSnzGLLw==" spinCount="100000" sqref="AI2011" name="Rango2_8_7_1_19"/>
    <protectedRange algorithmName="SHA-512" hashValue="q2z5hEFmXS0v2chiPTC/VCoDWNlnhp+Xe6Ybfxe48vIsnB/KTJQxJv+pFUnCXfZ9T6vyJopuqFFNROfQTW/JUw==" saltValue="IctfdGJb5tOTpq+KPi9vww==" spinCount="100000" sqref="AE2011:AF2011" name="Rango2_88_39_1_18"/>
    <protectedRange algorithmName="SHA-512" hashValue="NUll9P9xh7KbSfMYpMxsRZLfDw/y/AzW2LSWlpXVscBDqiAxmzo71xjs+a2lh+jRa7pceOC849slke4+ZKx8LA==" saltValue="8qbkKpQ+CiQuLnqgShNvXA==" spinCount="100000" sqref="T2011" name="Rango2_88_6_1_17"/>
    <protectedRange algorithmName="SHA-512" hashValue="XZw03RosI/l0z9FxmTtF29EdZ7P+4+ybhqoaAAUmURojSR5XbGfjC4f2i8gMqfY+RI9JvfdCA6PSh9TduXfUxA==" saltValue="5TPtLq2WoiRSae/yaDPnTw==" spinCount="100000" sqref="R2011:S2011 U2011:X2011 Z2011:AA2011" name="Rango2_99_4_21"/>
    <protectedRange algorithmName="SHA-512" hashValue="AYYX88LSDB6RDNMvSqt0KPGWPjBqTk56tMxTOlv5QD61MGTKAAQnSnudvNDWPN0Bbllh2qRQC+P5uq7goxjdrw==" saltValue="i/iPMewnks1FoXYOjKMEVg==" spinCount="100000" sqref="AB2011" name="Rango2_87_6_1_1_2"/>
    <protectedRange algorithmName="SHA-512" hashValue="fMbmUM1DQ7FuAPRNvFL5mPdHUYjQnlLFhkuaxvHguaqR7aWyDxcmJs0jLYQfQKY+oyhsMb4Lew4VL6i7um3/ew==" saltValue="ydaTm0CeH8+/cYqoL/AMaQ==" spinCount="100000" sqref="AU2011 AW2011:AZ2011" name="Rango2_88_91_1_20"/>
    <protectedRange algorithmName="SHA-512" hashValue="CHipOQaT63FWw628cQcXXJRZlrbNZ7OgmnEbDx38UmmH7z19GRYEzXFiVOzHAy1OAaAbST7g2bHZHDKQp2qm3w==" saltValue="iRVuL+373yLHv0ZHzS9qog==" spinCount="100000" sqref="AL2011" name="Rango2_88_7_5_2_15"/>
    <protectedRange algorithmName="SHA-512" hashValue="NkG6oHuDGvGBEiLAAq8MEJHEfLQUMyjihfH+DBXhT+eQW0r1yri7tOJEFRM9nbOejjjXiviq9RFo7KB7wF+xJA==" saltValue="bpjB0AAANu2X/PeR3eiFkA==" spinCount="100000" sqref="AM2011:AS2011" name="Rango2_88_65_1_17"/>
    <protectedRange algorithmName="SHA-512" hashValue="RQ91b7oAw60DVtcgB2vRpial2kSdzJx5guGCTYUwXYkKrtrUHfiYnLf9R+SNpYXlJDYpyEJLhcWwP0EqNN86dQ==" saltValue="W3RbH3zrcY9sy39xNwXNxg==" spinCount="100000" sqref="BV2011:BY2011" name="Rango2_88_99_2_17"/>
    <protectedRange algorithmName="SHA-512" hashValue="XZw03RosI/l0z9FxmTtF29EdZ7P+4+ybhqoaAAUmURojSR5XbGfjC4f2i8gMqfY+RI9JvfdCA6PSh9TduXfUxA==" saltValue="5TPtLq2WoiRSae/yaDPnTw==" spinCount="100000" sqref="BZ2011:CB2011 BR2011:BU2011" name="Rango2_99_10_18"/>
    <protectedRange algorithmName="SHA-512" hashValue="XZw03RosI/l0z9FxmTtF29EdZ7P+4+ybhqoaAAUmURojSR5XbGfjC4f2i8gMqfY+RI9JvfdCA6PSh9TduXfUxA==" saltValue="5TPtLq2WoiRSae/yaDPnTw==" spinCount="100000" sqref="CE2011:CF2011" name="Rango2_99_11_16"/>
    <protectedRange algorithmName="SHA-512" hashValue="XZw03RosI/l0z9FxmTtF29EdZ7P+4+ybhqoaAAUmURojSR5XbGfjC4f2i8gMqfY+RI9JvfdCA6PSh9TduXfUxA==" saltValue="5TPtLq2WoiRSae/yaDPnTw==" spinCount="100000" sqref="CJ2011:CK2011" name="Rango2_99_12_19"/>
    <protectedRange algorithmName="SHA-512" hashValue="XZw03RosI/l0z9FxmTtF29EdZ7P+4+ybhqoaAAUmURojSR5XbGfjC4f2i8gMqfY+RI9JvfdCA6PSh9TduXfUxA==" saltValue="5TPtLq2WoiRSae/yaDPnTw==" spinCount="100000" sqref="CP2011:CQ2011" name="Rango2_99_14_21"/>
    <protectedRange algorithmName="SHA-512" hashValue="XZw03RosI/l0z9FxmTtF29EdZ7P+4+ybhqoaAAUmURojSR5XbGfjC4f2i8gMqfY+RI9JvfdCA6PSh9TduXfUxA==" saltValue="5TPtLq2WoiRSae/yaDPnTw==" spinCount="100000" sqref="CS2011:CT2011" name="Rango2_99_15_20"/>
    <protectedRange algorithmName="SHA-512" hashValue="XZw03RosI/l0z9FxmTtF29EdZ7P+4+ybhqoaAAUmURojSR5XbGfjC4f2i8gMqfY+RI9JvfdCA6PSh9TduXfUxA==" saltValue="5TPtLq2WoiRSae/yaDPnTw==" spinCount="100000" sqref="DA2011:DN2011" name="Rango2_99_17_22"/>
    <protectedRange algorithmName="SHA-512" hashValue="XZw03RosI/l0z9FxmTtF29EdZ7P+4+ybhqoaAAUmURojSR5XbGfjC4f2i8gMqfY+RI9JvfdCA6PSh9TduXfUxA==" saltValue="5TPtLq2WoiRSae/yaDPnTw==" spinCount="100000" sqref="O2012:O2013" name="Rango2_99_2_21"/>
    <protectedRange algorithmName="SHA-512" hashValue="fPHvtIAf3pQeZUoAI9C2/vdXMHBpqqEq+67P5Ypyu4+9IWqs3yc9TZcMWQ0THLxUwqseQPyVvakuYFtCwJHsxA==" saltValue="QHIogSs2PrwAfdqa9PAOFQ==" spinCount="100000" sqref="AC2012:AC2013" name="Rango2_88_5_5_1_17"/>
    <protectedRange algorithmName="SHA-512" hashValue="LEEeiU6pKqm7TAP46VGlz0q+evvFwpT/0iLpRuWuQ7MacbP0OGL1/FSmrIEOg2rb6M+Jla2bPbVWiGag27j87w==" saltValue="HEVt+pS5OloNDlqSnzGLLw==" spinCount="100000" sqref="AI2012:AI2013" name="Rango2_8_7_1_20"/>
    <protectedRange algorithmName="SHA-512" hashValue="q2z5hEFmXS0v2chiPTC/VCoDWNlnhp+Xe6Ybfxe48vIsnB/KTJQxJv+pFUnCXfZ9T6vyJopuqFFNROfQTW/JUw==" saltValue="IctfdGJb5tOTpq+KPi9vww==" spinCount="100000" sqref="AE2012:AF2013" name="Rango2_88_39_1_19"/>
    <protectedRange algorithmName="SHA-512" hashValue="NUll9P9xh7KbSfMYpMxsRZLfDw/y/AzW2LSWlpXVscBDqiAxmzo71xjs+a2lh+jRa7pceOC849slke4+ZKx8LA==" saltValue="8qbkKpQ+CiQuLnqgShNvXA==" spinCount="100000" sqref="T2012:T2013" name="Rango2_88_6_1_18"/>
    <protectedRange algorithmName="SHA-512" hashValue="XZw03RosI/l0z9FxmTtF29EdZ7P+4+ybhqoaAAUmURojSR5XbGfjC4f2i8gMqfY+RI9JvfdCA6PSh9TduXfUxA==" saltValue="5TPtLq2WoiRSae/yaDPnTw==" spinCount="100000" sqref="R2012:S2013 U2012:X2013 Z2012:AA2013" name="Rango2_99_4_22"/>
    <protectedRange algorithmName="SHA-512" hashValue="fMbmUM1DQ7FuAPRNvFL5mPdHUYjQnlLFhkuaxvHguaqR7aWyDxcmJs0jLYQfQKY+oyhsMb4Lew4VL6i7um3/ew==" saltValue="ydaTm0CeH8+/cYqoL/AMaQ==" spinCount="100000" sqref="AU2012:AU2013 AW2012:AZ2013" name="Rango2_88_91_1_21"/>
    <protectedRange algorithmName="SHA-512" hashValue="CHipOQaT63FWw628cQcXXJRZlrbNZ7OgmnEbDx38UmmH7z19GRYEzXFiVOzHAy1OAaAbST7g2bHZHDKQp2qm3w==" saltValue="iRVuL+373yLHv0ZHzS9qog==" spinCount="100000" sqref="AL2012:AL2013" name="Rango2_88_7_5_2_16"/>
    <protectedRange algorithmName="SHA-512" hashValue="NkG6oHuDGvGBEiLAAq8MEJHEfLQUMyjihfH+DBXhT+eQW0r1yri7tOJEFRM9nbOejjjXiviq9RFo7KB7wF+xJA==" saltValue="bpjB0AAANu2X/PeR3eiFkA==" spinCount="100000" sqref="AM2012:AS2013" name="Rango2_88_65_1_18"/>
    <protectedRange algorithmName="SHA-512" hashValue="RQ91b7oAw60DVtcgB2vRpial2kSdzJx5guGCTYUwXYkKrtrUHfiYnLf9R+SNpYXlJDYpyEJLhcWwP0EqNN86dQ==" saltValue="W3RbH3zrcY9sy39xNwXNxg==" spinCount="100000" sqref="BV2012:BY2013" name="Rango2_88_99_2_18"/>
    <protectedRange algorithmName="SHA-512" hashValue="XZw03RosI/l0z9FxmTtF29EdZ7P+4+ybhqoaAAUmURojSR5XbGfjC4f2i8gMqfY+RI9JvfdCA6PSh9TduXfUxA==" saltValue="5TPtLq2WoiRSae/yaDPnTw==" spinCount="100000" sqref="BZ2012:CB2013 BR2012:BU2013" name="Rango2_99_10_19"/>
    <protectedRange algorithmName="SHA-512" hashValue="XZw03RosI/l0z9FxmTtF29EdZ7P+4+ybhqoaAAUmURojSR5XbGfjC4f2i8gMqfY+RI9JvfdCA6PSh9TduXfUxA==" saltValue="5TPtLq2WoiRSae/yaDPnTw==" spinCount="100000" sqref="CE2012:CF2013" name="Rango2_99_11_17"/>
    <protectedRange algorithmName="SHA-512" hashValue="XZw03RosI/l0z9FxmTtF29EdZ7P+4+ybhqoaAAUmURojSR5XbGfjC4f2i8gMqfY+RI9JvfdCA6PSh9TduXfUxA==" saltValue="5TPtLq2WoiRSae/yaDPnTw==" spinCount="100000" sqref="CJ2012:CK2013" name="Rango2_99_12_20"/>
    <protectedRange algorithmName="SHA-512" hashValue="XZw03RosI/l0z9FxmTtF29EdZ7P+4+ybhqoaAAUmURojSR5XbGfjC4f2i8gMqfY+RI9JvfdCA6PSh9TduXfUxA==" saltValue="5TPtLq2WoiRSae/yaDPnTw==" spinCount="100000" sqref="CP2012:CQ2013" name="Rango2_99_14_22"/>
    <protectedRange algorithmName="SHA-512" hashValue="XZw03RosI/l0z9FxmTtF29EdZ7P+4+ybhqoaAAUmURojSR5XbGfjC4f2i8gMqfY+RI9JvfdCA6PSh9TduXfUxA==" saltValue="5TPtLq2WoiRSae/yaDPnTw==" spinCount="100000" sqref="CS2012:CT2013" name="Rango2_99_15_21"/>
    <protectedRange algorithmName="SHA-512" hashValue="XZw03RosI/l0z9FxmTtF29EdZ7P+4+ybhqoaAAUmURojSR5XbGfjC4f2i8gMqfY+RI9JvfdCA6PSh9TduXfUxA==" saltValue="5TPtLq2WoiRSae/yaDPnTw==" spinCount="100000" sqref="DA2012:DN2013" name="Rango2_99_17_23"/>
    <protectedRange algorithmName="SHA-512" hashValue="XZw03RosI/l0z9FxmTtF29EdZ7P+4+ybhqoaAAUmURojSR5XbGfjC4f2i8gMqfY+RI9JvfdCA6PSh9TduXfUxA==" saltValue="5TPtLq2WoiRSae/yaDPnTw==" spinCount="100000" sqref="O2014" name="Rango2_99_2_22"/>
    <protectedRange algorithmName="SHA-512" hashValue="fPHvtIAf3pQeZUoAI9C2/vdXMHBpqqEq+67P5Ypyu4+9IWqs3yc9TZcMWQ0THLxUwqseQPyVvakuYFtCwJHsxA==" saltValue="QHIogSs2PrwAfdqa9PAOFQ==" spinCount="100000" sqref="AC2014" name="Rango2_88_5_5_1_18"/>
    <protectedRange algorithmName="SHA-512" hashValue="LEEeiU6pKqm7TAP46VGlz0q+evvFwpT/0iLpRuWuQ7MacbP0OGL1/FSmrIEOg2rb6M+Jla2bPbVWiGag27j87w==" saltValue="HEVt+pS5OloNDlqSnzGLLw==" spinCount="100000" sqref="AI2014" name="Rango2_8_7_1_21"/>
    <protectedRange algorithmName="SHA-512" hashValue="q2z5hEFmXS0v2chiPTC/VCoDWNlnhp+Xe6Ybfxe48vIsnB/KTJQxJv+pFUnCXfZ9T6vyJopuqFFNROfQTW/JUw==" saltValue="IctfdGJb5tOTpq+KPi9vww==" spinCount="100000" sqref="AE2014:AF2014" name="Rango2_88_39_1_20"/>
    <protectedRange algorithmName="SHA-512" hashValue="NUll9P9xh7KbSfMYpMxsRZLfDw/y/AzW2LSWlpXVscBDqiAxmzo71xjs+a2lh+jRa7pceOC849slke4+ZKx8LA==" saltValue="8qbkKpQ+CiQuLnqgShNvXA==" spinCount="100000" sqref="T2014" name="Rango2_88_6_1_19"/>
    <protectedRange algorithmName="SHA-512" hashValue="XZw03RosI/l0z9FxmTtF29EdZ7P+4+ybhqoaAAUmURojSR5XbGfjC4f2i8gMqfY+RI9JvfdCA6PSh9TduXfUxA==" saltValue="5TPtLq2WoiRSae/yaDPnTw==" spinCount="100000" sqref="R2014:S2014 U2014:AA2014" name="Rango2_99_4_23"/>
    <protectedRange algorithmName="SHA-512" hashValue="fMbmUM1DQ7FuAPRNvFL5mPdHUYjQnlLFhkuaxvHguaqR7aWyDxcmJs0jLYQfQKY+oyhsMb4Lew4VL6i7um3/ew==" saltValue="ydaTm0CeH8+/cYqoL/AMaQ==" spinCount="100000" sqref="AU2014 AW2014:AZ2014" name="Rango2_88_91_1_22"/>
    <protectedRange algorithmName="SHA-512" hashValue="CHipOQaT63FWw628cQcXXJRZlrbNZ7OgmnEbDx38UmmH7z19GRYEzXFiVOzHAy1OAaAbST7g2bHZHDKQp2qm3w==" saltValue="iRVuL+373yLHv0ZHzS9qog==" spinCount="100000" sqref="AL2014" name="Rango2_88_7_5_2_17"/>
    <protectedRange algorithmName="SHA-512" hashValue="NkG6oHuDGvGBEiLAAq8MEJHEfLQUMyjihfH+DBXhT+eQW0r1yri7tOJEFRM9nbOejjjXiviq9RFo7KB7wF+xJA==" saltValue="bpjB0AAANu2X/PeR3eiFkA==" spinCount="100000" sqref="AM2014:AS2014" name="Rango2_88_65_1_19"/>
    <protectedRange algorithmName="SHA-512" hashValue="RQ91b7oAw60DVtcgB2vRpial2kSdzJx5guGCTYUwXYkKrtrUHfiYnLf9R+SNpYXlJDYpyEJLhcWwP0EqNN86dQ==" saltValue="W3RbH3zrcY9sy39xNwXNxg==" spinCount="100000" sqref="BV2014:BY2014" name="Rango2_88_99_2_19"/>
    <protectedRange algorithmName="SHA-512" hashValue="XZw03RosI/l0z9FxmTtF29EdZ7P+4+ybhqoaAAUmURojSR5XbGfjC4f2i8gMqfY+RI9JvfdCA6PSh9TduXfUxA==" saltValue="5TPtLq2WoiRSae/yaDPnTw==" spinCount="100000" sqref="BZ2014:CB2014 BR2014:BU2014" name="Rango2_99_10_20"/>
    <protectedRange algorithmName="SHA-512" hashValue="XZw03RosI/l0z9FxmTtF29EdZ7P+4+ybhqoaAAUmURojSR5XbGfjC4f2i8gMqfY+RI9JvfdCA6PSh9TduXfUxA==" saltValue="5TPtLq2WoiRSae/yaDPnTw==" spinCount="100000" sqref="CE2014:CF2014" name="Rango2_99_11_18"/>
    <protectedRange algorithmName="SHA-512" hashValue="XZw03RosI/l0z9FxmTtF29EdZ7P+4+ybhqoaAAUmURojSR5XbGfjC4f2i8gMqfY+RI9JvfdCA6PSh9TduXfUxA==" saltValue="5TPtLq2WoiRSae/yaDPnTw==" spinCount="100000" sqref="CJ2014:CK2014" name="Rango2_99_12_21"/>
    <protectedRange algorithmName="SHA-512" hashValue="XZw03RosI/l0z9FxmTtF29EdZ7P+4+ybhqoaAAUmURojSR5XbGfjC4f2i8gMqfY+RI9JvfdCA6PSh9TduXfUxA==" saltValue="5TPtLq2WoiRSae/yaDPnTw==" spinCount="100000" sqref="CP2014:CQ2014" name="Rango2_99_14_23"/>
    <protectedRange algorithmName="SHA-512" hashValue="XZw03RosI/l0z9FxmTtF29EdZ7P+4+ybhqoaAAUmURojSR5XbGfjC4f2i8gMqfY+RI9JvfdCA6PSh9TduXfUxA==" saltValue="5TPtLq2WoiRSae/yaDPnTw==" spinCount="100000" sqref="CS2014:CT2014" name="Rango2_99_15_22"/>
    <protectedRange algorithmName="SHA-512" hashValue="XZw03RosI/l0z9FxmTtF29EdZ7P+4+ybhqoaAAUmURojSR5XbGfjC4f2i8gMqfY+RI9JvfdCA6PSh9TduXfUxA==" saltValue="5TPtLq2WoiRSae/yaDPnTw==" spinCount="100000" sqref="DA2014:DN2014" name="Rango2_99_17_24"/>
    <protectedRange algorithmName="SHA-512" hashValue="XZw03RosI/l0z9FxmTtF29EdZ7P+4+ybhqoaAAUmURojSR5XbGfjC4f2i8gMqfY+RI9JvfdCA6PSh9TduXfUxA==" saltValue="5TPtLq2WoiRSae/yaDPnTw==" spinCount="100000" sqref="O2015" name="Rango2_99_2_23"/>
    <protectedRange algorithmName="SHA-512" hashValue="fPHvtIAf3pQeZUoAI9C2/vdXMHBpqqEq+67P5Ypyu4+9IWqs3yc9TZcMWQ0THLxUwqseQPyVvakuYFtCwJHsxA==" saltValue="QHIogSs2PrwAfdqa9PAOFQ==" spinCount="100000" sqref="AC2015" name="Rango2_88_5_5_1_19"/>
    <protectedRange algorithmName="SHA-512" hashValue="LEEeiU6pKqm7TAP46VGlz0q+evvFwpT/0iLpRuWuQ7MacbP0OGL1/FSmrIEOg2rb6M+Jla2bPbVWiGag27j87w==" saltValue="HEVt+pS5OloNDlqSnzGLLw==" spinCount="100000" sqref="AI2015" name="Rango2_8_7_1_22"/>
    <protectedRange algorithmName="SHA-512" hashValue="q2z5hEFmXS0v2chiPTC/VCoDWNlnhp+Xe6Ybfxe48vIsnB/KTJQxJv+pFUnCXfZ9T6vyJopuqFFNROfQTW/JUw==" saltValue="IctfdGJb5tOTpq+KPi9vww==" spinCount="100000" sqref="AE2015:AF2015" name="Rango2_88_39_1_21"/>
    <protectedRange algorithmName="SHA-512" hashValue="NUll9P9xh7KbSfMYpMxsRZLfDw/y/AzW2LSWlpXVscBDqiAxmzo71xjs+a2lh+jRa7pceOC849slke4+ZKx8LA==" saltValue="8qbkKpQ+CiQuLnqgShNvXA==" spinCount="100000" sqref="T2015" name="Rango2_88_6_1_20"/>
    <protectedRange algorithmName="SHA-512" hashValue="XZw03RosI/l0z9FxmTtF29EdZ7P+4+ybhqoaAAUmURojSR5XbGfjC4f2i8gMqfY+RI9JvfdCA6PSh9TduXfUxA==" saltValue="5TPtLq2WoiRSae/yaDPnTw==" spinCount="100000" sqref="R2015:S2015 U2015:X2015 Z2015:AA2015" name="Rango2_99_4_24"/>
    <protectedRange algorithmName="SHA-512" hashValue="XZw03RosI/l0z9FxmTtF29EdZ7P+4+ybhqoaAAUmURojSR5XbGfjC4f2i8gMqfY+RI9JvfdCA6PSh9TduXfUxA==" saltValue="5TPtLq2WoiRSae/yaDPnTw==" spinCount="100000" sqref="Y2015" name="Rango2_99_2_5_1"/>
    <protectedRange algorithmName="SHA-512" hashValue="fMbmUM1DQ7FuAPRNvFL5mPdHUYjQnlLFhkuaxvHguaqR7aWyDxcmJs0jLYQfQKY+oyhsMb4Lew4VL6i7um3/ew==" saltValue="ydaTm0CeH8+/cYqoL/AMaQ==" spinCount="100000" sqref="AU2015 AW2015:AZ2015" name="Rango2_88_91_1_23"/>
    <protectedRange algorithmName="SHA-512" hashValue="CHipOQaT63FWw628cQcXXJRZlrbNZ7OgmnEbDx38UmmH7z19GRYEzXFiVOzHAy1OAaAbST7g2bHZHDKQp2qm3w==" saltValue="iRVuL+373yLHv0ZHzS9qog==" spinCount="100000" sqref="AL2015" name="Rango2_88_7_5_2_18"/>
    <protectedRange algorithmName="SHA-512" hashValue="NkG6oHuDGvGBEiLAAq8MEJHEfLQUMyjihfH+DBXhT+eQW0r1yri7tOJEFRM9nbOejjjXiviq9RFo7KB7wF+xJA==" saltValue="bpjB0AAANu2X/PeR3eiFkA==" spinCount="100000" sqref="AM2015:AS2015" name="Rango2_88_65_1_20"/>
    <protectedRange algorithmName="SHA-512" hashValue="RQ91b7oAw60DVtcgB2vRpial2kSdzJx5guGCTYUwXYkKrtrUHfiYnLf9R+SNpYXlJDYpyEJLhcWwP0EqNN86dQ==" saltValue="W3RbH3zrcY9sy39xNwXNxg==" spinCount="100000" sqref="BV2015:BY2015" name="Rango2_88_99_2_20"/>
    <protectedRange algorithmName="SHA-512" hashValue="XZw03RosI/l0z9FxmTtF29EdZ7P+4+ybhqoaAAUmURojSR5XbGfjC4f2i8gMqfY+RI9JvfdCA6PSh9TduXfUxA==" saltValue="5TPtLq2WoiRSae/yaDPnTw==" spinCount="100000" sqref="BZ2015:CB2015 BR2015:BU2015" name="Rango2_99_10_21"/>
    <protectedRange algorithmName="SHA-512" hashValue="XZw03RosI/l0z9FxmTtF29EdZ7P+4+ybhqoaAAUmURojSR5XbGfjC4f2i8gMqfY+RI9JvfdCA6PSh9TduXfUxA==" saltValue="5TPtLq2WoiRSae/yaDPnTw==" spinCount="100000" sqref="CE2015:CF2015" name="Rango2_99_11_19"/>
    <protectedRange algorithmName="SHA-512" hashValue="XZw03RosI/l0z9FxmTtF29EdZ7P+4+ybhqoaAAUmURojSR5XbGfjC4f2i8gMqfY+RI9JvfdCA6PSh9TduXfUxA==" saltValue="5TPtLq2WoiRSae/yaDPnTw==" spinCount="100000" sqref="CJ2015:CK2015" name="Rango2_99_12_22"/>
    <protectedRange algorithmName="SHA-512" hashValue="XZw03RosI/l0z9FxmTtF29EdZ7P+4+ybhqoaAAUmURojSR5XbGfjC4f2i8gMqfY+RI9JvfdCA6PSh9TduXfUxA==" saltValue="5TPtLq2WoiRSae/yaDPnTw==" spinCount="100000" sqref="CP2015:CQ2015" name="Rango2_99_14_24"/>
    <protectedRange algorithmName="SHA-512" hashValue="XZw03RosI/l0z9FxmTtF29EdZ7P+4+ybhqoaAAUmURojSR5XbGfjC4f2i8gMqfY+RI9JvfdCA6PSh9TduXfUxA==" saltValue="5TPtLq2WoiRSae/yaDPnTw==" spinCount="100000" sqref="CS2015:CT2015" name="Rango2_99_15_23"/>
    <protectedRange algorithmName="SHA-512" hashValue="XZw03RosI/l0z9FxmTtF29EdZ7P+4+ybhqoaAAUmURojSR5XbGfjC4f2i8gMqfY+RI9JvfdCA6PSh9TduXfUxA==" saltValue="5TPtLq2WoiRSae/yaDPnTw==" spinCount="100000" sqref="DA2015:DN2015" name="Rango2_99_17_25"/>
    <protectedRange algorithmName="SHA-512" hashValue="XZw03RosI/l0z9FxmTtF29EdZ7P+4+ybhqoaAAUmURojSR5XbGfjC4f2i8gMqfY+RI9JvfdCA6PSh9TduXfUxA==" saltValue="5TPtLq2WoiRSae/yaDPnTw==" spinCount="100000" sqref="O2016" name="Rango2_99_2_24"/>
    <protectedRange algorithmName="SHA-512" hashValue="fPHvtIAf3pQeZUoAI9C2/vdXMHBpqqEq+67P5Ypyu4+9IWqs3yc9TZcMWQ0THLxUwqseQPyVvakuYFtCwJHsxA==" saltValue="QHIogSs2PrwAfdqa9PAOFQ==" spinCount="100000" sqref="AC2016" name="Rango2_88_5_5_1_20"/>
    <protectedRange algorithmName="SHA-512" hashValue="LEEeiU6pKqm7TAP46VGlz0q+evvFwpT/0iLpRuWuQ7MacbP0OGL1/FSmrIEOg2rb6M+Jla2bPbVWiGag27j87w==" saltValue="HEVt+pS5OloNDlqSnzGLLw==" spinCount="100000" sqref="AI2016" name="Rango2_8_7_1_23"/>
    <protectedRange algorithmName="SHA-512" hashValue="q2z5hEFmXS0v2chiPTC/VCoDWNlnhp+Xe6Ybfxe48vIsnB/KTJQxJv+pFUnCXfZ9T6vyJopuqFFNROfQTW/JUw==" saltValue="IctfdGJb5tOTpq+KPi9vww==" spinCount="100000" sqref="AE2016:AF2016" name="Rango2_88_39_1_22"/>
    <protectedRange algorithmName="SHA-512" hashValue="NUll9P9xh7KbSfMYpMxsRZLfDw/y/AzW2LSWlpXVscBDqiAxmzo71xjs+a2lh+jRa7pceOC849slke4+ZKx8LA==" saltValue="8qbkKpQ+CiQuLnqgShNvXA==" spinCount="100000" sqref="T2016" name="Rango2_88_6_1_21"/>
    <protectedRange algorithmName="SHA-512" hashValue="XZw03RosI/l0z9FxmTtF29EdZ7P+4+ybhqoaAAUmURojSR5XbGfjC4f2i8gMqfY+RI9JvfdCA6PSh9TduXfUxA==" saltValue="5TPtLq2WoiRSae/yaDPnTw==" spinCount="100000" sqref="R2016:S2016 U2016:X2016 Z2016:AA2016" name="Rango2_99_4_25"/>
    <protectedRange algorithmName="SHA-512" hashValue="XZw03RosI/l0z9FxmTtF29EdZ7P+4+ybhqoaAAUmURojSR5XbGfjC4f2i8gMqfY+RI9JvfdCA6PSh9TduXfUxA==" saltValue="5TPtLq2WoiRSae/yaDPnTw==" spinCount="100000" sqref="Y2016" name="Rango2_99_2_3_1"/>
    <protectedRange algorithmName="SHA-512" hashValue="fMbmUM1DQ7FuAPRNvFL5mPdHUYjQnlLFhkuaxvHguaqR7aWyDxcmJs0jLYQfQKY+oyhsMb4Lew4VL6i7um3/ew==" saltValue="ydaTm0CeH8+/cYqoL/AMaQ==" spinCount="100000" sqref="AU2016 AW2016:AZ2016" name="Rango2_88_91_1_24"/>
    <protectedRange algorithmName="SHA-512" hashValue="CHipOQaT63FWw628cQcXXJRZlrbNZ7OgmnEbDx38UmmH7z19GRYEzXFiVOzHAy1OAaAbST7g2bHZHDKQp2qm3w==" saltValue="iRVuL+373yLHv0ZHzS9qog==" spinCount="100000" sqref="AL2016" name="Rango2_88_7_5_2_19"/>
    <protectedRange algorithmName="SHA-512" hashValue="NkG6oHuDGvGBEiLAAq8MEJHEfLQUMyjihfH+DBXhT+eQW0r1yri7tOJEFRM9nbOejjjXiviq9RFo7KB7wF+xJA==" saltValue="bpjB0AAANu2X/PeR3eiFkA==" spinCount="100000" sqref="AM2016:AS2016" name="Rango2_88_65_1_21"/>
    <protectedRange algorithmName="SHA-512" hashValue="RQ91b7oAw60DVtcgB2vRpial2kSdzJx5guGCTYUwXYkKrtrUHfiYnLf9R+SNpYXlJDYpyEJLhcWwP0EqNN86dQ==" saltValue="W3RbH3zrcY9sy39xNwXNxg==" spinCount="100000" sqref="BV2016:BY2016" name="Rango2_88_99_2_21"/>
    <protectedRange algorithmName="SHA-512" hashValue="XZw03RosI/l0z9FxmTtF29EdZ7P+4+ybhqoaAAUmURojSR5XbGfjC4f2i8gMqfY+RI9JvfdCA6PSh9TduXfUxA==" saltValue="5TPtLq2WoiRSae/yaDPnTw==" spinCount="100000" sqref="BZ2016:CB2016 BR2016:BU2016" name="Rango2_99_10_22"/>
    <protectedRange algorithmName="SHA-512" hashValue="XZw03RosI/l0z9FxmTtF29EdZ7P+4+ybhqoaAAUmURojSR5XbGfjC4f2i8gMqfY+RI9JvfdCA6PSh9TduXfUxA==" saltValue="5TPtLq2WoiRSae/yaDPnTw==" spinCount="100000" sqref="CE2016:CF2016" name="Rango2_99_11_20"/>
    <protectedRange algorithmName="SHA-512" hashValue="XZw03RosI/l0z9FxmTtF29EdZ7P+4+ybhqoaAAUmURojSR5XbGfjC4f2i8gMqfY+RI9JvfdCA6PSh9TduXfUxA==" saltValue="5TPtLq2WoiRSae/yaDPnTw==" spinCount="100000" sqref="CJ2016:CK2016" name="Rango2_99_12_23"/>
    <protectedRange algorithmName="SHA-512" hashValue="XZw03RosI/l0z9FxmTtF29EdZ7P+4+ybhqoaAAUmURojSR5XbGfjC4f2i8gMqfY+RI9JvfdCA6PSh9TduXfUxA==" saltValue="5TPtLq2WoiRSae/yaDPnTw==" spinCount="100000" sqref="CP2016:CQ2016" name="Rango2_99_14_25"/>
    <protectedRange algorithmName="SHA-512" hashValue="XZw03RosI/l0z9FxmTtF29EdZ7P+4+ybhqoaAAUmURojSR5XbGfjC4f2i8gMqfY+RI9JvfdCA6PSh9TduXfUxA==" saltValue="5TPtLq2WoiRSae/yaDPnTw==" spinCount="100000" sqref="CS2016:CT2016" name="Rango2_99_15_24"/>
    <protectedRange algorithmName="SHA-512" hashValue="XZw03RosI/l0z9FxmTtF29EdZ7P+4+ybhqoaAAUmURojSR5XbGfjC4f2i8gMqfY+RI9JvfdCA6PSh9TduXfUxA==" saltValue="5TPtLq2WoiRSae/yaDPnTw==" spinCount="100000" sqref="DA2016:DN2016" name="Rango2_99_17_26"/>
    <protectedRange algorithmName="SHA-512" hashValue="XZw03RosI/l0z9FxmTtF29EdZ7P+4+ybhqoaAAUmURojSR5XbGfjC4f2i8gMqfY+RI9JvfdCA6PSh9TduXfUxA==" saltValue="5TPtLq2WoiRSae/yaDPnTw==" spinCount="100000" sqref="O2017" name="Rango2_99_2_25"/>
    <protectedRange algorithmName="SHA-512" hashValue="fPHvtIAf3pQeZUoAI9C2/vdXMHBpqqEq+67P5Ypyu4+9IWqs3yc9TZcMWQ0THLxUwqseQPyVvakuYFtCwJHsxA==" saltValue="QHIogSs2PrwAfdqa9PAOFQ==" spinCount="100000" sqref="AC2017" name="Rango2_88_5_5_1_21"/>
    <protectedRange algorithmName="SHA-512" hashValue="LEEeiU6pKqm7TAP46VGlz0q+evvFwpT/0iLpRuWuQ7MacbP0OGL1/FSmrIEOg2rb6M+Jla2bPbVWiGag27j87w==" saltValue="HEVt+pS5OloNDlqSnzGLLw==" spinCount="100000" sqref="AI2017" name="Rango2_8_7_1_24"/>
    <protectedRange algorithmName="SHA-512" hashValue="q2z5hEFmXS0v2chiPTC/VCoDWNlnhp+Xe6Ybfxe48vIsnB/KTJQxJv+pFUnCXfZ9T6vyJopuqFFNROfQTW/JUw==" saltValue="IctfdGJb5tOTpq+KPi9vww==" spinCount="100000" sqref="AE2017:AF2017" name="Rango2_88_39_1_23"/>
    <protectedRange algorithmName="SHA-512" hashValue="NUll9P9xh7KbSfMYpMxsRZLfDw/y/AzW2LSWlpXVscBDqiAxmzo71xjs+a2lh+jRa7pceOC849slke4+ZKx8LA==" saltValue="8qbkKpQ+CiQuLnqgShNvXA==" spinCount="100000" sqref="T2017" name="Rango2_88_6_1_22"/>
    <protectedRange algorithmName="SHA-512" hashValue="XZw03RosI/l0z9FxmTtF29EdZ7P+4+ybhqoaAAUmURojSR5XbGfjC4f2i8gMqfY+RI9JvfdCA6PSh9TduXfUxA==" saltValue="5TPtLq2WoiRSae/yaDPnTw==" spinCount="100000" sqref="R2017:S2017 U2017:X2017 Z2017:AA2017" name="Rango2_99_4_26"/>
    <protectedRange algorithmName="SHA-512" hashValue="XZw03RosI/l0z9FxmTtF29EdZ7P+4+ybhqoaAAUmURojSR5XbGfjC4f2i8gMqfY+RI9JvfdCA6PSh9TduXfUxA==" saltValue="5TPtLq2WoiRSae/yaDPnTw==" spinCount="100000" sqref="Y2017" name="Rango2_99_5_8"/>
    <protectedRange algorithmName="SHA-512" hashValue="fMbmUM1DQ7FuAPRNvFL5mPdHUYjQnlLFhkuaxvHguaqR7aWyDxcmJs0jLYQfQKY+oyhsMb4Lew4VL6i7um3/ew==" saltValue="ydaTm0CeH8+/cYqoL/AMaQ==" spinCount="100000" sqref="AU2017 AW2017:AZ2017" name="Rango2_88_91_1_25"/>
    <protectedRange algorithmName="SHA-512" hashValue="CHipOQaT63FWw628cQcXXJRZlrbNZ7OgmnEbDx38UmmH7z19GRYEzXFiVOzHAy1OAaAbST7g2bHZHDKQp2qm3w==" saltValue="iRVuL+373yLHv0ZHzS9qog==" spinCount="100000" sqref="AL2017" name="Rango2_88_7_5_2_20"/>
    <protectedRange algorithmName="SHA-512" hashValue="NkG6oHuDGvGBEiLAAq8MEJHEfLQUMyjihfH+DBXhT+eQW0r1yri7tOJEFRM9nbOejjjXiviq9RFo7KB7wF+xJA==" saltValue="bpjB0AAANu2X/PeR3eiFkA==" spinCount="100000" sqref="AM2017:AS2017" name="Rango2_88_65_1_22"/>
    <protectedRange algorithmName="SHA-512" hashValue="RQ91b7oAw60DVtcgB2vRpial2kSdzJx5guGCTYUwXYkKrtrUHfiYnLf9R+SNpYXlJDYpyEJLhcWwP0EqNN86dQ==" saltValue="W3RbH3zrcY9sy39xNwXNxg==" spinCount="100000" sqref="BV2017:BY2017" name="Rango2_88_99_2_22"/>
    <protectedRange algorithmName="SHA-512" hashValue="XZw03RosI/l0z9FxmTtF29EdZ7P+4+ybhqoaAAUmURojSR5XbGfjC4f2i8gMqfY+RI9JvfdCA6PSh9TduXfUxA==" saltValue="5TPtLq2WoiRSae/yaDPnTw==" spinCount="100000" sqref="BZ2017:CB2017 BR2017:BU2017" name="Rango2_99_10_23"/>
    <protectedRange algorithmName="SHA-512" hashValue="XZw03RosI/l0z9FxmTtF29EdZ7P+4+ybhqoaAAUmURojSR5XbGfjC4f2i8gMqfY+RI9JvfdCA6PSh9TduXfUxA==" saltValue="5TPtLq2WoiRSae/yaDPnTw==" spinCount="100000" sqref="CE2017:CF2017" name="Rango2_99_11_21"/>
    <protectedRange algorithmName="SHA-512" hashValue="XZw03RosI/l0z9FxmTtF29EdZ7P+4+ybhqoaAAUmURojSR5XbGfjC4f2i8gMqfY+RI9JvfdCA6PSh9TduXfUxA==" saltValue="5TPtLq2WoiRSae/yaDPnTw==" spinCount="100000" sqref="CJ2017:CK2017" name="Rango2_99_12_24"/>
    <protectedRange algorithmName="SHA-512" hashValue="XZw03RosI/l0z9FxmTtF29EdZ7P+4+ybhqoaAAUmURojSR5XbGfjC4f2i8gMqfY+RI9JvfdCA6PSh9TduXfUxA==" saltValue="5TPtLq2WoiRSae/yaDPnTw==" spinCount="100000" sqref="CP2017:CQ2017" name="Rango2_99_14_26"/>
    <protectedRange algorithmName="SHA-512" hashValue="XZw03RosI/l0z9FxmTtF29EdZ7P+4+ybhqoaAAUmURojSR5XbGfjC4f2i8gMqfY+RI9JvfdCA6PSh9TduXfUxA==" saltValue="5TPtLq2WoiRSae/yaDPnTw==" spinCount="100000" sqref="CS2017:CT2017" name="Rango2_99_15_25"/>
    <protectedRange algorithmName="SHA-512" hashValue="XZw03RosI/l0z9FxmTtF29EdZ7P+4+ybhqoaAAUmURojSR5XbGfjC4f2i8gMqfY+RI9JvfdCA6PSh9TduXfUxA==" saltValue="5TPtLq2WoiRSae/yaDPnTw==" spinCount="100000" sqref="DA2017:DN2017" name="Rango2_99_17_27"/>
    <protectedRange algorithmName="SHA-512" hashValue="XZw03RosI/l0z9FxmTtF29EdZ7P+4+ybhqoaAAUmURojSR5XbGfjC4f2i8gMqfY+RI9JvfdCA6PSh9TduXfUxA==" saltValue="5TPtLq2WoiRSae/yaDPnTw==" spinCount="100000" sqref="O2018" name="Rango2_99_2_26"/>
    <protectedRange algorithmName="SHA-512" hashValue="fPHvtIAf3pQeZUoAI9C2/vdXMHBpqqEq+67P5Ypyu4+9IWqs3yc9TZcMWQ0THLxUwqseQPyVvakuYFtCwJHsxA==" saltValue="QHIogSs2PrwAfdqa9PAOFQ==" spinCount="100000" sqref="AC2018" name="Rango2_88_5_5_1_22"/>
    <protectedRange algorithmName="SHA-512" hashValue="LEEeiU6pKqm7TAP46VGlz0q+evvFwpT/0iLpRuWuQ7MacbP0OGL1/FSmrIEOg2rb6M+Jla2bPbVWiGag27j87w==" saltValue="HEVt+pS5OloNDlqSnzGLLw==" spinCount="100000" sqref="AI2018" name="Rango2_8_7_1_25"/>
    <protectedRange algorithmName="SHA-512" hashValue="q2z5hEFmXS0v2chiPTC/VCoDWNlnhp+Xe6Ybfxe48vIsnB/KTJQxJv+pFUnCXfZ9T6vyJopuqFFNROfQTW/JUw==" saltValue="IctfdGJb5tOTpq+KPi9vww==" spinCount="100000" sqref="AE2018:AF2018" name="Rango2_88_39_1_24"/>
    <protectedRange algorithmName="SHA-512" hashValue="NUll9P9xh7KbSfMYpMxsRZLfDw/y/AzW2LSWlpXVscBDqiAxmzo71xjs+a2lh+jRa7pceOC849slke4+ZKx8LA==" saltValue="8qbkKpQ+CiQuLnqgShNvXA==" spinCount="100000" sqref="T2018" name="Rango2_88_6_1_23"/>
    <protectedRange algorithmName="SHA-512" hashValue="XZw03RosI/l0z9FxmTtF29EdZ7P+4+ybhqoaAAUmURojSR5XbGfjC4f2i8gMqfY+RI9JvfdCA6PSh9TduXfUxA==" saltValue="5TPtLq2WoiRSae/yaDPnTw==" spinCount="100000" sqref="R2018:S2018 U2018:AA2018" name="Rango2_99_4_27"/>
    <protectedRange algorithmName="SHA-512" hashValue="fMbmUM1DQ7FuAPRNvFL5mPdHUYjQnlLFhkuaxvHguaqR7aWyDxcmJs0jLYQfQKY+oyhsMb4Lew4VL6i7um3/ew==" saltValue="ydaTm0CeH8+/cYqoL/AMaQ==" spinCount="100000" sqref="AU2018 AW2018:AZ2018" name="Rango2_88_91_1_26"/>
    <protectedRange algorithmName="SHA-512" hashValue="CHipOQaT63FWw628cQcXXJRZlrbNZ7OgmnEbDx38UmmH7z19GRYEzXFiVOzHAy1OAaAbST7g2bHZHDKQp2qm3w==" saltValue="iRVuL+373yLHv0ZHzS9qog==" spinCount="100000" sqref="AL2018" name="Rango2_88_7_5_2_21"/>
    <protectedRange algorithmName="SHA-512" hashValue="NkG6oHuDGvGBEiLAAq8MEJHEfLQUMyjihfH+DBXhT+eQW0r1yri7tOJEFRM9nbOejjjXiviq9RFo7KB7wF+xJA==" saltValue="bpjB0AAANu2X/PeR3eiFkA==" spinCount="100000" sqref="AM2018:AS2018" name="Rango2_88_65_1_23"/>
    <protectedRange algorithmName="SHA-512" hashValue="RQ91b7oAw60DVtcgB2vRpial2kSdzJx5guGCTYUwXYkKrtrUHfiYnLf9R+SNpYXlJDYpyEJLhcWwP0EqNN86dQ==" saltValue="W3RbH3zrcY9sy39xNwXNxg==" spinCount="100000" sqref="BV2018:BY2018" name="Rango2_88_99_2_23"/>
    <protectedRange algorithmName="SHA-512" hashValue="XZw03RosI/l0z9FxmTtF29EdZ7P+4+ybhqoaAAUmURojSR5XbGfjC4f2i8gMqfY+RI9JvfdCA6PSh9TduXfUxA==" saltValue="5TPtLq2WoiRSae/yaDPnTw==" spinCount="100000" sqref="BZ2018:CB2018 BR2018:BU2018" name="Rango2_99_10_24"/>
    <protectedRange algorithmName="SHA-512" hashValue="XZw03RosI/l0z9FxmTtF29EdZ7P+4+ybhqoaAAUmURojSR5XbGfjC4f2i8gMqfY+RI9JvfdCA6PSh9TduXfUxA==" saltValue="5TPtLq2WoiRSae/yaDPnTw==" spinCount="100000" sqref="CE2018:CF2018" name="Rango2_99_11_22"/>
    <protectedRange algorithmName="SHA-512" hashValue="XZw03RosI/l0z9FxmTtF29EdZ7P+4+ybhqoaAAUmURojSR5XbGfjC4f2i8gMqfY+RI9JvfdCA6PSh9TduXfUxA==" saltValue="5TPtLq2WoiRSae/yaDPnTw==" spinCount="100000" sqref="CJ2018:CK2018" name="Rango2_99_12_25"/>
    <protectedRange algorithmName="SHA-512" hashValue="XZw03RosI/l0z9FxmTtF29EdZ7P+4+ybhqoaAAUmURojSR5XbGfjC4f2i8gMqfY+RI9JvfdCA6PSh9TduXfUxA==" saltValue="5TPtLq2WoiRSae/yaDPnTw==" spinCount="100000" sqref="CP2018:CQ2018" name="Rango2_99_14_27"/>
    <protectedRange algorithmName="SHA-512" hashValue="XZw03RosI/l0z9FxmTtF29EdZ7P+4+ybhqoaAAUmURojSR5XbGfjC4f2i8gMqfY+RI9JvfdCA6PSh9TduXfUxA==" saltValue="5TPtLq2WoiRSae/yaDPnTw==" spinCount="100000" sqref="CS2018:CT2018" name="Rango2_99_15_26"/>
    <protectedRange algorithmName="SHA-512" hashValue="XZw03RosI/l0z9FxmTtF29EdZ7P+4+ybhqoaAAUmURojSR5XbGfjC4f2i8gMqfY+RI9JvfdCA6PSh9TduXfUxA==" saltValue="5TPtLq2WoiRSae/yaDPnTw==" spinCount="100000" sqref="DA2018:DN2018" name="Rango2_99_17_28"/>
    <protectedRange algorithmName="SHA-512" hashValue="XZw03RosI/l0z9FxmTtF29EdZ7P+4+ybhqoaAAUmURojSR5XbGfjC4f2i8gMqfY+RI9JvfdCA6PSh9TduXfUxA==" saltValue="5TPtLq2WoiRSae/yaDPnTw==" spinCount="100000" sqref="O2019" name="Rango2_99_2_27"/>
    <protectedRange algorithmName="SHA-512" hashValue="fPHvtIAf3pQeZUoAI9C2/vdXMHBpqqEq+67P5Ypyu4+9IWqs3yc9TZcMWQ0THLxUwqseQPyVvakuYFtCwJHsxA==" saltValue="QHIogSs2PrwAfdqa9PAOFQ==" spinCount="100000" sqref="AC2019" name="Rango2_88_5_5_1_23"/>
    <protectedRange algorithmName="SHA-512" hashValue="LEEeiU6pKqm7TAP46VGlz0q+evvFwpT/0iLpRuWuQ7MacbP0OGL1/FSmrIEOg2rb6M+Jla2bPbVWiGag27j87w==" saltValue="HEVt+pS5OloNDlqSnzGLLw==" spinCount="100000" sqref="AI2019" name="Rango2_8_7_1_26"/>
    <protectedRange algorithmName="SHA-512" hashValue="q2z5hEFmXS0v2chiPTC/VCoDWNlnhp+Xe6Ybfxe48vIsnB/KTJQxJv+pFUnCXfZ9T6vyJopuqFFNROfQTW/JUw==" saltValue="IctfdGJb5tOTpq+KPi9vww==" spinCount="100000" sqref="AE2019:AF2019" name="Rango2_88_39_1_25"/>
    <protectedRange algorithmName="SHA-512" hashValue="NUll9P9xh7KbSfMYpMxsRZLfDw/y/AzW2LSWlpXVscBDqiAxmzo71xjs+a2lh+jRa7pceOC849slke4+ZKx8LA==" saltValue="8qbkKpQ+CiQuLnqgShNvXA==" spinCount="100000" sqref="T2019" name="Rango2_88_6_1_24"/>
    <protectedRange algorithmName="SHA-512" hashValue="XZw03RosI/l0z9FxmTtF29EdZ7P+4+ybhqoaAAUmURojSR5XbGfjC4f2i8gMqfY+RI9JvfdCA6PSh9TduXfUxA==" saltValue="5TPtLq2WoiRSae/yaDPnTw==" spinCount="100000" sqref="R2019:S2019 U2019:X2019 Z2019:AA2019" name="Rango2_99_4_28"/>
    <protectedRange algorithmName="SHA-512" hashValue="XZw03RosI/l0z9FxmTtF29EdZ7P+4+ybhqoaAAUmURojSR5XbGfjC4f2i8gMqfY+RI9JvfdCA6PSh9TduXfUxA==" saltValue="5TPtLq2WoiRSae/yaDPnTw==" spinCount="100000" sqref="Y2019" name="Rango2_99_3_1_1"/>
    <protectedRange algorithmName="SHA-512" hashValue="fMbmUM1DQ7FuAPRNvFL5mPdHUYjQnlLFhkuaxvHguaqR7aWyDxcmJs0jLYQfQKY+oyhsMb4Lew4VL6i7um3/ew==" saltValue="ydaTm0CeH8+/cYqoL/AMaQ==" spinCount="100000" sqref="AU2019 AW2019:AZ2019" name="Rango2_88_91_1_27"/>
    <protectedRange algorithmName="SHA-512" hashValue="CHipOQaT63FWw628cQcXXJRZlrbNZ7OgmnEbDx38UmmH7z19GRYEzXFiVOzHAy1OAaAbST7g2bHZHDKQp2qm3w==" saltValue="iRVuL+373yLHv0ZHzS9qog==" spinCount="100000" sqref="AL2019" name="Rango2_88_7_5_2_22"/>
    <protectedRange algorithmName="SHA-512" hashValue="NkG6oHuDGvGBEiLAAq8MEJHEfLQUMyjihfH+DBXhT+eQW0r1yri7tOJEFRM9nbOejjjXiviq9RFo7KB7wF+xJA==" saltValue="bpjB0AAANu2X/PeR3eiFkA==" spinCount="100000" sqref="AM2019:AS2019" name="Rango2_88_65_1_24"/>
    <protectedRange algorithmName="SHA-512" hashValue="RQ91b7oAw60DVtcgB2vRpial2kSdzJx5guGCTYUwXYkKrtrUHfiYnLf9R+SNpYXlJDYpyEJLhcWwP0EqNN86dQ==" saltValue="W3RbH3zrcY9sy39xNwXNxg==" spinCount="100000" sqref="BV2019:BY2019" name="Rango2_88_99_2_24"/>
    <protectedRange algorithmName="SHA-512" hashValue="XZw03RosI/l0z9FxmTtF29EdZ7P+4+ybhqoaAAUmURojSR5XbGfjC4f2i8gMqfY+RI9JvfdCA6PSh9TduXfUxA==" saltValue="5TPtLq2WoiRSae/yaDPnTw==" spinCount="100000" sqref="BZ2019:CB2019 BR2019:BU2019" name="Rango2_99_10_25"/>
    <protectedRange algorithmName="SHA-512" hashValue="XZw03RosI/l0z9FxmTtF29EdZ7P+4+ybhqoaAAUmURojSR5XbGfjC4f2i8gMqfY+RI9JvfdCA6PSh9TduXfUxA==" saltValue="5TPtLq2WoiRSae/yaDPnTw==" spinCount="100000" sqref="CE2019:CF2019" name="Rango2_99_11_23"/>
    <protectedRange algorithmName="SHA-512" hashValue="XZw03RosI/l0z9FxmTtF29EdZ7P+4+ybhqoaAAUmURojSR5XbGfjC4f2i8gMqfY+RI9JvfdCA6PSh9TduXfUxA==" saltValue="5TPtLq2WoiRSae/yaDPnTw==" spinCount="100000" sqref="CJ2019:CK2019" name="Rango2_99_12_26"/>
    <protectedRange algorithmName="SHA-512" hashValue="XZw03RosI/l0z9FxmTtF29EdZ7P+4+ybhqoaAAUmURojSR5XbGfjC4f2i8gMqfY+RI9JvfdCA6PSh9TduXfUxA==" saltValue="5TPtLq2WoiRSae/yaDPnTw==" spinCount="100000" sqref="CP2019:CQ2019" name="Rango2_99_14_28"/>
    <protectedRange algorithmName="SHA-512" hashValue="XZw03RosI/l0z9FxmTtF29EdZ7P+4+ybhqoaAAUmURojSR5XbGfjC4f2i8gMqfY+RI9JvfdCA6PSh9TduXfUxA==" saltValue="5TPtLq2WoiRSae/yaDPnTw==" spinCount="100000" sqref="CS2019:CT2019" name="Rango2_99_15_27"/>
    <protectedRange algorithmName="SHA-512" hashValue="XZw03RosI/l0z9FxmTtF29EdZ7P+4+ybhqoaAAUmURojSR5XbGfjC4f2i8gMqfY+RI9JvfdCA6PSh9TduXfUxA==" saltValue="5TPtLq2WoiRSae/yaDPnTw==" spinCount="100000" sqref="DA2019:DN2019" name="Rango2_99_17_29"/>
    <protectedRange algorithmName="SHA-512" hashValue="XZw03RosI/l0z9FxmTtF29EdZ7P+4+ybhqoaAAUmURojSR5XbGfjC4f2i8gMqfY+RI9JvfdCA6PSh9TduXfUxA==" saltValue="5TPtLq2WoiRSae/yaDPnTw==" spinCount="100000" sqref="O2020:O2021" name="Rango2_99_2_28"/>
    <protectedRange algorithmName="SHA-512" hashValue="fPHvtIAf3pQeZUoAI9C2/vdXMHBpqqEq+67P5Ypyu4+9IWqs3yc9TZcMWQ0THLxUwqseQPyVvakuYFtCwJHsxA==" saltValue="QHIogSs2PrwAfdqa9PAOFQ==" spinCount="100000" sqref="AC2020:AC2021" name="Rango2_88_5_5_1_24"/>
    <protectedRange algorithmName="SHA-512" hashValue="LEEeiU6pKqm7TAP46VGlz0q+evvFwpT/0iLpRuWuQ7MacbP0OGL1/FSmrIEOg2rb6M+Jla2bPbVWiGag27j87w==" saltValue="HEVt+pS5OloNDlqSnzGLLw==" spinCount="100000" sqref="AI2020:AI2021" name="Rango2_8_7_1_27"/>
    <protectedRange algorithmName="SHA-512" hashValue="q2z5hEFmXS0v2chiPTC/VCoDWNlnhp+Xe6Ybfxe48vIsnB/KTJQxJv+pFUnCXfZ9T6vyJopuqFFNROfQTW/JUw==" saltValue="IctfdGJb5tOTpq+KPi9vww==" spinCount="100000" sqref="AE2020:AF2021" name="Rango2_88_39_1_26"/>
    <protectedRange algorithmName="SHA-512" hashValue="NUll9P9xh7KbSfMYpMxsRZLfDw/y/AzW2LSWlpXVscBDqiAxmzo71xjs+a2lh+jRa7pceOC849slke4+ZKx8LA==" saltValue="8qbkKpQ+CiQuLnqgShNvXA==" spinCount="100000" sqref="T2020:T2021" name="Rango2_88_6_1_25"/>
    <protectedRange algorithmName="SHA-512" hashValue="XZw03RosI/l0z9FxmTtF29EdZ7P+4+ybhqoaAAUmURojSR5XbGfjC4f2i8gMqfY+RI9JvfdCA6PSh9TduXfUxA==" saltValue="5TPtLq2WoiRSae/yaDPnTw==" spinCount="100000" sqref="R2020:S2021 U2020:X2020 Z2020:AA2020 U2021:AA2021" name="Rango2_99_4_29"/>
    <protectedRange algorithmName="SHA-512" hashValue="XZw03RosI/l0z9FxmTtF29EdZ7P+4+ybhqoaAAUmURojSR5XbGfjC4f2i8gMqfY+RI9JvfdCA6PSh9TduXfUxA==" saltValue="5TPtLq2WoiRSae/yaDPnTw==" spinCount="100000" sqref="Y2020" name="Rango2_99_8_8"/>
    <protectedRange algorithmName="SHA-512" hashValue="fMbmUM1DQ7FuAPRNvFL5mPdHUYjQnlLFhkuaxvHguaqR7aWyDxcmJs0jLYQfQKY+oyhsMb4Lew4VL6i7um3/ew==" saltValue="ydaTm0CeH8+/cYqoL/AMaQ==" spinCount="100000" sqref="AU2020:AU2021 AW2020:AZ2021" name="Rango2_88_91_1_28"/>
    <protectedRange algorithmName="SHA-512" hashValue="CHipOQaT63FWw628cQcXXJRZlrbNZ7OgmnEbDx38UmmH7z19GRYEzXFiVOzHAy1OAaAbST7g2bHZHDKQp2qm3w==" saltValue="iRVuL+373yLHv0ZHzS9qog==" spinCount="100000" sqref="AL2020:AL2021" name="Rango2_88_7_5_2_23"/>
    <protectedRange algorithmName="SHA-512" hashValue="NkG6oHuDGvGBEiLAAq8MEJHEfLQUMyjihfH+DBXhT+eQW0r1yri7tOJEFRM9nbOejjjXiviq9RFo7KB7wF+xJA==" saltValue="bpjB0AAANu2X/PeR3eiFkA==" spinCount="100000" sqref="AM2020:AS2021" name="Rango2_88_65_1_25"/>
    <protectedRange algorithmName="SHA-512" hashValue="RQ91b7oAw60DVtcgB2vRpial2kSdzJx5guGCTYUwXYkKrtrUHfiYnLf9R+SNpYXlJDYpyEJLhcWwP0EqNN86dQ==" saltValue="W3RbH3zrcY9sy39xNwXNxg==" spinCount="100000" sqref="BV2020:BY2021" name="Rango2_88_99_2_25"/>
    <protectedRange algorithmName="SHA-512" hashValue="XZw03RosI/l0z9FxmTtF29EdZ7P+4+ybhqoaAAUmURojSR5XbGfjC4f2i8gMqfY+RI9JvfdCA6PSh9TduXfUxA==" saltValue="5TPtLq2WoiRSae/yaDPnTw==" spinCount="100000" sqref="BZ2020:CB2021 BR2020:BU2021" name="Rango2_99_10_26"/>
    <protectedRange algorithmName="SHA-512" hashValue="XZw03RosI/l0z9FxmTtF29EdZ7P+4+ybhqoaAAUmURojSR5XbGfjC4f2i8gMqfY+RI9JvfdCA6PSh9TduXfUxA==" saltValue="5TPtLq2WoiRSae/yaDPnTw==" spinCount="100000" sqref="CE2020:CF2021" name="Rango2_99_11_24"/>
    <protectedRange algorithmName="SHA-512" hashValue="XZw03RosI/l0z9FxmTtF29EdZ7P+4+ybhqoaAAUmURojSR5XbGfjC4f2i8gMqfY+RI9JvfdCA6PSh9TduXfUxA==" saltValue="5TPtLq2WoiRSae/yaDPnTw==" spinCount="100000" sqref="CJ2020:CK2021" name="Rango2_99_12_27"/>
    <protectedRange algorithmName="SHA-512" hashValue="XZw03RosI/l0z9FxmTtF29EdZ7P+4+ybhqoaAAUmURojSR5XbGfjC4f2i8gMqfY+RI9JvfdCA6PSh9TduXfUxA==" saltValue="5TPtLq2WoiRSae/yaDPnTw==" spinCount="100000" sqref="CP2020:CQ2021" name="Rango2_99_14_29"/>
    <protectedRange algorithmName="SHA-512" hashValue="XZw03RosI/l0z9FxmTtF29EdZ7P+4+ybhqoaAAUmURojSR5XbGfjC4f2i8gMqfY+RI9JvfdCA6PSh9TduXfUxA==" saltValue="5TPtLq2WoiRSae/yaDPnTw==" spinCount="100000" sqref="CS2020:CT2021" name="Rango2_99_15_28"/>
    <protectedRange algorithmName="SHA-512" hashValue="XZw03RosI/l0z9FxmTtF29EdZ7P+4+ybhqoaAAUmURojSR5XbGfjC4f2i8gMqfY+RI9JvfdCA6PSh9TduXfUxA==" saltValue="5TPtLq2WoiRSae/yaDPnTw==" spinCount="100000" sqref="DA2020:DN2021" name="Rango2_99_17_30"/>
    <protectedRange algorithmName="SHA-512" hashValue="XZw03RosI/l0z9FxmTtF29EdZ7P+4+ybhqoaAAUmURojSR5XbGfjC4f2i8gMqfY+RI9JvfdCA6PSh9TduXfUxA==" saltValue="5TPtLq2WoiRSae/yaDPnTw==" spinCount="100000" sqref="O2022:O2030" name="Rango2_99_2_29"/>
    <protectedRange algorithmName="SHA-512" hashValue="fPHvtIAf3pQeZUoAI9C2/vdXMHBpqqEq+67P5Ypyu4+9IWqs3yc9TZcMWQ0THLxUwqseQPyVvakuYFtCwJHsxA==" saltValue="QHIogSs2PrwAfdqa9PAOFQ==" spinCount="100000" sqref="AC2022:AC2030" name="Rango2_88_5_5_1_25"/>
    <protectedRange algorithmName="SHA-512" hashValue="LEEeiU6pKqm7TAP46VGlz0q+evvFwpT/0iLpRuWuQ7MacbP0OGL1/FSmrIEOg2rb6M+Jla2bPbVWiGag27j87w==" saltValue="HEVt+pS5OloNDlqSnzGLLw==" spinCount="100000" sqref="AI2022:AI2030" name="Rango2_8_7_1_28"/>
    <protectedRange algorithmName="SHA-512" hashValue="q2z5hEFmXS0v2chiPTC/VCoDWNlnhp+Xe6Ybfxe48vIsnB/KTJQxJv+pFUnCXfZ9T6vyJopuqFFNROfQTW/JUw==" saltValue="IctfdGJb5tOTpq+KPi9vww==" spinCount="100000" sqref="AE2022:AF2030" name="Rango2_88_39_1_27"/>
    <protectedRange algorithmName="SHA-512" hashValue="NUll9P9xh7KbSfMYpMxsRZLfDw/y/AzW2LSWlpXVscBDqiAxmzo71xjs+a2lh+jRa7pceOC849slke4+ZKx8LA==" saltValue="8qbkKpQ+CiQuLnqgShNvXA==" spinCount="100000" sqref="T2022:T2030" name="Rango2_88_6_1_26"/>
    <protectedRange algorithmName="SHA-512" hashValue="XZw03RosI/l0z9FxmTtF29EdZ7P+4+ybhqoaAAUmURojSR5XbGfjC4f2i8gMqfY+RI9JvfdCA6PSh9TduXfUxA==" saltValue="5TPtLq2WoiRSae/yaDPnTw==" spinCount="100000" sqref="R2022:S2030 U2022:AA2030" name="Rango2_99_4_30"/>
    <protectedRange algorithmName="SHA-512" hashValue="fMbmUM1DQ7FuAPRNvFL5mPdHUYjQnlLFhkuaxvHguaqR7aWyDxcmJs0jLYQfQKY+oyhsMb4Lew4VL6i7um3/ew==" saltValue="ydaTm0CeH8+/cYqoL/AMaQ==" spinCount="100000" sqref="AU2022:AU2030 AW2022:AZ2030" name="Rango2_88_91_1_29"/>
    <protectedRange algorithmName="SHA-512" hashValue="CHipOQaT63FWw628cQcXXJRZlrbNZ7OgmnEbDx38UmmH7z19GRYEzXFiVOzHAy1OAaAbST7g2bHZHDKQp2qm3w==" saltValue="iRVuL+373yLHv0ZHzS9qog==" spinCount="100000" sqref="AL2022:AL2030" name="Rango2_88_7_5_2_24"/>
    <protectedRange algorithmName="SHA-512" hashValue="NkG6oHuDGvGBEiLAAq8MEJHEfLQUMyjihfH+DBXhT+eQW0r1yri7tOJEFRM9nbOejjjXiviq9RFo7KB7wF+xJA==" saltValue="bpjB0AAANu2X/PeR3eiFkA==" spinCount="100000" sqref="AM2022:AS2030" name="Rango2_88_65_1_26"/>
    <protectedRange algorithmName="SHA-512" hashValue="RQ91b7oAw60DVtcgB2vRpial2kSdzJx5guGCTYUwXYkKrtrUHfiYnLf9R+SNpYXlJDYpyEJLhcWwP0EqNN86dQ==" saltValue="W3RbH3zrcY9sy39xNwXNxg==" spinCount="100000" sqref="BV2022:BY2030" name="Rango2_88_99_2_26"/>
    <protectedRange algorithmName="SHA-512" hashValue="XZw03RosI/l0z9FxmTtF29EdZ7P+4+ybhqoaAAUmURojSR5XbGfjC4f2i8gMqfY+RI9JvfdCA6PSh9TduXfUxA==" saltValue="5TPtLq2WoiRSae/yaDPnTw==" spinCount="100000" sqref="BZ2022:CB2030 BR2022:BU2030" name="Rango2_99_10_27"/>
    <protectedRange algorithmName="SHA-512" hashValue="XZw03RosI/l0z9FxmTtF29EdZ7P+4+ybhqoaAAUmURojSR5XbGfjC4f2i8gMqfY+RI9JvfdCA6PSh9TduXfUxA==" saltValue="5TPtLq2WoiRSae/yaDPnTw==" spinCount="100000" sqref="CE2022:CF2030" name="Rango2_99_11_25"/>
    <protectedRange algorithmName="SHA-512" hashValue="XZw03RosI/l0z9FxmTtF29EdZ7P+4+ybhqoaAAUmURojSR5XbGfjC4f2i8gMqfY+RI9JvfdCA6PSh9TduXfUxA==" saltValue="5TPtLq2WoiRSae/yaDPnTw==" spinCount="100000" sqref="CJ2022:CK2030" name="Rango2_99_12_28"/>
    <protectedRange algorithmName="SHA-512" hashValue="XZw03RosI/l0z9FxmTtF29EdZ7P+4+ybhqoaAAUmURojSR5XbGfjC4f2i8gMqfY+RI9JvfdCA6PSh9TduXfUxA==" saltValue="5TPtLq2WoiRSae/yaDPnTw==" spinCount="100000" sqref="CP2022:CQ2030" name="Rango2_99_14_30"/>
    <protectedRange algorithmName="SHA-512" hashValue="XZw03RosI/l0z9FxmTtF29EdZ7P+4+ybhqoaAAUmURojSR5XbGfjC4f2i8gMqfY+RI9JvfdCA6PSh9TduXfUxA==" saltValue="5TPtLq2WoiRSae/yaDPnTw==" spinCount="100000" sqref="CS2022:CT2030" name="Rango2_99_15_29"/>
    <protectedRange algorithmName="SHA-512" hashValue="XZw03RosI/l0z9FxmTtF29EdZ7P+4+ybhqoaAAUmURojSR5XbGfjC4f2i8gMqfY+RI9JvfdCA6PSh9TduXfUxA==" saltValue="5TPtLq2WoiRSae/yaDPnTw==" spinCount="100000" sqref="DA2022:DN2030" name="Rango2_99_17_31"/>
    <protectedRange algorithmName="SHA-512" hashValue="XZw03RosI/l0z9FxmTtF29EdZ7P+4+ybhqoaAAUmURojSR5XbGfjC4f2i8gMqfY+RI9JvfdCA6PSh9TduXfUxA==" saltValue="5TPtLq2WoiRSae/yaDPnTw==" spinCount="100000" sqref="O2031:O2032" name="Rango2_99_2_30"/>
    <protectedRange algorithmName="SHA-512" hashValue="fPHvtIAf3pQeZUoAI9C2/vdXMHBpqqEq+67P5Ypyu4+9IWqs3yc9TZcMWQ0THLxUwqseQPyVvakuYFtCwJHsxA==" saltValue="QHIogSs2PrwAfdqa9PAOFQ==" spinCount="100000" sqref="AC2031:AC2032" name="Rango2_88_5_5_1_26"/>
    <protectedRange algorithmName="SHA-512" hashValue="LEEeiU6pKqm7TAP46VGlz0q+evvFwpT/0iLpRuWuQ7MacbP0OGL1/FSmrIEOg2rb6M+Jla2bPbVWiGag27j87w==" saltValue="HEVt+pS5OloNDlqSnzGLLw==" spinCount="100000" sqref="AI2031:AI2032" name="Rango2_8_7_1_29"/>
    <protectedRange algorithmName="SHA-512" hashValue="q2z5hEFmXS0v2chiPTC/VCoDWNlnhp+Xe6Ybfxe48vIsnB/KTJQxJv+pFUnCXfZ9T6vyJopuqFFNROfQTW/JUw==" saltValue="IctfdGJb5tOTpq+KPi9vww==" spinCount="100000" sqref="AE2031:AF2032" name="Rango2_88_39_1_28"/>
    <protectedRange algorithmName="SHA-512" hashValue="NUll9P9xh7KbSfMYpMxsRZLfDw/y/AzW2LSWlpXVscBDqiAxmzo71xjs+a2lh+jRa7pceOC849slke4+ZKx8LA==" saltValue="8qbkKpQ+CiQuLnqgShNvXA==" spinCount="100000" sqref="T2031:T2032" name="Rango2_88_6_1_27"/>
    <protectedRange algorithmName="SHA-512" hashValue="XZw03RosI/l0z9FxmTtF29EdZ7P+4+ybhqoaAAUmURojSR5XbGfjC4f2i8gMqfY+RI9JvfdCA6PSh9TduXfUxA==" saltValue="5TPtLq2WoiRSae/yaDPnTw==" spinCount="100000" sqref="R2031:S2032 U2031:AA2032" name="Rango2_99_4_31"/>
    <protectedRange algorithmName="SHA-512" hashValue="fMbmUM1DQ7FuAPRNvFL5mPdHUYjQnlLFhkuaxvHguaqR7aWyDxcmJs0jLYQfQKY+oyhsMb4Lew4VL6i7um3/ew==" saltValue="ydaTm0CeH8+/cYqoL/AMaQ==" spinCount="100000" sqref="AU2031:AU2032 AW2031:AZ2032" name="Rango2_88_91_1_30"/>
    <protectedRange algorithmName="SHA-512" hashValue="CHipOQaT63FWw628cQcXXJRZlrbNZ7OgmnEbDx38UmmH7z19GRYEzXFiVOzHAy1OAaAbST7g2bHZHDKQp2qm3w==" saltValue="iRVuL+373yLHv0ZHzS9qog==" spinCount="100000" sqref="AL2031:AL2032" name="Rango2_88_7_5_2_25"/>
    <protectedRange algorithmName="SHA-512" hashValue="NkG6oHuDGvGBEiLAAq8MEJHEfLQUMyjihfH+DBXhT+eQW0r1yri7tOJEFRM9nbOejjjXiviq9RFo7KB7wF+xJA==" saltValue="bpjB0AAANu2X/PeR3eiFkA==" spinCount="100000" sqref="AM2031:AS2032" name="Rango2_88_65_1_27"/>
    <protectedRange algorithmName="SHA-512" hashValue="RQ91b7oAw60DVtcgB2vRpial2kSdzJx5guGCTYUwXYkKrtrUHfiYnLf9R+SNpYXlJDYpyEJLhcWwP0EqNN86dQ==" saltValue="W3RbH3zrcY9sy39xNwXNxg==" spinCount="100000" sqref="BV2031:BY2032" name="Rango2_88_99_2_27"/>
    <protectedRange algorithmName="SHA-512" hashValue="XZw03RosI/l0z9FxmTtF29EdZ7P+4+ybhqoaAAUmURojSR5XbGfjC4f2i8gMqfY+RI9JvfdCA6PSh9TduXfUxA==" saltValue="5TPtLq2WoiRSae/yaDPnTw==" spinCount="100000" sqref="BZ2031:CB2032 BR2031:BU2032" name="Rango2_99_10_28"/>
    <protectedRange algorithmName="SHA-512" hashValue="XZw03RosI/l0z9FxmTtF29EdZ7P+4+ybhqoaAAUmURojSR5XbGfjC4f2i8gMqfY+RI9JvfdCA6PSh9TduXfUxA==" saltValue="5TPtLq2WoiRSae/yaDPnTw==" spinCount="100000" sqref="CE2031:CF2032" name="Rango2_99_11_26"/>
    <protectedRange algorithmName="SHA-512" hashValue="XZw03RosI/l0z9FxmTtF29EdZ7P+4+ybhqoaAAUmURojSR5XbGfjC4f2i8gMqfY+RI9JvfdCA6PSh9TduXfUxA==" saltValue="5TPtLq2WoiRSae/yaDPnTw==" spinCount="100000" sqref="CJ2031:CK2032" name="Rango2_99_12_29"/>
    <protectedRange algorithmName="SHA-512" hashValue="XZw03RosI/l0z9FxmTtF29EdZ7P+4+ybhqoaAAUmURojSR5XbGfjC4f2i8gMqfY+RI9JvfdCA6PSh9TduXfUxA==" saltValue="5TPtLq2WoiRSae/yaDPnTw==" spinCount="100000" sqref="CP2031:CQ2032" name="Rango2_99_14_31"/>
    <protectedRange algorithmName="SHA-512" hashValue="XZw03RosI/l0z9FxmTtF29EdZ7P+4+ybhqoaAAUmURojSR5XbGfjC4f2i8gMqfY+RI9JvfdCA6PSh9TduXfUxA==" saltValue="5TPtLq2WoiRSae/yaDPnTw==" spinCount="100000" sqref="CS2031:CT2032" name="Rango2_99_15_30"/>
    <protectedRange algorithmName="SHA-512" hashValue="XZw03RosI/l0z9FxmTtF29EdZ7P+4+ybhqoaAAUmURojSR5XbGfjC4f2i8gMqfY+RI9JvfdCA6PSh9TduXfUxA==" saltValue="5TPtLq2WoiRSae/yaDPnTw==" spinCount="100000" sqref="DA2031:DN2032" name="Rango2_99_17_32"/>
    <protectedRange algorithmName="SHA-512" hashValue="XZw03RosI/l0z9FxmTtF29EdZ7P+4+ybhqoaAAUmURojSR5XbGfjC4f2i8gMqfY+RI9JvfdCA6PSh9TduXfUxA==" saltValue="5TPtLq2WoiRSae/yaDPnTw==" spinCount="100000" sqref="O2033" name="Rango2_99_2_31"/>
    <protectedRange algorithmName="SHA-512" hashValue="fPHvtIAf3pQeZUoAI9C2/vdXMHBpqqEq+67P5Ypyu4+9IWqs3yc9TZcMWQ0THLxUwqseQPyVvakuYFtCwJHsxA==" saltValue="QHIogSs2PrwAfdqa9PAOFQ==" spinCount="100000" sqref="AC2033" name="Rango2_88_5_5_1_27"/>
    <protectedRange algorithmName="SHA-512" hashValue="LEEeiU6pKqm7TAP46VGlz0q+evvFwpT/0iLpRuWuQ7MacbP0OGL1/FSmrIEOg2rb6M+Jla2bPbVWiGag27j87w==" saltValue="HEVt+pS5OloNDlqSnzGLLw==" spinCount="100000" sqref="AI2033" name="Rango2_8_7_1_30"/>
    <protectedRange algorithmName="SHA-512" hashValue="q2z5hEFmXS0v2chiPTC/VCoDWNlnhp+Xe6Ybfxe48vIsnB/KTJQxJv+pFUnCXfZ9T6vyJopuqFFNROfQTW/JUw==" saltValue="IctfdGJb5tOTpq+KPi9vww==" spinCount="100000" sqref="AE2033:AF2033" name="Rango2_88_39_1_29"/>
    <protectedRange algorithmName="SHA-512" hashValue="NUll9P9xh7KbSfMYpMxsRZLfDw/y/AzW2LSWlpXVscBDqiAxmzo71xjs+a2lh+jRa7pceOC849slke4+ZKx8LA==" saltValue="8qbkKpQ+CiQuLnqgShNvXA==" spinCount="100000" sqref="T2033" name="Rango2_88_6_1_28"/>
    <protectedRange algorithmName="SHA-512" hashValue="KHhv3JU/LRdRrRTxxkgFceEHPZ5UzadmpZRZR3zmQRnPvkUJZuanRafIJ+qde0IWwLZSvFIQDyUAHq6v6k7XIg==" saltValue="2GKG1kCzVNNcn+vbOPuhJA==" spinCount="100000" sqref="Q2033" name="Rango2_2_5_1_29"/>
    <protectedRange algorithmName="SHA-512" hashValue="XZw03RosI/l0z9FxmTtF29EdZ7P+4+ybhqoaAAUmURojSR5XbGfjC4f2i8gMqfY+RI9JvfdCA6PSh9TduXfUxA==" saltValue="5TPtLq2WoiRSae/yaDPnTw==" spinCount="100000" sqref="R2033:S2033 U2033:AA2033" name="Rango2_99_4_32"/>
    <protectedRange algorithmName="SHA-512" hashValue="fMbmUM1DQ7FuAPRNvFL5mPdHUYjQnlLFhkuaxvHguaqR7aWyDxcmJs0jLYQfQKY+oyhsMb4Lew4VL6i7um3/ew==" saltValue="ydaTm0CeH8+/cYqoL/AMaQ==" spinCount="100000" sqref="AU2033 AW2033:AZ2033" name="Rango2_88_91_1_31"/>
    <protectedRange algorithmName="SHA-512" hashValue="CHipOQaT63FWw628cQcXXJRZlrbNZ7OgmnEbDx38UmmH7z19GRYEzXFiVOzHAy1OAaAbST7g2bHZHDKQp2qm3w==" saltValue="iRVuL+373yLHv0ZHzS9qog==" spinCount="100000" sqref="AL2033" name="Rango2_88_7_5_2_26"/>
    <protectedRange algorithmName="SHA-512" hashValue="NkG6oHuDGvGBEiLAAq8MEJHEfLQUMyjihfH+DBXhT+eQW0r1yri7tOJEFRM9nbOejjjXiviq9RFo7KB7wF+xJA==" saltValue="bpjB0AAANu2X/PeR3eiFkA==" spinCount="100000" sqref="AM2033:AS2033" name="Rango2_88_65_1_28"/>
    <protectedRange algorithmName="SHA-512" hashValue="RQ91b7oAw60DVtcgB2vRpial2kSdzJx5guGCTYUwXYkKrtrUHfiYnLf9R+SNpYXlJDYpyEJLhcWwP0EqNN86dQ==" saltValue="W3RbH3zrcY9sy39xNwXNxg==" spinCount="100000" sqref="BV2033:BY2033" name="Rango2_88_99_2_28"/>
    <protectedRange algorithmName="SHA-512" hashValue="XZw03RosI/l0z9FxmTtF29EdZ7P+4+ybhqoaAAUmURojSR5XbGfjC4f2i8gMqfY+RI9JvfdCA6PSh9TduXfUxA==" saltValue="5TPtLq2WoiRSae/yaDPnTw==" spinCount="100000" sqref="BZ2033:CB2033 BR2033:BU2033" name="Rango2_99_10_29"/>
    <protectedRange algorithmName="SHA-512" hashValue="XZw03RosI/l0z9FxmTtF29EdZ7P+4+ybhqoaAAUmURojSR5XbGfjC4f2i8gMqfY+RI9JvfdCA6PSh9TduXfUxA==" saltValue="5TPtLq2WoiRSae/yaDPnTw==" spinCount="100000" sqref="CE2033:CF2033" name="Rango2_99_11_27"/>
    <protectedRange algorithmName="SHA-512" hashValue="XZw03RosI/l0z9FxmTtF29EdZ7P+4+ybhqoaAAUmURojSR5XbGfjC4f2i8gMqfY+RI9JvfdCA6PSh9TduXfUxA==" saltValue="5TPtLq2WoiRSae/yaDPnTw==" spinCount="100000" sqref="CJ2033:CK2033" name="Rango2_99_12_30"/>
    <protectedRange algorithmName="SHA-512" hashValue="XZw03RosI/l0z9FxmTtF29EdZ7P+4+ybhqoaAAUmURojSR5XbGfjC4f2i8gMqfY+RI9JvfdCA6PSh9TduXfUxA==" saltValue="5TPtLq2WoiRSae/yaDPnTw==" spinCount="100000" sqref="CP2033:CQ2033" name="Rango2_99_14_32"/>
    <protectedRange algorithmName="SHA-512" hashValue="XZw03RosI/l0z9FxmTtF29EdZ7P+4+ybhqoaAAUmURojSR5XbGfjC4f2i8gMqfY+RI9JvfdCA6PSh9TduXfUxA==" saltValue="5TPtLq2WoiRSae/yaDPnTw==" spinCount="100000" sqref="CS2033:CT2033" name="Rango2_99_15_31"/>
    <protectedRange algorithmName="SHA-512" hashValue="XZw03RosI/l0z9FxmTtF29EdZ7P+4+ybhqoaAAUmURojSR5XbGfjC4f2i8gMqfY+RI9JvfdCA6PSh9TduXfUxA==" saltValue="5TPtLq2WoiRSae/yaDPnTw==" spinCount="100000" sqref="DA2033:DN2033" name="Rango2_99_17_33"/>
    <protectedRange algorithmName="SHA-512" hashValue="XZw03RosI/l0z9FxmTtF29EdZ7P+4+ybhqoaAAUmURojSR5XbGfjC4f2i8gMqfY+RI9JvfdCA6PSh9TduXfUxA==" saltValue="5TPtLq2WoiRSae/yaDPnTw==" spinCount="100000" sqref="O2034:O2035" name="Rango2_99_2_32"/>
    <protectedRange algorithmName="SHA-512" hashValue="fPHvtIAf3pQeZUoAI9C2/vdXMHBpqqEq+67P5Ypyu4+9IWqs3yc9TZcMWQ0THLxUwqseQPyVvakuYFtCwJHsxA==" saltValue="QHIogSs2PrwAfdqa9PAOFQ==" spinCount="100000" sqref="AC2034:AC2035" name="Rango2_88_5_5_1_28"/>
    <protectedRange algorithmName="SHA-512" hashValue="LEEeiU6pKqm7TAP46VGlz0q+evvFwpT/0iLpRuWuQ7MacbP0OGL1/FSmrIEOg2rb6M+Jla2bPbVWiGag27j87w==" saltValue="HEVt+pS5OloNDlqSnzGLLw==" spinCount="100000" sqref="AI2034:AI2035" name="Rango2_8_7_1_31"/>
    <protectedRange algorithmName="SHA-512" hashValue="q2z5hEFmXS0v2chiPTC/VCoDWNlnhp+Xe6Ybfxe48vIsnB/KTJQxJv+pFUnCXfZ9T6vyJopuqFFNROfQTW/JUw==" saltValue="IctfdGJb5tOTpq+KPi9vww==" spinCount="100000" sqref="AE2034:AF2035" name="Rango2_88_39_1_30"/>
    <protectedRange algorithmName="SHA-512" hashValue="NUll9P9xh7KbSfMYpMxsRZLfDw/y/AzW2LSWlpXVscBDqiAxmzo71xjs+a2lh+jRa7pceOC849slke4+ZKx8LA==" saltValue="8qbkKpQ+CiQuLnqgShNvXA==" spinCount="100000" sqref="T2034:T2035" name="Rango2_88_6_1_29"/>
    <protectedRange algorithmName="SHA-512" hashValue="KHhv3JU/LRdRrRTxxkgFceEHPZ5UzadmpZRZR3zmQRnPvkUJZuanRafIJ+qde0IWwLZSvFIQDyUAHq6v6k7XIg==" saltValue="2GKG1kCzVNNcn+vbOPuhJA==" spinCount="100000" sqref="Q2034" name="Rango2_2_5_1_30"/>
    <protectedRange algorithmName="SHA-512" hashValue="XZw03RosI/l0z9FxmTtF29EdZ7P+4+ybhqoaAAUmURojSR5XbGfjC4f2i8gMqfY+RI9JvfdCA6PSh9TduXfUxA==" saltValue="5TPtLq2WoiRSae/yaDPnTw==" spinCount="100000" sqref="R2034:S2035 U2034:AA2035" name="Rango2_99_4_33"/>
    <protectedRange algorithmName="SHA-512" hashValue="fMbmUM1DQ7FuAPRNvFL5mPdHUYjQnlLFhkuaxvHguaqR7aWyDxcmJs0jLYQfQKY+oyhsMb4Lew4VL6i7um3/ew==" saltValue="ydaTm0CeH8+/cYqoL/AMaQ==" spinCount="100000" sqref="AU2034:AU2035 AW2034:AZ2035" name="Rango2_88_91_1_32"/>
    <protectedRange algorithmName="SHA-512" hashValue="CHipOQaT63FWw628cQcXXJRZlrbNZ7OgmnEbDx38UmmH7z19GRYEzXFiVOzHAy1OAaAbST7g2bHZHDKQp2qm3w==" saltValue="iRVuL+373yLHv0ZHzS9qog==" spinCount="100000" sqref="AL2034:AL2035" name="Rango2_88_7_5_2_27"/>
    <protectedRange algorithmName="SHA-512" hashValue="NkG6oHuDGvGBEiLAAq8MEJHEfLQUMyjihfH+DBXhT+eQW0r1yri7tOJEFRM9nbOejjjXiviq9RFo7KB7wF+xJA==" saltValue="bpjB0AAANu2X/PeR3eiFkA==" spinCount="100000" sqref="AM2034:AS2035" name="Rango2_88_65_1_29"/>
    <protectedRange algorithmName="SHA-512" hashValue="RQ91b7oAw60DVtcgB2vRpial2kSdzJx5guGCTYUwXYkKrtrUHfiYnLf9R+SNpYXlJDYpyEJLhcWwP0EqNN86dQ==" saltValue="W3RbH3zrcY9sy39xNwXNxg==" spinCount="100000" sqref="BV2034:BY2035" name="Rango2_88_99_2_29"/>
    <protectedRange algorithmName="SHA-512" hashValue="XZw03RosI/l0z9FxmTtF29EdZ7P+4+ybhqoaAAUmURojSR5XbGfjC4f2i8gMqfY+RI9JvfdCA6PSh9TduXfUxA==" saltValue="5TPtLq2WoiRSae/yaDPnTw==" spinCount="100000" sqref="BZ2034:CB2035 BR2034:BU2035" name="Rango2_99_10_30"/>
    <protectedRange algorithmName="SHA-512" hashValue="XZw03RosI/l0z9FxmTtF29EdZ7P+4+ybhqoaAAUmURojSR5XbGfjC4f2i8gMqfY+RI9JvfdCA6PSh9TduXfUxA==" saltValue="5TPtLq2WoiRSae/yaDPnTw==" spinCount="100000" sqref="CE2034:CF2035" name="Rango2_99_11_28"/>
    <protectedRange algorithmName="SHA-512" hashValue="XZw03RosI/l0z9FxmTtF29EdZ7P+4+ybhqoaAAUmURojSR5XbGfjC4f2i8gMqfY+RI9JvfdCA6PSh9TduXfUxA==" saltValue="5TPtLq2WoiRSae/yaDPnTw==" spinCount="100000" sqref="CJ2034:CK2035" name="Rango2_99_12_31"/>
    <protectedRange algorithmName="SHA-512" hashValue="XZw03RosI/l0z9FxmTtF29EdZ7P+4+ybhqoaAAUmURojSR5XbGfjC4f2i8gMqfY+RI9JvfdCA6PSh9TduXfUxA==" saltValue="5TPtLq2WoiRSae/yaDPnTw==" spinCount="100000" sqref="CP2034:CQ2035" name="Rango2_99_14_33"/>
    <protectedRange algorithmName="SHA-512" hashValue="XZw03RosI/l0z9FxmTtF29EdZ7P+4+ybhqoaAAUmURojSR5XbGfjC4f2i8gMqfY+RI9JvfdCA6PSh9TduXfUxA==" saltValue="5TPtLq2WoiRSae/yaDPnTw==" spinCount="100000" sqref="CS2034:CT2035" name="Rango2_99_15_32"/>
    <protectedRange algorithmName="SHA-512" hashValue="XZw03RosI/l0z9FxmTtF29EdZ7P+4+ybhqoaAAUmURojSR5XbGfjC4f2i8gMqfY+RI9JvfdCA6PSh9TduXfUxA==" saltValue="5TPtLq2WoiRSae/yaDPnTw==" spinCount="100000" sqref="DA2034:DN2035" name="Rango2_99_17_34"/>
    <protectedRange algorithmName="SHA-512" hashValue="XZw03RosI/l0z9FxmTtF29EdZ7P+4+ybhqoaAAUmURojSR5XbGfjC4f2i8gMqfY+RI9JvfdCA6PSh9TduXfUxA==" saltValue="5TPtLq2WoiRSae/yaDPnTw==" spinCount="100000" sqref="O2036:O2037" name="Rango2_99_2_33"/>
    <protectedRange algorithmName="SHA-512" hashValue="fPHvtIAf3pQeZUoAI9C2/vdXMHBpqqEq+67P5Ypyu4+9IWqs3yc9TZcMWQ0THLxUwqseQPyVvakuYFtCwJHsxA==" saltValue="QHIogSs2PrwAfdqa9PAOFQ==" spinCount="100000" sqref="AC2036:AC2037" name="Rango2_88_5_5_1_29"/>
    <protectedRange algorithmName="SHA-512" hashValue="LEEeiU6pKqm7TAP46VGlz0q+evvFwpT/0iLpRuWuQ7MacbP0OGL1/FSmrIEOg2rb6M+Jla2bPbVWiGag27j87w==" saltValue="HEVt+pS5OloNDlqSnzGLLw==" spinCount="100000" sqref="AI2036:AI2037" name="Rango2_8_7_1_32"/>
    <protectedRange algorithmName="SHA-512" hashValue="q2z5hEFmXS0v2chiPTC/VCoDWNlnhp+Xe6Ybfxe48vIsnB/KTJQxJv+pFUnCXfZ9T6vyJopuqFFNROfQTW/JUw==" saltValue="IctfdGJb5tOTpq+KPi9vww==" spinCount="100000" sqref="AE2036:AF2037" name="Rango2_88_39_1_31"/>
    <protectedRange algorithmName="SHA-512" hashValue="NUll9P9xh7KbSfMYpMxsRZLfDw/y/AzW2LSWlpXVscBDqiAxmzo71xjs+a2lh+jRa7pceOC849slke4+ZKx8LA==" saltValue="8qbkKpQ+CiQuLnqgShNvXA==" spinCount="100000" sqref="T2036:T2037" name="Rango2_88_6_1_30"/>
    <protectedRange algorithmName="SHA-512" hashValue="XZw03RosI/l0z9FxmTtF29EdZ7P+4+ybhqoaAAUmURojSR5XbGfjC4f2i8gMqfY+RI9JvfdCA6PSh9TduXfUxA==" saltValue="5TPtLq2WoiRSae/yaDPnTw==" spinCount="100000" sqref="R2036:S2037 U2036:AA2037" name="Rango2_99_4_34"/>
    <protectedRange algorithmName="SHA-512" hashValue="fMbmUM1DQ7FuAPRNvFL5mPdHUYjQnlLFhkuaxvHguaqR7aWyDxcmJs0jLYQfQKY+oyhsMb4Lew4VL6i7um3/ew==" saltValue="ydaTm0CeH8+/cYqoL/AMaQ==" spinCount="100000" sqref="AU2036:AU2037 AW2036:AZ2037" name="Rango2_88_91_1_33"/>
    <protectedRange algorithmName="SHA-512" hashValue="CHipOQaT63FWw628cQcXXJRZlrbNZ7OgmnEbDx38UmmH7z19GRYEzXFiVOzHAy1OAaAbST7g2bHZHDKQp2qm3w==" saltValue="iRVuL+373yLHv0ZHzS9qog==" spinCount="100000" sqref="AL2036:AL2037" name="Rango2_88_7_5_2_28"/>
    <protectedRange algorithmName="SHA-512" hashValue="NkG6oHuDGvGBEiLAAq8MEJHEfLQUMyjihfH+DBXhT+eQW0r1yri7tOJEFRM9nbOejjjXiviq9RFo7KB7wF+xJA==" saltValue="bpjB0AAANu2X/PeR3eiFkA==" spinCount="100000" sqref="AM2036:AS2037" name="Rango2_88_65_1_30"/>
    <protectedRange algorithmName="SHA-512" hashValue="RQ91b7oAw60DVtcgB2vRpial2kSdzJx5guGCTYUwXYkKrtrUHfiYnLf9R+SNpYXlJDYpyEJLhcWwP0EqNN86dQ==" saltValue="W3RbH3zrcY9sy39xNwXNxg==" spinCount="100000" sqref="BV2036:BY2037" name="Rango2_88_99_2_30"/>
    <protectedRange algorithmName="SHA-512" hashValue="XZw03RosI/l0z9FxmTtF29EdZ7P+4+ybhqoaAAUmURojSR5XbGfjC4f2i8gMqfY+RI9JvfdCA6PSh9TduXfUxA==" saltValue="5TPtLq2WoiRSae/yaDPnTw==" spinCount="100000" sqref="BZ2036:CB2037 BR2036:BU2037" name="Rango2_99_10_31"/>
    <protectedRange algorithmName="SHA-512" hashValue="XZw03RosI/l0z9FxmTtF29EdZ7P+4+ybhqoaAAUmURojSR5XbGfjC4f2i8gMqfY+RI9JvfdCA6PSh9TduXfUxA==" saltValue="5TPtLq2WoiRSae/yaDPnTw==" spinCount="100000" sqref="CE2036:CF2037" name="Rango2_99_11_29"/>
    <protectedRange algorithmName="SHA-512" hashValue="XZw03RosI/l0z9FxmTtF29EdZ7P+4+ybhqoaAAUmURojSR5XbGfjC4f2i8gMqfY+RI9JvfdCA6PSh9TduXfUxA==" saltValue="5TPtLq2WoiRSae/yaDPnTw==" spinCount="100000" sqref="CJ2036:CK2037" name="Rango2_99_12_32"/>
    <protectedRange algorithmName="SHA-512" hashValue="XZw03RosI/l0z9FxmTtF29EdZ7P+4+ybhqoaAAUmURojSR5XbGfjC4f2i8gMqfY+RI9JvfdCA6PSh9TduXfUxA==" saltValue="5TPtLq2WoiRSae/yaDPnTw==" spinCount="100000" sqref="CP2036:CQ2037" name="Rango2_99_14_34"/>
    <protectedRange algorithmName="SHA-512" hashValue="XZw03RosI/l0z9FxmTtF29EdZ7P+4+ybhqoaAAUmURojSR5XbGfjC4f2i8gMqfY+RI9JvfdCA6PSh9TduXfUxA==" saltValue="5TPtLq2WoiRSae/yaDPnTw==" spinCount="100000" sqref="CS2036:CT2037" name="Rango2_99_15_33"/>
    <protectedRange algorithmName="SHA-512" hashValue="XZw03RosI/l0z9FxmTtF29EdZ7P+4+ybhqoaAAUmURojSR5XbGfjC4f2i8gMqfY+RI9JvfdCA6PSh9TduXfUxA==" saltValue="5TPtLq2WoiRSae/yaDPnTw==" spinCount="100000" sqref="DA2036:DN2037" name="Rango2_99_17_35"/>
    <protectedRange algorithmName="SHA-512" hashValue="XZw03RosI/l0z9FxmTtF29EdZ7P+4+ybhqoaAAUmURojSR5XbGfjC4f2i8gMqfY+RI9JvfdCA6PSh9TduXfUxA==" saltValue="5TPtLq2WoiRSae/yaDPnTw==" spinCount="100000" sqref="O2038" name="Rango2_99_2_34"/>
    <protectedRange algorithmName="SHA-512" hashValue="fPHvtIAf3pQeZUoAI9C2/vdXMHBpqqEq+67P5Ypyu4+9IWqs3yc9TZcMWQ0THLxUwqseQPyVvakuYFtCwJHsxA==" saltValue="QHIogSs2PrwAfdqa9PAOFQ==" spinCount="100000" sqref="AC2038" name="Rango2_88_5_5_1_30"/>
    <protectedRange algorithmName="SHA-512" hashValue="LEEeiU6pKqm7TAP46VGlz0q+evvFwpT/0iLpRuWuQ7MacbP0OGL1/FSmrIEOg2rb6M+Jla2bPbVWiGag27j87w==" saltValue="HEVt+pS5OloNDlqSnzGLLw==" spinCount="100000" sqref="AI2038" name="Rango2_8_7_1_33"/>
    <protectedRange algorithmName="SHA-512" hashValue="q2z5hEFmXS0v2chiPTC/VCoDWNlnhp+Xe6Ybfxe48vIsnB/KTJQxJv+pFUnCXfZ9T6vyJopuqFFNROfQTW/JUw==" saltValue="IctfdGJb5tOTpq+KPi9vww==" spinCount="100000" sqref="AE2038:AF2038" name="Rango2_88_39_1_32"/>
    <protectedRange algorithmName="SHA-512" hashValue="NUll9P9xh7KbSfMYpMxsRZLfDw/y/AzW2LSWlpXVscBDqiAxmzo71xjs+a2lh+jRa7pceOC849slke4+ZKx8LA==" saltValue="8qbkKpQ+CiQuLnqgShNvXA==" spinCount="100000" sqref="T2038" name="Rango2_88_6_1_31"/>
    <protectedRange algorithmName="SHA-512" hashValue="XZw03RosI/l0z9FxmTtF29EdZ7P+4+ybhqoaAAUmURojSR5XbGfjC4f2i8gMqfY+RI9JvfdCA6PSh9TduXfUxA==" saltValue="5TPtLq2WoiRSae/yaDPnTw==" spinCount="100000" sqref="R2038:S2038 U2038:AA2038" name="Rango2_99_4_35"/>
    <protectedRange algorithmName="SHA-512" hashValue="fMbmUM1DQ7FuAPRNvFL5mPdHUYjQnlLFhkuaxvHguaqR7aWyDxcmJs0jLYQfQKY+oyhsMb4Lew4VL6i7um3/ew==" saltValue="ydaTm0CeH8+/cYqoL/AMaQ==" spinCount="100000" sqref="AU2038 AW2038:AZ2038" name="Rango2_88_91_1_34"/>
    <protectedRange algorithmName="SHA-512" hashValue="CHipOQaT63FWw628cQcXXJRZlrbNZ7OgmnEbDx38UmmH7z19GRYEzXFiVOzHAy1OAaAbST7g2bHZHDKQp2qm3w==" saltValue="iRVuL+373yLHv0ZHzS9qog==" spinCount="100000" sqref="AL2038" name="Rango2_88_7_5_2_29"/>
    <protectedRange algorithmName="SHA-512" hashValue="NkG6oHuDGvGBEiLAAq8MEJHEfLQUMyjihfH+DBXhT+eQW0r1yri7tOJEFRM9nbOejjjXiviq9RFo7KB7wF+xJA==" saltValue="bpjB0AAANu2X/PeR3eiFkA==" spinCount="100000" sqref="AM2038:AS2038" name="Rango2_88_65_1_31"/>
    <protectedRange algorithmName="SHA-512" hashValue="RQ91b7oAw60DVtcgB2vRpial2kSdzJx5guGCTYUwXYkKrtrUHfiYnLf9R+SNpYXlJDYpyEJLhcWwP0EqNN86dQ==" saltValue="W3RbH3zrcY9sy39xNwXNxg==" spinCount="100000" sqref="BV2038:BY2038" name="Rango2_88_99_2_31"/>
    <protectedRange algorithmName="SHA-512" hashValue="XZw03RosI/l0z9FxmTtF29EdZ7P+4+ybhqoaAAUmURojSR5XbGfjC4f2i8gMqfY+RI9JvfdCA6PSh9TduXfUxA==" saltValue="5TPtLq2WoiRSae/yaDPnTw==" spinCount="100000" sqref="BZ2038:CB2038 BR2038:BU2038" name="Rango2_99_10_32"/>
    <protectedRange algorithmName="SHA-512" hashValue="XZw03RosI/l0z9FxmTtF29EdZ7P+4+ybhqoaAAUmURojSR5XbGfjC4f2i8gMqfY+RI9JvfdCA6PSh9TduXfUxA==" saltValue="5TPtLq2WoiRSae/yaDPnTw==" spinCount="100000" sqref="CE2038:CF2038" name="Rango2_99_11_30"/>
    <protectedRange algorithmName="SHA-512" hashValue="XZw03RosI/l0z9FxmTtF29EdZ7P+4+ybhqoaAAUmURojSR5XbGfjC4f2i8gMqfY+RI9JvfdCA6PSh9TduXfUxA==" saltValue="5TPtLq2WoiRSae/yaDPnTw==" spinCount="100000" sqref="CJ2038:CK2038" name="Rango2_99_12_33"/>
    <protectedRange algorithmName="SHA-512" hashValue="XZw03RosI/l0z9FxmTtF29EdZ7P+4+ybhqoaAAUmURojSR5XbGfjC4f2i8gMqfY+RI9JvfdCA6PSh9TduXfUxA==" saltValue="5TPtLq2WoiRSae/yaDPnTw==" spinCount="100000" sqref="CP2038:CQ2038" name="Rango2_99_14_35"/>
    <protectedRange algorithmName="SHA-512" hashValue="XZw03RosI/l0z9FxmTtF29EdZ7P+4+ybhqoaAAUmURojSR5XbGfjC4f2i8gMqfY+RI9JvfdCA6PSh9TduXfUxA==" saltValue="5TPtLq2WoiRSae/yaDPnTw==" spinCount="100000" sqref="CS2038:CT2038" name="Rango2_99_15_34"/>
    <protectedRange algorithmName="SHA-512" hashValue="XZw03RosI/l0z9FxmTtF29EdZ7P+4+ybhqoaAAUmURojSR5XbGfjC4f2i8gMqfY+RI9JvfdCA6PSh9TduXfUxA==" saltValue="5TPtLq2WoiRSae/yaDPnTw==" spinCount="100000" sqref="DA2038:DN2038" name="Rango2_99_17_36"/>
    <protectedRange algorithmName="SHA-512" hashValue="XZw03RosI/l0z9FxmTtF29EdZ7P+4+ybhqoaAAUmURojSR5XbGfjC4f2i8gMqfY+RI9JvfdCA6PSh9TduXfUxA==" saltValue="5TPtLq2WoiRSae/yaDPnTw==" spinCount="100000" sqref="O2039" name="Rango2_99_2_35"/>
    <protectedRange algorithmName="SHA-512" hashValue="fPHvtIAf3pQeZUoAI9C2/vdXMHBpqqEq+67P5Ypyu4+9IWqs3yc9TZcMWQ0THLxUwqseQPyVvakuYFtCwJHsxA==" saltValue="QHIogSs2PrwAfdqa9PAOFQ==" spinCount="100000" sqref="AC2039" name="Rango2_88_5_5_1_31"/>
    <protectedRange algorithmName="SHA-512" hashValue="LEEeiU6pKqm7TAP46VGlz0q+evvFwpT/0iLpRuWuQ7MacbP0OGL1/FSmrIEOg2rb6M+Jla2bPbVWiGag27j87w==" saltValue="HEVt+pS5OloNDlqSnzGLLw==" spinCount="100000" sqref="AI2039" name="Rango2_8_7_1_34"/>
    <protectedRange algorithmName="SHA-512" hashValue="q2z5hEFmXS0v2chiPTC/VCoDWNlnhp+Xe6Ybfxe48vIsnB/KTJQxJv+pFUnCXfZ9T6vyJopuqFFNROfQTW/JUw==" saltValue="IctfdGJb5tOTpq+KPi9vww==" spinCount="100000" sqref="AE2039:AF2039" name="Rango2_88_39_1_33"/>
    <protectedRange algorithmName="SHA-512" hashValue="NUll9P9xh7KbSfMYpMxsRZLfDw/y/AzW2LSWlpXVscBDqiAxmzo71xjs+a2lh+jRa7pceOC849slke4+ZKx8LA==" saltValue="8qbkKpQ+CiQuLnqgShNvXA==" spinCount="100000" sqref="T2039" name="Rango2_88_6_1_32"/>
    <protectedRange algorithmName="SHA-512" hashValue="XZw03RosI/l0z9FxmTtF29EdZ7P+4+ybhqoaAAUmURojSR5XbGfjC4f2i8gMqfY+RI9JvfdCA6PSh9TduXfUxA==" saltValue="5TPtLq2WoiRSae/yaDPnTw==" spinCount="100000" sqref="R2039:S2039 U2039:AA2039" name="Rango2_99_4_36"/>
    <protectedRange algorithmName="SHA-512" hashValue="fMbmUM1DQ7FuAPRNvFL5mPdHUYjQnlLFhkuaxvHguaqR7aWyDxcmJs0jLYQfQKY+oyhsMb4Lew4VL6i7um3/ew==" saltValue="ydaTm0CeH8+/cYqoL/AMaQ==" spinCount="100000" sqref="AU2039 AW2039:AZ2039" name="Rango2_88_91_1_35"/>
    <protectedRange algorithmName="SHA-512" hashValue="CHipOQaT63FWw628cQcXXJRZlrbNZ7OgmnEbDx38UmmH7z19GRYEzXFiVOzHAy1OAaAbST7g2bHZHDKQp2qm3w==" saltValue="iRVuL+373yLHv0ZHzS9qog==" spinCount="100000" sqref="AL2039" name="Rango2_88_7_5_2_30"/>
    <protectedRange algorithmName="SHA-512" hashValue="NkG6oHuDGvGBEiLAAq8MEJHEfLQUMyjihfH+DBXhT+eQW0r1yri7tOJEFRM9nbOejjjXiviq9RFo7KB7wF+xJA==" saltValue="bpjB0AAANu2X/PeR3eiFkA==" spinCount="100000" sqref="AM2039:AS2039" name="Rango2_88_65_1_32"/>
    <protectedRange algorithmName="SHA-512" hashValue="RQ91b7oAw60DVtcgB2vRpial2kSdzJx5guGCTYUwXYkKrtrUHfiYnLf9R+SNpYXlJDYpyEJLhcWwP0EqNN86dQ==" saltValue="W3RbH3zrcY9sy39xNwXNxg==" spinCount="100000" sqref="BV2039:BY2039" name="Rango2_88_99_2_32"/>
    <protectedRange algorithmName="SHA-512" hashValue="XZw03RosI/l0z9FxmTtF29EdZ7P+4+ybhqoaAAUmURojSR5XbGfjC4f2i8gMqfY+RI9JvfdCA6PSh9TduXfUxA==" saltValue="5TPtLq2WoiRSae/yaDPnTw==" spinCount="100000" sqref="BZ2039:CB2039 BR2039:BU2039" name="Rango2_99_10_33"/>
    <protectedRange algorithmName="SHA-512" hashValue="XZw03RosI/l0z9FxmTtF29EdZ7P+4+ybhqoaAAUmURojSR5XbGfjC4f2i8gMqfY+RI9JvfdCA6PSh9TduXfUxA==" saltValue="5TPtLq2WoiRSae/yaDPnTw==" spinCount="100000" sqref="CE2039:CF2039" name="Rango2_99_11_31"/>
    <protectedRange algorithmName="SHA-512" hashValue="XZw03RosI/l0z9FxmTtF29EdZ7P+4+ybhqoaAAUmURojSR5XbGfjC4f2i8gMqfY+RI9JvfdCA6PSh9TduXfUxA==" saltValue="5TPtLq2WoiRSae/yaDPnTw==" spinCount="100000" sqref="CJ2039:CK2039" name="Rango2_99_12_34"/>
    <protectedRange algorithmName="SHA-512" hashValue="XZw03RosI/l0z9FxmTtF29EdZ7P+4+ybhqoaAAUmURojSR5XbGfjC4f2i8gMqfY+RI9JvfdCA6PSh9TduXfUxA==" saltValue="5TPtLq2WoiRSae/yaDPnTw==" spinCount="100000" sqref="CP2039:CQ2039" name="Rango2_99_14_36"/>
    <protectedRange algorithmName="SHA-512" hashValue="XZw03RosI/l0z9FxmTtF29EdZ7P+4+ybhqoaAAUmURojSR5XbGfjC4f2i8gMqfY+RI9JvfdCA6PSh9TduXfUxA==" saltValue="5TPtLq2WoiRSae/yaDPnTw==" spinCount="100000" sqref="CS2039:CT2039" name="Rango2_99_15_35"/>
    <protectedRange algorithmName="SHA-512" hashValue="XZw03RosI/l0z9FxmTtF29EdZ7P+4+ybhqoaAAUmURojSR5XbGfjC4f2i8gMqfY+RI9JvfdCA6PSh9TduXfUxA==" saltValue="5TPtLq2WoiRSae/yaDPnTw==" spinCount="100000" sqref="DA2039:DN2039" name="Rango2_99_17_37"/>
    <protectedRange algorithmName="SHA-512" hashValue="XZw03RosI/l0z9FxmTtF29EdZ7P+4+ybhqoaAAUmURojSR5XbGfjC4f2i8gMqfY+RI9JvfdCA6PSh9TduXfUxA==" saltValue="5TPtLq2WoiRSae/yaDPnTw==" spinCount="100000" sqref="O2040" name="Rango2_99_2_36"/>
    <protectedRange algorithmName="SHA-512" hashValue="fPHvtIAf3pQeZUoAI9C2/vdXMHBpqqEq+67P5Ypyu4+9IWqs3yc9TZcMWQ0THLxUwqseQPyVvakuYFtCwJHsxA==" saltValue="QHIogSs2PrwAfdqa9PAOFQ==" spinCount="100000" sqref="AC2040" name="Rango2_88_5_5_1_32"/>
    <protectedRange algorithmName="SHA-512" hashValue="LEEeiU6pKqm7TAP46VGlz0q+evvFwpT/0iLpRuWuQ7MacbP0OGL1/FSmrIEOg2rb6M+Jla2bPbVWiGag27j87w==" saltValue="HEVt+pS5OloNDlqSnzGLLw==" spinCount="100000" sqref="AI2040" name="Rango2_8_7_1_35"/>
    <protectedRange algorithmName="SHA-512" hashValue="q2z5hEFmXS0v2chiPTC/VCoDWNlnhp+Xe6Ybfxe48vIsnB/KTJQxJv+pFUnCXfZ9T6vyJopuqFFNROfQTW/JUw==" saltValue="IctfdGJb5tOTpq+KPi9vww==" spinCount="100000" sqref="AE2040:AF2040" name="Rango2_88_39_1_34"/>
    <protectedRange algorithmName="SHA-512" hashValue="NUll9P9xh7KbSfMYpMxsRZLfDw/y/AzW2LSWlpXVscBDqiAxmzo71xjs+a2lh+jRa7pceOC849slke4+ZKx8LA==" saltValue="8qbkKpQ+CiQuLnqgShNvXA==" spinCount="100000" sqref="T2040" name="Rango2_88_6_1_33"/>
    <protectedRange algorithmName="SHA-512" hashValue="XZw03RosI/l0z9FxmTtF29EdZ7P+4+ybhqoaAAUmURojSR5XbGfjC4f2i8gMqfY+RI9JvfdCA6PSh9TduXfUxA==" saltValue="5TPtLq2WoiRSae/yaDPnTw==" spinCount="100000" sqref="R2040:S2040 U2040:AA2040" name="Rango2_99_4_37"/>
    <protectedRange algorithmName="SHA-512" hashValue="fMbmUM1DQ7FuAPRNvFL5mPdHUYjQnlLFhkuaxvHguaqR7aWyDxcmJs0jLYQfQKY+oyhsMb4Lew4VL6i7um3/ew==" saltValue="ydaTm0CeH8+/cYqoL/AMaQ==" spinCount="100000" sqref="AU2040 AW2040:AZ2040" name="Rango2_88_91_1_36"/>
    <protectedRange algorithmName="SHA-512" hashValue="CHipOQaT63FWw628cQcXXJRZlrbNZ7OgmnEbDx38UmmH7z19GRYEzXFiVOzHAy1OAaAbST7g2bHZHDKQp2qm3w==" saltValue="iRVuL+373yLHv0ZHzS9qog==" spinCount="100000" sqref="AL2040" name="Rango2_88_7_5_2_31"/>
    <protectedRange algorithmName="SHA-512" hashValue="NkG6oHuDGvGBEiLAAq8MEJHEfLQUMyjihfH+DBXhT+eQW0r1yri7tOJEFRM9nbOejjjXiviq9RFo7KB7wF+xJA==" saltValue="bpjB0AAANu2X/PeR3eiFkA==" spinCount="100000" sqref="AM2040:AS2040" name="Rango2_88_65_1_33"/>
    <protectedRange algorithmName="SHA-512" hashValue="RQ91b7oAw60DVtcgB2vRpial2kSdzJx5guGCTYUwXYkKrtrUHfiYnLf9R+SNpYXlJDYpyEJLhcWwP0EqNN86dQ==" saltValue="W3RbH3zrcY9sy39xNwXNxg==" spinCount="100000" sqref="BV2040:BY2040" name="Rango2_88_99_2_33"/>
    <protectedRange algorithmName="SHA-512" hashValue="XZw03RosI/l0z9FxmTtF29EdZ7P+4+ybhqoaAAUmURojSR5XbGfjC4f2i8gMqfY+RI9JvfdCA6PSh9TduXfUxA==" saltValue="5TPtLq2WoiRSae/yaDPnTw==" spinCount="100000" sqref="BZ2040:CB2040 BR2040:BU2040" name="Rango2_99_10_34"/>
    <protectedRange algorithmName="SHA-512" hashValue="XZw03RosI/l0z9FxmTtF29EdZ7P+4+ybhqoaAAUmURojSR5XbGfjC4f2i8gMqfY+RI9JvfdCA6PSh9TduXfUxA==" saltValue="5TPtLq2WoiRSae/yaDPnTw==" spinCount="100000" sqref="CE2040:CF2040" name="Rango2_99_11_32"/>
    <protectedRange algorithmName="SHA-512" hashValue="XZw03RosI/l0z9FxmTtF29EdZ7P+4+ybhqoaAAUmURojSR5XbGfjC4f2i8gMqfY+RI9JvfdCA6PSh9TduXfUxA==" saltValue="5TPtLq2WoiRSae/yaDPnTw==" spinCount="100000" sqref="CJ2040:CK2040" name="Rango2_99_12_35"/>
    <protectedRange algorithmName="SHA-512" hashValue="XZw03RosI/l0z9FxmTtF29EdZ7P+4+ybhqoaAAUmURojSR5XbGfjC4f2i8gMqfY+RI9JvfdCA6PSh9TduXfUxA==" saltValue="5TPtLq2WoiRSae/yaDPnTw==" spinCount="100000" sqref="CP2040:CQ2040" name="Rango2_99_14_37"/>
    <protectedRange algorithmName="SHA-512" hashValue="XZw03RosI/l0z9FxmTtF29EdZ7P+4+ybhqoaAAUmURojSR5XbGfjC4f2i8gMqfY+RI9JvfdCA6PSh9TduXfUxA==" saltValue="5TPtLq2WoiRSae/yaDPnTw==" spinCount="100000" sqref="CS2040:CT2040" name="Rango2_99_15_36"/>
    <protectedRange algorithmName="SHA-512" hashValue="XZw03RosI/l0z9FxmTtF29EdZ7P+4+ybhqoaAAUmURojSR5XbGfjC4f2i8gMqfY+RI9JvfdCA6PSh9TduXfUxA==" saltValue="5TPtLq2WoiRSae/yaDPnTw==" spinCount="100000" sqref="DA2040:DG2040 DI2040:DN2040" name="Rango2_99_17_38"/>
    <protectedRange algorithmName="SHA-512" hashValue="XZw03RosI/l0z9FxmTtF29EdZ7P+4+ybhqoaAAUmURojSR5XbGfjC4f2i8gMqfY+RI9JvfdCA6PSh9TduXfUxA==" saltValue="5TPtLq2WoiRSae/yaDPnTw==" spinCount="100000" sqref="O2041" name="Rango2_99_2_37"/>
    <protectedRange algorithmName="SHA-512" hashValue="fPHvtIAf3pQeZUoAI9C2/vdXMHBpqqEq+67P5Ypyu4+9IWqs3yc9TZcMWQ0THLxUwqseQPyVvakuYFtCwJHsxA==" saltValue="QHIogSs2PrwAfdqa9PAOFQ==" spinCount="100000" sqref="AC2041" name="Rango2_88_5_5_1_33"/>
    <protectedRange algorithmName="SHA-512" hashValue="LEEeiU6pKqm7TAP46VGlz0q+evvFwpT/0iLpRuWuQ7MacbP0OGL1/FSmrIEOg2rb6M+Jla2bPbVWiGag27j87w==" saltValue="HEVt+pS5OloNDlqSnzGLLw==" spinCount="100000" sqref="AI2041" name="Rango2_8_7_1_36"/>
    <protectedRange algorithmName="SHA-512" hashValue="q2z5hEFmXS0v2chiPTC/VCoDWNlnhp+Xe6Ybfxe48vIsnB/KTJQxJv+pFUnCXfZ9T6vyJopuqFFNROfQTW/JUw==" saltValue="IctfdGJb5tOTpq+KPi9vww==" spinCount="100000" sqref="AE2041:AF2041" name="Rango2_88_39_1_35"/>
    <protectedRange algorithmName="SHA-512" hashValue="NUll9P9xh7KbSfMYpMxsRZLfDw/y/AzW2LSWlpXVscBDqiAxmzo71xjs+a2lh+jRa7pceOC849slke4+ZKx8LA==" saltValue="8qbkKpQ+CiQuLnqgShNvXA==" spinCount="100000" sqref="T2041" name="Rango2_88_6_1_34"/>
    <protectedRange algorithmName="SHA-512" hashValue="XZw03RosI/l0z9FxmTtF29EdZ7P+4+ybhqoaAAUmURojSR5XbGfjC4f2i8gMqfY+RI9JvfdCA6PSh9TduXfUxA==" saltValue="5TPtLq2WoiRSae/yaDPnTw==" spinCount="100000" sqref="R2041:S2041 U2041:AA2041" name="Rango2_99_4_38"/>
    <protectedRange algorithmName="SHA-512" hashValue="fMbmUM1DQ7FuAPRNvFL5mPdHUYjQnlLFhkuaxvHguaqR7aWyDxcmJs0jLYQfQKY+oyhsMb4Lew4VL6i7um3/ew==" saltValue="ydaTm0CeH8+/cYqoL/AMaQ==" spinCount="100000" sqref="AU2041 AW2041:AZ2041" name="Rango2_88_91_1_37"/>
    <protectedRange algorithmName="SHA-512" hashValue="CHipOQaT63FWw628cQcXXJRZlrbNZ7OgmnEbDx38UmmH7z19GRYEzXFiVOzHAy1OAaAbST7g2bHZHDKQp2qm3w==" saltValue="iRVuL+373yLHv0ZHzS9qog==" spinCount="100000" sqref="AL2041" name="Rango2_88_7_5_2_32"/>
    <protectedRange algorithmName="SHA-512" hashValue="NkG6oHuDGvGBEiLAAq8MEJHEfLQUMyjihfH+DBXhT+eQW0r1yri7tOJEFRM9nbOejjjXiviq9RFo7KB7wF+xJA==" saltValue="bpjB0AAANu2X/PeR3eiFkA==" spinCount="100000" sqref="AM2041:AS2041" name="Rango2_88_65_1_34"/>
    <protectedRange algorithmName="SHA-512" hashValue="RQ91b7oAw60DVtcgB2vRpial2kSdzJx5guGCTYUwXYkKrtrUHfiYnLf9R+SNpYXlJDYpyEJLhcWwP0EqNN86dQ==" saltValue="W3RbH3zrcY9sy39xNwXNxg==" spinCount="100000" sqref="BV2041:BY2041" name="Rango2_88_99_2_34"/>
    <protectedRange algorithmName="SHA-512" hashValue="XZw03RosI/l0z9FxmTtF29EdZ7P+4+ybhqoaAAUmURojSR5XbGfjC4f2i8gMqfY+RI9JvfdCA6PSh9TduXfUxA==" saltValue="5TPtLq2WoiRSae/yaDPnTw==" spinCount="100000" sqref="BZ2041:CB2041 BR2041:BU2041" name="Rango2_99_10_35"/>
    <protectedRange algorithmName="SHA-512" hashValue="XZw03RosI/l0z9FxmTtF29EdZ7P+4+ybhqoaAAUmURojSR5XbGfjC4f2i8gMqfY+RI9JvfdCA6PSh9TduXfUxA==" saltValue="5TPtLq2WoiRSae/yaDPnTw==" spinCount="100000" sqref="CE2041:CF2041" name="Rango2_99_11_33"/>
    <protectedRange algorithmName="SHA-512" hashValue="XZw03RosI/l0z9FxmTtF29EdZ7P+4+ybhqoaAAUmURojSR5XbGfjC4f2i8gMqfY+RI9JvfdCA6PSh9TduXfUxA==" saltValue="5TPtLq2WoiRSae/yaDPnTw==" spinCount="100000" sqref="CJ2041:CK2041" name="Rango2_99_12_36"/>
    <protectedRange algorithmName="SHA-512" hashValue="XZw03RosI/l0z9FxmTtF29EdZ7P+4+ybhqoaAAUmURojSR5XbGfjC4f2i8gMqfY+RI9JvfdCA6PSh9TduXfUxA==" saltValue="5TPtLq2WoiRSae/yaDPnTw==" spinCount="100000" sqref="CP2041:CQ2041" name="Rango2_99_14_38"/>
    <protectedRange algorithmName="SHA-512" hashValue="XZw03RosI/l0z9FxmTtF29EdZ7P+4+ybhqoaAAUmURojSR5XbGfjC4f2i8gMqfY+RI9JvfdCA6PSh9TduXfUxA==" saltValue="5TPtLq2WoiRSae/yaDPnTw==" spinCount="100000" sqref="CS2041:CT2041" name="Rango2_99_15_37"/>
    <protectedRange algorithmName="SHA-512" hashValue="XZw03RosI/l0z9FxmTtF29EdZ7P+4+ybhqoaAAUmURojSR5XbGfjC4f2i8gMqfY+RI9JvfdCA6PSh9TduXfUxA==" saltValue="5TPtLq2WoiRSae/yaDPnTw==" spinCount="100000" sqref="DA2041:DN2041" name="Rango2_99_17_39"/>
    <protectedRange algorithmName="SHA-512" hashValue="XZw03RosI/l0z9FxmTtF29EdZ7P+4+ybhqoaAAUmURojSR5XbGfjC4f2i8gMqfY+RI9JvfdCA6PSh9TduXfUxA==" saltValue="5TPtLq2WoiRSae/yaDPnTw==" spinCount="100000" sqref="O2042:O2043" name="Rango2_99_2_38"/>
    <protectedRange algorithmName="SHA-512" hashValue="fPHvtIAf3pQeZUoAI9C2/vdXMHBpqqEq+67P5Ypyu4+9IWqs3yc9TZcMWQ0THLxUwqseQPyVvakuYFtCwJHsxA==" saltValue="QHIogSs2PrwAfdqa9PAOFQ==" spinCount="100000" sqref="AC2042:AC2043" name="Rango2_88_5_5_1_34"/>
    <protectedRange algorithmName="SHA-512" hashValue="LEEeiU6pKqm7TAP46VGlz0q+evvFwpT/0iLpRuWuQ7MacbP0OGL1/FSmrIEOg2rb6M+Jla2bPbVWiGag27j87w==" saltValue="HEVt+pS5OloNDlqSnzGLLw==" spinCount="100000" sqref="AI2042:AI2043" name="Rango2_8_7_1_37"/>
    <protectedRange algorithmName="SHA-512" hashValue="q2z5hEFmXS0v2chiPTC/VCoDWNlnhp+Xe6Ybfxe48vIsnB/KTJQxJv+pFUnCXfZ9T6vyJopuqFFNROfQTW/JUw==" saltValue="IctfdGJb5tOTpq+KPi9vww==" spinCount="100000" sqref="AE2042:AF2043" name="Rango2_88_39_1_36"/>
    <protectedRange algorithmName="SHA-512" hashValue="NUll9P9xh7KbSfMYpMxsRZLfDw/y/AzW2LSWlpXVscBDqiAxmzo71xjs+a2lh+jRa7pceOC849slke4+ZKx8LA==" saltValue="8qbkKpQ+CiQuLnqgShNvXA==" spinCount="100000" sqref="T2042:T2043" name="Rango2_88_6_1_35"/>
    <protectedRange algorithmName="SHA-512" hashValue="XZw03RosI/l0z9FxmTtF29EdZ7P+4+ybhqoaAAUmURojSR5XbGfjC4f2i8gMqfY+RI9JvfdCA6PSh9TduXfUxA==" saltValue="5TPtLq2WoiRSae/yaDPnTw==" spinCount="100000" sqref="R2042:S2043 U2042:AA2043" name="Rango2_99_4_39"/>
    <protectedRange algorithmName="SHA-512" hashValue="fMbmUM1DQ7FuAPRNvFL5mPdHUYjQnlLFhkuaxvHguaqR7aWyDxcmJs0jLYQfQKY+oyhsMb4Lew4VL6i7um3/ew==" saltValue="ydaTm0CeH8+/cYqoL/AMaQ==" spinCount="100000" sqref="AU2042:AU2043 AW2042:AZ2043" name="Rango2_88_91_1_38"/>
    <protectedRange algorithmName="SHA-512" hashValue="CHipOQaT63FWw628cQcXXJRZlrbNZ7OgmnEbDx38UmmH7z19GRYEzXFiVOzHAy1OAaAbST7g2bHZHDKQp2qm3w==" saltValue="iRVuL+373yLHv0ZHzS9qog==" spinCount="100000" sqref="AL2042:AL2043" name="Rango2_88_7_5_2_33"/>
    <protectedRange algorithmName="SHA-512" hashValue="NkG6oHuDGvGBEiLAAq8MEJHEfLQUMyjihfH+DBXhT+eQW0r1yri7tOJEFRM9nbOejjjXiviq9RFo7KB7wF+xJA==" saltValue="bpjB0AAANu2X/PeR3eiFkA==" spinCount="100000" sqref="AM2042:AS2043" name="Rango2_88_65_1_35"/>
    <protectedRange algorithmName="SHA-512" hashValue="RQ91b7oAw60DVtcgB2vRpial2kSdzJx5guGCTYUwXYkKrtrUHfiYnLf9R+SNpYXlJDYpyEJLhcWwP0EqNN86dQ==" saltValue="W3RbH3zrcY9sy39xNwXNxg==" spinCount="100000" sqref="BV2042:BY2043" name="Rango2_88_99_2_35"/>
    <protectedRange algorithmName="SHA-512" hashValue="XZw03RosI/l0z9FxmTtF29EdZ7P+4+ybhqoaAAUmURojSR5XbGfjC4f2i8gMqfY+RI9JvfdCA6PSh9TduXfUxA==" saltValue="5TPtLq2WoiRSae/yaDPnTw==" spinCount="100000" sqref="BZ2042:CB2043 BR2042:BU2043" name="Rango2_99_10_36"/>
    <protectedRange algorithmName="SHA-512" hashValue="XZw03RosI/l0z9FxmTtF29EdZ7P+4+ybhqoaAAUmURojSR5XbGfjC4f2i8gMqfY+RI9JvfdCA6PSh9TduXfUxA==" saltValue="5TPtLq2WoiRSae/yaDPnTw==" spinCount="100000" sqref="CE2042:CF2043" name="Rango2_99_11_34"/>
    <protectedRange algorithmName="SHA-512" hashValue="XZw03RosI/l0z9FxmTtF29EdZ7P+4+ybhqoaAAUmURojSR5XbGfjC4f2i8gMqfY+RI9JvfdCA6PSh9TduXfUxA==" saltValue="5TPtLq2WoiRSae/yaDPnTw==" spinCount="100000" sqref="CJ2042:CK2043" name="Rango2_99_12_37"/>
    <protectedRange algorithmName="SHA-512" hashValue="XZw03RosI/l0z9FxmTtF29EdZ7P+4+ybhqoaAAUmURojSR5XbGfjC4f2i8gMqfY+RI9JvfdCA6PSh9TduXfUxA==" saltValue="5TPtLq2WoiRSae/yaDPnTw==" spinCount="100000" sqref="CP2042:CQ2043" name="Rango2_99_14_39"/>
    <protectedRange algorithmName="SHA-512" hashValue="XZw03RosI/l0z9FxmTtF29EdZ7P+4+ybhqoaAAUmURojSR5XbGfjC4f2i8gMqfY+RI9JvfdCA6PSh9TduXfUxA==" saltValue="5TPtLq2WoiRSae/yaDPnTw==" spinCount="100000" sqref="CS2042:CT2043" name="Rango2_99_15_38"/>
    <protectedRange algorithmName="SHA-512" hashValue="XZw03RosI/l0z9FxmTtF29EdZ7P+4+ybhqoaAAUmURojSR5XbGfjC4f2i8gMqfY+RI9JvfdCA6PSh9TduXfUxA==" saltValue="5TPtLq2WoiRSae/yaDPnTw==" spinCount="100000" sqref="DA2042:DN2043" name="Rango2_99_17_40"/>
    <protectedRange algorithmName="SHA-512" hashValue="XZw03RosI/l0z9FxmTtF29EdZ7P+4+ybhqoaAAUmURojSR5XbGfjC4f2i8gMqfY+RI9JvfdCA6PSh9TduXfUxA==" saltValue="5TPtLq2WoiRSae/yaDPnTw==" spinCount="100000" sqref="O2044:O2045" name="Rango2_99_2_39"/>
    <protectedRange algorithmName="SHA-512" hashValue="fPHvtIAf3pQeZUoAI9C2/vdXMHBpqqEq+67P5Ypyu4+9IWqs3yc9TZcMWQ0THLxUwqseQPyVvakuYFtCwJHsxA==" saltValue="QHIogSs2PrwAfdqa9PAOFQ==" spinCount="100000" sqref="AC2044:AC2045" name="Rango2_88_5_5_1_35"/>
    <protectedRange algorithmName="SHA-512" hashValue="LEEeiU6pKqm7TAP46VGlz0q+evvFwpT/0iLpRuWuQ7MacbP0OGL1/FSmrIEOg2rb6M+Jla2bPbVWiGag27j87w==" saltValue="HEVt+pS5OloNDlqSnzGLLw==" spinCount="100000" sqref="AI2044:AI2045" name="Rango2_8_7_1_38"/>
    <protectedRange algorithmName="SHA-512" hashValue="q2z5hEFmXS0v2chiPTC/VCoDWNlnhp+Xe6Ybfxe48vIsnB/KTJQxJv+pFUnCXfZ9T6vyJopuqFFNROfQTW/JUw==" saltValue="IctfdGJb5tOTpq+KPi9vww==" spinCount="100000" sqref="AE2044:AF2045" name="Rango2_88_39_1_37"/>
    <protectedRange algorithmName="SHA-512" hashValue="NUll9P9xh7KbSfMYpMxsRZLfDw/y/AzW2LSWlpXVscBDqiAxmzo71xjs+a2lh+jRa7pceOC849slke4+ZKx8LA==" saltValue="8qbkKpQ+CiQuLnqgShNvXA==" spinCount="100000" sqref="T2044:T2045" name="Rango2_88_6_1_36"/>
    <protectedRange algorithmName="SHA-512" hashValue="XZw03RosI/l0z9FxmTtF29EdZ7P+4+ybhqoaAAUmURojSR5XbGfjC4f2i8gMqfY+RI9JvfdCA6PSh9TduXfUxA==" saltValue="5TPtLq2WoiRSae/yaDPnTw==" spinCount="100000" sqref="R2044:S2045 U2044:AA2045" name="Rango2_99_4_40"/>
    <protectedRange algorithmName="SHA-512" hashValue="fMbmUM1DQ7FuAPRNvFL5mPdHUYjQnlLFhkuaxvHguaqR7aWyDxcmJs0jLYQfQKY+oyhsMb4Lew4VL6i7um3/ew==" saltValue="ydaTm0CeH8+/cYqoL/AMaQ==" spinCount="100000" sqref="AU2044:AU2045 AW2044:AZ2045" name="Rango2_88_91_1_39"/>
    <protectedRange algorithmName="SHA-512" hashValue="CHipOQaT63FWw628cQcXXJRZlrbNZ7OgmnEbDx38UmmH7z19GRYEzXFiVOzHAy1OAaAbST7g2bHZHDKQp2qm3w==" saltValue="iRVuL+373yLHv0ZHzS9qog==" spinCount="100000" sqref="AL2044:AL2045" name="Rango2_88_7_5_2_34"/>
    <protectedRange algorithmName="SHA-512" hashValue="NkG6oHuDGvGBEiLAAq8MEJHEfLQUMyjihfH+DBXhT+eQW0r1yri7tOJEFRM9nbOejjjXiviq9RFo7KB7wF+xJA==" saltValue="bpjB0AAANu2X/PeR3eiFkA==" spinCount="100000" sqref="AM2044:AS2045" name="Rango2_88_65_1_36"/>
    <protectedRange algorithmName="SHA-512" hashValue="RQ91b7oAw60DVtcgB2vRpial2kSdzJx5guGCTYUwXYkKrtrUHfiYnLf9R+SNpYXlJDYpyEJLhcWwP0EqNN86dQ==" saltValue="W3RbH3zrcY9sy39xNwXNxg==" spinCount="100000" sqref="BV2044:BY2045" name="Rango2_88_99_2_36"/>
    <protectedRange algorithmName="SHA-512" hashValue="XZw03RosI/l0z9FxmTtF29EdZ7P+4+ybhqoaAAUmURojSR5XbGfjC4f2i8gMqfY+RI9JvfdCA6PSh9TduXfUxA==" saltValue="5TPtLq2WoiRSae/yaDPnTw==" spinCount="100000" sqref="BZ2044:CB2045 BR2044:BU2045" name="Rango2_99_10_37"/>
    <protectedRange algorithmName="SHA-512" hashValue="XZw03RosI/l0z9FxmTtF29EdZ7P+4+ybhqoaAAUmURojSR5XbGfjC4f2i8gMqfY+RI9JvfdCA6PSh9TduXfUxA==" saltValue="5TPtLq2WoiRSae/yaDPnTw==" spinCount="100000" sqref="CE2044:CF2045" name="Rango2_99_11_35"/>
    <protectedRange algorithmName="SHA-512" hashValue="XZw03RosI/l0z9FxmTtF29EdZ7P+4+ybhqoaAAUmURojSR5XbGfjC4f2i8gMqfY+RI9JvfdCA6PSh9TduXfUxA==" saltValue="5TPtLq2WoiRSae/yaDPnTw==" spinCount="100000" sqref="CJ2044:CK2045" name="Rango2_99_12_38"/>
    <protectedRange algorithmName="SHA-512" hashValue="XZw03RosI/l0z9FxmTtF29EdZ7P+4+ybhqoaAAUmURojSR5XbGfjC4f2i8gMqfY+RI9JvfdCA6PSh9TduXfUxA==" saltValue="5TPtLq2WoiRSae/yaDPnTw==" spinCount="100000" sqref="CP2044:CQ2045" name="Rango2_99_14_40"/>
    <protectedRange algorithmName="SHA-512" hashValue="XZw03RosI/l0z9FxmTtF29EdZ7P+4+ybhqoaAAUmURojSR5XbGfjC4f2i8gMqfY+RI9JvfdCA6PSh9TduXfUxA==" saltValue="5TPtLq2WoiRSae/yaDPnTw==" spinCount="100000" sqref="CS2044:CT2045" name="Rango2_99_15_39"/>
    <protectedRange algorithmName="SHA-512" hashValue="XZw03RosI/l0z9FxmTtF29EdZ7P+4+ybhqoaAAUmURojSR5XbGfjC4f2i8gMqfY+RI9JvfdCA6PSh9TduXfUxA==" saltValue="5TPtLq2WoiRSae/yaDPnTw==" spinCount="100000" sqref="DA2044:DN2045" name="Rango2_99_17_41"/>
    <protectedRange algorithmName="SHA-512" hashValue="XZw03RosI/l0z9FxmTtF29EdZ7P+4+ybhqoaAAUmURojSR5XbGfjC4f2i8gMqfY+RI9JvfdCA6PSh9TduXfUxA==" saltValue="5TPtLq2WoiRSae/yaDPnTw==" spinCount="100000" sqref="O2046:O2047" name="Rango2_99_2_40"/>
    <protectedRange algorithmName="SHA-512" hashValue="fPHvtIAf3pQeZUoAI9C2/vdXMHBpqqEq+67P5Ypyu4+9IWqs3yc9TZcMWQ0THLxUwqseQPyVvakuYFtCwJHsxA==" saltValue="QHIogSs2PrwAfdqa9PAOFQ==" spinCount="100000" sqref="AC2046:AC2047" name="Rango2_88_5_5_1_36"/>
    <protectedRange algorithmName="SHA-512" hashValue="LEEeiU6pKqm7TAP46VGlz0q+evvFwpT/0iLpRuWuQ7MacbP0OGL1/FSmrIEOg2rb6M+Jla2bPbVWiGag27j87w==" saltValue="HEVt+pS5OloNDlqSnzGLLw==" spinCount="100000" sqref="AI2046:AI2047" name="Rango2_8_7_1_39"/>
    <protectedRange algorithmName="SHA-512" hashValue="q2z5hEFmXS0v2chiPTC/VCoDWNlnhp+Xe6Ybfxe48vIsnB/KTJQxJv+pFUnCXfZ9T6vyJopuqFFNROfQTW/JUw==" saltValue="IctfdGJb5tOTpq+KPi9vww==" spinCount="100000" sqref="AE2046:AF2047" name="Rango2_88_39_1_38"/>
    <protectedRange algorithmName="SHA-512" hashValue="NUll9P9xh7KbSfMYpMxsRZLfDw/y/AzW2LSWlpXVscBDqiAxmzo71xjs+a2lh+jRa7pceOC849slke4+ZKx8LA==" saltValue="8qbkKpQ+CiQuLnqgShNvXA==" spinCount="100000" sqref="T2046:T2047" name="Rango2_88_6_1_37"/>
    <protectedRange algorithmName="SHA-512" hashValue="XZw03RosI/l0z9FxmTtF29EdZ7P+4+ybhqoaAAUmURojSR5XbGfjC4f2i8gMqfY+RI9JvfdCA6PSh9TduXfUxA==" saltValue="5TPtLq2WoiRSae/yaDPnTw==" spinCount="100000" sqref="R2046:S2047 U2046:AA2047" name="Rango2_99_4_41"/>
    <protectedRange algorithmName="SHA-512" hashValue="fMbmUM1DQ7FuAPRNvFL5mPdHUYjQnlLFhkuaxvHguaqR7aWyDxcmJs0jLYQfQKY+oyhsMb4Lew4VL6i7um3/ew==" saltValue="ydaTm0CeH8+/cYqoL/AMaQ==" spinCount="100000" sqref="AU2046:AU2047 AW2046:AZ2047" name="Rango2_88_91_1_40"/>
    <protectedRange algorithmName="SHA-512" hashValue="CHipOQaT63FWw628cQcXXJRZlrbNZ7OgmnEbDx38UmmH7z19GRYEzXFiVOzHAy1OAaAbST7g2bHZHDKQp2qm3w==" saltValue="iRVuL+373yLHv0ZHzS9qog==" spinCount="100000" sqref="AL2046:AL2047" name="Rango2_88_7_5_2_35"/>
    <protectedRange algorithmName="SHA-512" hashValue="NkG6oHuDGvGBEiLAAq8MEJHEfLQUMyjihfH+DBXhT+eQW0r1yri7tOJEFRM9nbOejjjXiviq9RFo7KB7wF+xJA==" saltValue="bpjB0AAANu2X/PeR3eiFkA==" spinCount="100000" sqref="AM2046:AS2047" name="Rango2_88_65_1_37"/>
    <protectedRange algorithmName="SHA-512" hashValue="RQ91b7oAw60DVtcgB2vRpial2kSdzJx5guGCTYUwXYkKrtrUHfiYnLf9R+SNpYXlJDYpyEJLhcWwP0EqNN86dQ==" saltValue="W3RbH3zrcY9sy39xNwXNxg==" spinCount="100000" sqref="BV2046:BY2047" name="Rango2_88_99_2_37"/>
    <protectedRange algorithmName="SHA-512" hashValue="XZw03RosI/l0z9FxmTtF29EdZ7P+4+ybhqoaAAUmURojSR5XbGfjC4f2i8gMqfY+RI9JvfdCA6PSh9TduXfUxA==" saltValue="5TPtLq2WoiRSae/yaDPnTw==" spinCount="100000" sqref="BZ2046:CB2047 BR2046:BU2047" name="Rango2_99_10_38"/>
    <protectedRange algorithmName="SHA-512" hashValue="XZw03RosI/l0z9FxmTtF29EdZ7P+4+ybhqoaAAUmURojSR5XbGfjC4f2i8gMqfY+RI9JvfdCA6PSh9TduXfUxA==" saltValue="5TPtLq2WoiRSae/yaDPnTw==" spinCount="100000" sqref="CE2046:CF2047" name="Rango2_99_11_36"/>
    <protectedRange algorithmName="SHA-512" hashValue="XZw03RosI/l0z9FxmTtF29EdZ7P+4+ybhqoaAAUmURojSR5XbGfjC4f2i8gMqfY+RI9JvfdCA6PSh9TduXfUxA==" saltValue="5TPtLq2WoiRSae/yaDPnTw==" spinCount="100000" sqref="CJ2046:CK2047" name="Rango2_99_12_39"/>
    <protectedRange algorithmName="SHA-512" hashValue="XZw03RosI/l0z9FxmTtF29EdZ7P+4+ybhqoaAAUmURojSR5XbGfjC4f2i8gMqfY+RI9JvfdCA6PSh9TduXfUxA==" saltValue="5TPtLq2WoiRSae/yaDPnTw==" spinCount="100000" sqref="CP2046:CQ2047" name="Rango2_99_14_41"/>
    <protectedRange algorithmName="SHA-512" hashValue="XZw03RosI/l0z9FxmTtF29EdZ7P+4+ybhqoaAAUmURojSR5XbGfjC4f2i8gMqfY+RI9JvfdCA6PSh9TduXfUxA==" saltValue="5TPtLq2WoiRSae/yaDPnTw==" spinCount="100000" sqref="CS2046:CT2047" name="Rango2_99_15_40"/>
    <protectedRange algorithmName="SHA-512" hashValue="XZw03RosI/l0z9FxmTtF29EdZ7P+4+ybhqoaAAUmURojSR5XbGfjC4f2i8gMqfY+RI9JvfdCA6PSh9TduXfUxA==" saltValue="5TPtLq2WoiRSae/yaDPnTw==" spinCount="100000" sqref="DA2046:DN2047" name="Rango2_99_17_42"/>
    <protectedRange algorithmName="SHA-512" hashValue="XZw03RosI/l0z9FxmTtF29EdZ7P+4+ybhqoaAAUmURojSR5XbGfjC4f2i8gMqfY+RI9JvfdCA6PSh9TduXfUxA==" saltValue="5TPtLq2WoiRSae/yaDPnTw==" spinCount="100000" sqref="O2048" name="Rango2_99_2_41"/>
    <protectedRange algorithmName="SHA-512" hashValue="fPHvtIAf3pQeZUoAI9C2/vdXMHBpqqEq+67P5Ypyu4+9IWqs3yc9TZcMWQ0THLxUwqseQPyVvakuYFtCwJHsxA==" saltValue="QHIogSs2PrwAfdqa9PAOFQ==" spinCount="100000" sqref="AC2048" name="Rango2_88_5_5_1_37"/>
    <protectedRange algorithmName="SHA-512" hashValue="LEEeiU6pKqm7TAP46VGlz0q+evvFwpT/0iLpRuWuQ7MacbP0OGL1/FSmrIEOg2rb6M+Jla2bPbVWiGag27j87w==" saltValue="HEVt+pS5OloNDlqSnzGLLw==" spinCount="100000" sqref="AI2048" name="Rango2_8_7_1_40"/>
    <protectedRange algorithmName="SHA-512" hashValue="q2z5hEFmXS0v2chiPTC/VCoDWNlnhp+Xe6Ybfxe48vIsnB/KTJQxJv+pFUnCXfZ9T6vyJopuqFFNROfQTW/JUw==" saltValue="IctfdGJb5tOTpq+KPi9vww==" spinCount="100000" sqref="AE2048:AF2048" name="Rango2_88_39_1_39"/>
    <protectedRange algorithmName="SHA-512" hashValue="NUll9P9xh7KbSfMYpMxsRZLfDw/y/AzW2LSWlpXVscBDqiAxmzo71xjs+a2lh+jRa7pceOC849slke4+ZKx8LA==" saltValue="8qbkKpQ+CiQuLnqgShNvXA==" spinCount="100000" sqref="T2048" name="Rango2_88_6_1_38"/>
    <protectedRange algorithmName="SHA-512" hashValue="XZw03RosI/l0z9FxmTtF29EdZ7P+4+ybhqoaAAUmURojSR5XbGfjC4f2i8gMqfY+RI9JvfdCA6PSh9TduXfUxA==" saltValue="5TPtLq2WoiRSae/yaDPnTw==" spinCount="100000" sqref="R2048:S2048 U2048:AA2048" name="Rango2_99_4_42"/>
    <protectedRange algorithmName="SHA-512" hashValue="fMbmUM1DQ7FuAPRNvFL5mPdHUYjQnlLFhkuaxvHguaqR7aWyDxcmJs0jLYQfQKY+oyhsMb4Lew4VL6i7um3/ew==" saltValue="ydaTm0CeH8+/cYqoL/AMaQ==" spinCount="100000" sqref="AU2048 AW2048:AZ2048" name="Rango2_88_91_1_41"/>
    <protectedRange algorithmName="SHA-512" hashValue="CHipOQaT63FWw628cQcXXJRZlrbNZ7OgmnEbDx38UmmH7z19GRYEzXFiVOzHAy1OAaAbST7g2bHZHDKQp2qm3w==" saltValue="iRVuL+373yLHv0ZHzS9qog==" spinCount="100000" sqref="AL2048" name="Rango2_88_7_5_2_36"/>
    <protectedRange algorithmName="SHA-512" hashValue="NkG6oHuDGvGBEiLAAq8MEJHEfLQUMyjihfH+DBXhT+eQW0r1yri7tOJEFRM9nbOejjjXiviq9RFo7KB7wF+xJA==" saltValue="bpjB0AAANu2X/PeR3eiFkA==" spinCount="100000" sqref="AM2048:AS2048" name="Rango2_88_65_1_38"/>
    <protectedRange algorithmName="SHA-512" hashValue="RQ91b7oAw60DVtcgB2vRpial2kSdzJx5guGCTYUwXYkKrtrUHfiYnLf9R+SNpYXlJDYpyEJLhcWwP0EqNN86dQ==" saltValue="W3RbH3zrcY9sy39xNwXNxg==" spinCount="100000" sqref="BV2048:BY2048" name="Rango2_88_99_2_38"/>
    <protectedRange algorithmName="SHA-512" hashValue="XZw03RosI/l0z9FxmTtF29EdZ7P+4+ybhqoaAAUmURojSR5XbGfjC4f2i8gMqfY+RI9JvfdCA6PSh9TduXfUxA==" saltValue="5TPtLq2WoiRSae/yaDPnTw==" spinCount="100000" sqref="BZ2048:CB2048 BR2048:BU2048" name="Rango2_99_10_39"/>
    <protectedRange algorithmName="SHA-512" hashValue="XZw03RosI/l0z9FxmTtF29EdZ7P+4+ybhqoaAAUmURojSR5XbGfjC4f2i8gMqfY+RI9JvfdCA6PSh9TduXfUxA==" saltValue="5TPtLq2WoiRSae/yaDPnTw==" spinCount="100000" sqref="CE2048:CF2048" name="Rango2_99_11_37"/>
    <protectedRange algorithmName="SHA-512" hashValue="XZw03RosI/l0z9FxmTtF29EdZ7P+4+ybhqoaAAUmURojSR5XbGfjC4f2i8gMqfY+RI9JvfdCA6PSh9TduXfUxA==" saltValue="5TPtLq2WoiRSae/yaDPnTw==" spinCount="100000" sqref="CJ2048:CK2048" name="Rango2_99_12_40"/>
    <protectedRange algorithmName="SHA-512" hashValue="XZw03RosI/l0z9FxmTtF29EdZ7P+4+ybhqoaAAUmURojSR5XbGfjC4f2i8gMqfY+RI9JvfdCA6PSh9TduXfUxA==" saltValue="5TPtLq2WoiRSae/yaDPnTw==" spinCount="100000" sqref="CP2048:CQ2048" name="Rango2_99_14_42"/>
    <protectedRange algorithmName="SHA-512" hashValue="XZw03RosI/l0z9FxmTtF29EdZ7P+4+ybhqoaAAUmURojSR5XbGfjC4f2i8gMqfY+RI9JvfdCA6PSh9TduXfUxA==" saltValue="5TPtLq2WoiRSae/yaDPnTw==" spinCount="100000" sqref="CS2048:CT2048" name="Rango2_99_15_41"/>
    <protectedRange algorithmName="SHA-512" hashValue="XZw03RosI/l0z9FxmTtF29EdZ7P+4+ybhqoaAAUmURojSR5XbGfjC4f2i8gMqfY+RI9JvfdCA6PSh9TduXfUxA==" saltValue="5TPtLq2WoiRSae/yaDPnTw==" spinCount="100000" sqref="DA2048:DN2048" name="Rango2_99_17_43"/>
    <protectedRange algorithmName="SHA-512" hashValue="XZw03RosI/l0z9FxmTtF29EdZ7P+4+ybhqoaAAUmURojSR5XbGfjC4f2i8gMqfY+RI9JvfdCA6PSh9TduXfUxA==" saltValue="5TPtLq2WoiRSae/yaDPnTw==" spinCount="100000" sqref="O2049:O2054" name="Rango2_99_2_42"/>
    <protectedRange algorithmName="SHA-512" hashValue="fPHvtIAf3pQeZUoAI9C2/vdXMHBpqqEq+67P5Ypyu4+9IWqs3yc9TZcMWQ0THLxUwqseQPyVvakuYFtCwJHsxA==" saltValue="QHIogSs2PrwAfdqa9PAOFQ==" spinCount="100000" sqref="AC2049:AC2054" name="Rango2_88_5_5_1_38"/>
    <protectedRange algorithmName="SHA-512" hashValue="LEEeiU6pKqm7TAP46VGlz0q+evvFwpT/0iLpRuWuQ7MacbP0OGL1/FSmrIEOg2rb6M+Jla2bPbVWiGag27j87w==" saltValue="HEVt+pS5OloNDlqSnzGLLw==" spinCount="100000" sqref="AI2049:AI2054" name="Rango2_8_7_1_41"/>
    <protectedRange algorithmName="SHA-512" hashValue="q2z5hEFmXS0v2chiPTC/VCoDWNlnhp+Xe6Ybfxe48vIsnB/KTJQxJv+pFUnCXfZ9T6vyJopuqFFNROfQTW/JUw==" saltValue="IctfdGJb5tOTpq+KPi9vww==" spinCount="100000" sqref="AE2049:AF2054" name="Rango2_88_39_1_40"/>
    <protectedRange algorithmName="SHA-512" hashValue="NUll9P9xh7KbSfMYpMxsRZLfDw/y/AzW2LSWlpXVscBDqiAxmzo71xjs+a2lh+jRa7pceOC849slke4+ZKx8LA==" saltValue="8qbkKpQ+CiQuLnqgShNvXA==" spinCount="100000" sqref="T2049:T2054" name="Rango2_88_6_1_39"/>
    <protectedRange algorithmName="SHA-512" hashValue="XZw03RosI/l0z9FxmTtF29EdZ7P+4+ybhqoaAAUmURojSR5XbGfjC4f2i8gMqfY+RI9JvfdCA6PSh9TduXfUxA==" saltValue="5TPtLq2WoiRSae/yaDPnTw==" spinCount="100000" sqref="R2049:S2054 U2049:AA2054" name="Rango2_99_4_43"/>
    <protectedRange algorithmName="SHA-512" hashValue="fMbmUM1DQ7FuAPRNvFL5mPdHUYjQnlLFhkuaxvHguaqR7aWyDxcmJs0jLYQfQKY+oyhsMb4Lew4VL6i7um3/ew==" saltValue="ydaTm0CeH8+/cYqoL/AMaQ==" spinCount="100000" sqref="AU2049:AU2054 AW2049:AZ2054" name="Rango2_88_91_1_42"/>
    <protectedRange algorithmName="SHA-512" hashValue="CHipOQaT63FWw628cQcXXJRZlrbNZ7OgmnEbDx38UmmH7z19GRYEzXFiVOzHAy1OAaAbST7g2bHZHDKQp2qm3w==" saltValue="iRVuL+373yLHv0ZHzS9qog==" spinCount="100000" sqref="AL2049:AL2054" name="Rango2_88_7_5_2_37"/>
    <protectedRange algorithmName="SHA-512" hashValue="NkG6oHuDGvGBEiLAAq8MEJHEfLQUMyjihfH+DBXhT+eQW0r1yri7tOJEFRM9nbOejjjXiviq9RFo7KB7wF+xJA==" saltValue="bpjB0AAANu2X/PeR3eiFkA==" spinCount="100000" sqref="AM2049:AS2054" name="Rango2_88_65_1_39"/>
    <protectedRange algorithmName="SHA-512" hashValue="RQ91b7oAw60DVtcgB2vRpial2kSdzJx5guGCTYUwXYkKrtrUHfiYnLf9R+SNpYXlJDYpyEJLhcWwP0EqNN86dQ==" saltValue="W3RbH3zrcY9sy39xNwXNxg==" spinCount="100000" sqref="BV2049:BY2054" name="Rango2_88_99_2_39"/>
    <protectedRange algorithmName="SHA-512" hashValue="XZw03RosI/l0z9FxmTtF29EdZ7P+4+ybhqoaAAUmURojSR5XbGfjC4f2i8gMqfY+RI9JvfdCA6PSh9TduXfUxA==" saltValue="5TPtLq2WoiRSae/yaDPnTw==" spinCount="100000" sqref="BZ2049:CB2054 BR2049:BU2054" name="Rango2_99_10_40"/>
    <protectedRange algorithmName="SHA-512" hashValue="XZw03RosI/l0z9FxmTtF29EdZ7P+4+ybhqoaAAUmURojSR5XbGfjC4f2i8gMqfY+RI9JvfdCA6PSh9TduXfUxA==" saltValue="5TPtLq2WoiRSae/yaDPnTw==" spinCount="100000" sqref="CE2049:CF2054" name="Rango2_99_11_38"/>
    <protectedRange algorithmName="SHA-512" hashValue="XZw03RosI/l0z9FxmTtF29EdZ7P+4+ybhqoaAAUmURojSR5XbGfjC4f2i8gMqfY+RI9JvfdCA6PSh9TduXfUxA==" saltValue="5TPtLq2WoiRSae/yaDPnTw==" spinCount="100000" sqref="CJ2049:CK2054" name="Rango2_99_12_41"/>
    <protectedRange algorithmName="SHA-512" hashValue="XZw03RosI/l0z9FxmTtF29EdZ7P+4+ybhqoaAAUmURojSR5XbGfjC4f2i8gMqfY+RI9JvfdCA6PSh9TduXfUxA==" saltValue="5TPtLq2WoiRSae/yaDPnTw==" spinCount="100000" sqref="CP2049:CQ2054" name="Rango2_99_14_43"/>
    <protectedRange algorithmName="SHA-512" hashValue="XZw03RosI/l0z9FxmTtF29EdZ7P+4+ybhqoaAAUmURojSR5XbGfjC4f2i8gMqfY+RI9JvfdCA6PSh9TduXfUxA==" saltValue="5TPtLq2WoiRSae/yaDPnTw==" spinCount="100000" sqref="CS2049:CT2054" name="Rango2_99_15_42"/>
    <protectedRange algorithmName="SHA-512" hashValue="XZw03RosI/l0z9FxmTtF29EdZ7P+4+ybhqoaAAUmURojSR5XbGfjC4f2i8gMqfY+RI9JvfdCA6PSh9TduXfUxA==" saltValue="5TPtLq2WoiRSae/yaDPnTw==" spinCount="100000" sqref="DA2049:DN2054" name="Rango2_99_17_44"/>
    <protectedRange algorithmName="SHA-512" hashValue="XZw03RosI/l0z9FxmTtF29EdZ7P+4+ybhqoaAAUmURojSR5XbGfjC4f2i8gMqfY+RI9JvfdCA6PSh9TduXfUxA==" saltValue="5TPtLq2WoiRSae/yaDPnTw==" spinCount="100000" sqref="O2055:O2096" name="Rango2_99_2_43"/>
    <protectedRange algorithmName="SHA-512" hashValue="fPHvtIAf3pQeZUoAI9C2/vdXMHBpqqEq+67P5Ypyu4+9IWqs3yc9TZcMWQ0THLxUwqseQPyVvakuYFtCwJHsxA==" saltValue="QHIogSs2PrwAfdqa9PAOFQ==" spinCount="100000" sqref="AC2055:AC2096" name="Rango2_88_5_5_1_39"/>
    <protectedRange algorithmName="SHA-512" hashValue="LEEeiU6pKqm7TAP46VGlz0q+evvFwpT/0iLpRuWuQ7MacbP0OGL1/FSmrIEOg2rb6M+Jla2bPbVWiGag27j87w==" saltValue="HEVt+pS5OloNDlqSnzGLLw==" spinCount="100000" sqref="AI2055:AI2096" name="Rango2_8_7_1_42"/>
    <protectedRange algorithmName="SHA-512" hashValue="q2z5hEFmXS0v2chiPTC/VCoDWNlnhp+Xe6Ybfxe48vIsnB/KTJQxJv+pFUnCXfZ9T6vyJopuqFFNROfQTW/JUw==" saltValue="IctfdGJb5tOTpq+KPi9vww==" spinCount="100000" sqref="AE2055:AF2096" name="Rango2_88_39_1_41"/>
    <protectedRange algorithmName="SHA-512" hashValue="NUll9P9xh7KbSfMYpMxsRZLfDw/y/AzW2LSWlpXVscBDqiAxmzo71xjs+a2lh+jRa7pceOC849slke4+ZKx8LA==" saltValue="8qbkKpQ+CiQuLnqgShNvXA==" spinCount="100000" sqref="T2055:T2096" name="Rango2_88_6_1_40"/>
    <protectedRange algorithmName="SHA-512" hashValue="KHhv3JU/LRdRrRTxxkgFceEHPZ5UzadmpZRZR3zmQRnPvkUJZuanRafIJ+qde0IWwLZSvFIQDyUAHq6v6k7XIg==" saltValue="2GKG1kCzVNNcn+vbOPuhJA==" spinCount="100000" sqref="Q2065 Q2081 Q2083" name="Rango2_2_5_1_41"/>
    <protectedRange algorithmName="SHA-512" hashValue="XZw03RosI/l0z9FxmTtF29EdZ7P+4+ybhqoaAAUmURojSR5XbGfjC4f2i8gMqfY+RI9JvfdCA6PSh9TduXfUxA==" saltValue="5TPtLq2WoiRSae/yaDPnTw==" spinCount="100000" sqref="R2055:S2096 U2055:AA2096" name="Rango2_99_4_44"/>
    <protectedRange algorithmName="SHA-512" hashValue="fMbmUM1DQ7FuAPRNvFL5mPdHUYjQnlLFhkuaxvHguaqR7aWyDxcmJs0jLYQfQKY+oyhsMb4Lew4VL6i7um3/ew==" saltValue="ydaTm0CeH8+/cYqoL/AMaQ==" spinCount="100000" sqref="AU2055:AU2096 AW2055:AZ2096" name="Rango2_88_91_1_43"/>
    <protectedRange algorithmName="SHA-512" hashValue="CHipOQaT63FWw628cQcXXJRZlrbNZ7OgmnEbDx38UmmH7z19GRYEzXFiVOzHAy1OAaAbST7g2bHZHDKQp2qm3w==" saltValue="iRVuL+373yLHv0ZHzS9qog==" spinCount="100000" sqref="AL2055:AL2096" name="Rango2_88_7_5_2_38"/>
    <protectedRange algorithmName="SHA-512" hashValue="NkG6oHuDGvGBEiLAAq8MEJHEfLQUMyjihfH+DBXhT+eQW0r1yri7tOJEFRM9nbOejjjXiviq9RFo7KB7wF+xJA==" saltValue="bpjB0AAANu2X/PeR3eiFkA==" spinCount="100000" sqref="AM2055:AS2096" name="Rango2_88_65_1_40"/>
    <protectedRange algorithmName="SHA-512" hashValue="RQ91b7oAw60DVtcgB2vRpial2kSdzJx5guGCTYUwXYkKrtrUHfiYnLf9R+SNpYXlJDYpyEJLhcWwP0EqNN86dQ==" saltValue="W3RbH3zrcY9sy39xNwXNxg==" spinCount="100000" sqref="BV2055:BY2096" name="Rango2_88_99_2_40"/>
    <protectedRange algorithmName="SHA-512" hashValue="XZw03RosI/l0z9FxmTtF29EdZ7P+4+ybhqoaAAUmURojSR5XbGfjC4f2i8gMqfY+RI9JvfdCA6PSh9TduXfUxA==" saltValue="5TPtLq2WoiRSae/yaDPnTw==" spinCount="100000" sqref="BZ2055:CB2096 BR2055:BU2096" name="Rango2_99_10_41"/>
    <protectedRange algorithmName="SHA-512" hashValue="XZw03RosI/l0z9FxmTtF29EdZ7P+4+ybhqoaAAUmURojSR5XbGfjC4f2i8gMqfY+RI9JvfdCA6PSh9TduXfUxA==" saltValue="5TPtLq2WoiRSae/yaDPnTw==" spinCount="100000" sqref="CE2055:CF2096" name="Rango2_99_11_39"/>
    <protectedRange algorithmName="SHA-512" hashValue="XZw03RosI/l0z9FxmTtF29EdZ7P+4+ybhqoaAAUmURojSR5XbGfjC4f2i8gMqfY+RI9JvfdCA6PSh9TduXfUxA==" saltValue="5TPtLq2WoiRSae/yaDPnTw==" spinCount="100000" sqref="CJ2055:CK2096" name="Rango2_99_12_42"/>
    <protectedRange algorithmName="SHA-512" hashValue="XZw03RosI/l0z9FxmTtF29EdZ7P+4+ybhqoaAAUmURojSR5XbGfjC4f2i8gMqfY+RI9JvfdCA6PSh9TduXfUxA==" saltValue="5TPtLq2WoiRSae/yaDPnTw==" spinCount="100000" sqref="CP2055:CQ2096" name="Rango2_99_14_44"/>
    <protectedRange algorithmName="SHA-512" hashValue="XZw03RosI/l0z9FxmTtF29EdZ7P+4+ybhqoaAAUmURojSR5XbGfjC4f2i8gMqfY+RI9JvfdCA6PSh9TduXfUxA==" saltValue="5TPtLq2WoiRSae/yaDPnTw==" spinCount="100000" sqref="CS2055:CT2096" name="Rango2_99_15_43"/>
    <protectedRange algorithmName="SHA-512" hashValue="XZw03RosI/l0z9FxmTtF29EdZ7P+4+ybhqoaAAUmURojSR5XbGfjC4f2i8gMqfY+RI9JvfdCA6PSh9TduXfUxA==" saltValue="5TPtLq2WoiRSae/yaDPnTw==" spinCount="100000" sqref="DA2055:DN2096" name="Rango2_99_17_45"/>
    <protectedRange algorithmName="SHA-512" hashValue="XZw03RosI/l0z9FxmTtF29EdZ7P+4+ybhqoaAAUmURojSR5XbGfjC4f2i8gMqfY+RI9JvfdCA6PSh9TduXfUxA==" saltValue="5TPtLq2WoiRSae/yaDPnTw==" spinCount="100000" sqref="O2097:O2107" name="Rango2_99_2_44"/>
    <protectedRange algorithmName="SHA-512" hashValue="fPHvtIAf3pQeZUoAI9C2/vdXMHBpqqEq+67P5Ypyu4+9IWqs3yc9TZcMWQ0THLxUwqseQPyVvakuYFtCwJHsxA==" saltValue="QHIogSs2PrwAfdqa9PAOFQ==" spinCount="100000" sqref="AC2097:AC2107" name="Rango2_88_5_5_1_40"/>
    <protectedRange algorithmName="SHA-512" hashValue="LEEeiU6pKqm7TAP46VGlz0q+evvFwpT/0iLpRuWuQ7MacbP0OGL1/FSmrIEOg2rb6M+Jla2bPbVWiGag27j87w==" saltValue="HEVt+pS5OloNDlqSnzGLLw==" spinCount="100000" sqref="AI2097:AI2107" name="Rango2_8_7_1_43"/>
    <protectedRange algorithmName="SHA-512" hashValue="q2z5hEFmXS0v2chiPTC/VCoDWNlnhp+Xe6Ybfxe48vIsnB/KTJQxJv+pFUnCXfZ9T6vyJopuqFFNROfQTW/JUw==" saltValue="IctfdGJb5tOTpq+KPi9vww==" spinCount="100000" sqref="AE2097:AF2107" name="Rango2_88_39_1_42"/>
    <protectedRange algorithmName="SHA-512" hashValue="NUll9P9xh7KbSfMYpMxsRZLfDw/y/AzW2LSWlpXVscBDqiAxmzo71xjs+a2lh+jRa7pceOC849slke4+ZKx8LA==" saltValue="8qbkKpQ+CiQuLnqgShNvXA==" spinCount="100000" sqref="T2097:T2107" name="Rango2_88_6_1_41"/>
    <protectedRange algorithmName="SHA-512" hashValue="KHhv3JU/LRdRrRTxxkgFceEHPZ5UzadmpZRZR3zmQRnPvkUJZuanRafIJ+qde0IWwLZSvFIQDyUAHq6v6k7XIg==" saltValue="2GKG1kCzVNNcn+vbOPuhJA==" spinCount="100000" sqref="Q2101 Q2104" name="Rango2_2_5_1_42"/>
    <protectedRange algorithmName="SHA-512" hashValue="XZw03RosI/l0z9FxmTtF29EdZ7P+4+ybhqoaAAUmURojSR5XbGfjC4f2i8gMqfY+RI9JvfdCA6PSh9TduXfUxA==" saltValue="5TPtLq2WoiRSae/yaDPnTw==" spinCount="100000" sqref="R2097:S2107 U2097:AA2107" name="Rango2_99_4_45"/>
    <protectedRange algorithmName="SHA-512" hashValue="fMbmUM1DQ7FuAPRNvFL5mPdHUYjQnlLFhkuaxvHguaqR7aWyDxcmJs0jLYQfQKY+oyhsMb4Lew4VL6i7um3/ew==" saltValue="ydaTm0CeH8+/cYqoL/AMaQ==" spinCount="100000" sqref="AU2097:AU2107 AW2097:AZ2107" name="Rango2_88_91_1_44"/>
    <protectedRange algorithmName="SHA-512" hashValue="CHipOQaT63FWw628cQcXXJRZlrbNZ7OgmnEbDx38UmmH7z19GRYEzXFiVOzHAy1OAaAbST7g2bHZHDKQp2qm3w==" saltValue="iRVuL+373yLHv0ZHzS9qog==" spinCount="100000" sqref="AL2097:AL2107" name="Rango2_88_7_5_2_39"/>
    <protectedRange algorithmName="SHA-512" hashValue="NkG6oHuDGvGBEiLAAq8MEJHEfLQUMyjihfH+DBXhT+eQW0r1yri7tOJEFRM9nbOejjjXiviq9RFo7KB7wF+xJA==" saltValue="bpjB0AAANu2X/PeR3eiFkA==" spinCount="100000" sqref="AM2097:AS2107" name="Rango2_88_65_1_41"/>
    <protectedRange algorithmName="SHA-512" hashValue="RQ91b7oAw60DVtcgB2vRpial2kSdzJx5guGCTYUwXYkKrtrUHfiYnLf9R+SNpYXlJDYpyEJLhcWwP0EqNN86dQ==" saltValue="W3RbH3zrcY9sy39xNwXNxg==" spinCount="100000" sqref="BV2097:BY2107" name="Rango2_88_99_2_41"/>
    <protectedRange algorithmName="SHA-512" hashValue="XZw03RosI/l0z9FxmTtF29EdZ7P+4+ybhqoaAAUmURojSR5XbGfjC4f2i8gMqfY+RI9JvfdCA6PSh9TduXfUxA==" saltValue="5TPtLq2WoiRSae/yaDPnTw==" spinCount="100000" sqref="BZ2097:CB2107 BR2097:BU2107" name="Rango2_99_10_42"/>
    <protectedRange algorithmName="SHA-512" hashValue="XZw03RosI/l0z9FxmTtF29EdZ7P+4+ybhqoaAAUmURojSR5XbGfjC4f2i8gMqfY+RI9JvfdCA6PSh9TduXfUxA==" saltValue="5TPtLq2WoiRSae/yaDPnTw==" spinCount="100000" sqref="CE2097:CF2107" name="Rango2_99_11_40"/>
    <protectedRange algorithmName="SHA-512" hashValue="XZw03RosI/l0z9FxmTtF29EdZ7P+4+ybhqoaAAUmURojSR5XbGfjC4f2i8gMqfY+RI9JvfdCA6PSh9TduXfUxA==" saltValue="5TPtLq2WoiRSae/yaDPnTw==" spinCount="100000" sqref="CJ2097:CK2107" name="Rango2_99_12_43"/>
    <protectedRange algorithmName="SHA-512" hashValue="XZw03RosI/l0z9FxmTtF29EdZ7P+4+ybhqoaAAUmURojSR5XbGfjC4f2i8gMqfY+RI9JvfdCA6PSh9TduXfUxA==" saltValue="5TPtLq2WoiRSae/yaDPnTw==" spinCount="100000" sqref="CP2097:CQ2107" name="Rango2_99_14_45"/>
    <protectedRange algorithmName="SHA-512" hashValue="XZw03RosI/l0z9FxmTtF29EdZ7P+4+ybhqoaAAUmURojSR5XbGfjC4f2i8gMqfY+RI9JvfdCA6PSh9TduXfUxA==" saltValue="5TPtLq2WoiRSae/yaDPnTw==" spinCount="100000" sqref="CS2097:CT2107" name="Rango2_99_15_44"/>
    <protectedRange algorithmName="SHA-512" hashValue="XZw03RosI/l0z9FxmTtF29EdZ7P+4+ybhqoaAAUmURojSR5XbGfjC4f2i8gMqfY+RI9JvfdCA6PSh9TduXfUxA==" saltValue="5TPtLq2WoiRSae/yaDPnTw==" spinCount="100000" sqref="DA2097:DN2107" name="Rango2_99_17_46"/>
    <protectedRange algorithmName="SHA-512" hashValue="XZw03RosI/l0z9FxmTtF29EdZ7P+4+ybhqoaAAUmURojSR5XbGfjC4f2i8gMqfY+RI9JvfdCA6PSh9TduXfUxA==" saltValue="5TPtLq2WoiRSae/yaDPnTw==" spinCount="100000" sqref="EA1997:EJ1997" name="Rango2_99_18_8"/>
    <protectedRange algorithmName="SHA-512" hashValue="9+DNppQbWrLYYUMoJ+lyQctV2bX3Vq9kZnegLbpjTLP49It2ovUbcartuoQTeXgP+TGpY//7mDH/UQlFCKDGiA==" saltValue="KUnni6YEm00anzSSvyLqQA==" spinCount="100000" sqref="EN1997" name="Rango2_22_3"/>
    <protectedRange algorithmName="SHA-512" hashValue="XZw03RosI/l0z9FxmTtF29EdZ7P+4+ybhqoaAAUmURojSR5XbGfjC4f2i8gMqfY+RI9JvfdCA6PSh9TduXfUxA==" saltValue="5TPtLq2WoiRSae/yaDPnTw==" spinCount="100000" sqref="ER1997:ES1997" name="Rango2_99_20_5"/>
    <protectedRange algorithmName="SHA-512" hashValue="XZw03RosI/l0z9FxmTtF29EdZ7P+4+ybhqoaAAUmURojSR5XbGfjC4f2i8gMqfY+RI9JvfdCA6PSh9TduXfUxA==" saltValue="5TPtLq2WoiRSae/yaDPnTw==" spinCount="100000" sqref="EV1997:EW1997" name="Rango2_99_22_5"/>
    <protectedRange algorithmName="SHA-512" hashValue="9+DNppQbWrLYYUMoJ+lyQctV2bX3Vq9kZnegLbpjTLP49It2ovUbcartuoQTeXgP+TGpY//7mDH/UQlFCKDGiA==" saltValue="KUnni6YEm00anzSSvyLqQA==" spinCount="100000" sqref="FC1997" name="Rango2_26_4"/>
    <protectedRange algorithmName="SHA-512" hashValue="XZw03RosI/l0z9FxmTtF29EdZ7P+4+ybhqoaAAUmURojSR5XbGfjC4f2i8gMqfY+RI9JvfdCA6PSh9TduXfUxA==" saltValue="5TPtLq2WoiRSae/yaDPnTw==" spinCount="100000" sqref="FF1997" name="Rango2_99_23_8"/>
    <protectedRange algorithmName="SHA-512" hashValue="9+DNppQbWrLYYUMoJ+lyQctV2bX3Vq9kZnegLbpjTLP49It2ovUbcartuoQTeXgP+TGpY//7mDH/UQlFCKDGiA==" saltValue="KUnni6YEm00anzSSvyLqQA==" spinCount="100000" sqref="FH1997" name="Rango2_35_5"/>
    <protectedRange algorithmName="SHA-512" hashValue="XZw03RosI/l0z9FxmTtF29EdZ7P+4+ybhqoaAAUmURojSR5XbGfjC4f2i8gMqfY+RI9JvfdCA6PSh9TduXfUxA==" saltValue="5TPtLq2WoiRSae/yaDPnTw==" spinCount="100000" sqref="FQ1997:FR1997" name="Rango2_99_27_7"/>
    <protectedRange algorithmName="SHA-512" hashValue="XZw03RosI/l0z9FxmTtF29EdZ7P+4+ybhqoaAAUmURojSR5XbGfjC4f2i8gMqfY+RI9JvfdCA6PSh9TduXfUxA==" saltValue="5TPtLq2WoiRSae/yaDPnTw==" spinCount="100000" sqref="FU1997" name="Rango2_99_29_3"/>
    <protectedRange algorithmName="SHA-512" hashValue="XZw03RosI/l0z9FxmTtF29EdZ7P+4+ybhqoaAAUmURojSR5XbGfjC4f2i8gMqfY+RI9JvfdCA6PSh9TduXfUxA==" saltValue="5TPtLq2WoiRSae/yaDPnTw==" spinCount="100000" sqref="FW1997:FX1997" name="Rango2_99_31_4"/>
    <protectedRange algorithmName="SHA-512" hashValue="Umj9+5Ys20VQPxBFtc6qE5LtKKSgPKwit+B8dd4XnEUaLfBM2ozpkEC4YxwK0SbBiAHDDex+pY+LomQ0lyuamQ==" saltValue="N2/MCRws+mmA+NXw0axolg==" spinCount="100000" sqref="FY1997" name="Rango2_31_2_2_5"/>
    <protectedRange algorithmName="SHA-512" hashValue="Rgskw+AQdeJ5qbJdarzTa3SCkJfDGziy0Uan5N0F3IWn/H3Z/e+VcB56R7Nes7MPxNHewNP1sSSucVjz3iTLeA==" saltValue="qKZH3DnwaZHBzy3cBZo1qQ==" spinCount="100000" sqref="GF1997" name="Rango2_31_28_1_5"/>
    <protectedRange algorithmName="SHA-512" hashValue="Umj9+5Ys20VQPxBFtc6qE5LtKKSgPKwit+B8dd4XnEUaLfBM2ozpkEC4YxwK0SbBiAHDDex+pY+LomQ0lyuamQ==" saltValue="N2/MCRws+mmA+NXw0axolg==" spinCount="100000" sqref="GE1997" name="Rango2_31_2_5_2"/>
    <protectedRange algorithmName="SHA-512" hashValue="Umj9+5Ys20VQPxBFtc6qE5LtKKSgPKwit+B8dd4XnEUaLfBM2ozpkEC4YxwK0SbBiAHDDex+pY+LomQ0lyuamQ==" saltValue="N2/MCRws+mmA+NXw0axolg==" spinCount="100000" sqref="GJ1997 GH1997 GL1997" name="Rango2_31_2_6_2"/>
    <protectedRange algorithmName="SHA-512" hashValue="XZw03RosI/l0z9FxmTtF29EdZ7P+4+ybhqoaAAUmURojSR5XbGfjC4f2i8gMqfY+RI9JvfdCA6PSh9TduXfUxA==" saltValue="5TPtLq2WoiRSae/yaDPnTw==" spinCount="100000" sqref="GO1997 GM1997 GK1997" name="Rango2_99_36_6"/>
    <protectedRange algorithmName="SHA-512" hashValue="EEHzbvEYwO1eufllBljOz0uf9BJ2ENtvOScQ7IsS321QhYbwKn7qhHKKP8cKj02rTDvVRMWvwQ1ZP0mZWsBprQ==" saltValue="CjXqBRFbKezlWOFV37MnDQ==" spinCount="100000" sqref="GQ1997:GR1997" name="Rango2_30_2_2_6"/>
    <protectedRange algorithmName="SHA-512" hashValue="EEHzbvEYwO1eufllBljOz0uf9BJ2ENtvOScQ7IsS321QhYbwKn7qhHKKP8cKj02rTDvVRMWvwQ1ZP0mZWsBprQ==" saltValue="CjXqBRFbKezlWOFV37MnDQ==" spinCount="100000" sqref="GW1997" name="Rango2_30_2_3_4"/>
    <protectedRange algorithmName="SHA-512" hashValue="XZw03RosI/l0z9FxmTtF29EdZ7P+4+ybhqoaAAUmURojSR5XbGfjC4f2i8gMqfY+RI9JvfdCA6PSh9TduXfUxA==" saltValue="5TPtLq2WoiRSae/yaDPnTw==" spinCount="100000" sqref="GY1997:GZ1997" name="Rango2_99_39_2"/>
    <protectedRange algorithmName="SHA-512" hashValue="XZw03RosI/l0z9FxmTtF29EdZ7P+4+ybhqoaAAUmURojSR5XbGfjC4f2i8gMqfY+RI9JvfdCA6PSh9TduXfUxA==" saltValue="5TPtLq2WoiRSae/yaDPnTw==" spinCount="100000" sqref="HJ1997" name="Rango2_99_40_6"/>
    <protectedRange algorithmName="SHA-512" hashValue="9+DNppQbWrLYYUMoJ+lyQctV2bX3Vq9kZnegLbpjTLP49It2ovUbcartuoQTeXgP+TGpY//7mDH/UQlFCKDGiA==" saltValue="KUnni6YEm00anzSSvyLqQA==" spinCount="100000" sqref="HD1997:HI1997" name="Rango2_39_8"/>
    <protectedRange algorithmName="SHA-512" hashValue="XZw03RosI/l0z9FxmTtF29EdZ7P+4+ybhqoaAAUmURojSR5XbGfjC4f2i8gMqfY+RI9JvfdCA6PSh9TduXfUxA==" saltValue="5TPtLq2WoiRSae/yaDPnTw==" spinCount="100000" sqref="IB1997 HU1997:HZ1997" name="Rango2_99_41_2"/>
    <protectedRange algorithmName="SHA-512" hashValue="9+DNppQbWrLYYUMoJ+lyQctV2bX3Vq9kZnegLbpjTLP49It2ovUbcartuoQTeXgP+TGpY//7mDH/UQlFCKDGiA==" saltValue="KUnni6YEm00anzSSvyLqQA==" spinCount="100000" sqref="HS1997:HT1997" name="Rango2_40_6"/>
    <protectedRange algorithmName="SHA-512" hashValue="XZw03RosI/l0z9FxmTtF29EdZ7P+4+ybhqoaAAUmURojSR5XbGfjC4f2i8gMqfY+RI9JvfdCA6PSh9TduXfUxA==" saltValue="5TPtLq2WoiRSae/yaDPnTw==" spinCount="100000" sqref="IL1997:IM1997" name="Rango2_99_77_1_1"/>
    <protectedRange algorithmName="SHA-512" hashValue="XZw03RosI/l0z9FxmTtF29EdZ7P+4+ybhqoaAAUmURojSR5XbGfjC4f2i8gMqfY+RI9JvfdCA6PSh9TduXfUxA==" saltValue="5TPtLq2WoiRSae/yaDPnTw==" spinCount="100000" sqref="IO1997" name="Rango2_99_77_2"/>
    <protectedRange algorithmName="SHA-512" hashValue="XZw03RosI/l0z9FxmTtF29EdZ7P+4+ybhqoaAAUmURojSR5XbGfjC4f2i8gMqfY+RI9JvfdCA6PSh9TduXfUxA==" saltValue="5TPtLq2WoiRSae/yaDPnTw==" spinCount="100000" sqref="EA1998:EJ1998" name="Rango2_99_18_9"/>
    <protectedRange algorithmName="SHA-512" hashValue="9+DNppQbWrLYYUMoJ+lyQctV2bX3Vq9kZnegLbpjTLP49It2ovUbcartuoQTeXgP+TGpY//7mDH/UQlFCKDGiA==" saltValue="KUnni6YEm00anzSSvyLqQA==" spinCount="100000" sqref="EN1998" name="Rango2_22_4"/>
    <protectedRange algorithmName="SHA-512" hashValue="XZw03RosI/l0z9FxmTtF29EdZ7P+4+ybhqoaAAUmURojSR5XbGfjC4f2i8gMqfY+RI9JvfdCA6PSh9TduXfUxA==" saltValue="5TPtLq2WoiRSae/yaDPnTw==" spinCount="100000" sqref="ER1998:ES1998" name="Rango2_99_20_6"/>
    <protectedRange algorithmName="SHA-512" hashValue="XZw03RosI/l0z9FxmTtF29EdZ7P+4+ybhqoaAAUmURojSR5XbGfjC4f2i8gMqfY+RI9JvfdCA6PSh9TduXfUxA==" saltValue="5TPtLq2WoiRSae/yaDPnTw==" spinCount="100000" sqref="EV1998:EW1998" name="Rango2_99_22_6"/>
    <protectedRange algorithmName="SHA-512" hashValue="9+DNppQbWrLYYUMoJ+lyQctV2bX3Vq9kZnegLbpjTLP49It2ovUbcartuoQTeXgP+TGpY//7mDH/UQlFCKDGiA==" saltValue="KUnni6YEm00anzSSvyLqQA==" spinCount="100000" sqref="FC1998" name="Rango2_26_5"/>
    <protectedRange algorithmName="SHA-512" hashValue="XZw03RosI/l0z9FxmTtF29EdZ7P+4+ybhqoaAAUmURojSR5XbGfjC4f2i8gMqfY+RI9JvfdCA6PSh9TduXfUxA==" saltValue="5TPtLq2WoiRSae/yaDPnTw==" spinCount="100000" sqref="FF1998" name="Rango2_99_23_9"/>
    <protectedRange algorithmName="SHA-512" hashValue="9+DNppQbWrLYYUMoJ+lyQctV2bX3Vq9kZnegLbpjTLP49It2ovUbcartuoQTeXgP+TGpY//7mDH/UQlFCKDGiA==" saltValue="KUnni6YEm00anzSSvyLqQA==" spinCount="100000" sqref="FH1998" name="Rango2_35_6"/>
    <protectedRange algorithmName="SHA-512" hashValue="XZw03RosI/l0z9FxmTtF29EdZ7P+4+ybhqoaAAUmURojSR5XbGfjC4f2i8gMqfY+RI9JvfdCA6PSh9TduXfUxA==" saltValue="5TPtLq2WoiRSae/yaDPnTw==" spinCount="100000" sqref="FQ1998:FR1998" name="Rango2_99_27_8"/>
    <protectedRange algorithmName="SHA-512" hashValue="XZw03RosI/l0z9FxmTtF29EdZ7P+4+ybhqoaAAUmURojSR5XbGfjC4f2i8gMqfY+RI9JvfdCA6PSh9TduXfUxA==" saltValue="5TPtLq2WoiRSae/yaDPnTw==" spinCount="100000" sqref="FU1998" name="Rango2_99_29_5"/>
    <protectedRange algorithmName="SHA-512" hashValue="XZw03RosI/l0z9FxmTtF29EdZ7P+4+ybhqoaAAUmURojSR5XbGfjC4f2i8gMqfY+RI9JvfdCA6PSh9TduXfUxA==" saltValue="5TPtLq2WoiRSae/yaDPnTw==" spinCount="100000" sqref="FW1998:FX1998" name="Rango2_99_31_5"/>
    <protectedRange algorithmName="SHA-512" hashValue="Umj9+5Ys20VQPxBFtc6qE5LtKKSgPKwit+B8dd4XnEUaLfBM2ozpkEC4YxwK0SbBiAHDDex+pY+LomQ0lyuamQ==" saltValue="N2/MCRws+mmA+NXw0axolg==" spinCount="100000" sqref="FY1998" name="Rango2_31_2_2_6"/>
    <protectedRange algorithmName="SHA-512" hashValue="Rgskw+AQdeJ5qbJdarzTa3SCkJfDGziy0Uan5N0F3IWn/H3Z/e+VcB56R7Nes7MPxNHewNP1sSSucVjz3iTLeA==" saltValue="qKZH3DnwaZHBzy3cBZo1qQ==" spinCount="100000" sqref="GF1998" name="Rango2_31_28_1_6"/>
    <protectedRange algorithmName="SHA-512" hashValue="Umj9+5Ys20VQPxBFtc6qE5LtKKSgPKwit+B8dd4XnEUaLfBM2ozpkEC4YxwK0SbBiAHDDex+pY+LomQ0lyuamQ==" saltValue="N2/MCRws+mmA+NXw0axolg==" spinCount="100000" sqref="GE1998" name="Rango2_31_2_5_3"/>
    <protectedRange algorithmName="SHA-512" hashValue="Umj9+5Ys20VQPxBFtc6qE5LtKKSgPKwit+B8dd4XnEUaLfBM2ozpkEC4YxwK0SbBiAHDDex+pY+LomQ0lyuamQ==" saltValue="N2/MCRws+mmA+NXw0axolg==" spinCount="100000" sqref="GJ1998 GH1998 GL1998" name="Rango2_31_2_6_3"/>
    <protectedRange algorithmName="SHA-512" hashValue="XZw03RosI/l0z9FxmTtF29EdZ7P+4+ybhqoaAAUmURojSR5XbGfjC4f2i8gMqfY+RI9JvfdCA6PSh9TduXfUxA==" saltValue="5TPtLq2WoiRSae/yaDPnTw==" spinCount="100000" sqref="GO1998 GM1998 GK1998" name="Rango2_99_36_7"/>
    <protectedRange algorithmName="SHA-512" hashValue="EEHzbvEYwO1eufllBljOz0uf9BJ2ENtvOScQ7IsS321QhYbwKn7qhHKKP8cKj02rTDvVRMWvwQ1ZP0mZWsBprQ==" saltValue="CjXqBRFbKezlWOFV37MnDQ==" spinCount="100000" sqref="GQ1998:GR1998" name="Rango2_30_2_2_7"/>
    <protectedRange algorithmName="SHA-512" hashValue="EEHzbvEYwO1eufllBljOz0uf9BJ2ENtvOScQ7IsS321QhYbwKn7qhHKKP8cKj02rTDvVRMWvwQ1ZP0mZWsBprQ==" saltValue="CjXqBRFbKezlWOFV37MnDQ==" spinCount="100000" sqref="GW1998" name="Rango2_30_2_3_5"/>
    <protectedRange algorithmName="SHA-512" hashValue="XZw03RosI/l0z9FxmTtF29EdZ7P+4+ybhqoaAAUmURojSR5XbGfjC4f2i8gMqfY+RI9JvfdCA6PSh9TduXfUxA==" saltValue="5TPtLq2WoiRSae/yaDPnTw==" spinCount="100000" sqref="GY1998:GZ1998" name="Rango2_99_39_3"/>
    <protectedRange algorithmName="SHA-512" hashValue="XZw03RosI/l0z9FxmTtF29EdZ7P+4+ybhqoaAAUmURojSR5XbGfjC4f2i8gMqfY+RI9JvfdCA6PSh9TduXfUxA==" saltValue="5TPtLq2WoiRSae/yaDPnTw==" spinCount="100000" sqref="HJ1998" name="Rango2_99_40_7"/>
    <protectedRange algorithmName="SHA-512" hashValue="9+DNppQbWrLYYUMoJ+lyQctV2bX3Vq9kZnegLbpjTLP49It2ovUbcartuoQTeXgP+TGpY//7mDH/UQlFCKDGiA==" saltValue="KUnni6YEm00anzSSvyLqQA==" spinCount="100000" sqref="HD1998:HI1998" name="Rango2_39_9"/>
    <protectedRange algorithmName="SHA-512" hashValue="XZw03RosI/l0z9FxmTtF29EdZ7P+4+ybhqoaAAUmURojSR5XbGfjC4f2i8gMqfY+RI9JvfdCA6PSh9TduXfUxA==" saltValue="5TPtLq2WoiRSae/yaDPnTw==" spinCount="100000" sqref="IB1998 HU1998:HZ1998" name="Rango2_99_41_3"/>
    <protectedRange algorithmName="SHA-512" hashValue="9+DNppQbWrLYYUMoJ+lyQctV2bX3Vq9kZnegLbpjTLP49It2ovUbcartuoQTeXgP+TGpY//7mDH/UQlFCKDGiA==" saltValue="KUnni6YEm00anzSSvyLqQA==" spinCount="100000" sqref="HS1998:HT1998" name="Rango2_40_7"/>
    <protectedRange algorithmName="SHA-512" hashValue="XZw03RosI/l0z9FxmTtF29EdZ7P+4+ybhqoaAAUmURojSR5XbGfjC4f2i8gMqfY+RI9JvfdCA6PSh9TduXfUxA==" saltValue="5TPtLq2WoiRSae/yaDPnTw==" spinCount="100000" sqref="IL1998:IM1998" name="Rango2_99_78_1_1"/>
    <protectedRange algorithmName="SHA-512" hashValue="XZw03RosI/l0z9FxmTtF29EdZ7P+4+ybhqoaAAUmURojSR5XbGfjC4f2i8gMqfY+RI9JvfdCA6PSh9TduXfUxA==" saltValue="5TPtLq2WoiRSae/yaDPnTw==" spinCount="100000" sqref="IO1998" name="Rango2_99_78_2_1"/>
    <protectedRange algorithmName="SHA-512" hashValue="XZw03RosI/l0z9FxmTtF29EdZ7P+4+ybhqoaAAUmURojSR5XbGfjC4f2i8gMqfY+RI9JvfdCA6PSh9TduXfUxA==" saltValue="5TPtLq2WoiRSae/yaDPnTw==" spinCount="100000" sqref="EA1999:EJ1999" name="Rango2_99_18_10"/>
    <protectedRange algorithmName="SHA-512" hashValue="9+DNppQbWrLYYUMoJ+lyQctV2bX3Vq9kZnegLbpjTLP49It2ovUbcartuoQTeXgP+TGpY//7mDH/UQlFCKDGiA==" saltValue="KUnni6YEm00anzSSvyLqQA==" spinCount="100000" sqref="EN1999" name="Rango2_22_5"/>
    <protectedRange algorithmName="SHA-512" hashValue="XZw03RosI/l0z9FxmTtF29EdZ7P+4+ybhqoaAAUmURojSR5XbGfjC4f2i8gMqfY+RI9JvfdCA6PSh9TduXfUxA==" saltValue="5TPtLq2WoiRSae/yaDPnTw==" spinCount="100000" sqref="ER1999:ES1999" name="Rango2_99_20_7"/>
    <protectedRange algorithmName="SHA-512" hashValue="XZw03RosI/l0z9FxmTtF29EdZ7P+4+ybhqoaAAUmURojSR5XbGfjC4f2i8gMqfY+RI9JvfdCA6PSh9TduXfUxA==" saltValue="5TPtLq2WoiRSae/yaDPnTw==" spinCount="100000" sqref="EV1999:EW1999" name="Rango2_99_22_7"/>
    <protectedRange algorithmName="SHA-512" hashValue="9+DNppQbWrLYYUMoJ+lyQctV2bX3Vq9kZnegLbpjTLP49It2ovUbcartuoQTeXgP+TGpY//7mDH/UQlFCKDGiA==" saltValue="KUnni6YEm00anzSSvyLqQA==" spinCount="100000" sqref="FC1999" name="Rango2_26_6"/>
    <protectedRange algorithmName="SHA-512" hashValue="XZw03RosI/l0z9FxmTtF29EdZ7P+4+ybhqoaAAUmURojSR5XbGfjC4f2i8gMqfY+RI9JvfdCA6PSh9TduXfUxA==" saltValue="5TPtLq2WoiRSae/yaDPnTw==" spinCount="100000" sqref="FF1999" name="Rango2_99_23_10"/>
    <protectedRange algorithmName="SHA-512" hashValue="9+DNppQbWrLYYUMoJ+lyQctV2bX3Vq9kZnegLbpjTLP49It2ovUbcartuoQTeXgP+TGpY//7mDH/UQlFCKDGiA==" saltValue="KUnni6YEm00anzSSvyLqQA==" spinCount="100000" sqref="FH1999" name="Rango2_35_7"/>
    <protectedRange algorithmName="SHA-512" hashValue="XZw03RosI/l0z9FxmTtF29EdZ7P+4+ybhqoaAAUmURojSR5XbGfjC4f2i8gMqfY+RI9JvfdCA6PSh9TduXfUxA==" saltValue="5TPtLq2WoiRSae/yaDPnTw==" spinCount="100000" sqref="FQ1999:FR1999" name="Rango2_99_27_9"/>
    <protectedRange algorithmName="SHA-512" hashValue="XZw03RosI/l0z9FxmTtF29EdZ7P+4+ybhqoaAAUmURojSR5XbGfjC4f2i8gMqfY+RI9JvfdCA6PSh9TduXfUxA==" saltValue="5TPtLq2WoiRSae/yaDPnTw==" spinCount="100000" sqref="FU1999" name="Rango2_99_29_6"/>
    <protectedRange algorithmName="SHA-512" hashValue="XZw03RosI/l0z9FxmTtF29EdZ7P+4+ybhqoaAAUmURojSR5XbGfjC4f2i8gMqfY+RI9JvfdCA6PSh9TduXfUxA==" saltValue="5TPtLq2WoiRSae/yaDPnTw==" spinCount="100000" sqref="FW1999:FX1999" name="Rango2_99_31_6"/>
    <protectedRange algorithmName="SHA-512" hashValue="Umj9+5Ys20VQPxBFtc6qE5LtKKSgPKwit+B8dd4XnEUaLfBM2ozpkEC4YxwK0SbBiAHDDex+pY+LomQ0lyuamQ==" saltValue="N2/MCRws+mmA+NXw0axolg==" spinCount="100000" sqref="FY1999" name="Rango2_31_2_2_7"/>
    <protectedRange algorithmName="SHA-512" hashValue="Rgskw+AQdeJ5qbJdarzTa3SCkJfDGziy0Uan5N0F3IWn/H3Z/e+VcB56R7Nes7MPxNHewNP1sSSucVjz3iTLeA==" saltValue="qKZH3DnwaZHBzy3cBZo1qQ==" spinCount="100000" sqref="GF1999" name="Rango2_31_28_1_7"/>
    <protectedRange algorithmName="SHA-512" hashValue="Umj9+5Ys20VQPxBFtc6qE5LtKKSgPKwit+B8dd4XnEUaLfBM2ozpkEC4YxwK0SbBiAHDDex+pY+LomQ0lyuamQ==" saltValue="N2/MCRws+mmA+NXw0axolg==" spinCount="100000" sqref="GE1999" name="Rango2_31_2_5_4"/>
    <protectedRange algorithmName="SHA-512" hashValue="Umj9+5Ys20VQPxBFtc6qE5LtKKSgPKwit+B8dd4XnEUaLfBM2ozpkEC4YxwK0SbBiAHDDex+pY+LomQ0lyuamQ==" saltValue="N2/MCRws+mmA+NXw0axolg==" spinCount="100000" sqref="GJ1999 GH1999 GL1999" name="Rango2_31_2_6_4"/>
    <protectedRange algorithmName="SHA-512" hashValue="XZw03RosI/l0z9FxmTtF29EdZ7P+4+ybhqoaAAUmURojSR5XbGfjC4f2i8gMqfY+RI9JvfdCA6PSh9TduXfUxA==" saltValue="5TPtLq2WoiRSae/yaDPnTw==" spinCount="100000" sqref="GO1999 GM1999 GK1999" name="Rango2_99_36_9"/>
    <protectedRange algorithmName="SHA-512" hashValue="EEHzbvEYwO1eufllBljOz0uf9BJ2ENtvOScQ7IsS321QhYbwKn7qhHKKP8cKj02rTDvVRMWvwQ1ZP0mZWsBprQ==" saltValue="CjXqBRFbKezlWOFV37MnDQ==" spinCount="100000" sqref="GQ1999:GR1999" name="Rango2_30_2_2_8"/>
    <protectedRange algorithmName="SHA-512" hashValue="EEHzbvEYwO1eufllBljOz0uf9BJ2ENtvOScQ7IsS321QhYbwKn7qhHKKP8cKj02rTDvVRMWvwQ1ZP0mZWsBprQ==" saltValue="CjXqBRFbKezlWOFV37MnDQ==" spinCount="100000" sqref="GW1999" name="Rango2_30_2_3_6"/>
    <protectedRange algorithmName="SHA-512" hashValue="XZw03RosI/l0z9FxmTtF29EdZ7P+4+ybhqoaAAUmURojSR5XbGfjC4f2i8gMqfY+RI9JvfdCA6PSh9TduXfUxA==" saltValue="5TPtLq2WoiRSae/yaDPnTw==" spinCount="100000" sqref="GY1999:GZ1999" name="Rango2_99_39_4"/>
    <protectedRange algorithmName="SHA-512" hashValue="XZw03RosI/l0z9FxmTtF29EdZ7P+4+ybhqoaAAUmURojSR5XbGfjC4f2i8gMqfY+RI9JvfdCA6PSh9TduXfUxA==" saltValue="5TPtLq2WoiRSae/yaDPnTw==" spinCount="100000" sqref="HJ1999" name="Rango2_99_40_8"/>
    <protectedRange algorithmName="SHA-512" hashValue="9+DNppQbWrLYYUMoJ+lyQctV2bX3Vq9kZnegLbpjTLP49It2ovUbcartuoQTeXgP+TGpY//7mDH/UQlFCKDGiA==" saltValue="KUnni6YEm00anzSSvyLqQA==" spinCount="100000" sqref="HD1999:HI1999" name="Rango2_39_10"/>
    <protectedRange algorithmName="SHA-512" hashValue="XZw03RosI/l0z9FxmTtF29EdZ7P+4+ybhqoaAAUmURojSR5XbGfjC4f2i8gMqfY+RI9JvfdCA6PSh9TduXfUxA==" saltValue="5TPtLq2WoiRSae/yaDPnTw==" spinCount="100000" sqref="IB1999 HU1999:HZ1999" name="Rango2_99_41_4"/>
    <protectedRange algorithmName="SHA-512" hashValue="9+DNppQbWrLYYUMoJ+lyQctV2bX3Vq9kZnegLbpjTLP49It2ovUbcartuoQTeXgP+TGpY//7mDH/UQlFCKDGiA==" saltValue="KUnni6YEm00anzSSvyLqQA==" spinCount="100000" sqref="HS1999:HT1999" name="Rango2_40_8"/>
    <protectedRange algorithmName="SHA-512" hashValue="XZw03RosI/l0z9FxmTtF29EdZ7P+4+ybhqoaAAUmURojSR5XbGfjC4f2i8gMqfY+RI9JvfdCA6PSh9TduXfUxA==" saltValue="5TPtLq2WoiRSae/yaDPnTw==" spinCount="100000" sqref="IL1999:IM1999" name="Rango2_99_78_1_2"/>
    <protectedRange algorithmName="SHA-512" hashValue="XZw03RosI/l0z9FxmTtF29EdZ7P+4+ybhqoaAAUmURojSR5XbGfjC4f2i8gMqfY+RI9JvfdCA6PSh9TduXfUxA==" saltValue="5TPtLq2WoiRSae/yaDPnTw==" spinCount="100000" sqref="IO1999" name="Rango2_99_78_2_2"/>
    <protectedRange algorithmName="SHA-512" hashValue="XZw03RosI/l0z9FxmTtF29EdZ7P+4+ybhqoaAAUmURojSR5XbGfjC4f2i8gMqfY+RI9JvfdCA6PSh9TduXfUxA==" saltValue="5TPtLq2WoiRSae/yaDPnTw==" spinCount="100000" sqref="EA2000:EJ2000" name="Rango2_99_18_11"/>
    <protectedRange algorithmName="SHA-512" hashValue="9+DNppQbWrLYYUMoJ+lyQctV2bX3Vq9kZnegLbpjTLP49It2ovUbcartuoQTeXgP+TGpY//7mDH/UQlFCKDGiA==" saltValue="KUnni6YEm00anzSSvyLqQA==" spinCount="100000" sqref="EN2000" name="Rango2_22_6"/>
    <protectedRange algorithmName="SHA-512" hashValue="XZw03RosI/l0z9FxmTtF29EdZ7P+4+ybhqoaAAUmURojSR5XbGfjC4f2i8gMqfY+RI9JvfdCA6PSh9TduXfUxA==" saltValue="5TPtLq2WoiRSae/yaDPnTw==" spinCount="100000" sqref="ER2000:ES2000" name="Rango2_99_20_8"/>
    <protectedRange algorithmName="SHA-512" hashValue="XZw03RosI/l0z9FxmTtF29EdZ7P+4+ybhqoaAAUmURojSR5XbGfjC4f2i8gMqfY+RI9JvfdCA6PSh9TduXfUxA==" saltValue="5TPtLq2WoiRSae/yaDPnTw==" spinCount="100000" sqref="EV2000:EW2000" name="Rango2_99_22_8"/>
    <protectedRange algorithmName="SHA-512" hashValue="9+DNppQbWrLYYUMoJ+lyQctV2bX3Vq9kZnegLbpjTLP49It2ovUbcartuoQTeXgP+TGpY//7mDH/UQlFCKDGiA==" saltValue="KUnni6YEm00anzSSvyLqQA==" spinCount="100000" sqref="FC2000" name="Rango2_26_7"/>
    <protectedRange algorithmName="SHA-512" hashValue="XZw03RosI/l0z9FxmTtF29EdZ7P+4+ybhqoaAAUmURojSR5XbGfjC4f2i8gMqfY+RI9JvfdCA6PSh9TduXfUxA==" saltValue="5TPtLq2WoiRSae/yaDPnTw==" spinCount="100000" sqref="FF2000" name="Rango2_99_23_11"/>
    <protectedRange algorithmName="SHA-512" hashValue="9+DNppQbWrLYYUMoJ+lyQctV2bX3Vq9kZnegLbpjTLP49It2ovUbcartuoQTeXgP+TGpY//7mDH/UQlFCKDGiA==" saltValue="KUnni6YEm00anzSSvyLqQA==" spinCount="100000" sqref="FH2000" name="Rango2_35_8"/>
    <protectedRange algorithmName="SHA-512" hashValue="XZw03RosI/l0z9FxmTtF29EdZ7P+4+ybhqoaAAUmURojSR5XbGfjC4f2i8gMqfY+RI9JvfdCA6PSh9TduXfUxA==" saltValue="5TPtLq2WoiRSae/yaDPnTw==" spinCount="100000" sqref="FQ2000:FR2000" name="Rango2_99_27_10"/>
    <protectedRange algorithmName="SHA-512" hashValue="XZw03RosI/l0z9FxmTtF29EdZ7P+4+ybhqoaAAUmURojSR5XbGfjC4f2i8gMqfY+RI9JvfdCA6PSh9TduXfUxA==" saltValue="5TPtLq2WoiRSae/yaDPnTw==" spinCount="100000" sqref="FU2000" name="Rango2_99_29_7"/>
    <protectedRange algorithmName="SHA-512" hashValue="XZw03RosI/l0z9FxmTtF29EdZ7P+4+ybhqoaAAUmURojSR5XbGfjC4f2i8gMqfY+RI9JvfdCA6PSh9TduXfUxA==" saltValue="5TPtLq2WoiRSae/yaDPnTw==" spinCount="100000" sqref="FW2000:FX2000" name="Rango2_99_31_7"/>
    <protectedRange algorithmName="SHA-512" hashValue="Umj9+5Ys20VQPxBFtc6qE5LtKKSgPKwit+B8dd4XnEUaLfBM2ozpkEC4YxwK0SbBiAHDDex+pY+LomQ0lyuamQ==" saltValue="N2/MCRws+mmA+NXw0axolg==" spinCount="100000" sqref="FY2000" name="Rango2_31_2_2_8"/>
    <protectedRange algorithmName="SHA-512" hashValue="Umj9+5Ys20VQPxBFtc6qE5LtKKSgPKwit+B8dd4XnEUaLfBM2ozpkEC4YxwK0SbBiAHDDex+pY+LomQ0lyuamQ==" saltValue="N2/MCRws+mmA+NXw0axolg==" spinCount="100000" sqref="GB2000" name="Rango2_31_2_4_6"/>
    <protectedRange algorithmName="SHA-512" hashValue="Rgskw+AQdeJ5qbJdarzTa3SCkJfDGziy0Uan5N0F3IWn/H3Z/e+VcB56R7Nes7MPxNHewNP1sSSucVjz3iTLeA==" saltValue="qKZH3DnwaZHBzy3cBZo1qQ==" spinCount="100000" sqref="GF2000" name="Rango2_31_28_1_8"/>
    <protectedRange algorithmName="SHA-512" hashValue="Umj9+5Ys20VQPxBFtc6qE5LtKKSgPKwit+B8dd4XnEUaLfBM2ozpkEC4YxwK0SbBiAHDDex+pY+LomQ0lyuamQ==" saltValue="N2/MCRws+mmA+NXw0axolg==" spinCount="100000" sqref="GE2000" name="Rango2_31_2_5_5"/>
    <protectedRange algorithmName="SHA-512" hashValue="Umj9+5Ys20VQPxBFtc6qE5LtKKSgPKwit+B8dd4XnEUaLfBM2ozpkEC4YxwK0SbBiAHDDex+pY+LomQ0lyuamQ==" saltValue="N2/MCRws+mmA+NXw0axolg==" spinCount="100000" sqref="GJ2000 GH2000 GL2000" name="Rango2_31_2_6_5"/>
    <protectedRange algorithmName="SHA-512" hashValue="XZw03RosI/l0z9FxmTtF29EdZ7P+4+ybhqoaAAUmURojSR5XbGfjC4f2i8gMqfY+RI9JvfdCA6PSh9TduXfUxA==" saltValue="5TPtLq2WoiRSae/yaDPnTw==" spinCount="100000" sqref="GO2000 GM2000 GK2000" name="Rango2_99_36_10"/>
    <protectedRange algorithmName="SHA-512" hashValue="EEHzbvEYwO1eufllBljOz0uf9BJ2ENtvOScQ7IsS321QhYbwKn7qhHKKP8cKj02rTDvVRMWvwQ1ZP0mZWsBprQ==" saltValue="CjXqBRFbKezlWOFV37MnDQ==" spinCount="100000" sqref="GQ2000:GR2000" name="Rango2_30_2_2_9"/>
    <protectedRange algorithmName="SHA-512" hashValue="EEHzbvEYwO1eufllBljOz0uf9BJ2ENtvOScQ7IsS321QhYbwKn7qhHKKP8cKj02rTDvVRMWvwQ1ZP0mZWsBprQ==" saltValue="CjXqBRFbKezlWOFV37MnDQ==" spinCount="100000" sqref="GW2000" name="Rango2_30_2_3_7"/>
    <protectedRange algorithmName="SHA-512" hashValue="XZw03RosI/l0z9FxmTtF29EdZ7P+4+ybhqoaAAUmURojSR5XbGfjC4f2i8gMqfY+RI9JvfdCA6PSh9TduXfUxA==" saltValue="5TPtLq2WoiRSae/yaDPnTw==" spinCount="100000" sqref="GY2000:GZ2000" name="Rango2_99_39_5"/>
    <protectedRange algorithmName="SHA-512" hashValue="XZw03RosI/l0z9FxmTtF29EdZ7P+4+ybhqoaAAUmURojSR5XbGfjC4f2i8gMqfY+RI9JvfdCA6PSh9TduXfUxA==" saltValue="5TPtLq2WoiRSae/yaDPnTw==" spinCount="100000" sqref="HJ2000" name="Rango2_99_40_9"/>
    <protectedRange algorithmName="SHA-512" hashValue="9+DNppQbWrLYYUMoJ+lyQctV2bX3Vq9kZnegLbpjTLP49It2ovUbcartuoQTeXgP+TGpY//7mDH/UQlFCKDGiA==" saltValue="KUnni6YEm00anzSSvyLqQA==" spinCount="100000" sqref="HD2000:HI2000" name="Rango2_39_11"/>
    <protectedRange algorithmName="SHA-512" hashValue="XZw03RosI/l0z9FxmTtF29EdZ7P+4+ybhqoaAAUmURojSR5XbGfjC4f2i8gMqfY+RI9JvfdCA6PSh9TduXfUxA==" saltValue="5TPtLq2WoiRSae/yaDPnTw==" spinCount="100000" sqref="IB2000 HU2000:HZ2000" name="Rango2_99_41_5"/>
    <protectedRange algorithmName="SHA-512" hashValue="9+DNppQbWrLYYUMoJ+lyQctV2bX3Vq9kZnegLbpjTLP49It2ovUbcartuoQTeXgP+TGpY//7mDH/UQlFCKDGiA==" saltValue="KUnni6YEm00anzSSvyLqQA==" spinCount="100000" sqref="HS2000:HT2000" name="Rango2_40_9"/>
    <protectedRange algorithmName="SHA-512" hashValue="XZw03RosI/l0z9FxmTtF29EdZ7P+4+ybhqoaAAUmURojSR5XbGfjC4f2i8gMqfY+RI9JvfdCA6PSh9TduXfUxA==" saltValue="5TPtLq2WoiRSae/yaDPnTw==" spinCount="100000" sqref="IL2000:IM2000" name="Rango2_99_78_1_3"/>
    <protectedRange algorithmName="SHA-512" hashValue="XZw03RosI/l0z9FxmTtF29EdZ7P+4+ybhqoaAAUmURojSR5XbGfjC4f2i8gMqfY+RI9JvfdCA6PSh9TduXfUxA==" saltValue="5TPtLq2WoiRSae/yaDPnTw==" spinCount="100000" sqref="IO2000" name="Rango2_99_78_2_3"/>
    <protectedRange algorithmName="SHA-512" hashValue="XZw03RosI/l0z9FxmTtF29EdZ7P+4+ybhqoaAAUmURojSR5XbGfjC4f2i8gMqfY+RI9JvfdCA6PSh9TduXfUxA==" saltValue="5TPtLq2WoiRSae/yaDPnTw==" spinCount="100000" sqref="EA2001:EJ2001" name="Rango2_99_18_12"/>
    <protectedRange algorithmName="SHA-512" hashValue="9+DNppQbWrLYYUMoJ+lyQctV2bX3Vq9kZnegLbpjTLP49It2ovUbcartuoQTeXgP+TGpY//7mDH/UQlFCKDGiA==" saltValue="KUnni6YEm00anzSSvyLqQA==" spinCount="100000" sqref="EN2001" name="Rango2_22_7"/>
    <protectedRange algorithmName="SHA-512" hashValue="XZw03RosI/l0z9FxmTtF29EdZ7P+4+ybhqoaAAUmURojSR5XbGfjC4f2i8gMqfY+RI9JvfdCA6PSh9TduXfUxA==" saltValue="5TPtLq2WoiRSae/yaDPnTw==" spinCount="100000" sqref="ER2001:ES2001" name="Rango2_99_20_9"/>
    <protectedRange algorithmName="SHA-512" hashValue="XZw03RosI/l0z9FxmTtF29EdZ7P+4+ybhqoaAAUmURojSR5XbGfjC4f2i8gMqfY+RI9JvfdCA6PSh9TduXfUxA==" saltValue="5TPtLq2WoiRSae/yaDPnTw==" spinCount="100000" sqref="EV2001:EW2001" name="Rango2_99_22_9"/>
    <protectedRange algorithmName="SHA-512" hashValue="9+DNppQbWrLYYUMoJ+lyQctV2bX3Vq9kZnegLbpjTLP49It2ovUbcartuoQTeXgP+TGpY//7mDH/UQlFCKDGiA==" saltValue="KUnni6YEm00anzSSvyLqQA==" spinCount="100000" sqref="FC2001" name="Rango2_26_8"/>
    <protectedRange algorithmName="SHA-512" hashValue="XZw03RosI/l0z9FxmTtF29EdZ7P+4+ybhqoaAAUmURojSR5XbGfjC4f2i8gMqfY+RI9JvfdCA6PSh9TduXfUxA==" saltValue="5TPtLq2WoiRSae/yaDPnTw==" spinCount="100000" sqref="FF2001" name="Rango2_99_23_12"/>
    <protectedRange algorithmName="SHA-512" hashValue="9+DNppQbWrLYYUMoJ+lyQctV2bX3Vq9kZnegLbpjTLP49It2ovUbcartuoQTeXgP+TGpY//7mDH/UQlFCKDGiA==" saltValue="KUnni6YEm00anzSSvyLqQA==" spinCount="100000" sqref="FH2001" name="Rango2_35_9"/>
    <protectedRange algorithmName="SHA-512" hashValue="XZw03RosI/l0z9FxmTtF29EdZ7P+4+ybhqoaAAUmURojSR5XbGfjC4f2i8gMqfY+RI9JvfdCA6PSh9TduXfUxA==" saltValue="5TPtLq2WoiRSae/yaDPnTw==" spinCount="100000" sqref="FQ2001:FR2001" name="Rango2_99_27_11"/>
    <protectedRange algorithmName="SHA-512" hashValue="XZw03RosI/l0z9FxmTtF29EdZ7P+4+ybhqoaAAUmURojSR5XbGfjC4f2i8gMqfY+RI9JvfdCA6PSh9TduXfUxA==" saltValue="5TPtLq2WoiRSae/yaDPnTw==" spinCount="100000" sqref="FU2001" name="Rango2_99_29_8"/>
    <protectedRange algorithmName="SHA-512" hashValue="XZw03RosI/l0z9FxmTtF29EdZ7P+4+ybhqoaAAUmURojSR5XbGfjC4f2i8gMqfY+RI9JvfdCA6PSh9TduXfUxA==" saltValue="5TPtLq2WoiRSae/yaDPnTw==" spinCount="100000" sqref="FW2001:FX2001" name="Rango2_99_31_8"/>
    <protectedRange algorithmName="SHA-512" hashValue="Umj9+5Ys20VQPxBFtc6qE5LtKKSgPKwit+B8dd4XnEUaLfBM2ozpkEC4YxwK0SbBiAHDDex+pY+LomQ0lyuamQ==" saltValue="N2/MCRws+mmA+NXw0axolg==" spinCount="100000" sqref="FY2001" name="Rango2_31_2_2_9"/>
    <protectedRange algorithmName="SHA-512" hashValue="Rgskw+AQdeJ5qbJdarzTa3SCkJfDGziy0Uan5N0F3IWn/H3Z/e+VcB56R7Nes7MPxNHewNP1sSSucVjz3iTLeA==" saltValue="qKZH3DnwaZHBzy3cBZo1qQ==" spinCount="100000" sqref="GF2001" name="Rango2_31_28_1_9"/>
    <protectedRange algorithmName="SHA-512" hashValue="Umj9+5Ys20VQPxBFtc6qE5LtKKSgPKwit+B8dd4XnEUaLfBM2ozpkEC4YxwK0SbBiAHDDex+pY+LomQ0lyuamQ==" saltValue="N2/MCRws+mmA+NXw0axolg==" spinCount="100000" sqref="GE2001" name="Rango2_31_2_5_6"/>
    <protectedRange algorithmName="SHA-512" hashValue="Umj9+5Ys20VQPxBFtc6qE5LtKKSgPKwit+B8dd4XnEUaLfBM2ozpkEC4YxwK0SbBiAHDDex+pY+LomQ0lyuamQ==" saltValue="N2/MCRws+mmA+NXw0axolg==" spinCount="100000" sqref="GJ2001 GH2001 GL2001" name="Rango2_31_2_6_6"/>
    <protectedRange algorithmName="SHA-512" hashValue="XZw03RosI/l0z9FxmTtF29EdZ7P+4+ybhqoaAAUmURojSR5XbGfjC4f2i8gMqfY+RI9JvfdCA6PSh9TduXfUxA==" saltValue="5TPtLq2WoiRSae/yaDPnTw==" spinCount="100000" sqref="GO2001 GM2001 GK2001" name="Rango2_99_36_11"/>
    <protectedRange algorithmName="SHA-512" hashValue="EEHzbvEYwO1eufllBljOz0uf9BJ2ENtvOScQ7IsS321QhYbwKn7qhHKKP8cKj02rTDvVRMWvwQ1ZP0mZWsBprQ==" saltValue="CjXqBRFbKezlWOFV37MnDQ==" spinCount="100000" sqref="GQ2001:GR2001" name="Rango2_30_2_2_10"/>
    <protectedRange algorithmName="SHA-512" hashValue="EEHzbvEYwO1eufllBljOz0uf9BJ2ENtvOScQ7IsS321QhYbwKn7qhHKKP8cKj02rTDvVRMWvwQ1ZP0mZWsBprQ==" saltValue="CjXqBRFbKezlWOFV37MnDQ==" spinCount="100000" sqref="GW2001" name="Rango2_30_2_3_8"/>
    <protectedRange algorithmName="SHA-512" hashValue="XZw03RosI/l0z9FxmTtF29EdZ7P+4+ybhqoaAAUmURojSR5XbGfjC4f2i8gMqfY+RI9JvfdCA6PSh9TduXfUxA==" saltValue="5TPtLq2WoiRSae/yaDPnTw==" spinCount="100000" sqref="GY2001:GZ2001" name="Rango2_99_39_6"/>
    <protectedRange algorithmName="SHA-512" hashValue="XZw03RosI/l0z9FxmTtF29EdZ7P+4+ybhqoaAAUmURojSR5XbGfjC4f2i8gMqfY+RI9JvfdCA6PSh9TduXfUxA==" saltValue="5TPtLq2WoiRSae/yaDPnTw==" spinCount="100000" sqref="HJ2001" name="Rango2_99_40_10"/>
    <protectedRange algorithmName="SHA-512" hashValue="9+DNppQbWrLYYUMoJ+lyQctV2bX3Vq9kZnegLbpjTLP49It2ovUbcartuoQTeXgP+TGpY//7mDH/UQlFCKDGiA==" saltValue="KUnni6YEm00anzSSvyLqQA==" spinCount="100000" sqref="HD2001:HI2001" name="Rango2_39_12"/>
    <protectedRange algorithmName="SHA-512" hashValue="XZw03RosI/l0z9FxmTtF29EdZ7P+4+ybhqoaAAUmURojSR5XbGfjC4f2i8gMqfY+RI9JvfdCA6PSh9TduXfUxA==" saltValue="5TPtLq2WoiRSae/yaDPnTw==" spinCount="100000" sqref="IB2001 HU2001:HZ2001" name="Rango2_99_41_6"/>
    <protectedRange algorithmName="SHA-512" hashValue="9+DNppQbWrLYYUMoJ+lyQctV2bX3Vq9kZnegLbpjTLP49It2ovUbcartuoQTeXgP+TGpY//7mDH/UQlFCKDGiA==" saltValue="KUnni6YEm00anzSSvyLqQA==" spinCount="100000" sqref="HS2001:HT2001" name="Rango2_40_10"/>
    <protectedRange algorithmName="SHA-512" hashValue="XZw03RosI/l0z9FxmTtF29EdZ7P+4+ybhqoaAAUmURojSR5XbGfjC4f2i8gMqfY+RI9JvfdCA6PSh9TduXfUxA==" saltValue="5TPtLq2WoiRSae/yaDPnTw==" spinCount="100000" sqref="IL2001:IM2001" name="Rango2_99_78_1_4"/>
    <protectedRange algorithmName="SHA-512" hashValue="XZw03RosI/l0z9FxmTtF29EdZ7P+4+ybhqoaAAUmURojSR5XbGfjC4f2i8gMqfY+RI9JvfdCA6PSh9TduXfUxA==" saltValue="5TPtLq2WoiRSae/yaDPnTw==" spinCount="100000" sqref="IO2001" name="Rango2_99_78_2_4"/>
    <protectedRange algorithmName="SHA-512" hashValue="XZw03RosI/l0z9FxmTtF29EdZ7P+4+ybhqoaAAUmURojSR5XbGfjC4f2i8gMqfY+RI9JvfdCA6PSh9TduXfUxA==" saltValue="5TPtLq2WoiRSae/yaDPnTw==" spinCount="100000" sqref="EA2002:EJ2002" name="Rango2_99_18_13"/>
    <protectedRange algorithmName="SHA-512" hashValue="9+DNppQbWrLYYUMoJ+lyQctV2bX3Vq9kZnegLbpjTLP49It2ovUbcartuoQTeXgP+TGpY//7mDH/UQlFCKDGiA==" saltValue="KUnni6YEm00anzSSvyLqQA==" spinCount="100000" sqref="EN2002" name="Rango2_22_8"/>
    <protectedRange algorithmName="SHA-512" hashValue="XZw03RosI/l0z9FxmTtF29EdZ7P+4+ybhqoaAAUmURojSR5XbGfjC4f2i8gMqfY+RI9JvfdCA6PSh9TduXfUxA==" saltValue="5TPtLq2WoiRSae/yaDPnTw==" spinCount="100000" sqref="ER2002:ES2002" name="Rango2_99_20_10"/>
    <protectedRange algorithmName="SHA-512" hashValue="XZw03RosI/l0z9FxmTtF29EdZ7P+4+ybhqoaAAUmURojSR5XbGfjC4f2i8gMqfY+RI9JvfdCA6PSh9TduXfUxA==" saltValue="5TPtLq2WoiRSae/yaDPnTw==" spinCount="100000" sqref="EV2002:EW2002" name="Rango2_99_22_10"/>
    <protectedRange algorithmName="SHA-512" hashValue="9+DNppQbWrLYYUMoJ+lyQctV2bX3Vq9kZnegLbpjTLP49It2ovUbcartuoQTeXgP+TGpY//7mDH/UQlFCKDGiA==" saltValue="KUnni6YEm00anzSSvyLqQA==" spinCount="100000" sqref="FC2002" name="Rango2_26_9"/>
    <protectedRange algorithmName="SHA-512" hashValue="XZw03RosI/l0z9FxmTtF29EdZ7P+4+ybhqoaAAUmURojSR5XbGfjC4f2i8gMqfY+RI9JvfdCA6PSh9TduXfUxA==" saltValue="5TPtLq2WoiRSae/yaDPnTw==" spinCount="100000" sqref="FF2002" name="Rango2_99_23_13"/>
    <protectedRange algorithmName="SHA-512" hashValue="9+DNppQbWrLYYUMoJ+lyQctV2bX3Vq9kZnegLbpjTLP49It2ovUbcartuoQTeXgP+TGpY//7mDH/UQlFCKDGiA==" saltValue="KUnni6YEm00anzSSvyLqQA==" spinCount="100000" sqref="FH2002" name="Rango2_35_10"/>
    <protectedRange algorithmName="SHA-512" hashValue="XZw03RosI/l0z9FxmTtF29EdZ7P+4+ybhqoaAAUmURojSR5XbGfjC4f2i8gMqfY+RI9JvfdCA6PSh9TduXfUxA==" saltValue="5TPtLq2WoiRSae/yaDPnTw==" spinCount="100000" sqref="FQ2002:FR2002" name="Rango2_99_27_12"/>
    <protectedRange algorithmName="SHA-512" hashValue="XZw03RosI/l0z9FxmTtF29EdZ7P+4+ybhqoaAAUmURojSR5XbGfjC4f2i8gMqfY+RI9JvfdCA6PSh9TduXfUxA==" saltValue="5TPtLq2WoiRSae/yaDPnTw==" spinCount="100000" sqref="FU2002" name="Rango2_99_29_9"/>
    <protectedRange algorithmName="SHA-512" hashValue="XZw03RosI/l0z9FxmTtF29EdZ7P+4+ybhqoaAAUmURojSR5XbGfjC4f2i8gMqfY+RI9JvfdCA6PSh9TduXfUxA==" saltValue="5TPtLq2WoiRSae/yaDPnTw==" spinCount="100000" sqref="FW2002:FX2002" name="Rango2_99_31_9"/>
    <protectedRange algorithmName="SHA-512" hashValue="Umj9+5Ys20VQPxBFtc6qE5LtKKSgPKwit+B8dd4XnEUaLfBM2ozpkEC4YxwK0SbBiAHDDex+pY+LomQ0lyuamQ==" saltValue="N2/MCRws+mmA+NXw0axolg==" spinCount="100000" sqref="FY2002" name="Rango2_31_2_2_10"/>
    <protectedRange algorithmName="SHA-512" hashValue="Umj9+5Ys20VQPxBFtc6qE5LtKKSgPKwit+B8dd4XnEUaLfBM2ozpkEC4YxwK0SbBiAHDDex+pY+LomQ0lyuamQ==" saltValue="N2/MCRws+mmA+NXw0axolg==" spinCount="100000" sqref="GB2002" name="Rango2_31_2_4_8"/>
    <protectedRange algorithmName="SHA-512" hashValue="Rgskw+AQdeJ5qbJdarzTa3SCkJfDGziy0Uan5N0F3IWn/H3Z/e+VcB56R7Nes7MPxNHewNP1sSSucVjz3iTLeA==" saltValue="qKZH3DnwaZHBzy3cBZo1qQ==" spinCount="100000" sqref="GF2002" name="Rango2_31_28_1_10"/>
    <protectedRange algorithmName="SHA-512" hashValue="Umj9+5Ys20VQPxBFtc6qE5LtKKSgPKwit+B8dd4XnEUaLfBM2ozpkEC4YxwK0SbBiAHDDex+pY+LomQ0lyuamQ==" saltValue="N2/MCRws+mmA+NXw0axolg==" spinCount="100000" sqref="GE2002" name="Rango2_31_2_5_7"/>
    <protectedRange algorithmName="SHA-512" hashValue="Umj9+5Ys20VQPxBFtc6qE5LtKKSgPKwit+B8dd4XnEUaLfBM2ozpkEC4YxwK0SbBiAHDDex+pY+LomQ0lyuamQ==" saltValue="N2/MCRws+mmA+NXw0axolg==" spinCount="100000" sqref="GJ2002 GH2002 GL2002" name="Rango2_31_2_6_7"/>
    <protectedRange algorithmName="SHA-512" hashValue="XZw03RosI/l0z9FxmTtF29EdZ7P+4+ybhqoaAAUmURojSR5XbGfjC4f2i8gMqfY+RI9JvfdCA6PSh9TduXfUxA==" saltValue="5TPtLq2WoiRSae/yaDPnTw==" spinCount="100000" sqref="GO2002 GM2002 GK2002" name="Rango2_99_36_12"/>
    <protectedRange algorithmName="SHA-512" hashValue="EEHzbvEYwO1eufllBljOz0uf9BJ2ENtvOScQ7IsS321QhYbwKn7qhHKKP8cKj02rTDvVRMWvwQ1ZP0mZWsBprQ==" saltValue="CjXqBRFbKezlWOFV37MnDQ==" spinCount="100000" sqref="GQ2002:GR2002" name="Rango2_30_2_2_11"/>
    <protectedRange algorithmName="SHA-512" hashValue="EEHzbvEYwO1eufllBljOz0uf9BJ2ENtvOScQ7IsS321QhYbwKn7qhHKKP8cKj02rTDvVRMWvwQ1ZP0mZWsBprQ==" saltValue="CjXqBRFbKezlWOFV37MnDQ==" spinCount="100000" sqref="GW2002" name="Rango2_30_2_3_9"/>
    <protectedRange algorithmName="SHA-512" hashValue="XZw03RosI/l0z9FxmTtF29EdZ7P+4+ybhqoaAAUmURojSR5XbGfjC4f2i8gMqfY+RI9JvfdCA6PSh9TduXfUxA==" saltValue="5TPtLq2WoiRSae/yaDPnTw==" spinCount="100000" sqref="GY2002:GZ2002" name="Rango2_99_39_7"/>
    <protectedRange algorithmName="SHA-512" hashValue="XZw03RosI/l0z9FxmTtF29EdZ7P+4+ybhqoaAAUmURojSR5XbGfjC4f2i8gMqfY+RI9JvfdCA6PSh9TduXfUxA==" saltValue="5TPtLq2WoiRSae/yaDPnTw==" spinCount="100000" sqref="HJ2002" name="Rango2_99_40_11"/>
    <protectedRange algorithmName="SHA-512" hashValue="9+DNppQbWrLYYUMoJ+lyQctV2bX3Vq9kZnegLbpjTLP49It2ovUbcartuoQTeXgP+TGpY//7mDH/UQlFCKDGiA==" saltValue="KUnni6YEm00anzSSvyLqQA==" spinCount="100000" sqref="HD2002:HI2002" name="Rango2_39_13"/>
    <protectedRange algorithmName="SHA-512" hashValue="XZw03RosI/l0z9FxmTtF29EdZ7P+4+ybhqoaAAUmURojSR5XbGfjC4f2i8gMqfY+RI9JvfdCA6PSh9TduXfUxA==" saltValue="5TPtLq2WoiRSae/yaDPnTw==" spinCount="100000" sqref="IB2002 HU2002:HZ2002" name="Rango2_99_41_8"/>
    <protectedRange algorithmName="SHA-512" hashValue="9+DNppQbWrLYYUMoJ+lyQctV2bX3Vq9kZnegLbpjTLP49It2ovUbcartuoQTeXgP+TGpY//7mDH/UQlFCKDGiA==" saltValue="KUnni6YEm00anzSSvyLqQA==" spinCount="100000" sqref="HS2002:HT2002" name="Rango2_40_11"/>
    <protectedRange algorithmName="SHA-512" hashValue="XZw03RosI/l0z9FxmTtF29EdZ7P+4+ybhqoaAAUmURojSR5XbGfjC4f2i8gMqfY+RI9JvfdCA6PSh9TduXfUxA==" saltValue="5TPtLq2WoiRSae/yaDPnTw==" spinCount="100000" sqref="IL2002:IM2002" name="Rango2_99_78_1_5"/>
    <protectedRange algorithmName="SHA-512" hashValue="XZw03RosI/l0z9FxmTtF29EdZ7P+4+ybhqoaAAUmURojSR5XbGfjC4f2i8gMqfY+RI9JvfdCA6PSh9TduXfUxA==" saltValue="5TPtLq2WoiRSae/yaDPnTw==" spinCount="100000" sqref="IO2002" name="Rango2_99_78_2_5"/>
    <protectedRange algorithmName="SHA-512" hashValue="XZw03RosI/l0z9FxmTtF29EdZ7P+4+ybhqoaAAUmURojSR5XbGfjC4f2i8gMqfY+RI9JvfdCA6PSh9TduXfUxA==" saltValue="5TPtLq2WoiRSae/yaDPnTw==" spinCount="100000" sqref="EA2003:EJ2003" name="Rango2_99_18_14"/>
    <protectedRange algorithmName="SHA-512" hashValue="9+DNppQbWrLYYUMoJ+lyQctV2bX3Vq9kZnegLbpjTLP49It2ovUbcartuoQTeXgP+TGpY//7mDH/UQlFCKDGiA==" saltValue="KUnni6YEm00anzSSvyLqQA==" spinCount="100000" sqref="EN2003" name="Rango2_22_9"/>
    <protectedRange algorithmName="SHA-512" hashValue="XZw03RosI/l0z9FxmTtF29EdZ7P+4+ybhqoaAAUmURojSR5XbGfjC4f2i8gMqfY+RI9JvfdCA6PSh9TduXfUxA==" saltValue="5TPtLq2WoiRSae/yaDPnTw==" spinCount="100000" sqref="ER2003:ES2003" name="Rango2_99_20_11"/>
    <protectedRange algorithmName="SHA-512" hashValue="XZw03RosI/l0z9FxmTtF29EdZ7P+4+ybhqoaAAUmURojSR5XbGfjC4f2i8gMqfY+RI9JvfdCA6PSh9TduXfUxA==" saltValue="5TPtLq2WoiRSae/yaDPnTw==" spinCount="100000" sqref="EV2003:EW2003" name="Rango2_99_22_11"/>
    <protectedRange algorithmName="SHA-512" hashValue="9+DNppQbWrLYYUMoJ+lyQctV2bX3Vq9kZnegLbpjTLP49It2ovUbcartuoQTeXgP+TGpY//7mDH/UQlFCKDGiA==" saltValue="KUnni6YEm00anzSSvyLqQA==" spinCount="100000" sqref="FC2003" name="Rango2_26_10"/>
    <protectedRange algorithmName="SHA-512" hashValue="XZw03RosI/l0z9FxmTtF29EdZ7P+4+ybhqoaAAUmURojSR5XbGfjC4f2i8gMqfY+RI9JvfdCA6PSh9TduXfUxA==" saltValue="5TPtLq2WoiRSae/yaDPnTw==" spinCount="100000" sqref="FF2003" name="Rango2_99_23_14"/>
    <protectedRange algorithmName="SHA-512" hashValue="9+DNppQbWrLYYUMoJ+lyQctV2bX3Vq9kZnegLbpjTLP49It2ovUbcartuoQTeXgP+TGpY//7mDH/UQlFCKDGiA==" saltValue="KUnni6YEm00anzSSvyLqQA==" spinCount="100000" sqref="FH2003" name="Rango2_35_11"/>
    <protectedRange algorithmName="SHA-512" hashValue="XZw03RosI/l0z9FxmTtF29EdZ7P+4+ybhqoaAAUmURojSR5XbGfjC4f2i8gMqfY+RI9JvfdCA6PSh9TduXfUxA==" saltValue="5TPtLq2WoiRSae/yaDPnTw==" spinCount="100000" sqref="FQ2003:FR2003" name="Rango2_99_27_13"/>
    <protectedRange algorithmName="SHA-512" hashValue="XZw03RosI/l0z9FxmTtF29EdZ7P+4+ybhqoaAAUmURojSR5XbGfjC4f2i8gMqfY+RI9JvfdCA6PSh9TduXfUxA==" saltValue="5TPtLq2WoiRSae/yaDPnTw==" spinCount="100000" sqref="FU2003" name="Rango2_99_29_10"/>
    <protectedRange algorithmName="SHA-512" hashValue="XZw03RosI/l0z9FxmTtF29EdZ7P+4+ybhqoaAAUmURojSR5XbGfjC4f2i8gMqfY+RI9JvfdCA6PSh9TduXfUxA==" saltValue="5TPtLq2WoiRSae/yaDPnTw==" spinCount="100000" sqref="FW2003:FX2003" name="Rango2_99_31_10"/>
    <protectedRange algorithmName="SHA-512" hashValue="Umj9+5Ys20VQPxBFtc6qE5LtKKSgPKwit+B8dd4XnEUaLfBM2ozpkEC4YxwK0SbBiAHDDex+pY+LomQ0lyuamQ==" saltValue="N2/MCRws+mmA+NXw0axolg==" spinCount="100000" sqref="FY2003" name="Rango2_31_2_2_11"/>
    <protectedRange algorithmName="SHA-512" hashValue="Umj9+5Ys20VQPxBFtc6qE5LtKKSgPKwit+B8dd4XnEUaLfBM2ozpkEC4YxwK0SbBiAHDDex+pY+LomQ0lyuamQ==" saltValue="N2/MCRws+mmA+NXw0axolg==" spinCount="100000" sqref="GB2003" name="Rango2_31_2_4_9"/>
    <protectedRange algorithmName="SHA-512" hashValue="Rgskw+AQdeJ5qbJdarzTa3SCkJfDGziy0Uan5N0F3IWn/H3Z/e+VcB56R7Nes7MPxNHewNP1sSSucVjz3iTLeA==" saltValue="qKZH3DnwaZHBzy3cBZo1qQ==" spinCount="100000" sqref="GF2003" name="Rango2_31_28_1_11"/>
    <protectedRange algorithmName="SHA-512" hashValue="Umj9+5Ys20VQPxBFtc6qE5LtKKSgPKwit+B8dd4XnEUaLfBM2ozpkEC4YxwK0SbBiAHDDex+pY+LomQ0lyuamQ==" saltValue="N2/MCRws+mmA+NXw0axolg==" spinCount="100000" sqref="GE2003" name="Rango2_31_2_5_8"/>
    <protectedRange algorithmName="SHA-512" hashValue="Umj9+5Ys20VQPxBFtc6qE5LtKKSgPKwit+B8dd4XnEUaLfBM2ozpkEC4YxwK0SbBiAHDDex+pY+LomQ0lyuamQ==" saltValue="N2/MCRws+mmA+NXw0axolg==" spinCount="100000" sqref="GJ2003 GH2003 GL2003" name="Rango2_31_2_6_8"/>
    <protectedRange algorithmName="SHA-512" hashValue="XZw03RosI/l0z9FxmTtF29EdZ7P+4+ybhqoaAAUmURojSR5XbGfjC4f2i8gMqfY+RI9JvfdCA6PSh9TduXfUxA==" saltValue="5TPtLq2WoiRSae/yaDPnTw==" spinCount="100000" sqref="GO2003 GM2003 GK2003" name="Rango2_99_36_13"/>
    <protectedRange algorithmName="SHA-512" hashValue="EEHzbvEYwO1eufllBljOz0uf9BJ2ENtvOScQ7IsS321QhYbwKn7qhHKKP8cKj02rTDvVRMWvwQ1ZP0mZWsBprQ==" saltValue="CjXqBRFbKezlWOFV37MnDQ==" spinCount="100000" sqref="GQ2003:GR2003" name="Rango2_30_2_2_12"/>
    <protectedRange algorithmName="SHA-512" hashValue="EEHzbvEYwO1eufllBljOz0uf9BJ2ENtvOScQ7IsS321QhYbwKn7qhHKKP8cKj02rTDvVRMWvwQ1ZP0mZWsBprQ==" saltValue="CjXqBRFbKezlWOFV37MnDQ==" spinCount="100000" sqref="GW2003" name="Rango2_30_2_3_10"/>
    <protectedRange algorithmName="SHA-512" hashValue="XZw03RosI/l0z9FxmTtF29EdZ7P+4+ybhqoaAAUmURojSR5XbGfjC4f2i8gMqfY+RI9JvfdCA6PSh9TduXfUxA==" saltValue="5TPtLq2WoiRSae/yaDPnTw==" spinCount="100000" sqref="GY2003:GZ2003" name="Rango2_99_39_8"/>
    <protectedRange algorithmName="SHA-512" hashValue="XZw03RosI/l0z9FxmTtF29EdZ7P+4+ybhqoaAAUmURojSR5XbGfjC4f2i8gMqfY+RI9JvfdCA6PSh9TduXfUxA==" saltValue="5TPtLq2WoiRSae/yaDPnTw==" spinCount="100000" sqref="HJ2003" name="Rango2_99_40_12"/>
    <protectedRange algorithmName="SHA-512" hashValue="9+DNppQbWrLYYUMoJ+lyQctV2bX3Vq9kZnegLbpjTLP49It2ovUbcartuoQTeXgP+TGpY//7mDH/UQlFCKDGiA==" saltValue="KUnni6YEm00anzSSvyLqQA==" spinCount="100000" sqref="HD2003:HI2003" name="Rango2_39_14"/>
    <protectedRange algorithmName="SHA-512" hashValue="XZw03RosI/l0z9FxmTtF29EdZ7P+4+ybhqoaAAUmURojSR5XbGfjC4f2i8gMqfY+RI9JvfdCA6PSh9TduXfUxA==" saltValue="5TPtLq2WoiRSae/yaDPnTw==" spinCount="100000" sqref="IB2003 HU2003:HZ2003" name="Rango2_99_41_9"/>
    <protectedRange algorithmName="SHA-512" hashValue="9+DNppQbWrLYYUMoJ+lyQctV2bX3Vq9kZnegLbpjTLP49It2ovUbcartuoQTeXgP+TGpY//7mDH/UQlFCKDGiA==" saltValue="KUnni6YEm00anzSSvyLqQA==" spinCount="100000" sqref="HS2003:HT2003" name="Rango2_40_12"/>
    <protectedRange algorithmName="SHA-512" hashValue="XZw03RosI/l0z9FxmTtF29EdZ7P+4+ybhqoaAAUmURojSR5XbGfjC4f2i8gMqfY+RI9JvfdCA6PSh9TduXfUxA==" saltValue="5TPtLq2WoiRSae/yaDPnTw==" spinCount="100000" sqref="IL2003:IM2003" name="Rango2_99_78_1_6"/>
    <protectedRange algorithmName="SHA-512" hashValue="XZw03RosI/l0z9FxmTtF29EdZ7P+4+ybhqoaAAUmURojSR5XbGfjC4f2i8gMqfY+RI9JvfdCA6PSh9TduXfUxA==" saltValue="5TPtLq2WoiRSae/yaDPnTw==" spinCount="100000" sqref="IO2003" name="Rango2_99_78_2_6"/>
    <protectedRange algorithmName="SHA-512" hashValue="XZw03RosI/l0z9FxmTtF29EdZ7P+4+ybhqoaAAUmURojSR5XbGfjC4f2i8gMqfY+RI9JvfdCA6PSh9TduXfUxA==" saltValue="5TPtLq2WoiRSae/yaDPnTw==" spinCount="100000" sqref="EA2004:EJ2004" name="Rango2_99_18_15"/>
    <protectedRange algorithmName="SHA-512" hashValue="9+DNppQbWrLYYUMoJ+lyQctV2bX3Vq9kZnegLbpjTLP49It2ovUbcartuoQTeXgP+TGpY//7mDH/UQlFCKDGiA==" saltValue="KUnni6YEm00anzSSvyLqQA==" spinCount="100000" sqref="EN2004" name="Rango2_22_10"/>
    <protectedRange algorithmName="SHA-512" hashValue="XZw03RosI/l0z9FxmTtF29EdZ7P+4+ybhqoaAAUmURojSR5XbGfjC4f2i8gMqfY+RI9JvfdCA6PSh9TduXfUxA==" saltValue="5TPtLq2WoiRSae/yaDPnTw==" spinCount="100000" sqref="ER2004:ES2004" name="Rango2_99_20_12"/>
    <protectedRange algorithmName="SHA-512" hashValue="XZw03RosI/l0z9FxmTtF29EdZ7P+4+ybhqoaAAUmURojSR5XbGfjC4f2i8gMqfY+RI9JvfdCA6PSh9TduXfUxA==" saltValue="5TPtLq2WoiRSae/yaDPnTw==" spinCount="100000" sqref="EV2004:EW2004" name="Rango2_99_22_12"/>
    <protectedRange algorithmName="SHA-512" hashValue="9+DNppQbWrLYYUMoJ+lyQctV2bX3Vq9kZnegLbpjTLP49It2ovUbcartuoQTeXgP+TGpY//7mDH/UQlFCKDGiA==" saltValue="KUnni6YEm00anzSSvyLqQA==" spinCount="100000" sqref="FC2004" name="Rango2_26_11"/>
    <protectedRange algorithmName="SHA-512" hashValue="XZw03RosI/l0z9FxmTtF29EdZ7P+4+ybhqoaAAUmURojSR5XbGfjC4f2i8gMqfY+RI9JvfdCA6PSh9TduXfUxA==" saltValue="5TPtLq2WoiRSae/yaDPnTw==" spinCount="100000" sqref="FF2004" name="Rango2_99_23_15"/>
    <protectedRange algorithmName="SHA-512" hashValue="9+DNppQbWrLYYUMoJ+lyQctV2bX3Vq9kZnegLbpjTLP49It2ovUbcartuoQTeXgP+TGpY//7mDH/UQlFCKDGiA==" saltValue="KUnni6YEm00anzSSvyLqQA==" spinCount="100000" sqref="FH2004" name="Rango2_35_12"/>
    <protectedRange algorithmName="SHA-512" hashValue="XZw03RosI/l0z9FxmTtF29EdZ7P+4+ybhqoaAAUmURojSR5XbGfjC4f2i8gMqfY+RI9JvfdCA6PSh9TduXfUxA==" saltValue="5TPtLq2WoiRSae/yaDPnTw==" spinCount="100000" sqref="FQ2004:FR2004" name="Rango2_99_27_14"/>
    <protectedRange algorithmName="SHA-512" hashValue="XZw03RosI/l0z9FxmTtF29EdZ7P+4+ybhqoaAAUmURojSR5XbGfjC4f2i8gMqfY+RI9JvfdCA6PSh9TduXfUxA==" saltValue="5TPtLq2WoiRSae/yaDPnTw==" spinCount="100000" sqref="FU2004" name="Rango2_99_29_11"/>
    <protectedRange algorithmName="SHA-512" hashValue="XZw03RosI/l0z9FxmTtF29EdZ7P+4+ybhqoaAAUmURojSR5XbGfjC4f2i8gMqfY+RI9JvfdCA6PSh9TduXfUxA==" saltValue="5TPtLq2WoiRSae/yaDPnTw==" spinCount="100000" sqref="FW2004:FX2004" name="Rango2_99_31_11"/>
    <protectedRange algorithmName="SHA-512" hashValue="Umj9+5Ys20VQPxBFtc6qE5LtKKSgPKwit+B8dd4XnEUaLfBM2ozpkEC4YxwK0SbBiAHDDex+pY+LomQ0lyuamQ==" saltValue="N2/MCRws+mmA+NXw0axolg==" spinCount="100000" sqref="FY2004" name="Rango2_31_2_2_12"/>
    <protectedRange algorithmName="SHA-512" hashValue="Rgskw+AQdeJ5qbJdarzTa3SCkJfDGziy0Uan5N0F3IWn/H3Z/e+VcB56R7Nes7MPxNHewNP1sSSucVjz3iTLeA==" saltValue="qKZH3DnwaZHBzy3cBZo1qQ==" spinCount="100000" sqref="GF2004" name="Rango2_31_28_1_12"/>
    <protectedRange algorithmName="SHA-512" hashValue="Umj9+5Ys20VQPxBFtc6qE5LtKKSgPKwit+B8dd4XnEUaLfBM2ozpkEC4YxwK0SbBiAHDDex+pY+LomQ0lyuamQ==" saltValue="N2/MCRws+mmA+NXw0axolg==" spinCount="100000" sqref="GE2004" name="Rango2_31_2_5_9"/>
    <protectedRange algorithmName="SHA-512" hashValue="Umj9+5Ys20VQPxBFtc6qE5LtKKSgPKwit+B8dd4XnEUaLfBM2ozpkEC4YxwK0SbBiAHDDex+pY+LomQ0lyuamQ==" saltValue="N2/MCRws+mmA+NXw0axolg==" spinCount="100000" sqref="GJ2004 GH2004 GL2004" name="Rango2_31_2_6_9"/>
    <protectedRange algorithmName="SHA-512" hashValue="XZw03RosI/l0z9FxmTtF29EdZ7P+4+ybhqoaAAUmURojSR5XbGfjC4f2i8gMqfY+RI9JvfdCA6PSh9TduXfUxA==" saltValue="5TPtLq2WoiRSae/yaDPnTw==" spinCount="100000" sqref="GO2004 GM2004 GK2004" name="Rango2_99_36_14"/>
    <protectedRange algorithmName="SHA-512" hashValue="EEHzbvEYwO1eufllBljOz0uf9BJ2ENtvOScQ7IsS321QhYbwKn7qhHKKP8cKj02rTDvVRMWvwQ1ZP0mZWsBprQ==" saltValue="CjXqBRFbKezlWOFV37MnDQ==" spinCount="100000" sqref="GQ2004:GR2004" name="Rango2_30_2_2_13"/>
    <protectedRange algorithmName="SHA-512" hashValue="EEHzbvEYwO1eufllBljOz0uf9BJ2ENtvOScQ7IsS321QhYbwKn7qhHKKP8cKj02rTDvVRMWvwQ1ZP0mZWsBprQ==" saltValue="CjXqBRFbKezlWOFV37MnDQ==" spinCount="100000" sqref="GW2004" name="Rango2_30_2_3_11"/>
    <protectedRange algorithmName="SHA-512" hashValue="XZw03RosI/l0z9FxmTtF29EdZ7P+4+ybhqoaAAUmURojSR5XbGfjC4f2i8gMqfY+RI9JvfdCA6PSh9TduXfUxA==" saltValue="5TPtLq2WoiRSae/yaDPnTw==" spinCount="100000" sqref="GY2004:GZ2004" name="Rango2_99_39_9"/>
    <protectedRange algorithmName="SHA-512" hashValue="XZw03RosI/l0z9FxmTtF29EdZ7P+4+ybhqoaAAUmURojSR5XbGfjC4f2i8gMqfY+RI9JvfdCA6PSh9TduXfUxA==" saltValue="5TPtLq2WoiRSae/yaDPnTw==" spinCount="100000" sqref="HJ2004" name="Rango2_99_40_13"/>
    <protectedRange algorithmName="SHA-512" hashValue="9+DNppQbWrLYYUMoJ+lyQctV2bX3Vq9kZnegLbpjTLP49It2ovUbcartuoQTeXgP+TGpY//7mDH/UQlFCKDGiA==" saltValue="KUnni6YEm00anzSSvyLqQA==" spinCount="100000" sqref="HD2004:HI2004" name="Rango2_39_15"/>
    <protectedRange algorithmName="SHA-512" hashValue="XZw03RosI/l0z9FxmTtF29EdZ7P+4+ybhqoaAAUmURojSR5XbGfjC4f2i8gMqfY+RI9JvfdCA6PSh9TduXfUxA==" saltValue="5TPtLq2WoiRSae/yaDPnTw==" spinCount="100000" sqref="IB2004 HU2004:HZ2004" name="Rango2_99_41_10"/>
    <protectedRange algorithmName="SHA-512" hashValue="9+DNppQbWrLYYUMoJ+lyQctV2bX3Vq9kZnegLbpjTLP49It2ovUbcartuoQTeXgP+TGpY//7mDH/UQlFCKDGiA==" saltValue="KUnni6YEm00anzSSvyLqQA==" spinCount="100000" sqref="HS2004:HT2004" name="Rango2_40_13"/>
    <protectedRange algorithmName="SHA-512" hashValue="XZw03RosI/l0z9FxmTtF29EdZ7P+4+ybhqoaAAUmURojSR5XbGfjC4f2i8gMqfY+RI9JvfdCA6PSh9TduXfUxA==" saltValue="5TPtLq2WoiRSae/yaDPnTw==" spinCount="100000" sqref="IL2004:IM2004" name="Rango2_99_79_2"/>
    <protectedRange algorithmName="SHA-512" hashValue="XZw03RosI/l0z9FxmTtF29EdZ7P+4+ybhqoaAAUmURojSR5XbGfjC4f2i8gMqfY+RI9JvfdCA6PSh9TduXfUxA==" saltValue="5TPtLq2WoiRSae/yaDPnTw==" spinCount="100000" sqref="IO2004" name="Rango2_99_80_20"/>
    <protectedRange algorithmName="SHA-512" hashValue="XZw03RosI/l0z9FxmTtF29EdZ7P+4+ybhqoaAAUmURojSR5XbGfjC4f2i8gMqfY+RI9JvfdCA6PSh9TduXfUxA==" saltValue="5TPtLq2WoiRSae/yaDPnTw==" spinCount="100000" sqref="EA2005:EJ2005" name="Rango2_99_18_16"/>
    <protectedRange algorithmName="SHA-512" hashValue="9+DNppQbWrLYYUMoJ+lyQctV2bX3Vq9kZnegLbpjTLP49It2ovUbcartuoQTeXgP+TGpY//7mDH/UQlFCKDGiA==" saltValue="KUnni6YEm00anzSSvyLqQA==" spinCount="100000" sqref="EN2005" name="Rango2_22_11"/>
    <protectedRange algorithmName="SHA-512" hashValue="XZw03RosI/l0z9FxmTtF29EdZ7P+4+ybhqoaAAUmURojSR5XbGfjC4f2i8gMqfY+RI9JvfdCA6PSh9TduXfUxA==" saltValue="5TPtLq2WoiRSae/yaDPnTw==" spinCount="100000" sqref="ER2005:ES2005" name="Rango2_99_20_13"/>
    <protectedRange algorithmName="SHA-512" hashValue="XZw03RosI/l0z9FxmTtF29EdZ7P+4+ybhqoaAAUmURojSR5XbGfjC4f2i8gMqfY+RI9JvfdCA6PSh9TduXfUxA==" saltValue="5TPtLq2WoiRSae/yaDPnTw==" spinCount="100000" sqref="EV2005:EW2005" name="Rango2_99_22_13"/>
    <protectedRange algorithmName="SHA-512" hashValue="9+DNppQbWrLYYUMoJ+lyQctV2bX3Vq9kZnegLbpjTLP49It2ovUbcartuoQTeXgP+TGpY//7mDH/UQlFCKDGiA==" saltValue="KUnni6YEm00anzSSvyLqQA==" spinCount="100000" sqref="FC2005" name="Rango2_26_12"/>
    <protectedRange algorithmName="SHA-512" hashValue="XZw03RosI/l0z9FxmTtF29EdZ7P+4+ybhqoaAAUmURojSR5XbGfjC4f2i8gMqfY+RI9JvfdCA6PSh9TduXfUxA==" saltValue="5TPtLq2WoiRSae/yaDPnTw==" spinCount="100000" sqref="FF2005" name="Rango2_99_23_16"/>
    <protectedRange algorithmName="SHA-512" hashValue="9+DNppQbWrLYYUMoJ+lyQctV2bX3Vq9kZnegLbpjTLP49It2ovUbcartuoQTeXgP+TGpY//7mDH/UQlFCKDGiA==" saltValue="KUnni6YEm00anzSSvyLqQA==" spinCount="100000" sqref="FH2005" name="Rango2_35_13"/>
    <protectedRange algorithmName="SHA-512" hashValue="XZw03RosI/l0z9FxmTtF29EdZ7P+4+ybhqoaAAUmURojSR5XbGfjC4f2i8gMqfY+RI9JvfdCA6PSh9TduXfUxA==" saltValue="5TPtLq2WoiRSae/yaDPnTw==" spinCount="100000" sqref="FQ2005:FR2005" name="Rango2_99_27_15"/>
    <protectedRange algorithmName="SHA-512" hashValue="XZw03RosI/l0z9FxmTtF29EdZ7P+4+ybhqoaAAUmURojSR5XbGfjC4f2i8gMqfY+RI9JvfdCA6PSh9TduXfUxA==" saltValue="5TPtLq2WoiRSae/yaDPnTw==" spinCount="100000" sqref="FU2005" name="Rango2_99_29_12"/>
    <protectedRange algorithmName="SHA-512" hashValue="XZw03RosI/l0z9FxmTtF29EdZ7P+4+ybhqoaAAUmURojSR5XbGfjC4f2i8gMqfY+RI9JvfdCA6PSh9TduXfUxA==" saltValue="5TPtLq2WoiRSae/yaDPnTw==" spinCount="100000" sqref="FX2005" name="Rango2_99_31_12"/>
    <protectedRange algorithmName="SHA-512" hashValue="Umj9+5Ys20VQPxBFtc6qE5LtKKSgPKwit+B8dd4XnEUaLfBM2ozpkEC4YxwK0SbBiAHDDex+pY+LomQ0lyuamQ==" saltValue="N2/MCRws+mmA+NXw0axolg==" spinCount="100000" sqref="FY2005" name="Rango2_31_2_2_13"/>
    <protectedRange algorithmName="SHA-512" hashValue="Rgskw+AQdeJ5qbJdarzTa3SCkJfDGziy0Uan5N0F3IWn/H3Z/e+VcB56R7Nes7MPxNHewNP1sSSucVjz3iTLeA==" saltValue="qKZH3DnwaZHBzy3cBZo1qQ==" spinCount="100000" sqref="GF2005" name="Rango2_31_28_1_13"/>
    <protectedRange algorithmName="SHA-512" hashValue="Umj9+5Ys20VQPxBFtc6qE5LtKKSgPKwit+B8dd4XnEUaLfBM2ozpkEC4YxwK0SbBiAHDDex+pY+LomQ0lyuamQ==" saltValue="N2/MCRws+mmA+NXw0axolg==" spinCount="100000" sqref="GE2005" name="Rango2_31_2_5_10"/>
    <protectedRange algorithmName="SHA-512" hashValue="Umj9+5Ys20VQPxBFtc6qE5LtKKSgPKwit+B8dd4XnEUaLfBM2ozpkEC4YxwK0SbBiAHDDex+pY+LomQ0lyuamQ==" saltValue="N2/MCRws+mmA+NXw0axolg==" spinCount="100000" sqref="GJ2005 GH2005 GL2005" name="Rango2_31_2_6_10"/>
    <protectedRange algorithmName="SHA-512" hashValue="XZw03RosI/l0z9FxmTtF29EdZ7P+4+ybhqoaAAUmURojSR5XbGfjC4f2i8gMqfY+RI9JvfdCA6PSh9TduXfUxA==" saltValue="5TPtLq2WoiRSae/yaDPnTw==" spinCount="100000" sqref="GO2005 GM2005 GK2005" name="Rango2_99_36_15"/>
    <protectedRange algorithmName="SHA-512" hashValue="EEHzbvEYwO1eufllBljOz0uf9BJ2ENtvOScQ7IsS321QhYbwKn7qhHKKP8cKj02rTDvVRMWvwQ1ZP0mZWsBprQ==" saltValue="CjXqBRFbKezlWOFV37MnDQ==" spinCount="100000" sqref="GQ2005:GR2005" name="Rango2_30_2_2_14"/>
    <protectedRange algorithmName="SHA-512" hashValue="EEHzbvEYwO1eufllBljOz0uf9BJ2ENtvOScQ7IsS321QhYbwKn7qhHKKP8cKj02rTDvVRMWvwQ1ZP0mZWsBprQ==" saltValue="CjXqBRFbKezlWOFV37MnDQ==" spinCount="100000" sqref="GW2005" name="Rango2_30_2_3_12"/>
    <protectedRange algorithmName="SHA-512" hashValue="XZw03RosI/l0z9FxmTtF29EdZ7P+4+ybhqoaAAUmURojSR5XbGfjC4f2i8gMqfY+RI9JvfdCA6PSh9TduXfUxA==" saltValue="5TPtLq2WoiRSae/yaDPnTw==" spinCount="100000" sqref="GY2005:GZ2005" name="Rango2_99_39_10"/>
    <protectedRange algorithmName="SHA-512" hashValue="XZw03RosI/l0z9FxmTtF29EdZ7P+4+ybhqoaAAUmURojSR5XbGfjC4f2i8gMqfY+RI9JvfdCA6PSh9TduXfUxA==" saltValue="5TPtLq2WoiRSae/yaDPnTw==" spinCount="100000" sqref="HJ2005" name="Rango2_99_40_14"/>
    <protectedRange algorithmName="SHA-512" hashValue="9+DNppQbWrLYYUMoJ+lyQctV2bX3Vq9kZnegLbpjTLP49It2ovUbcartuoQTeXgP+TGpY//7mDH/UQlFCKDGiA==" saltValue="KUnni6YEm00anzSSvyLqQA==" spinCount="100000" sqref="HD2005:HI2005" name="Rango2_39_16"/>
    <protectedRange algorithmName="SHA-512" hashValue="XZw03RosI/l0z9FxmTtF29EdZ7P+4+ybhqoaAAUmURojSR5XbGfjC4f2i8gMqfY+RI9JvfdCA6PSh9TduXfUxA==" saltValue="5TPtLq2WoiRSae/yaDPnTw==" spinCount="100000" sqref="IB2005 HU2005:HZ2005" name="Rango2_99_41_11"/>
    <protectedRange algorithmName="SHA-512" hashValue="9+DNppQbWrLYYUMoJ+lyQctV2bX3Vq9kZnegLbpjTLP49It2ovUbcartuoQTeXgP+TGpY//7mDH/UQlFCKDGiA==" saltValue="KUnni6YEm00anzSSvyLqQA==" spinCount="100000" sqref="HS2005:HT2005" name="Rango2_40_14"/>
    <protectedRange algorithmName="SHA-512" hashValue="XZw03RosI/l0z9FxmTtF29EdZ7P+4+ybhqoaAAUmURojSR5XbGfjC4f2i8gMqfY+RI9JvfdCA6PSh9TduXfUxA==" saltValue="5TPtLq2WoiRSae/yaDPnTw==" spinCount="100000" sqref="IL2005:IM2005" name="Rango2_99_79_3"/>
    <protectedRange algorithmName="SHA-512" hashValue="XZw03RosI/l0z9FxmTtF29EdZ7P+4+ybhqoaAAUmURojSR5XbGfjC4f2i8gMqfY+RI9JvfdCA6PSh9TduXfUxA==" saltValue="5TPtLq2WoiRSae/yaDPnTw==" spinCount="100000" sqref="IO2005" name="Rango2_99_80_21"/>
    <protectedRange algorithmName="SHA-512" hashValue="XZw03RosI/l0z9FxmTtF29EdZ7P+4+ybhqoaAAUmURojSR5XbGfjC4f2i8gMqfY+RI9JvfdCA6PSh9TduXfUxA==" saltValue="5TPtLq2WoiRSae/yaDPnTw==" spinCount="100000" sqref="EA2006:EJ2006" name="Rango2_99_18_17"/>
    <protectedRange algorithmName="SHA-512" hashValue="9+DNppQbWrLYYUMoJ+lyQctV2bX3Vq9kZnegLbpjTLP49It2ovUbcartuoQTeXgP+TGpY//7mDH/UQlFCKDGiA==" saltValue="KUnni6YEm00anzSSvyLqQA==" spinCount="100000" sqref="EN2006" name="Rango2_22_12"/>
    <protectedRange algorithmName="SHA-512" hashValue="XZw03RosI/l0z9FxmTtF29EdZ7P+4+ybhqoaAAUmURojSR5XbGfjC4f2i8gMqfY+RI9JvfdCA6PSh9TduXfUxA==" saltValue="5TPtLq2WoiRSae/yaDPnTw==" spinCount="100000" sqref="ER2006:ES2006" name="Rango2_99_20_14"/>
    <protectedRange algorithmName="SHA-512" hashValue="XZw03RosI/l0z9FxmTtF29EdZ7P+4+ybhqoaAAUmURojSR5XbGfjC4f2i8gMqfY+RI9JvfdCA6PSh9TduXfUxA==" saltValue="5TPtLq2WoiRSae/yaDPnTw==" spinCount="100000" sqref="EV2006:EW2006" name="Rango2_99_22_14"/>
    <protectedRange algorithmName="SHA-512" hashValue="9+DNppQbWrLYYUMoJ+lyQctV2bX3Vq9kZnegLbpjTLP49It2ovUbcartuoQTeXgP+TGpY//7mDH/UQlFCKDGiA==" saltValue="KUnni6YEm00anzSSvyLqQA==" spinCount="100000" sqref="FC2006" name="Rango2_26_13"/>
    <protectedRange algorithmName="SHA-512" hashValue="XZw03RosI/l0z9FxmTtF29EdZ7P+4+ybhqoaAAUmURojSR5XbGfjC4f2i8gMqfY+RI9JvfdCA6PSh9TduXfUxA==" saltValue="5TPtLq2WoiRSae/yaDPnTw==" spinCount="100000" sqref="FF2006" name="Rango2_99_23_17"/>
    <protectedRange algorithmName="SHA-512" hashValue="9+DNppQbWrLYYUMoJ+lyQctV2bX3Vq9kZnegLbpjTLP49It2ovUbcartuoQTeXgP+TGpY//7mDH/UQlFCKDGiA==" saltValue="KUnni6YEm00anzSSvyLqQA==" spinCount="100000" sqref="FH2006" name="Rango2_35_14"/>
    <protectedRange algorithmName="SHA-512" hashValue="XZw03RosI/l0z9FxmTtF29EdZ7P+4+ybhqoaAAUmURojSR5XbGfjC4f2i8gMqfY+RI9JvfdCA6PSh9TduXfUxA==" saltValue="5TPtLq2WoiRSae/yaDPnTw==" spinCount="100000" sqref="FQ2006:FR2006" name="Rango2_99_27_16"/>
    <protectedRange algorithmName="SHA-512" hashValue="XZw03RosI/l0z9FxmTtF29EdZ7P+4+ybhqoaAAUmURojSR5XbGfjC4f2i8gMqfY+RI9JvfdCA6PSh9TduXfUxA==" saltValue="5TPtLq2WoiRSae/yaDPnTw==" spinCount="100000" sqref="FU2006" name="Rango2_99_29_13"/>
    <protectedRange algorithmName="SHA-512" hashValue="XZw03RosI/l0z9FxmTtF29EdZ7P+4+ybhqoaAAUmURojSR5XbGfjC4f2i8gMqfY+RI9JvfdCA6PSh9TduXfUxA==" saltValue="5TPtLq2WoiRSae/yaDPnTw==" spinCount="100000" sqref="FW2006:FX2006" name="Rango2_99_31_13"/>
    <protectedRange algorithmName="SHA-512" hashValue="Umj9+5Ys20VQPxBFtc6qE5LtKKSgPKwit+B8dd4XnEUaLfBM2ozpkEC4YxwK0SbBiAHDDex+pY+LomQ0lyuamQ==" saltValue="N2/MCRws+mmA+NXw0axolg==" spinCount="100000" sqref="FY2006" name="Rango2_31_2_2_14"/>
    <protectedRange algorithmName="SHA-512" hashValue="Rgskw+AQdeJ5qbJdarzTa3SCkJfDGziy0Uan5N0F3IWn/H3Z/e+VcB56R7Nes7MPxNHewNP1sSSucVjz3iTLeA==" saltValue="qKZH3DnwaZHBzy3cBZo1qQ==" spinCount="100000" sqref="GF2006" name="Rango2_31_28_1_14"/>
    <protectedRange algorithmName="SHA-512" hashValue="Umj9+5Ys20VQPxBFtc6qE5LtKKSgPKwit+B8dd4XnEUaLfBM2ozpkEC4YxwK0SbBiAHDDex+pY+LomQ0lyuamQ==" saltValue="N2/MCRws+mmA+NXw0axolg==" spinCount="100000" sqref="GE2006" name="Rango2_31_2_5_11"/>
    <protectedRange algorithmName="SHA-512" hashValue="Umj9+5Ys20VQPxBFtc6qE5LtKKSgPKwit+B8dd4XnEUaLfBM2ozpkEC4YxwK0SbBiAHDDex+pY+LomQ0lyuamQ==" saltValue="N2/MCRws+mmA+NXw0axolg==" spinCount="100000" sqref="GJ2006 GH2006 GL2006" name="Rango2_31_2_6_11"/>
    <protectedRange algorithmName="SHA-512" hashValue="XZw03RosI/l0z9FxmTtF29EdZ7P+4+ybhqoaAAUmURojSR5XbGfjC4f2i8gMqfY+RI9JvfdCA6PSh9TduXfUxA==" saltValue="5TPtLq2WoiRSae/yaDPnTw==" spinCount="100000" sqref="GO2006 GM2006 GK2006" name="Rango2_99_36_16"/>
    <protectedRange algorithmName="SHA-512" hashValue="EEHzbvEYwO1eufllBljOz0uf9BJ2ENtvOScQ7IsS321QhYbwKn7qhHKKP8cKj02rTDvVRMWvwQ1ZP0mZWsBprQ==" saltValue="CjXqBRFbKezlWOFV37MnDQ==" spinCount="100000" sqref="GQ2006:GR2006" name="Rango2_30_2_2_15"/>
    <protectedRange algorithmName="SHA-512" hashValue="EEHzbvEYwO1eufllBljOz0uf9BJ2ENtvOScQ7IsS321QhYbwKn7qhHKKP8cKj02rTDvVRMWvwQ1ZP0mZWsBprQ==" saltValue="CjXqBRFbKezlWOFV37MnDQ==" spinCount="100000" sqref="GW2006" name="Rango2_30_2_3_13"/>
    <protectedRange algorithmName="SHA-512" hashValue="XZw03RosI/l0z9FxmTtF29EdZ7P+4+ybhqoaAAUmURojSR5XbGfjC4f2i8gMqfY+RI9JvfdCA6PSh9TduXfUxA==" saltValue="5TPtLq2WoiRSae/yaDPnTw==" spinCount="100000" sqref="GY2006:GZ2006" name="Rango2_99_39_11"/>
    <protectedRange algorithmName="SHA-512" hashValue="XZw03RosI/l0z9FxmTtF29EdZ7P+4+ybhqoaAAUmURojSR5XbGfjC4f2i8gMqfY+RI9JvfdCA6PSh9TduXfUxA==" saltValue="5TPtLq2WoiRSae/yaDPnTw==" spinCount="100000" sqref="HJ2006" name="Rango2_99_40_15"/>
    <protectedRange algorithmName="SHA-512" hashValue="9+DNppQbWrLYYUMoJ+lyQctV2bX3Vq9kZnegLbpjTLP49It2ovUbcartuoQTeXgP+TGpY//7mDH/UQlFCKDGiA==" saltValue="KUnni6YEm00anzSSvyLqQA==" spinCount="100000" sqref="HD2006:HI2006" name="Rango2_39_17"/>
    <protectedRange algorithmName="SHA-512" hashValue="XZw03RosI/l0z9FxmTtF29EdZ7P+4+ybhqoaAAUmURojSR5XbGfjC4f2i8gMqfY+RI9JvfdCA6PSh9TduXfUxA==" saltValue="5TPtLq2WoiRSae/yaDPnTw==" spinCount="100000" sqref="IB2006 HU2006:HZ2006" name="Rango2_99_41_12"/>
    <protectedRange algorithmName="SHA-512" hashValue="9+DNppQbWrLYYUMoJ+lyQctV2bX3Vq9kZnegLbpjTLP49It2ovUbcartuoQTeXgP+TGpY//7mDH/UQlFCKDGiA==" saltValue="KUnni6YEm00anzSSvyLqQA==" spinCount="100000" sqref="HS2006:HT2006" name="Rango2_40_15"/>
    <protectedRange algorithmName="SHA-512" hashValue="XZw03RosI/l0z9FxmTtF29EdZ7P+4+ybhqoaAAUmURojSR5XbGfjC4f2i8gMqfY+RI9JvfdCA6PSh9TduXfUxA==" saltValue="5TPtLq2WoiRSae/yaDPnTw==" spinCount="100000" sqref="IL2006:IM2006" name="Rango2_99_79_4"/>
    <protectedRange algorithmName="SHA-512" hashValue="XZw03RosI/l0z9FxmTtF29EdZ7P+4+ybhqoaAAUmURojSR5XbGfjC4f2i8gMqfY+RI9JvfdCA6PSh9TduXfUxA==" saltValue="5TPtLq2WoiRSae/yaDPnTw==" spinCount="100000" sqref="IO2006" name="Rango2_99_80_22"/>
    <protectedRange algorithmName="SHA-512" hashValue="XZw03RosI/l0z9FxmTtF29EdZ7P+4+ybhqoaAAUmURojSR5XbGfjC4f2i8gMqfY+RI9JvfdCA6PSh9TduXfUxA==" saltValue="5TPtLq2WoiRSae/yaDPnTw==" spinCount="100000" sqref="EA2007:EJ2007" name="Rango2_99_18_18"/>
    <protectedRange algorithmName="SHA-512" hashValue="9+DNppQbWrLYYUMoJ+lyQctV2bX3Vq9kZnegLbpjTLP49It2ovUbcartuoQTeXgP+TGpY//7mDH/UQlFCKDGiA==" saltValue="KUnni6YEm00anzSSvyLqQA==" spinCount="100000" sqref="EN2007" name="Rango2_22_13"/>
    <protectedRange algorithmName="SHA-512" hashValue="XZw03RosI/l0z9FxmTtF29EdZ7P+4+ybhqoaAAUmURojSR5XbGfjC4f2i8gMqfY+RI9JvfdCA6PSh9TduXfUxA==" saltValue="5TPtLq2WoiRSae/yaDPnTw==" spinCount="100000" sqref="ER2007:ES2007" name="Rango2_99_20_15"/>
    <protectedRange algorithmName="SHA-512" hashValue="XZw03RosI/l0z9FxmTtF29EdZ7P+4+ybhqoaAAUmURojSR5XbGfjC4f2i8gMqfY+RI9JvfdCA6PSh9TduXfUxA==" saltValue="5TPtLq2WoiRSae/yaDPnTw==" spinCount="100000" sqref="EV2007:EW2007" name="Rango2_99_22_15"/>
    <protectedRange algorithmName="SHA-512" hashValue="9+DNppQbWrLYYUMoJ+lyQctV2bX3Vq9kZnegLbpjTLP49It2ovUbcartuoQTeXgP+TGpY//7mDH/UQlFCKDGiA==" saltValue="KUnni6YEm00anzSSvyLqQA==" spinCount="100000" sqref="FC2007" name="Rango2_26_14"/>
    <protectedRange algorithmName="SHA-512" hashValue="XZw03RosI/l0z9FxmTtF29EdZ7P+4+ybhqoaAAUmURojSR5XbGfjC4f2i8gMqfY+RI9JvfdCA6PSh9TduXfUxA==" saltValue="5TPtLq2WoiRSae/yaDPnTw==" spinCount="100000" sqref="FF2007" name="Rango2_99_23_18"/>
    <protectedRange algorithmName="SHA-512" hashValue="9+DNppQbWrLYYUMoJ+lyQctV2bX3Vq9kZnegLbpjTLP49It2ovUbcartuoQTeXgP+TGpY//7mDH/UQlFCKDGiA==" saltValue="KUnni6YEm00anzSSvyLqQA==" spinCount="100000" sqref="FH2007" name="Rango2_35_15"/>
    <protectedRange algorithmName="SHA-512" hashValue="XZw03RosI/l0z9FxmTtF29EdZ7P+4+ybhqoaAAUmURojSR5XbGfjC4f2i8gMqfY+RI9JvfdCA6PSh9TduXfUxA==" saltValue="5TPtLq2WoiRSae/yaDPnTw==" spinCount="100000" sqref="FQ2007:FR2007" name="Rango2_99_27_17"/>
    <protectedRange algorithmName="SHA-512" hashValue="XZw03RosI/l0z9FxmTtF29EdZ7P+4+ybhqoaAAUmURojSR5XbGfjC4f2i8gMqfY+RI9JvfdCA6PSh9TduXfUxA==" saltValue="5TPtLq2WoiRSae/yaDPnTw==" spinCount="100000" sqref="FU2007" name="Rango2_99_29_14"/>
    <protectedRange algorithmName="SHA-512" hashValue="XZw03RosI/l0z9FxmTtF29EdZ7P+4+ybhqoaAAUmURojSR5XbGfjC4f2i8gMqfY+RI9JvfdCA6PSh9TduXfUxA==" saltValue="5TPtLq2WoiRSae/yaDPnTw==" spinCount="100000" sqref="FW2007:FX2007" name="Rango2_99_31_14"/>
    <protectedRange algorithmName="SHA-512" hashValue="Umj9+5Ys20VQPxBFtc6qE5LtKKSgPKwit+B8dd4XnEUaLfBM2ozpkEC4YxwK0SbBiAHDDex+pY+LomQ0lyuamQ==" saltValue="N2/MCRws+mmA+NXw0axolg==" spinCount="100000" sqref="FY2007" name="Rango2_31_2_2_15"/>
    <protectedRange algorithmName="SHA-512" hashValue="Rgskw+AQdeJ5qbJdarzTa3SCkJfDGziy0Uan5N0F3IWn/H3Z/e+VcB56R7Nes7MPxNHewNP1sSSucVjz3iTLeA==" saltValue="qKZH3DnwaZHBzy3cBZo1qQ==" spinCount="100000" sqref="GF2007" name="Rango2_31_28_1_15"/>
    <protectedRange algorithmName="SHA-512" hashValue="Umj9+5Ys20VQPxBFtc6qE5LtKKSgPKwit+B8dd4XnEUaLfBM2ozpkEC4YxwK0SbBiAHDDex+pY+LomQ0lyuamQ==" saltValue="N2/MCRws+mmA+NXw0axolg==" spinCount="100000" sqref="GE2007" name="Rango2_31_2_5_12"/>
    <protectedRange algorithmName="SHA-512" hashValue="Umj9+5Ys20VQPxBFtc6qE5LtKKSgPKwit+B8dd4XnEUaLfBM2ozpkEC4YxwK0SbBiAHDDex+pY+LomQ0lyuamQ==" saltValue="N2/MCRws+mmA+NXw0axolg==" spinCount="100000" sqref="GJ2007 GH2007 GL2007" name="Rango2_31_2_6_12"/>
    <protectedRange algorithmName="SHA-512" hashValue="XZw03RosI/l0z9FxmTtF29EdZ7P+4+ybhqoaAAUmURojSR5XbGfjC4f2i8gMqfY+RI9JvfdCA6PSh9TduXfUxA==" saltValue="5TPtLq2WoiRSae/yaDPnTw==" spinCount="100000" sqref="GO2007 GM2007 GK2007" name="Rango2_99_36_17"/>
    <protectedRange algorithmName="SHA-512" hashValue="EEHzbvEYwO1eufllBljOz0uf9BJ2ENtvOScQ7IsS321QhYbwKn7qhHKKP8cKj02rTDvVRMWvwQ1ZP0mZWsBprQ==" saltValue="CjXqBRFbKezlWOFV37MnDQ==" spinCount="100000" sqref="GQ2007:GR2007" name="Rango2_30_2_2_16"/>
    <protectedRange algorithmName="SHA-512" hashValue="EEHzbvEYwO1eufllBljOz0uf9BJ2ENtvOScQ7IsS321QhYbwKn7qhHKKP8cKj02rTDvVRMWvwQ1ZP0mZWsBprQ==" saltValue="CjXqBRFbKezlWOFV37MnDQ==" spinCount="100000" sqref="GW2007" name="Rango2_30_2_3_14"/>
    <protectedRange algorithmName="SHA-512" hashValue="XZw03RosI/l0z9FxmTtF29EdZ7P+4+ybhqoaAAUmURojSR5XbGfjC4f2i8gMqfY+RI9JvfdCA6PSh9TduXfUxA==" saltValue="5TPtLq2WoiRSae/yaDPnTw==" spinCount="100000" sqref="GY2007:GZ2007" name="Rango2_99_39_12"/>
    <protectedRange algorithmName="SHA-512" hashValue="XZw03RosI/l0z9FxmTtF29EdZ7P+4+ybhqoaAAUmURojSR5XbGfjC4f2i8gMqfY+RI9JvfdCA6PSh9TduXfUxA==" saltValue="5TPtLq2WoiRSae/yaDPnTw==" spinCount="100000" sqref="HJ2007" name="Rango2_99_40_16"/>
    <protectedRange algorithmName="SHA-512" hashValue="9+DNppQbWrLYYUMoJ+lyQctV2bX3Vq9kZnegLbpjTLP49It2ovUbcartuoQTeXgP+TGpY//7mDH/UQlFCKDGiA==" saltValue="KUnni6YEm00anzSSvyLqQA==" spinCount="100000" sqref="HD2007:HI2007" name="Rango2_39_18"/>
    <protectedRange algorithmName="SHA-512" hashValue="XZw03RosI/l0z9FxmTtF29EdZ7P+4+ybhqoaAAUmURojSR5XbGfjC4f2i8gMqfY+RI9JvfdCA6PSh9TduXfUxA==" saltValue="5TPtLq2WoiRSae/yaDPnTw==" spinCount="100000" sqref="IB2007 HU2007:HZ2007" name="Rango2_99_41_13"/>
    <protectedRange algorithmName="SHA-512" hashValue="9+DNppQbWrLYYUMoJ+lyQctV2bX3Vq9kZnegLbpjTLP49It2ovUbcartuoQTeXgP+TGpY//7mDH/UQlFCKDGiA==" saltValue="KUnni6YEm00anzSSvyLqQA==" spinCount="100000" sqref="HS2007:HT2007" name="Rango2_40_16"/>
    <protectedRange algorithmName="SHA-512" hashValue="XZw03RosI/l0z9FxmTtF29EdZ7P+4+ybhqoaAAUmURojSR5XbGfjC4f2i8gMqfY+RI9JvfdCA6PSh9TduXfUxA==" saltValue="5TPtLq2WoiRSae/yaDPnTw==" spinCount="100000" sqref="IL2007:IM2007" name="Rango2_99_79_5"/>
    <protectedRange algorithmName="SHA-512" hashValue="XZw03RosI/l0z9FxmTtF29EdZ7P+4+ybhqoaAAUmURojSR5XbGfjC4f2i8gMqfY+RI9JvfdCA6PSh9TduXfUxA==" saltValue="5TPtLq2WoiRSae/yaDPnTw==" spinCount="100000" sqref="IO2007" name="Rango2_99_80_23"/>
    <protectedRange algorithmName="SHA-512" hashValue="XZw03RosI/l0z9FxmTtF29EdZ7P+4+ybhqoaAAUmURojSR5XbGfjC4f2i8gMqfY+RI9JvfdCA6PSh9TduXfUxA==" saltValue="5TPtLq2WoiRSae/yaDPnTw==" spinCount="100000" sqref="EA2008:EJ2010" name="Rango2_99_18_19"/>
    <protectedRange algorithmName="SHA-512" hashValue="9+DNppQbWrLYYUMoJ+lyQctV2bX3Vq9kZnegLbpjTLP49It2ovUbcartuoQTeXgP+TGpY//7mDH/UQlFCKDGiA==" saltValue="KUnni6YEm00anzSSvyLqQA==" spinCount="100000" sqref="EN2008:EN2010" name="Rango2_22_14"/>
    <protectedRange algorithmName="SHA-512" hashValue="XZw03RosI/l0z9FxmTtF29EdZ7P+4+ybhqoaAAUmURojSR5XbGfjC4f2i8gMqfY+RI9JvfdCA6PSh9TduXfUxA==" saltValue="5TPtLq2WoiRSae/yaDPnTw==" spinCount="100000" sqref="ER2008:ES2010" name="Rango2_99_20_16"/>
    <protectedRange algorithmName="SHA-512" hashValue="XZw03RosI/l0z9FxmTtF29EdZ7P+4+ybhqoaAAUmURojSR5XbGfjC4f2i8gMqfY+RI9JvfdCA6PSh9TduXfUxA==" saltValue="5TPtLq2WoiRSae/yaDPnTw==" spinCount="100000" sqref="EV2008:EW2010" name="Rango2_99_22_16"/>
    <protectedRange algorithmName="SHA-512" hashValue="9+DNppQbWrLYYUMoJ+lyQctV2bX3Vq9kZnegLbpjTLP49It2ovUbcartuoQTeXgP+TGpY//7mDH/UQlFCKDGiA==" saltValue="KUnni6YEm00anzSSvyLqQA==" spinCount="100000" sqref="FC2008:FC2010" name="Rango2_26_15"/>
    <protectedRange algorithmName="SHA-512" hashValue="XZw03RosI/l0z9FxmTtF29EdZ7P+4+ybhqoaAAUmURojSR5XbGfjC4f2i8gMqfY+RI9JvfdCA6PSh9TduXfUxA==" saltValue="5TPtLq2WoiRSae/yaDPnTw==" spinCount="100000" sqref="FF2008:FF2010" name="Rango2_99_23_19"/>
    <protectedRange algorithmName="SHA-512" hashValue="9+DNppQbWrLYYUMoJ+lyQctV2bX3Vq9kZnegLbpjTLP49It2ovUbcartuoQTeXgP+TGpY//7mDH/UQlFCKDGiA==" saltValue="KUnni6YEm00anzSSvyLqQA==" spinCount="100000" sqref="FH2008:FH2010" name="Rango2_35_16"/>
    <protectedRange algorithmName="SHA-512" hashValue="XZw03RosI/l0z9FxmTtF29EdZ7P+4+ybhqoaAAUmURojSR5XbGfjC4f2i8gMqfY+RI9JvfdCA6PSh9TduXfUxA==" saltValue="5TPtLq2WoiRSae/yaDPnTw==" spinCount="100000" sqref="FQ2008:FR2010" name="Rango2_99_27_18"/>
    <protectedRange algorithmName="SHA-512" hashValue="XZw03RosI/l0z9FxmTtF29EdZ7P+4+ybhqoaAAUmURojSR5XbGfjC4f2i8gMqfY+RI9JvfdCA6PSh9TduXfUxA==" saltValue="5TPtLq2WoiRSae/yaDPnTw==" spinCount="100000" sqref="FU2008:FU2010" name="Rango2_99_29_15"/>
    <protectedRange algorithmName="SHA-512" hashValue="XZw03RosI/l0z9FxmTtF29EdZ7P+4+ybhqoaAAUmURojSR5XbGfjC4f2i8gMqfY+RI9JvfdCA6PSh9TduXfUxA==" saltValue="5TPtLq2WoiRSae/yaDPnTw==" spinCount="100000" sqref="FW2008:FX2010" name="Rango2_99_31_15"/>
    <protectedRange algorithmName="SHA-512" hashValue="Umj9+5Ys20VQPxBFtc6qE5LtKKSgPKwit+B8dd4XnEUaLfBM2ozpkEC4YxwK0SbBiAHDDex+pY+LomQ0lyuamQ==" saltValue="N2/MCRws+mmA+NXw0axolg==" spinCount="100000" sqref="FY2008:FY2010" name="Rango2_31_2_2_16"/>
    <protectedRange algorithmName="SHA-512" hashValue="Umj9+5Ys20VQPxBFtc6qE5LtKKSgPKwit+B8dd4XnEUaLfBM2ozpkEC4YxwK0SbBiAHDDex+pY+LomQ0lyuamQ==" saltValue="N2/MCRws+mmA+NXw0axolg==" spinCount="100000" sqref="GB2008 GB2010" name="Rango2_31_2_4_14"/>
    <protectedRange algorithmName="SHA-512" hashValue="Rgskw+AQdeJ5qbJdarzTa3SCkJfDGziy0Uan5N0F3IWn/H3Z/e+VcB56R7Nes7MPxNHewNP1sSSucVjz3iTLeA==" saltValue="qKZH3DnwaZHBzy3cBZo1qQ==" spinCount="100000" sqref="GF2008:GF2010" name="Rango2_31_28_1_16"/>
    <protectedRange algorithmName="SHA-512" hashValue="Umj9+5Ys20VQPxBFtc6qE5LtKKSgPKwit+B8dd4XnEUaLfBM2ozpkEC4YxwK0SbBiAHDDex+pY+LomQ0lyuamQ==" saltValue="N2/MCRws+mmA+NXw0axolg==" spinCount="100000" sqref="GE2008:GE2010" name="Rango2_31_2_5_13"/>
    <protectedRange algorithmName="SHA-512" hashValue="Umj9+5Ys20VQPxBFtc6qE5LtKKSgPKwit+B8dd4XnEUaLfBM2ozpkEC4YxwK0SbBiAHDDex+pY+LomQ0lyuamQ==" saltValue="N2/MCRws+mmA+NXw0axolg==" spinCount="100000" sqref="GJ2008:GJ2010 GH2008:GH2010 GL2008:GL2010" name="Rango2_31_2_6_13"/>
    <protectedRange algorithmName="SHA-512" hashValue="XZw03RosI/l0z9FxmTtF29EdZ7P+4+ybhqoaAAUmURojSR5XbGfjC4f2i8gMqfY+RI9JvfdCA6PSh9TduXfUxA==" saltValue="5TPtLq2WoiRSae/yaDPnTw==" spinCount="100000" sqref="GO2008:GO2010 GM2008:GM2010 GK2008:GK2010" name="Rango2_99_36_18"/>
    <protectedRange algorithmName="SHA-512" hashValue="EEHzbvEYwO1eufllBljOz0uf9BJ2ENtvOScQ7IsS321QhYbwKn7qhHKKP8cKj02rTDvVRMWvwQ1ZP0mZWsBprQ==" saltValue="CjXqBRFbKezlWOFV37MnDQ==" spinCount="100000" sqref="GQ2008:GR2010" name="Rango2_30_2_2_17"/>
    <protectedRange algorithmName="SHA-512" hashValue="EEHzbvEYwO1eufllBljOz0uf9BJ2ENtvOScQ7IsS321QhYbwKn7qhHKKP8cKj02rTDvVRMWvwQ1ZP0mZWsBprQ==" saltValue="CjXqBRFbKezlWOFV37MnDQ==" spinCount="100000" sqref="GW2008:GW2010" name="Rango2_30_2_3_15"/>
    <protectedRange algorithmName="SHA-512" hashValue="XZw03RosI/l0z9FxmTtF29EdZ7P+4+ybhqoaAAUmURojSR5XbGfjC4f2i8gMqfY+RI9JvfdCA6PSh9TduXfUxA==" saltValue="5TPtLq2WoiRSae/yaDPnTw==" spinCount="100000" sqref="GY2008:GZ2010" name="Rango2_99_39_13"/>
    <protectedRange algorithmName="SHA-512" hashValue="XZw03RosI/l0z9FxmTtF29EdZ7P+4+ybhqoaAAUmURojSR5XbGfjC4f2i8gMqfY+RI9JvfdCA6PSh9TduXfUxA==" saltValue="5TPtLq2WoiRSae/yaDPnTw==" spinCount="100000" sqref="HJ2008:HJ2010" name="Rango2_99_40_17"/>
    <protectedRange algorithmName="SHA-512" hashValue="9+DNppQbWrLYYUMoJ+lyQctV2bX3Vq9kZnegLbpjTLP49It2ovUbcartuoQTeXgP+TGpY//7mDH/UQlFCKDGiA==" saltValue="KUnni6YEm00anzSSvyLqQA==" spinCount="100000" sqref="HD2008:HI2010" name="Rango2_39_19"/>
    <protectedRange algorithmName="SHA-512" hashValue="XZw03RosI/l0z9FxmTtF29EdZ7P+4+ybhqoaAAUmURojSR5XbGfjC4f2i8gMqfY+RI9JvfdCA6PSh9TduXfUxA==" saltValue="5TPtLq2WoiRSae/yaDPnTw==" spinCount="100000" sqref="IB2008:IB2010 HU2008:HZ2010" name="Rango2_99_41_14"/>
    <protectedRange algorithmName="SHA-512" hashValue="9+DNppQbWrLYYUMoJ+lyQctV2bX3Vq9kZnegLbpjTLP49It2ovUbcartuoQTeXgP+TGpY//7mDH/UQlFCKDGiA==" saltValue="KUnni6YEm00anzSSvyLqQA==" spinCount="100000" sqref="HS2008:HT2010" name="Rango2_40_17"/>
    <protectedRange algorithmName="SHA-512" hashValue="XZw03RosI/l0z9FxmTtF29EdZ7P+4+ybhqoaAAUmURojSR5XbGfjC4f2i8gMqfY+RI9JvfdCA6PSh9TduXfUxA==" saltValue="5TPtLq2WoiRSae/yaDPnTw==" spinCount="100000" sqref="IL2008:IM2010" name="Rango2_99_79_6"/>
    <protectedRange algorithmName="SHA-512" hashValue="XZw03RosI/l0z9FxmTtF29EdZ7P+4+ybhqoaAAUmURojSR5XbGfjC4f2i8gMqfY+RI9JvfdCA6PSh9TduXfUxA==" saltValue="5TPtLq2WoiRSae/yaDPnTw==" spinCount="100000" sqref="IO2008:IO2010" name="Rango2_99_80_24"/>
    <protectedRange algorithmName="SHA-512" hashValue="XZw03RosI/l0z9FxmTtF29EdZ7P+4+ybhqoaAAUmURojSR5XbGfjC4f2i8gMqfY+RI9JvfdCA6PSh9TduXfUxA==" saltValue="5TPtLq2WoiRSae/yaDPnTw==" spinCount="100000" sqref="EA2011:EJ2011" name="Rango2_99_18_20"/>
    <protectedRange algorithmName="SHA-512" hashValue="9+DNppQbWrLYYUMoJ+lyQctV2bX3Vq9kZnegLbpjTLP49It2ovUbcartuoQTeXgP+TGpY//7mDH/UQlFCKDGiA==" saltValue="KUnni6YEm00anzSSvyLqQA==" spinCount="100000" sqref="EN2011" name="Rango2_22_15"/>
    <protectedRange algorithmName="SHA-512" hashValue="XZw03RosI/l0z9FxmTtF29EdZ7P+4+ybhqoaAAUmURojSR5XbGfjC4f2i8gMqfY+RI9JvfdCA6PSh9TduXfUxA==" saltValue="5TPtLq2WoiRSae/yaDPnTw==" spinCount="100000" sqref="ER2011:ES2011" name="Rango2_99_20_17"/>
    <protectedRange algorithmName="SHA-512" hashValue="XZw03RosI/l0z9FxmTtF29EdZ7P+4+ybhqoaAAUmURojSR5XbGfjC4f2i8gMqfY+RI9JvfdCA6PSh9TduXfUxA==" saltValue="5TPtLq2WoiRSae/yaDPnTw==" spinCount="100000" sqref="EV2011:EW2011" name="Rango2_99_22_17"/>
    <protectedRange algorithmName="SHA-512" hashValue="9+DNppQbWrLYYUMoJ+lyQctV2bX3Vq9kZnegLbpjTLP49It2ovUbcartuoQTeXgP+TGpY//7mDH/UQlFCKDGiA==" saltValue="KUnni6YEm00anzSSvyLqQA==" spinCount="100000" sqref="FC2011" name="Rango2_26_16"/>
    <protectedRange algorithmName="SHA-512" hashValue="XZw03RosI/l0z9FxmTtF29EdZ7P+4+ybhqoaAAUmURojSR5XbGfjC4f2i8gMqfY+RI9JvfdCA6PSh9TduXfUxA==" saltValue="5TPtLq2WoiRSae/yaDPnTw==" spinCount="100000" sqref="FF2011" name="Rango2_99_23_20"/>
    <protectedRange algorithmName="SHA-512" hashValue="9+DNppQbWrLYYUMoJ+lyQctV2bX3Vq9kZnegLbpjTLP49It2ovUbcartuoQTeXgP+TGpY//7mDH/UQlFCKDGiA==" saltValue="KUnni6YEm00anzSSvyLqQA==" spinCount="100000" sqref="FH2011" name="Rango2_35_17"/>
    <protectedRange algorithmName="SHA-512" hashValue="XZw03RosI/l0z9FxmTtF29EdZ7P+4+ybhqoaAAUmURojSR5XbGfjC4f2i8gMqfY+RI9JvfdCA6PSh9TduXfUxA==" saltValue="5TPtLq2WoiRSae/yaDPnTw==" spinCount="100000" sqref="FQ2011:FR2011" name="Rango2_99_27_19"/>
    <protectedRange algorithmName="SHA-512" hashValue="XZw03RosI/l0z9FxmTtF29EdZ7P+4+ybhqoaAAUmURojSR5XbGfjC4f2i8gMqfY+RI9JvfdCA6PSh9TduXfUxA==" saltValue="5TPtLq2WoiRSae/yaDPnTw==" spinCount="100000" sqref="FU2011" name="Rango2_99_29_16"/>
    <protectedRange algorithmName="SHA-512" hashValue="XZw03RosI/l0z9FxmTtF29EdZ7P+4+ybhqoaAAUmURojSR5XbGfjC4f2i8gMqfY+RI9JvfdCA6PSh9TduXfUxA==" saltValue="5TPtLq2WoiRSae/yaDPnTw==" spinCount="100000" sqref="FW2011:FX2011" name="Rango2_99_31_16"/>
    <protectedRange algorithmName="SHA-512" hashValue="Umj9+5Ys20VQPxBFtc6qE5LtKKSgPKwit+B8dd4XnEUaLfBM2ozpkEC4YxwK0SbBiAHDDex+pY+LomQ0lyuamQ==" saltValue="N2/MCRws+mmA+NXw0axolg==" spinCount="100000" sqref="FY2011" name="Rango2_31_2_2_17"/>
    <protectedRange algorithmName="SHA-512" hashValue="Umj9+5Ys20VQPxBFtc6qE5LtKKSgPKwit+B8dd4XnEUaLfBM2ozpkEC4YxwK0SbBiAHDDex+pY+LomQ0lyuamQ==" saltValue="N2/MCRws+mmA+NXw0axolg==" spinCount="100000" sqref="GB2011" name="Rango2_31_2_4_15"/>
    <protectedRange algorithmName="SHA-512" hashValue="Rgskw+AQdeJ5qbJdarzTa3SCkJfDGziy0Uan5N0F3IWn/H3Z/e+VcB56R7Nes7MPxNHewNP1sSSucVjz3iTLeA==" saltValue="qKZH3DnwaZHBzy3cBZo1qQ==" spinCount="100000" sqref="GF2011" name="Rango2_31_28_1_17"/>
    <protectedRange algorithmName="SHA-512" hashValue="Umj9+5Ys20VQPxBFtc6qE5LtKKSgPKwit+B8dd4XnEUaLfBM2ozpkEC4YxwK0SbBiAHDDex+pY+LomQ0lyuamQ==" saltValue="N2/MCRws+mmA+NXw0axolg==" spinCount="100000" sqref="GE2011" name="Rango2_31_2_5_14"/>
    <protectedRange algorithmName="SHA-512" hashValue="Umj9+5Ys20VQPxBFtc6qE5LtKKSgPKwit+B8dd4XnEUaLfBM2ozpkEC4YxwK0SbBiAHDDex+pY+LomQ0lyuamQ==" saltValue="N2/MCRws+mmA+NXw0axolg==" spinCount="100000" sqref="GJ2011 GH2011 GL2011" name="Rango2_31_2_6_14"/>
    <protectedRange algorithmName="SHA-512" hashValue="XZw03RosI/l0z9FxmTtF29EdZ7P+4+ybhqoaAAUmURojSR5XbGfjC4f2i8gMqfY+RI9JvfdCA6PSh9TduXfUxA==" saltValue="5TPtLq2WoiRSae/yaDPnTw==" spinCount="100000" sqref="GO2011 GM2011 GK2011" name="Rango2_99_36_19"/>
    <protectedRange algorithmName="SHA-512" hashValue="EEHzbvEYwO1eufllBljOz0uf9BJ2ENtvOScQ7IsS321QhYbwKn7qhHKKP8cKj02rTDvVRMWvwQ1ZP0mZWsBprQ==" saltValue="CjXqBRFbKezlWOFV37MnDQ==" spinCount="100000" sqref="GQ2011:GR2011" name="Rango2_30_2_2_18"/>
    <protectedRange algorithmName="SHA-512" hashValue="EEHzbvEYwO1eufllBljOz0uf9BJ2ENtvOScQ7IsS321QhYbwKn7qhHKKP8cKj02rTDvVRMWvwQ1ZP0mZWsBprQ==" saltValue="CjXqBRFbKezlWOFV37MnDQ==" spinCount="100000" sqref="GW2011" name="Rango2_30_2_3_16"/>
    <protectedRange algorithmName="SHA-512" hashValue="XZw03RosI/l0z9FxmTtF29EdZ7P+4+ybhqoaAAUmURojSR5XbGfjC4f2i8gMqfY+RI9JvfdCA6PSh9TduXfUxA==" saltValue="5TPtLq2WoiRSae/yaDPnTw==" spinCount="100000" sqref="GY2011:GZ2011" name="Rango2_99_39_14"/>
    <protectedRange algorithmName="SHA-512" hashValue="XZw03RosI/l0z9FxmTtF29EdZ7P+4+ybhqoaAAUmURojSR5XbGfjC4f2i8gMqfY+RI9JvfdCA6PSh9TduXfUxA==" saltValue="5TPtLq2WoiRSae/yaDPnTw==" spinCount="100000" sqref="HJ2011" name="Rango2_99_40_18"/>
    <protectedRange algorithmName="SHA-512" hashValue="9+DNppQbWrLYYUMoJ+lyQctV2bX3Vq9kZnegLbpjTLP49It2ovUbcartuoQTeXgP+TGpY//7mDH/UQlFCKDGiA==" saltValue="KUnni6YEm00anzSSvyLqQA==" spinCount="100000" sqref="HD2011:HI2011" name="Rango2_39_20"/>
    <protectedRange algorithmName="SHA-512" hashValue="XZw03RosI/l0z9FxmTtF29EdZ7P+4+ybhqoaAAUmURojSR5XbGfjC4f2i8gMqfY+RI9JvfdCA6PSh9TduXfUxA==" saltValue="5TPtLq2WoiRSae/yaDPnTw==" spinCount="100000" sqref="IB2011 HU2011:HZ2011" name="Rango2_99_41_15"/>
    <protectedRange algorithmName="SHA-512" hashValue="9+DNppQbWrLYYUMoJ+lyQctV2bX3Vq9kZnegLbpjTLP49It2ovUbcartuoQTeXgP+TGpY//7mDH/UQlFCKDGiA==" saltValue="KUnni6YEm00anzSSvyLqQA==" spinCount="100000" sqref="HS2011:HT2011" name="Rango2_40_18"/>
    <protectedRange algorithmName="SHA-512" hashValue="XZw03RosI/l0z9FxmTtF29EdZ7P+4+ybhqoaAAUmURojSR5XbGfjC4f2i8gMqfY+RI9JvfdCA6PSh9TduXfUxA==" saltValue="5TPtLq2WoiRSae/yaDPnTw==" spinCount="100000" sqref="IL2011:IM2011" name="Rango2_99_79_7"/>
    <protectedRange algorithmName="SHA-512" hashValue="XZw03RosI/l0z9FxmTtF29EdZ7P+4+ybhqoaAAUmURojSR5XbGfjC4f2i8gMqfY+RI9JvfdCA6PSh9TduXfUxA==" saltValue="5TPtLq2WoiRSae/yaDPnTw==" spinCount="100000" sqref="IO2011" name="Rango2_99_80_25"/>
    <protectedRange algorithmName="SHA-512" hashValue="XZw03RosI/l0z9FxmTtF29EdZ7P+4+ybhqoaAAUmURojSR5XbGfjC4f2i8gMqfY+RI9JvfdCA6PSh9TduXfUxA==" saltValue="5TPtLq2WoiRSae/yaDPnTw==" spinCount="100000" sqref="EA2012:EJ2013" name="Rango2_99_18_21"/>
    <protectedRange algorithmName="SHA-512" hashValue="9+DNppQbWrLYYUMoJ+lyQctV2bX3Vq9kZnegLbpjTLP49It2ovUbcartuoQTeXgP+TGpY//7mDH/UQlFCKDGiA==" saltValue="KUnni6YEm00anzSSvyLqQA==" spinCount="100000" sqref="EN2012:EN2013" name="Rango2_22_16"/>
    <protectedRange algorithmName="SHA-512" hashValue="XZw03RosI/l0z9FxmTtF29EdZ7P+4+ybhqoaAAUmURojSR5XbGfjC4f2i8gMqfY+RI9JvfdCA6PSh9TduXfUxA==" saltValue="5TPtLq2WoiRSae/yaDPnTw==" spinCount="100000" sqref="ER2012:ES2013" name="Rango2_99_20_18"/>
    <protectedRange algorithmName="SHA-512" hashValue="XZw03RosI/l0z9FxmTtF29EdZ7P+4+ybhqoaAAUmURojSR5XbGfjC4f2i8gMqfY+RI9JvfdCA6PSh9TduXfUxA==" saltValue="5TPtLq2WoiRSae/yaDPnTw==" spinCount="100000" sqref="EV2012:EW2013" name="Rango2_99_22_18"/>
    <protectedRange algorithmName="SHA-512" hashValue="9+DNppQbWrLYYUMoJ+lyQctV2bX3Vq9kZnegLbpjTLP49It2ovUbcartuoQTeXgP+TGpY//7mDH/UQlFCKDGiA==" saltValue="KUnni6YEm00anzSSvyLqQA==" spinCount="100000" sqref="FC2012:FC2013" name="Rango2_26_17"/>
    <protectedRange algorithmName="SHA-512" hashValue="XZw03RosI/l0z9FxmTtF29EdZ7P+4+ybhqoaAAUmURojSR5XbGfjC4f2i8gMqfY+RI9JvfdCA6PSh9TduXfUxA==" saltValue="5TPtLq2WoiRSae/yaDPnTw==" spinCount="100000" sqref="FF2012:FF2013" name="Rango2_99_23_21"/>
    <protectedRange algorithmName="SHA-512" hashValue="9+DNppQbWrLYYUMoJ+lyQctV2bX3Vq9kZnegLbpjTLP49It2ovUbcartuoQTeXgP+TGpY//7mDH/UQlFCKDGiA==" saltValue="KUnni6YEm00anzSSvyLqQA==" spinCount="100000" sqref="FH2012:FH2013" name="Rango2_35_18"/>
    <protectedRange algorithmName="SHA-512" hashValue="XZw03RosI/l0z9FxmTtF29EdZ7P+4+ybhqoaAAUmURojSR5XbGfjC4f2i8gMqfY+RI9JvfdCA6PSh9TduXfUxA==" saltValue="5TPtLq2WoiRSae/yaDPnTw==" spinCount="100000" sqref="FQ2012:FR2013" name="Rango2_99_27_20"/>
    <protectedRange algorithmName="SHA-512" hashValue="XZw03RosI/l0z9FxmTtF29EdZ7P+4+ybhqoaAAUmURojSR5XbGfjC4f2i8gMqfY+RI9JvfdCA6PSh9TduXfUxA==" saltValue="5TPtLq2WoiRSae/yaDPnTw==" spinCount="100000" sqref="FU2012:FU2013" name="Rango2_99_29_17"/>
    <protectedRange algorithmName="SHA-512" hashValue="XZw03RosI/l0z9FxmTtF29EdZ7P+4+ybhqoaAAUmURojSR5XbGfjC4f2i8gMqfY+RI9JvfdCA6PSh9TduXfUxA==" saltValue="5TPtLq2WoiRSae/yaDPnTw==" spinCount="100000" sqref="FW2012:FX2013" name="Rango2_99_31_17"/>
    <protectedRange algorithmName="SHA-512" hashValue="Umj9+5Ys20VQPxBFtc6qE5LtKKSgPKwit+B8dd4XnEUaLfBM2ozpkEC4YxwK0SbBiAHDDex+pY+LomQ0lyuamQ==" saltValue="N2/MCRws+mmA+NXw0axolg==" spinCount="100000" sqref="FY2012:FY2013" name="Rango2_31_2_2_18"/>
    <protectedRange algorithmName="SHA-512" hashValue="Rgskw+AQdeJ5qbJdarzTa3SCkJfDGziy0Uan5N0F3IWn/H3Z/e+VcB56R7Nes7MPxNHewNP1sSSucVjz3iTLeA==" saltValue="qKZH3DnwaZHBzy3cBZo1qQ==" spinCount="100000" sqref="GF2012:GF2013" name="Rango2_31_28_1_18"/>
    <protectedRange algorithmName="SHA-512" hashValue="Umj9+5Ys20VQPxBFtc6qE5LtKKSgPKwit+B8dd4XnEUaLfBM2ozpkEC4YxwK0SbBiAHDDex+pY+LomQ0lyuamQ==" saltValue="N2/MCRws+mmA+NXw0axolg==" spinCount="100000" sqref="GE2012:GE2013" name="Rango2_31_2_5_15"/>
    <protectedRange algorithmName="SHA-512" hashValue="Umj9+5Ys20VQPxBFtc6qE5LtKKSgPKwit+B8dd4XnEUaLfBM2ozpkEC4YxwK0SbBiAHDDex+pY+LomQ0lyuamQ==" saltValue="N2/MCRws+mmA+NXw0axolg==" spinCount="100000" sqref="GJ2012:GJ2013 GH2012:GH2013 GL2012:GL2013" name="Rango2_31_2_6_15"/>
    <protectedRange algorithmName="SHA-512" hashValue="XZw03RosI/l0z9FxmTtF29EdZ7P+4+ybhqoaAAUmURojSR5XbGfjC4f2i8gMqfY+RI9JvfdCA6PSh9TduXfUxA==" saltValue="5TPtLq2WoiRSae/yaDPnTw==" spinCount="100000" sqref="GO2012:GO2013 GM2012:GM2013 GK2012:GK2013" name="Rango2_99_36_20"/>
    <protectedRange algorithmName="SHA-512" hashValue="EEHzbvEYwO1eufllBljOz0uf9BJ2ENtvOScQ7IsS321QhYbwKn7qhHKKP8cKj02rTDvVRMWvwQ1ZP0mZWsBprQ==" saltValue="CjXqBRFbKezlWOFV37MnDQ==" spinCount="100000" sqref="GQ2012:GR2013" name="Rango2_30_2_2_19"/>
    <protectedRange algorithmName="SHA-512" hashValue="EEHzbvEYwO1eufllBljOz0uf9BJ2ENtvOScQ7IsS321QhYbwKn7qhHKKP8cKj02rTDvVRMWvwQ1ZP0mZWsBprQ==" saltValue="CjXqBRFbKezlWOFV37MnDQ==" spinCount="100000" sqref="GW2012:GW2013" name="Rango2_30_2_3_17"/>
    <protectedRange algorithmName="SHA-512" hashValue="XZw03RosI/l0z9FxmTtF29EdZ7P+4+ybhqoaAAUmURojSR5XbGfjC4f2i8gMqfY+RI9JvfdCA6PSh9TduXfUxA==" saltValue="5TPtLq2WoiRSae/yaDPnTw==" spinCount="100000" sqref="GY2012:GZ2013" name="Rango2_99_39_15"/>
    <protectedRange algorithmName="SHA-512" hashValue="XZw03RosI/l0z9FxmTtF29EdZ7P+4+ybhqoaAAUmURojSR5XbGfjC4f2i8gMqfY+RI9JvfdCA6PSh9TduXfUxA==" saltValue="5TPtLq2WoiRSae/yaDPnTw==" spinCount="100000" sqref="HJ2012:HJ2013" name="Rango2_99_40_19"/>
    <protectedRange algorithmName="SHA-512" hashValue="9+DNppQbWrLYYUMoJ+lyQctV2bX3Vq9kZnegLbpjTLP49It2ovUbcartuoQTeXgP+TGpY//7mDH/UQlFCKDGiA==" saltValue="KUnni6YEm00anzSSvyLqQA==" spinCount="100000" sqref="HD2012:HI2013" name="Rango2_39_21"/>
    <protectedRange algorithmName="SHA-512" hashValue="XZw03RosI/l0z9FxmTtF29EdZ7P+4+ybhqoaAAUmURojSR5XbGfjC4f2i8gMqfY+RI9JvfdCA6PSh9TduXfUxA==" saltValue="5TPtLq2WoiRSae/yaDPnTw==" spinCount="100000" sqref="IB2012:IB2013 HU2012:HZ2013" name="Rango2_99_41_16"/>
    <protectedRange algorithmName="SHA-512" hashValue="9+DNppQbWrLYYUMoJ+lyQctV2bX3Vq9kZnegLbpjTLP49It2ovUbcartuoQTeXgP+TGpY//7mDH/UQlFCKDGiA==" saltValue="KUnni6YEm00anzSSvyLqQA==" spinCount="100000" sqref="HS2012:HT2013" name="Rango2_40_19"/>
    <protectedRange algorithmName="SHA-512" hashValue="XZw03RosI/l0z9FxmTtF29EdZ7P+4+ybhqoaAAUmURojSR5XbGfjC4f2i8gMqfY+RI9JvfdCA6PSh9TduXfUxA==" saltValue="5TPtLq2WoiRSae/yaDPnTw==" spinCount="100000" sqref="IL2012:IM2013" name="Rango2_99_79_8"/>
    <protectedRange algorithmName="SHA-512" hashValue="XZw03RosI/l0z9FxmTtF29EdZ7P+4+ybhqoaAAUmURojSR5XbGfjC4f2i8gMqfY+RI9JvfdCA6PSh9TduXfUxA==" saltValue="5TPtLq2WoiRSae/yaDPnTw==" spinCount="100000" sqref="IO2012:IO2013" name="Rango2_99_80_26"/>
    <protectedRange algorithmName="SHA-512" hashValue="XZw03RosI/l0z9FxmTtF29EdZ7P+4+ybhqoaAAUmURojSR5XbGfjC4f2i8gMqfY+RI9JvfdCA6PSh9TduXfUxA==" saltValue="5TPtLq2WoiRSae/yaDPnTw==" spinCount="100000" sqref="EA2014:EJ2014" name="Rango2_99_18_22"/>
    <protectedRange algorithmName="SHA-512" hashValue="9+DNppQbWrLYYUMoJ+lyQctV2bX3Vq9kZnegLbpjTLP49It2ovUbcartuoQTeXgP+TGpY//7mDH/UQlFCKDGiA==" saltValue="KUnni6YEm00anzSSvyLqQA==" spinCount="100000" sqref="EN2014" name="Rango2_22_17"/>
    <protectedRange algorithmName="SHA-512" hashValue="XZw03RosI/l0z9FxmTtF29EdZ7P+4+ybhqoaAAUmURojSR5XbGfjC4f2i8gMqfY+RI9JvfdCA6PSh9TduXfUxA==" saltValue="5TPtLq2WoiRSae/yaDPnTw==" spinCount="100000" sqref="ER2014:ES2014" name="Rango2_99_20_19"/>
    <protectedRange algorithmName="SHA-512" hashValue="XZw03RosI/l0z9FxmTtF29EdZ7P+4+ybhqoaAAUmURojSR5XbGfjC4f2i8gMqfY+RI9JvfdCA6PSh9TduXfUxA==" saltValue="5TPtLq2WoiRSae/yaDPnTw==" spinCount="100000" sqref="EV2014:EW2014" name="Rango2_99_22_19"/>
    <protectedRange algorithmName="SHA-512" hashValue="9+DNppQbWrLYYUMoJ+lyQctV2bX3Vq9kZnegLbpjTLP49It2ovUbcartuoQTeXgP+TGpY//7mDH/UQlFCKDGiA==" saltValue="KUnni6YEm00anzSSvyLqQA==" spinCount="100000" sqref="FC2014" name="Rango2_26_18"/>
    <protectedRange algorithmName="SHA-512" hashValue="XZw03RosI/l0z9FxmTtF29EdZ7P+4+ybhqoaAAUmURojSR5XbGfjC4f2i8gMqfY+RI9JvfdCA6PSh9TduXfUxA==" saltValue="5TPtLq2WoiRSae/yaDPnTw==" spinCount="100000" sqref="FF2014" name="Rango2_99_23_22"/>
    <protectedRange algorithmName="SHA-512" hashValue="9+DNppQbWrLYYUMoJ+lyQctV2bX3Vq9kZnegLbpjTLP49It2ovUbcartuoQTeXgP+TGpY//7mDH/UQlFCKDGiA==" saltValue="KUnni6YEm00anzSSvyLqQA==" spinCount="100000" sqref="FH2014" name="Rango2_35_19"/>
    <protectedRange algorithmName="SHA-512" hashValue="XZw03RosI/l0z9FxmTtF29EdZ7P+4+ybhqoaAAUmURojSR5XbGfjC4f2i8gMqfY+RI9JvfdCA6PSh9TduXfUxA==" saltValue="5TPtLq2WoiRSae/yaDPnTw==" spinCount="100000" sqref="FQ2014:FR2014" name="Rango2_99_27_21"/>
    <protectedRange algorithmName="SHA-512" hashValue="XZw03RosI/l0z9FxmTtF29EdZ7P+4+ybhqoaAAUmURojSR5XbGfjC4f2i8gMqfY+RI9JvfdCA6PSh9TduXfUxA==" saltValue="5TPtLq2WoiRSae/yaDPnTw==" spinCount="100000" sqref="FU2014" name="Rango2_99_29_18"/>
    <protectedRange algorithmName="SHA-512" hashValue="XZw03RosI/l0z9FxmTtF29EdZ7P+4+ybhqoaAAUmURojSR5XbGfjC4f2i8gMqfY+RI9JvfdCA6PSh9TduXfUxA==" saltValue="5TPtLq2WoiRSae/yaDPnTw==" spinCount="100000" sqref="FW2014:FX2014" name="Rango2_99_31_18"/>
    <protectedRange algorithmName="SHA-512" hashValue="Umj9+5Ys20VQPxBFtc6qE5LtKKSgPKwit+B8dd4XnEUaLfBM2ozpkEC4YxwK0SbBiAHDDex+pY+LomQ0lyuamQ==" saltValue="N2/MCRws+mmA+NXw0axolg==" spinCount="100000" sqref="FY2014" name="Rango2_31_2_2_19"/>
    <protectedRange algorithmName="SHA-512" hashValue="Rgskw+AQdeJ5qbJdarzTa3SCkJfDGziy0Uan5N0F3IWn/H3Z/e+VcB56R7Nes7MPxNHewNP1sSSucVjz3iTLeA==" saltValue="qKZH3DnwaZHBzy3cBZo1qQ==" spinCount="100000" sqref="GF2014" name="Rango2_31_28_1_19"/>
    <protectedRange algorithmName="SHA-512" hashValue="Umj9+5Ys20VQPxBFtc6qE5LtKKSgPKwit+B8dd4XnEUaLfBM2ozpkEC4YxwK0SbBiAHDDex+pY+LomQ0lyuamQ==" saltValue="N2/MCRws+mmA+NXw0axolg==" spinCount="100000" sqref="GE2014" name="Rango2_31_2_5_16"/>
    <protectedRange algorithmName="SHA-512" hashValue="Umj9+5Ys20VQPxBFtc6qE5LtKKSgPKwit+B8dd4XnEUaLfBM2ozpkEC4YxwK0SbBiAHDDex+pY+LomQ0lyuamQ==" saltValue="N2/MCRws+mmA+NXw0axolg==" spinCount="100000" sqref="GJ2014 GH2014 GL2014" name="Rango2_31_2_6_16"/>
    <protectedRange algorithmName="SHA-512" hashValue="XZw03RosI/l0z9FxmTtF29EdZ7P+4+ybhqoaAAUmURojSR5XbGfjC4f2i8gMqfY+RI9JvfdCA6PSh9TduXfUxA==" saltValue="5TPtLq2WoiRSae/yaDPnTw==" spinCount="100000" sqref="GO2014 GM2014 GK2014" name="Rango2_99_36_21"/>
    <protectedRange algorithmName="SHA-512" hashValue="EEHzbvEYwO1eufllBljOz0uf9BJ2ENtvOScQ7IsS321QhYbwKn7qhHKKP8cKj02rTDvVRMWvwQ1ZP0mZWsBprQ==" saltValue="CjXqBRFbKezlWOFV37MnDQ==" spinCount="100000" sqref="GQ2014:GR2014" name="Rango2_30_2_2_20"/>
    <protectedRange algorithmName="SHA-512" hashValue="EEHzbvEYwO1eufllBljOz0uf9BJ2ENtvOScQ7IsS321QhYbwKn7qhHKKP8cKj02rTDvVRMWvwQ1ZP0mZWsBprQ==" saltValue="CjXqBRFbKezlWOFV37MnDQ==" spinCount="100000" sqref="GW2014" name="Rango2_30_2_3_18"/>
    <protectedRange algorithmName="SHA-512" hashValue="XZw03RosI/l0z9FxmTtF29EdZ7P+4+ybhqoaAAUmURojSR5XbGfjC4f2i8gMqfY+RI9JvfdCA6PSh9TduXfUxA==" saltValue="5TPtLq2WoiRSae/yaDPnTw==" spinCount="100000" sqref="GY2014:GZ2014" name="Rango2_99_39_16"/>
    <protectedRange algorithmName="SHA-512" hashValue="XZw03RosI/l0z9FxmTtF29EdZ7P+4+ybhqoaAAUmURojSR5XbGfjC4f2i8gMqfY+RI9JvfdCA6PSh9TduXfUxA==" saltValue="5TPtLq2WoiRSae/yaDPnTw==" spinCount="100000" sqref="HJ2014" name="Rango2_99_40_20"/>
    <protectedRange algorithmName="SHA-512" hashValue="9+DNppQbWrLYYUMoJ+lyQctV2bX3Vq9kZnegLbpjTLP49It2ovUbcartuoQTeXgP+TGpY//7mDH/UQlFCKDGiA==" saltValue="KUnni6YEm00anzSSvyLqQA==" spinCount="100000" sqref="HD2014:HI2014" name="Rango2_39_22"/>
    <protectedRange algorithmName="SHA-512" hashValue="XZw03RosI/l0z9FxmTtF29EdZ7P+4+ybhqoaAAUmURojSR5XbGfjC4f2i8gMqfY+RI9JvfdCA6PSh9TduXfUxA==" saltValue="5TPtLq2WoiRSae/yaDPnTw==" spinCount="100000" sqref="IB2014 HU2014:HZ2014" name="Rango2_99_41_17"/>
    <protectedRange algorithmName="SHA-512" hashValue="9+DNppQbWrLYYUMoJ+lyQctV2bX3Vq9kZnegLbpjTLP49It2ovUbcartuoQTeXgP+TGpY//7mDH/UQlFCKDGiA==" saltValue="KUnni6YEm00anzSSvyLqQA==" spinCount="100000" sqref="HS2014:HT2014" name="Rango2_40_20"/>
    <protectedRange algorithmName="SHA-512" hashValue="XZw03RosI/l0z9FxmTtF29EdZ7P+4+ybhqoaAAUmURojSR5XbGfjC4f2i8gMqfY+RI9JvfdCA6PSh9TduXfUxA==" saltValue="5TPtLq2WoiRSae/yaDPnTw==" spinCount="100000" sqref="IL2014:IM2014" name="Rango2_99_79_9"/>
    <protectedRange algorithmName="SHA-512" hashValue="XZw03RosI/l0z9FxmTtF29EdZ7P+4+ybhqoaAAUmURojSR5XbGfjC4f2i8gMqfY+RI9JvfdCA6PSh9TduXfUxA==" saltValue="5TPtLq2WoiRSae/yaDPnTw==" spinCount="100000" sqref="IO2014" name="Rango2_99_80_27"/>
    <protectedRange algorithmName="SHA-512" hashValue="XZw03RosI/l0z9FxmTtF29EdZ7P+4+ybhqoaAAUmURojSR5XbGfjC4f2i8gMqfY+RI9JvfdCA6PSh9TduXfUxA==" saltValue="5TPtLq2WoiRSae/yaDPnTw==" spinCount="100000" sqref="EA2015:EJ2015" name="Rango2_99_18_23"/>
    <protectedRange algorithmName="SHA-512" hashValue="9+DNppQbWrLYYUMoJ+lyQctV2bX3Vq9kZnegLbpjTLP49It2ovUbcartuoQTeXgP+TGpY//7mDH/UQlFCKDGiA==" saltValue="KUnni6YEm00anzSSvyLqQA==" spinCount="100000" sqref="EN2015" name="Rango2_22_18"/>
    <protectedRange algorithmName="SHA-512" hashValue="XZw03RosI/l0z9FxmTtF29EdZ7P+4+ybhqoaAAUmURojSR5XbGfjC4f2i8gMqfY+RI9JvfdCA6PSh9TduXfUxA==" saltValue="5TPtLq2WoiRSae/yaDPnTw==" spinCount="100000" sqref="ER2015:ES2015" name="Rango2_99_20_20"/>
    <protectedRange algorithmName="SHA-512" hashValue="XZw03RosI/l0z9FxmTtF29EdZ7P+4+ybhqoaAAUmURojSR5XbGfjC4f2i8gMqfY+RI9JvfdCA6PSh9TduXfUxA==" saltValue="5TPtLq2WoiRSae/yaDPnTw==" spinCount="100000" sqref="EV2015:EW2015" name="Rango2_99_22_20"/>
    <protectedRange algorithmName="SHA-512" hashValue="9+DNppQbWrLYYUMoJ+lyQctV2bX3Vq9kZnegLbpjTLP49It2ovUbcartuoQTeXgP+TGpY//7mDH/UQlFCKDGiA==" saltValue="KUnni6YEm00anzSSvyLqQA==" spinCount="100000" sqref="FC2015" name="Rango2_26_19"/>
    <protectedRange algorithmName="SHA-512" hashValue="XZw03RosI/l0z9FxmTtF29EdZ7P+4+ybhqoaAAUmURojSR5XbGfjC4f2i8gMqfY+RI9JvfdCA6PSh9TduXfUxA==" saltValue="5TPtLq2WoiRSae/yaDPnTw==" spinCount="100000" sqref="FF2015" name="Rango2_99_23_23"/>
    <protectedRange algorithmName="SHA-512" hashValue="9+DNppQbWrLYYUMoJ+lyQctV2bX3Vq9kZnegLbpjTLP49It2ovUbcartuoQTeXgP+TGpY//7mDH/UQlFCKDGiA==" saltValue="KUnni6YEm00anzSSvyLqQA==" spinCount="100000" sqref="FH2015" name="Rango2_35_20"/>
    <protectedRange algorithmName="SHA-512" hashValue="XZw03RosI/l0z9FxmTtF29EdZ7P+4+ybhqoaAAUmURojSR5XbGfjC4f2i8gMqfY+RI9JvfdCA6PSh9TduXfUxA==" saltValue="5TPtLq2WoiRSae/yaDPnTw==" spinCount="100000" sqref="FQ2015:FR2015" name="Rango2_99_27_22"/>
    <protectedRange algorithmName="SHA-512" hashValue="XZw03RosI/l0z9FxmTtF29EdZ7P+4+ybhqoaAAUmURojSR5XbGfjC4f2i8gMqfY+RI9JvfdCA6PSh9TduXfUxA==" saltValue="5TPtLq2WoiRSae/yaDPnTw==" spinCount="100000" sqref="FU2015" name="Rango2_99_29_19"/>
    <protectedRange algorithmName="SHA-512" hashValue="XZw03RosI/l0z9FxmTtF29EdZ7P+4+ybhqoaAAUmURojSR5XbGfjC4f2i8gMqfY+RI9JvfdCA6PSh9TduXfUxA==" saltValue="5TPtLq2WoiRSae/yaDPnTw==" spinCount="100000" sqref="FW2015:FX2015" name="Rango2_99_31_19"/>
    <protectedRange algorithmName="SHA-512" hashValue="Umj9+5Ys20VQPxBFtc6qE5LtKKSgPKwit+B8dd4XnEUaLfBM2ozpkEC4YxwK0SbBiAHDDex+pY+LomQ0lyuamQ==" saltValue="N2/MCRws+mmA+NXw0axolg==" spinCount="100000" sqref="FY2015" name="Rango2_31_2_2_20"/>
    <protectedRange algorithmName="SHA-512" hashValue="Rgskw+AQdeJ5qbJdarzTa3SCkJfDGziy0Uan5N0F3IWn/H3Z/e+VcB56R7Nes7MPxNHewNP1sSSucVjz3iTLeA==" saltValue="qKZH3DnwaZHBzy3cBZo1qQ==" spinCount="100000" sqref="GF2015" name="Rango2_31_28_1_20"/>
    <protectedRange algorithmName="SHA-512" hashValue="Umj9+5Ys20VQPxBFtc6qE5LtKKSgPKwit+B8dd4XnEUaLfBM2ozpkEC4YxwK0SbBiAHDDex+pY+LomQ0lyuamQ==" saltValue="N2/MCRws+mmA+NXw0axolg==" spinCount="100000" sqref="GE2015" name="Rango2_31_2_5_17"/>
    <protectedRange algorithmName="SHA-512" hashValue="Umj9+5Ys20VQPxBFtc6qE5LtKKSgPKwit+B8dd4XnEUaLfBM2ozpkEC4YxwK0SbBiAHDDex+pY+LomQ0lyuamQ==" saltValue="N2/MCRws+mmA+NXw0axolg==" spinCount="100000" sqref="GJ2015 GH2015 GL2015" name="Rango2_31_2_6_17"/>
    <protectedRange algorithmName="SHA-512" hashValue="XZw03RosI/l0z9FxmTtF29EdZ7P+4+ybhqoaAAUmURojSR5XbGfjC4f2i8gMqfY+RI9JvfdCA6PSh9TduXfUxA==" saltValue="5TPtLq2WoiRSae/yaDPnTw==" spinCount="100000" sqref="GO2015 GM2015 GK2015" name="Rango2_99_36_22"/>
    <protectedRange algorithmName="SHA-512" hashValue="EEHzbvEYwO1eufllBljOz0uf9BJ2ENtvOScQ7IsS321QhYbwKn7qhHKKP8cKj02rTDvVRMWvwQ1ZP0mZWsBprQ==" saltValue="CjXqBRFbKezlWOFV37MnDQ==" spinCount="100000" sqref="GQ2015:GR2015" name="Rango2_30_2_2_21"/>
    <protectedRange algorithmName="SHA-512" hashValue="EEHzbvEYwO1eufllBljOz0uf9BJ2ENtvOScQ7IsS321QhYbwKn7qhHKKP8cKj02rTDvVRMWvwQ1ZP0mZWsBprQ==" saltValue="CjXqBRFbKezlWOFV37MnDQ==" spinCount="100000" sqref="GW2015" name="Rango2_30_2_3_19"/>
    <protectedRange algorithmName="SHA-512" hashValue="XZw03RosI/l0z9FxmTtF29EdZ7P+4+ybhqoaAAUmURojSR5XbGfjC4f2i8gMqfY+RI9JvfdCA6PSh9TduXfUxA==" saltValue="5TPtLq2WoiRSae/yaDPnTw==" spinCount="100000" sqref="GY2015:GZ2015" name="Rango2_99_39_17"/>
    <protectedRange algorithmName="SHA-512" hashValue="XZw03RosI/l0z9FxmTtF29EdZ7P+4+ybhqoaAAUmURojSR5XbGfjC4f2i8gMqfY+RI9JvfdCA6PSh9TduXfUxA==" saltValue="5TPtLq2WoiRSae/yaDPnTw==" spinCount="100000" sqref="HJ2015" name="Rango2_99_40_21"/>
    <protectedRange algorithmName="SHA-512" hashValue="9+DNppQbWrLYYUMoJ+lyQctV2bX3Vq9kZnegLbpjTLP49It2ovUbcartuoQTeXgP+TGpY//7mDH/UQlFCKDGiA==" saltValue="KUnni6YEm00anzSSvyLqQA==" spinCount="100000" sqref="HD2015:HI2015" name="Rango2_39_23"/>
    <protectedRange algorithmName="SHA-512" hashValue="XZw03RosI/l0z9FxmTtF29EdZ7P+4+ybhqoaAAUmURojSR5XbGfjC4f2i8gMqfY+RI9JvfdCA6PSh9TduXfUxA==" saltValue="5TPtLq2WoiRSae/yaDPnTw==" spinCount="100000" sqref="IB2015 HU2015:HZ2015" name="Rango2_99_41_18"/>
    <protectedRange algorithmName="SHA-512" hashValue="9+DNppQbWrLYYUMoJ+lyQctV2bX3Vq9kZnegLbpjTLP49It2ovUbcartuoQTeXgP+TGpY//7mDH/UQlFCKDGiA==" saltValue="KUnni6YEm00anzSSvyLqQA==" spinCount="100000" sqref="HS2015:HT2015" name="Rango2_40_21"/>
    <protectedRange algorithmName="SHA-512" hashValue="XZw03RosI/l0z9FxmTtF29EdZ7P+4+ybhqoaAAUmURojSR5XbGfjC4f2i8gMqfY+RI9JvfdCA6PSh9TduXfUxA==" saltValue="5TPtLq2WoiRSae/yaDPnTw==" spinCount="100000" sqref="IL2015:IM2015" name="Rango2_99_79_10"/>
    <protectedRange algorithmName="SHA-512" hashValue="XZw03RosI/l0z9FxmTtF29EdZ7P+4+ybhqoaAAUmURojSR5XbGfjC4f2i8gMqfY+RI9JvfdCA6PSh9TduXfUxA==" saltValue="5TPtLq2WoiRSae/yaDPnTw==" spinCount="100000" sqref="IO2015" name="Rango2_99_80_28"/>
    <protectedRange algorithmName="SHA-512" hashValue="XZw03RosI/l0z9FxmTtF29EdZ7P+4+ybhqoaAAUmURojSR5XbGfjC4f2i8gMqfY+RI9JvfdCA6PSh9TduXfUxA==" saltValue="5TPtLq2WoiRSae/yaDPnTw==" spinCount="100000" sqref="EA2016:EJ2016" name="Rango2_99_18_24"/>
    <protectedRange algorithmName="SHA-512" hashValue="9+DNppQbWrLYYUMoJ+lyQctV2bX3Vq9kZnegLbpjTLP49It2ovUbcartuoQTeXgP+TGpY//7mDH/UQlFCKDGiA==" saltValue="KUnni6YEm00anzSSvyLqQA==" spinCount="100000" sqref="EN2016" name="Rango2_22_19"/>
    <protectedRange algorithmName="SHA-512" hashValue="XZw03RosI/l0z9FxmTtF29EdZ7P+4+ybhqoaAAUmURojSR5XbGfjC4f2i8gMqfY+RI9JvfdCA6PSh9TduXfUxA==" saltValue="5TPtLq2WoiRSae/yaDPnTw==" spinCount="100000" sqref="ER2016:ES2016" name="Rango2_99_20_21"/>
    <protectedRange algorithmName="SHA-512" hashValue="XZw03RosI/l0z9FxmTtF29EdZ7P+4+ybhqoaAAUmURojSR5XbGfjC4f2i8gMqfY+RI9JvfdCA6PSh9TduXfUxA==" saltValue="5TPtLq2WoiRSae/yaDPnTw==" spinCount="100000" sqref="EV2016:EW2016" name="Rango2_99_22_21"/>
    <protectedRange algorithmName="SHA-512" hashValue="9+DNppQbWrLYYUMoJ+lyQctV2bX3Vq9kZnegLbpjTLP49It2ovUbcartuoQTeXgP+TGpY//7mDH/UQlFCKDGiA==" saltValue="KUnni6YEm00anzSSvyLqQA==" spinCount="100000" sqref="FC2016" name="Rango2_26_20"/>
    <protectedRange algorithmName="SHA-512" hashValue="XZw03RosI/l0z9FxmTtF29EdZ7P+4+ybhqoaAAUmURojSR5XbGfjC4f2i8gMqfY+RI9JvfdCA6PSh9TduXfUxA==" saltValue="5TPtLq2WoiRSae/yaDPnTw==" spinCount="100000" sqref="FF2016" name="Rango2_99_23_24"/>
    <protectedRange algorithmName="SHA-512" hashValue="9+DNppQbWrLYYUMoJ+lyQctV2bX3Vq9kZnegLbpjTLP49It2ovUbcartuoQTeXgP+TGpY//7mDH/UQlFCKDGiA==" saltValue="KUnni6YEm00anzSSvyLqQA==" spinCount="100000" sqref="FH2016" name="Rango2_35_21"/>
    <protectedRange algorithmName="SHA-512" hashValue="XZw03RosI/l0z9FxmTtF29EdZ7P+4+ybhqoaAAUmURojSR5XbGfjC4f2i8gMqfY+RI9JvfdCA6PSh9TduXfUxA==" saltValue="5TPtLq2WoiRSae/yaDPnTw==" spinCount="100000" sqref="FQ2016:FR2016" name="Rango2_99_27_23"/>
    <protectedRange algorithmName="SHA-512" hashValue="XZw03RosI/l0z9FxmTtF29EdZ7P+4+ybhqoaAAUmURojSR5XbGfjC4f2i8gMqfY+RI9JvfdCA6PSh9TduXfUxA==" saltValue="5TPtLq2WoiRSae/yaDPnTw==" spinCount="100000" sqref="FU2016" name="Rango2_99_29_20"/>
    <protectedRange algorithmName="SHA-512" hashValue="XZw03RosI/l0z9FxmTtF29EdZ7P+4+ybhqoaAAUmURojSR5XbGfjC4f2i8gMqfY+RI9JvfdCA6PSh9TduXfUxA==" saltValue="5TPtLq2WoiRSae/yaDPnTw==" spinCount="100000" sqref="FW2016:FX2016" name="Rango2_99_31_20"/>
    <protectedRange algorithmName="SHA-512" hashValue="Umj9+5Ys20VQPxBFtc6qE5LtKKSgPKwit+B8dd4XnEUaLfBM2ozpkEC4YxwK0SbBiAHDDex+pY+LomQ0lyuamQ==" saltValue="N2/MCRws+mmA+NXw0axolg==" spinCount="100000" sqref="FY2016" name="Rango2_31_2_2_21"/>
    <protectedRange algorithmName="SHA-512" hashValue="Rgskw+AQdeJ5qbJdarzTa3SCkJfDGziy0Uan5N0F3IWn/H3Z/e+VcB56R7Nes7MPxNHewNP1sSSucVjz3iTLeA==" saltValue="qKZH3DnwaZHBzy3cBZo1qQ==" spinCount="100000" sqref="GF2016" name="Rango2_31_28_1_21"/>
    <protectedRange algorithmName="SHA-512" hashValue="Umj9+5Ys20VQPxBFtc6qE5LtKKSgPKwit+B8dd4XnEUaLfBM2ozpkEC4YxwK0SbBiAHDDex+pY+LomQ0lyuamQ==" saltValue="N2/MCRws+mmA+NXw0axolg==" spinCount="100000" sqref="GE2016" name="Rango2_31_2_5_18"/>
    <protectedRange algorithmName="SHA-512" hashValue="Umj9+5Ys20VQPxBFtc6qE5LtKKSgPKwit+B8dd4XnEUaLfBM2ozpkEC4YxwK0SbBiAHDDex+pY+LomQ0lyuamQ==" saltValue="N2/MCRws+mmA+NXw0axolg==" spinCount="100000" sqref="GJ2016 GH2016 GL2016" name="Rango2_31_2_6_18"/>
    <protectedRange algorithmName="SHA-512" hashValue="XZw03RosI/l0z9FxmTtF29EdZ7P+4+ybhqoaAAUmURojSR5XbGfjC4f2i8gMqfY+RI9JvfdCA6PSh9TduXfUxA==" saltValue="5TPtLq2WoiRSae/yaDPnTw==" spinCount="100000" sqref="GO2016 GM2016 GK2016" name="Rango2_99_36_23"/>
    <protectedRange algorithmName="SHA-512" hashValue="EEHzbvEYwO1eufllBljOz0uf9BJ2ENtvOScQ7IsS321QhYbwKn7qhHKKP8cKj02rTDvVRMWvwQ1ZP0mZWsBprQ==" saltValue="CjXqBRFbKezlWOFV37MnDQ==" spinCount="100000" sqref="GQ2016:GR2016" name="Rango2_30_2_2_22"/>
    <protectedRange algorithmName="SHA-512" hashValue="EEHzbvEYwO1eufllBljOz0uf9BJ2ENtvOScQ7IsS321QhYbwKn7qhHKKP8cKj02rTDvVRMWvwQ1ZP0mZWsBprQ==" saltValue="CjXqBRFbKezlWOFV37MnDQ==" spinCount="100000" sqref="GW2016" name="Rango2_30_2_3_20"/>
    <protectedRange algorithmName="SHA-512" hashValue="XZw03RosI/l0z9FxmTtF29EdZ7P+4+ybhqoaAAUmURojSR5XbGfjC4f2i8gMqfY+RI9JvfdCA6PSh9TduXfUxA==" saltValue="5TPtLq2WoiRSae/yaDPnTw==" spinCount="100000" sqref="GY2016:GZ2016" name="Rango2_99_39_18"/>
    <protectedRange algorithmName="SHA-512" hashValue="XZw03RosI/l0z9FxmTtF29EdZ7P+4+ybhqoaAAUmURojSR5XbGfjC4f2i8gMqfY+RI9JvfdCA6PSh9TduXfUxA==" saltValue="5TPtLq2WoiRSae/yaDPnTw==" spinCount="100000" sqref="HJ2016" name="Rango2_99_40_22"/>
    <protectedRange algorithmName="SHA-512" hashValue="9+DNppQbWrLYYUMoJ+lyQctV2bX3Vq9kZnegLbpjTLP49It2ovUbcartuoQTeXgP+TGpY//7mDH/UQlFCKDGiA==" saltValue="KUnni6YEm00anzSSvyLqQA==" spinCount="100000" sqref="HD2016:HI2016" name="Rango2_39_24"/>
    <protectedRange algorithmName="SHA-512" hashValue="XZw03RosI/l0z9FxmTtF29EdZ7P+4+ybhqoaAAUmURojSR5XbGfjC4f2i8gMqfY+RI9JvfdCA6PSh9TduXfUxA==" saltValue="5TPtLq2WoiRSae/yaDPnTw==" spinCount="100000" sqref="IB2016 HU2016:HZ2016" name="Rango2_99_41_19"/>
    <protectedRange algorithmName="SHA-512" hashValue="9+DNppQbWrLYYUMoJ+lyQctV2bX3Vq9kZnegLbpjTLP49It2ovUbcartuoQTeXgP+TGpY//7mDH/UQlFCKDGiA==" saltValue="KUnni6YEm00anzSSvyLqQA==" spinCount="100000" sqref="HS2016:HT2016" name="Rango2_40_22"/>
    <protectedRange algorithmName="SHA-512" hashValue="XZw03RosI/l0z9FxmTtF29EdZ7P+4+ybhqoaAAUmURojSR5XbGfjC4f2i8gMqfY+RI9JvfdCA6PSh9TduXfUxA==" saltValue="5TPtLq2WoiRSae/yaDPnTw==" spinCount="100000" sqref="IL2016:IM2016" name="Rango2_99_79_11"/>
    <protectedRange algorithmName="SHA-512" hashValue="XZw03RosI/l0z9FxmTtF29EdZ7P+4+ybhqoaAAUmURojSR5XbGfjC4f2i8gMqfY+RI9JvfdCA6PSh9TduXfUxA==" saltValue="5TPtLq2WoiRSae/yaDPnTw==" spinCount="100000" sqref="IO2016" name="Rango2_99_80_29"/>
    <protectedRange algorithmName="SHA-512" hashValue="XZw03RosI/l0z9FxmTtF29EdZ7P+4+ybhqoaAAUmURojSR5XbGfjC4f2i8gMqfY+RI9JvfdCA6PSh9TduXfUxA==" saltValue="5TPtLq2WoiRSae/yaDPnTw==" spinCount="100000" sqref="EA2017:EJ2017" name="Rango2_99_18_25"/>
    <protectedRange algorithmName="SHA-512" hashValue="9+DNppQbWrLYYUMoJ+lyQctV2bX3Vq9kZnegLbpjTLP49It2ovUbcartuoQTeXgP+TGpY//7mDH/UQlFCKDGiA==" saltValue="KUnni6YEm00anzSSvyLqQA==" spinCount="100000" sqref="EN2017" name="Rango2_22_20"/>
    <protectedRange algorithmName="SHA-512" hashValue="XZw03RosI/l0z9FxmTtF29EdZ7P+4+ybhqoaAAUmURojSR5XbGfjC4f2i8gMqfY+RI9JvfdCA6PSh9TduXfUxA==" saltValue="5TPtLq2WoiRSae/yaDPnTw==" spinCount="100000" sqref="ER2017:ES2017" name="Rango2_99_20_22"/>
    <protectedRange algorithmName="SHA-512" hashValue="XZw03RosI/l0z9FxmTtF29EdZ7P+4+ybhqoaAAUmURojSR5XbGfjC4f2i8gMqfY+RI9JvfdCA6PSh9TduXfUxA==" saltValue="5TPtLq2WoiRSae/yaDPnTw==" spinCount="100000" sqref="EV2017:EW2017" name="Rango2_99_22_22"/>
    <protectedRange algorithmName="SHA-512" hashValue="9+DNppQbWrLYYUMoJ+lyQctV2bX3Vq9kZnegLbpjTLP49It2ovUbcartuoQTeXgP+TGpY//7mDH/UQlFCKDGiA==" saltValue="KUnni6YEm00anzSSvyLqQA==" spinCount="100000" sqref="FC2017" name="Rango2_26_21"/>
    <protectedRange algorithmName="SHA-512" hashValue="XZw03RosI/l0z9FxmTtF29EdZ7P+4+ybhqoaAAUmURojSR5XbGfjC4f2i8gMqfY+RI9JvfdCA6PSh9TduXfUxA==" saltValue="5TPtLq2WoiRSae/yaDPnTw==" spinCount="100000" sqref="FF2017" name="Rango2_99_23_25"/>
    <protectedRange algorithmName="SHA-512" hashValue="9+DNppQbWrLYYUMoJ+lyQctV2bX3Vq9kZnegLbpjTLP49It2ovUbcartuoQTeXgP+TGpY//7mDH/UQlFCKDGiA==" saltValue="KUnni6YEm00anzSSvyLqQA==" spinCount="100000" sqref="FH2017" name="Rango2_35_22"/>
    <protectedRange algorithmName="SHA-512" hashValue="XZw03RosI/l0z9FxmTtF29EdZ7P+4+ybhqoaAAUmURojSR5XbGfjC4f2i8gMqfY+RI9JvfdCA6PSh9TduXfUxA==" saltValue="5TPtLq2WoiRSae/yaDPnTw==" spinCount="100000" sqref="FQ2017:FR2017" name="Rango2_99_27_24"/>
    <protectedRange algorithmName="SHA-512" hashValue="XZw03RosI/l0z9FxmTtF29EdZ7P+4+ybhqoaAAUmURojSR5XbGfjC4f2i8gMqfY+RI9JvfdCA6PSh9TduXfUxA==" saltValue="5TPtLq2WoiRSae/yaDPnTw==" spinCount="100000" sqref="FU2017" name="Rango2_99_29_21"/>
    <protectedRange algorithmName="SHA-512" hashValue="XZw03RosI/l0z9FxmTtF29EdZ7P+4+ybhqoaAAUmURojSR5XbGfjC4f2i8gMqfY+RI9JvfdCA6PSh9TduXfUxA==" saltValue="5TPtLq2WoiRSae/yaDPnTw==" spinCount="100000" sqref="FW2017:FX2017" name="Rango2_99_31_21"/>
    <protectedRange algorithmName="SHA-512" hashValue="Umj9+5Ys20VQPxBFtc6qE5LtKKSgPKwit+B8dd4XnEUaLfBM2ozpkEC4YxwK0SbBiAHDDex+pY+LomQ0lyuamQ==" saltValue="N2/MCRws+mmA+NXw0axolg==" spinCount="100000" sqref="FY2017" name="Rango2_31_2_2_22"/>
    <protectedRange algorithmName="SHA-512" hashValue="Rgskw+AQdeJ5qbJdarzTa3SCkJfDGziy0Uan5N0F3IWn/H3Z/e+VcB56R7Nes7MPxNHewNP1sSSucVjz3iTLeA==" saltValue="qKZH3DnwaZHBzy3cBZo1qQ==" spinCount="100000" sqref="GF2017" name="Rango2_31_28_1_22"/>
    <protectedRange algorithmName="SHA-512" hashValue="Umj9+5Ys20VQPxBFtc6qE5LtKKSgPKwit+B8dd4XnEUaLfBM2ozpkEC4YxwK0SbBiAHDDex+pY+LomQ0lyuamQ==" saltValue="N2/MCRws+mmA+NXw0axolg==" spinCount="100000" sqref="GE2017" name="Rango2_31_2_5_19"/>
    <protectedRange algorithmName="SHA-512" hashValue="Umj9+5Ys20VQPxBFtc6qE5LtKKSgPKwit+B8dd4XnEUaLfBM2ozpkEC4YxwK0SbBiAHDDex+pY+LomQ0lyuamQ==" saltValue="N2/MCRws+mmA+NXw0axolg==" spinCount="100000" sqref="GJ2017 GH2017 GL2017" name="Rango2_31_2_6_19"/>
    <protectedRange algorithmName="SHA-512" hashValue="XZw03RosI/l0z9FxmTtF29EdZ7P+4+ybhqoaAAUmURojSR5XbGfjC4f2i8gMqfY+RI9JvfdCA6PSh9TduXfUxA==" saltValue="5TPtLq2WoiRSae/yaDPnTw==" spinCount="100000" sqref="GO2017 GM2017 GK2017" name="Rango2_99_36_24"/>
    <protectedRange algorithmName="SHA-512" hashValue="EEHzbvEYwO1eufllBljOz0uf9BJ2ENtvOScQ7IsS321QhYbwKn7qhHKKP8cKj02rTDvVRMWvwQ1ZP0mZWsBprQ==" saltValue="CjXqBRFbKezlWOFV37MnDQ==" spinCount="100000" sqref="GQ2017:GR2017" name="Rango2_30_2_2_23"/>
    <protectedRange algorithmName="SHA-512" hashValue="EEHzbvEYwO1eufllBljOz0uf9BJ2ENtvOScQ7IsS321QhYbwKn7qhHKKP8cKj02rTDvVRMWvwQ1ZP0mZWsBprQ==" saltValue="CjXqBRFbKezlWOFV37MnDQ==" spinCount="100000" sqref="GW2017" name="Rango2_30_2_3_21"/>
    <protectedRange algorithmName="SHA-512" hashValue="XZw03RosI/l0z9FxmTtF29EdZ7P+4+ybhqoaAAUmURojSR5XbGfjC4f2i8gMqfY+RI9JvfdCA6PSh9TduXfUxA==" saltValue="5TPtLq2WoiRSae/yaDPnTw==" spinCount="100000" sqref="GY2017:GZ2017" name="Rango2_99_39_19"/>
    <protectedRange algorithmName="SHA-512" hashValue="XZw03RosI/l0z9FxmTtF29EdZ7P+4+ybhqoaAAUmURojSR5XbGfjC4f2i8gMqfY+RI9JvfdCA6PSh9TduXfUxA==" saltValue="5TPtLq2WoiRSae/yaDPnTw==" spinCount="100000" sqref="HJ2017" name="Rango2_99_40_23"/>
    <protectedRange algorithmName="SHA-512" hashValue="9+DNppQbWrLYYUMoJ+lyQctV2bX3Vq9kZnegLbpjTLP49It2ovUbcartuoQTeXgP+TGpY//7mDH/UQlFCKDGiA==" saltValue="KUnni6YEm00anzSSvyLqQA==" spinCount="100000" sqref="HD2017:HI2017" name="Rango2_39_25"/>
    <protectedRange algorithmName="SHA-512" hashValue="XZw03RosI/l0z9FxmTtF29EdZ7P+4+ybhqoaAAUmURojSR5XbGfjC4f2i8gMqfY+RI9JvfdCA6PSh9TduXfUxA==" saltValue="5TPtLq2WoiRSae/yaDPnTw==" spinCount="100000" sqref="IB2017 HU2017:HZ2017" name="Rango2_99_41_20"/>
    <protectedRange algorithmName="SHA-512" hashValue="9+DNppQbWrLYYUMoJ+lyQctV2bX3Vq9kZnegLbpjTLP49It2ovUbcartuoQTeXgP+TGpY//7mDH/UQlFCKDGiA==" saltValue="KUnni6YEm00anzSSvyLqQA==" spinCount="100000" sqref="HS2017:HT2017" name="Rango2_40_23"/>
    <protectedRange algorithmName="SHA-512" hashValue="XZw03RosI/l0z9FxmTtF29EdZ7P+4+ybhqoaAAUmURojSR5XbGfjC4f2i8gMqfY+RI9JvfdCA6PSh9TduXfUxA==" saltValue="5TPtLq2WoiRSae/yaDPnTw==" spinCount="100000" sqref="IL2017:IM2017" name="Rango2_99_79_12"/>
    <protectedRange algorithmName="SHA-512" hashValue="XZw03RosI/l0z9FxmTtF29EdZ7P+4+ybhqoaAAUmURojSR5XbGfjC4f2i8gMqfY+RI9JvfdCA6PSh9TduXfUxA==" saltValue="5TPtLq2WoiRSae/yaDPnTw==" spinCount="100000" sqref="IO2017" name="Rango2_99_80_30"/>
    <protectedRange algorithmName="SHA-512" hashValue="XZw03RosI/l0z9FxmTtF29EdZ7P+4+ybhqoaAAUmURojSR5XbGfjC4f2i8gMqfY+RI9JvfdCA6PSh9TduXfUxA==" saltValue="5TPtLq2WoiRSae/yaDPnTw==" spinCount="100000" sqref="EA2018:EJ2018" name="Rango2_99_18_26"/>
    <protectedRange algorithmName="SHA-512" hashValue="9+DNppQbWrLYYUMoJ+lyQctV2bX3Vq9kZnegLbpjTLP49It2ovUbcartuoQTeXgP+TGpY//7mDH/UQlFCKDGiA==" saltValue="KUnni6YEm00anzSSvyLqQA==" spinCount="100000" sqref="EN2018" name="Rango2_22_21"/>
    <protectedRange algorithmName="SHA-512" hashValue="XZw03RosI/l0z9FxmTtF29EdZ7P+4+ybhqoaAAUmURojSR5XbGfjC4f2i8gMqfY+RI9JvfdCA6PSh9TduXfUxA==" saltValue="5TPtLq2WoiRSae/yaDPnTw==" spinCount="100000" sqref="ER2018:ES2018" name="Rango2_99_20_23"/>
    <protectedRange algorithmName="SHA-512" hashValue="XZw03RosI/l0z9FxmTtF29EdZ7P+4+ybhqoaAAUmURojSR5XbGfjC4f2i8gMqfY+RI9JvfdCA6PSh9TduXfUxA==" saltValue="5TPtLq2WoiRSae/yaDPnTw==" spinCount="100000" sqref="EV2018:EW2018" name="Rango2_99_22_23"/>
    <protectedRange algorithmName="SHA-512" hashValue="9+DNppQbWrLYYUMoJ+lyQctV2bX3Vq9kZnegLbpjTLP49It2ovUbcartuoQTeXgP+TGpY//7mDH/UQlFCKDGiA==" saltValue="KUnni6YEm00anzSSvyLqQA==" spinCount="100000" sqref="FC2018" name="Rango2_26_22"/>
    <protectedRange algorithmName="SHA-512" hashValue="XZw03RosI/l0z9FxmTtF29EdZ7P+4+ybhqoaAAUmURojSR5XbGfjC4f2i8gMqfY+RI9JvfdCA6PSh9TduXfUxA==" saltValue="5TPtLq2WoiRSae/yaDPnTw==" spinCount="100000" sqref="FF2018" name="Rango2_99_23_26"/>
    <protectedRange algorithmName="SHA-512" hashValue="9+DNppQbWrLYYUMoJ+lyQctV2bX3Vq9kZnegLbpjTLP49It2ovUbcartuoQTeXgP+TGpY//7mDH/UQlFCKDGiA==" saltValue="KUnni6YEm00anzSSvyLqQA==" spinCount="100000" sqref="FH2018" name="Rango2_35_23"/>
    <protectedRange algorithmName="SHA-512" hashValue="XZw03RosI/l0z9FxmTtF29EdZ7P+4+ybhqoaAAUmURojSR5XbGfjC4f2i8gMqfY+RI9JvfdCA6PSh9TduXfUxA==" saltValue="5TPtLq2WoiRSae/yaDPnTw==" spinCount="100000" sqref="FQ2018:FR2018" name="Rango2_99_27_25"/>
    <protectedRange algorithmName="SHA-512" hashValue="XZw03RosI/l0z9FxmTtF29EdZ7P+4+ybhqoaAAUmURojSR5XbGfjC4f2i8gMqfY+RI9JvfdCA6PSh9TduXfUxA==" saltValue="5TPtLq2WoiRSae/yaDPnTw==" spinCount="100000" sqref="FU2018" name="Rango2_99_29_22"/>
    <protectedRange algorithmName="SHA-512" hashValue="XZw03RosI/l0z9FxmTtF29EdZ7P+4+ybhqoaAAUmURojSR5XbGfjC4f2i8gMqfY+RI9JvfdCA6PSh9TduXfUxA==" saltValue="5TPtLq2WoiRSae/yaDPnTw==" spinCount="100000" sqref="FW2018:FX2018" name="Rango2_99_31_22"/>
    <protectedRange algorithmName="SHA-512" hashValue="Umj9+5Ys20VQPxBFtc6qE5LtKKSgPKwit+B8dd4XnEUaLfBM2ozpkEC4YxwK0SbBiAHDDex+pY+LomQ0lyuamQ==" saltValue="N2/MCRws+mmA+NXw0axolg==" spinCount="100000" sqref="FY2018" name="Rango2_31_2_2_23"/>
    <protectedRange algorithmName="SHA-512" hashValue="Umj9+5Ys20VQPxBFtc6qE5LtKKSgPKwit+B8dd4XnEUaLfBM2ozpkEC4YxwK0SbBiAHDDex+pY+LomQ0lyuamQ==" saltValue="N2/MCRws+mmA+NXw0axolg==" spinCount="100000" sqref="GB2018" name="Rango2_31_2_4_21"/>
    <protectedRange algorithmName="SHA-512" hashValue="Rgskw+AQdeJ5qbJdarzTa3SCkJfDGziy0Uan5N0F3IWn/H3Z/e+VcB56R7Nes7MPxNHewNP1sSSucVjz3iTLeA==" saltValue="qKZH3DnwaZHBzy3cBZo1qQ==" spinCount="100000" sqref="GF2018" name="Rango2_31_28_1_23"/>
    <protectedRange algorithmName="SHA-512" hashValue="Umj9+5Ys20VQPxBFtc6qE5LtKKSgPKwit+B8dd4XnEUaLfBM2ozpkEC4YxwK0SbBiAHDDex+pY+LomQ0lyuamQ==" saltValue="N2/MCRws+mmA+NXw0axolg==" spinCount="100000" sqref="GE2018" name="Rango2_31_2_5_20"/>
    <protectedRange algorithmName="SHA-512" hashValue="Umj9+5Ys20VQPxBFtc6qE5LtKKSgPKwit+B8dd4XnEUaLfBM2ozpkEC4YxwK0SbBiAHDDex+pY+LomQ0lyuamQ==" saltValue="N2/MCRws+mmA+NXw0axolg==" spinCount="100000" sqref="GJ2018 GH2018 GL2018" name="Rango2_31_2_6_20"/>
    <protectedRange algorithmName="SHA-512" hashValue="XZw03RosI/l0z9FxmTtF29EdZ7P+4+ybhqoaAAUmURojSR5XbGfjC4f2i8gMqfY+RI9JvfdCA6PSh9TduXfUxA==" saltValue="5TPtLq2WoiRSae/yaDPnTw==" spinCount="100000" sqref="GO2018 GM2018 GK2018" name="Rango2_99_36_25"/>
    <protectedRange algorithmName="SHA-512" hashValue="EEHzbvEYwO1eufllBljOz0uf9BJ2ENtvOScQ7IsS321QhYbwKn7qhHKKP8cKj02rTDvVRMWvwQ1ZP0mZWsBprQ==" saltValue="CjXqBRFbKezlWOFV37MnDQ==" spinCount="100000" sqref="GQ2018:GR2018" name="Rango2_30_2_2_24"/>
    <protectedRange algorithmName="SHA-512" hashValue="EEHzbvEYwO1eufllBljOz0uf9BJ2ENtvOScQ7IsS321QhYbwKn7qhHKKP8cKj02rTDvVRMWvwQ1ZP0mZWsBprQ==" saltValue="CjXqBRFbKezlWOFV37MnDQ==" spinCount="100000" sqref="GW2018" name="Rango2_30_2_3_22"/>
    <protectedRange algorithmName="SHA-512" hashValue="XZw03RosI/l0z9FxmTtF29EdZ7P+4+ybhqoaAAUmURojSR5XbGfjC4f2i8gMqfY+RI9JvfdCA6PSh9TduXfUxA==" saltValue="5TPtLq2WoiRSae/yaDPnTw==" spinCount="100000" sqref="GY2018:GZ2018" name="Rango2_99_39_20"/>
    <protectedRange algorithmName="SHA-512" hashValue="XZw03RosI/l0z9FxmTtF29EdZ7P+4+ybhqoaAAUmURojSR5XbGfjC4f2i8gMqfY+RI9JvfdCA6PSh9TduXfUxA==" saltValue="5TPtLq2WoiRSae/yaDPnTw==" spinCount="100000" sqref="HJ2018" name="Rango2_99_40_24"/>
    <protectedRange algorithmName="SHA-512" hashValue="9+DNppQbWrLYYUMoJ+lyQctV2bX3Vq9kZnegLbpjTLP49It2ovUbcartuoQTeXgP+TGpY//7mDH/UQlFCKDGiA==" saltValue="KUnni6YEm00anzSSvyLqQA==" spinCount="100000" sqref="HD2018:HI2018" name="Rango2_39_26"/>
    <protectedRange algorithmName="SHA-512" hashValue="XZw03RosI/l0z9FxmTtF29EdZ7P+4+ybhqoaAAUmURojSR5XbGfjC4f2i8gMqfY+RI9JvfdCA6PSh9TduXfUxA==" saltValue="5TPtLq2WoiRSae/yaDPnTw==" spinCount="100000" sqref="IB2018 HU2018:HZ2018" name="Rango2_99_41_21"/>
    <protectedRange algorithmName="SHA-512" hashValue="9+DNppQbWrLYYUMoJ+lyQctV2bX3Vq9kZnegLbpjTLP49It2ovUbcartuoQTeXgP+TGpY//7mDH/UQlFCKDGiA==" saltValue="KUnni6YEm00anzSSvyLqQA==" spinCount="100000" sqref="HS2018:HT2018" name="Rango2_40_24"/>
    <protectedRange algorithmName="SHA-512" hashValue="XZw03RosI/l0z9FxmTtF29EdZ7P+4+ybhqoaAAUmURojSR5XbGfjC4f2i8gMqfY+RI9JvfdCA6PSh9TduXfUxA==" saltValue="5TPtLq2WoiRSae/yaDPnTw==" spinCount="100000" sqref="IL2018:IM2018" name="Rango2_99_79_13"/>
    <protectedRange algorithmName="SHA-512" hashValue="XZw03RosI/l0z9FxmTtF29EdZ7P+4+ybhqoaAAUmURojSR5XbGfjC4f2i8gMqfY+RI9JvfdCA6PSh9TduXfUxA==" saltValue="5TPtLq2WoiRSae/yaDPnTw==" spinCount="100000" sqref="IO2018" name="Rango2_99_80_31"/>
    <protectedRange algorithmName="SHA-512" hashValue="XZw03RosI/l0z9FxmTtF29EdZ7P+4+ybhqoaAAUmURojSR5XbGfjC4f2i8gMqfY+RI9JvfdCA6PSh9TduXfUxA==" saltValue="5TPtLq2WoiRSae/yaDPnTw==" spinCount="100000" sqref="EA2019:EJ2019" name="Rango2_99_18_27"/>
    <protectedRange algorithmName="SHA-512" hashValue="9+DNppQbWrLYYUMoJ+lyQctV2bX3Vq9kZnegLbpjTLP49It2ovUbcartuoQTeXgP+TGpY//7mDH/UQlFCKDGiA==" saltValue="KUnni6YEm00anzSSvyLqQA==" spinCount="100000" sqref="EN2019" name="Rango2_22_22"/>
    <protectedRange algorithmName="SHA-512" hashValue="XZw03RosI/l0z9FxmTtF29EdZ7P+4+ybhqoaAAUmURojSR5XbGfjC4f2i8gMqfY+RI9JvfdCA6PSh9TduXfUxA==" saltValue="5TPtLq2WoiRSae/yaDPnTw==" spinCount="100000" sqref="ER2019:ES2019" name="Rango2_99_20_24"/>
    <protectedRange algorithmName="SHA-512" hashValue="XZw03RosI/l0z9FxmTtF29EdZ7P+4+ybhqoaAAUmURojSR5XbGfjC4f2i8gMqfY+RI9JvfdCA6PSh9TduXfUxA==" saltValue="5TPtLq2WoiRSae/yaDPnTw==" spinCount="100000" sqref="EV2019:EW2019" name="Rango2_99_22_24"/>
    <protectedRange algorithmName="SHA-512" hashValue="9+DNppQbWrLYYUMoJ+lyQctV2bX3Vq9kZnegLbpjTLP49It2ovUbcartuoQTeXgP+TGpY//7mDH/UQlFCKDGiA==" saltValue="KUnni6YEm00anzSSvyLqQA==" spinCount="100000" sqref="FC2019" name="Rango2_26_23"/>
    <protectedRange algorithmName="SHA-512" hashValue="XZw03RosI/l0z9FxmTtF29EdZ7P+4+ybhqoaAAUmURojSR5XbGfjC4f2i8gMqfY+RI9JvfdCA6PSh9TduXfUxA==" saltValue="5TPtLq2WoiRSae/yaDPnTw==" spinCount="100000" sqref="FF2019" name="Rango2_99_23_27"/>
    <protectedRange algorithmName="SHA-512" hashValue="9+DNppQbWrLYYUMoJ+lyQctV2bX3Vq9kZnegLbpjTLP49It2ovUbcartuoQTeXgP+TGpY//7mDH/UQlFCKDGiA==" saltValue="KUnni6YEm00anzSSvyLqQA==" spinCount="100000" sqref="FH2019" name="Rango2_35_24"/>
    <protectedRange algorithmName="SHA-512" hashValue="XZw03RosI/l0z9FxmTtF29EdZ7P+4+ybhqoaAAUmURojSR5XbGfjC4f2i8gMqfY+RI9JvfdCA6PSh9TduXfUxA==" saltValue="5TPtLq2WoiRSae/yaDPnTw==" spinCount="100000" sqref="FQ2019:FR2019" name="Rango2_99_27_26"/>
    <protectedRange algorithmName="SHA-512" hashValue="XZw03RosI/l0z9FxmTtF29EdZ7P+4+ybhqoaAAUmURojSR5XbGfjC4f2i8gMqfY+RI9JvfdCA6PSh9TduXfUxA==" saltValue="5TPtLq2WoiRSae/yaDPnTw==" spinCount="100000" sqref="FU2019" name="Rango2_99_29_23"/>
    <protectedRange algorithmName="SHA-512" hashValue="XZw03RosI/l0z9FxmTtF29EdZ7P+4+ybhqoaAAUmURojSR5XbGfjC4f2i8gMqfY+RI9JvfdCA6PSh9TduXfUxA==" saltValue="5TPtLq2WoiRSae/yaDPnTw==" spinCount="100000" sqref="FW2019:FX2019" name="Rango2_99_31_23"/>
    <protectedRange algorithmName="SHA-512" hashValue="Umj9+5Ys20VQPxBFtc6qE5LtKKSgPKwit+B8dd4XnEUaLfBM2ozpkEC4YxwK0SbBiAHDDex+pY+LomQ0lyuamQ==" saltValue="N2/MCRws+mmA+NXw0axolg==" spinCount="100000" sqref="FY2019" name="Rango2_31_2_2_24"/>
    <protectedRange algorithmName="SHA-512" hashValue="Umj9+5Ys20VQPxBFtc6qE5LtKKSgPKwit+B8dd4XnEUaLfBM2ozpkEC4YxwK0SbBiAHDDex+pY+LomQ0lyuamQ==" saltValue="N2/MCRws+mmA+NXw0axolg==" spinCount="100000" sqref="GB2019" name="Rango2_31_2_4_22"/>
    <protectedRange algorithmName="SHA-512" hashValue="Rgskw+AQdeJ5qbJdarzTa3SCkJfDGziy0Uan5N0F3IWn/H3Z/e+VcB56R7Nes7MPxNHewNP1sSSucVjz3iTLeA==" saltValue="qKZH3DnwaZHBzy3cBZo1qQ==" spinCount="100000" sqref="GF2019" name="Rango2_31_28_1_24"/>
    <protectedRange algorithmName="SHA-512" hashValue="Umj9+5Ys20VQPxBFtc6qE5LtKKSgPKwit+B8dd4XnEUaLfBM2ozpkEC4YxwK0SbBiAHDDex+pY+LomQ0lyuamQ==" saltValue="N2/MCRws+mmA+NXw0axolg==" spinCount="100000" sqref="GE2019" name="Rango2_31_2_5_21"/>
    <protectedRange algorithmName="SHA-512" hashValue="Umj9+5Ys20VQPxBFtc6qE5LtKKSgPKwit+B8dd4XnEUaLfBM2ozpkEC4YxwK0SbBiAHDDex+pY+LomQ0lyuamQ==" saltValue="N2/MCRws+mmA+NXw0axolg==" spinCount="100000" sqref="GJ2019 GH2019 GL2019" name="Rango2_31_2_6_21"/>
    <protectedRange algorithmName="SHA-512" hashValue="XZw03RosI/l0z9FxmTtF29EdZ7P+4+ybhqoaAAUmURojSR5XbGfjC4f2i8gMqfY+RI9JvfdCA6PSh9TduXfUxA==" saltValue="5TPtLq2WoiRSae/yaDPnTw==" spinCount="100000" sqref="GO2019 GM2019 GK2019" name="Rango2_99_36_26"/>
    <protectedRange algorithmName="SHA-512" hashValue="EEHzbvEYwO1eufllBljOz0uf9BJ2ENtvOScQ7IsS321QhYbwKn7qhHKKP8cKj02rTDvVRMWvwQ1ZP0mZWsBprQ==" saltValue="CjXqBRFbKezlWOFV37MnDQ==" spinCount="100000" sqref="GQ2019:GR2019" name="Rango2_30_2_2_25"/>
    <protectedRange algorithmName="SHA-512" hashValue="EEHzbvEYwO1eufllBljOz0uf9BJ2ENtvOScQ7IsS321QhYbwKn7qhHKKP8cKj02rTDvVRMWvwQ1ZP0mZWsBprQ==" saltValue="CjXqBRFbKezlWOFV37MnDQ==" spinCount="100000" sqref="GW2019" name="Rango2_30_2_3_23"/>
    <protectedRange algorithmName="SHA-512" hashValue="XZw03RosI/l0z9FxmTtF29EdZ7P+4+ybhqoaAAUmURojSR5XbGfjC4f2i8gMqfY+RI9JvfdCA6PSh9TduXfUxA==" saltValue="5TPtLq2WoiRSae/yaDPnTw==" spinCount="100000" sqref="GY2019:GZ2019" name="Rango2_99_39_21"/>
    <protectedRange algorithmName="SHA-512" hashValue="XZw03RosI/l0z9FxmTtF29EdZ7P+4+ybhqoaAAUmURojSR5XbGfjC4f2i8gMqfY+RI9JvfdCA6PSh9TduXfUxA==" saltValue="5TPtLq2WoiRSae/yaDPnTw==" spinCount="100000" sqref="HJ2019" name="Rango2_99_40_25"/>
    <protectedRange algorithmName="SHA-512" hashValue="9+DNppQbWrLYYUMoJ+lyQctV2bX3Vq9kZnegLbpjTLP49It2ovUbcartuoQTeXgP+TGpY//7mDH/UQlFCKDGiA==" saltValue="KUnni6YEm00anzSSvyLqQA==" spinCount="100000" sqref="HD2019:HI2019" name="Rango2_39_27"/>
    <protectedRange algorithmName="SHA-512" hashValue="XZw03RosI/l0z9FxmTtF29EdZ7P+4+ybhqoaAAUmURojSR5XbGfjC4f2i8gMqfY+RI9JvfdCA6PSh9TduXfUxA==" saltValue="5TPtLq2WoiRSae/yaDPnTw==" spinCount="100000" sqref="IB2019 HU2019:HZ2019" name="Rango2_99_41_22"/>
    <protectedRange algorithmName="SHA-512" hashValue="9+DNppQbWrLYYUMoJ+lyQctV2bX3Vq9kZnegLbpjTLP49It2ovUbcartuoQTeXgP+TGpY//7mDH/UQlFCKDGiA==" saltValue="KUnni6YEm00anzSSvyLqQA==" spinCount="100000" sqref="HS2019:HT2019" name="Rango2_40_25"/>
    <protectedRange algorithmName="SHA-512" hashValue="XZw03RosI/l0z9FxmTtF29EdZ7P+4+ybhqoaAAUmURojSR5XbGfjC4f2i8gMqfY+RI9JvfdCA6PSh9TduXfUxA==" saltValue="5TPtLq2WoiRSae/yaDPnTw==" spinCount="100000" sqref="IL2019:IM2019" name="Rango2_99_79_14"/>
    <protectedRange algorithmName="SHA-512" hashValue="XZw03RosI/l0z9FxmTtF29EdZ7P+4+ybhqoaAAUmURojSR5XbGfjC4f2i8gMqfY+RI9JvfdCA6PSh9TduXfUxA==" saltValue="5TPtLq2WoiRSae/yaDPnTw==" spinCount="100000" sqref="IO2019" name="Rango2_99_80_32"/>
    <protectedRange algorithmName="SHA-512" hashValue="XZw03RosI/l0z9FxmTtF29EdZ7P+4+ybhqoaAAUmURojSR5XbGfjC4f2i8gMqfY+RI9JvfdCA6PSh9TduXfUxA==" saltValue="5TPtLq2WoiRSae/yaDPnTw==" spinCount="100000" sqref="EA2020:EJ2021" name="Rango2_99_18_28"/>
    <protectedRange algorithmName="SHA-512" hashValue="9+DNppQbWrLYYUMoJ+lyQctV2bX3Vq9kZnegLbpjTLP49It2ovUbcartuoQTeXgP+TGpY//7mDH/UQlFCKDGiA==" saltValue="KUnni6YEm00anzSSvyLqQA==" spinCount="100000" sqref="EN2020:EN2021" name="Rango2_22_23"/>
    <protectedRange algorithmName="SHA-512" hashValue="XZw03RosI/l0z9FxmTtF29EdZ7P+4+ybhqoaAAUmURojSR5XbGfjC4f2i8gMqfY+RI9JvfdCA6PSh9TduXfUxA==" saltValue="5TPtLq2WoiRSae/yaDPnTw==" spinCount="100000" sqref="ER2020:ES2021" name="Rango2_99_20_25"/>
    <protectedRange algorithmName="SHA-512" hashValue="XZw03RosI/l0z9FxmTtF29EdZ7P+4+ybhqoaAAUmURojSR5XbGfjC4f2i8gMqfY+RI9JvfdCA6PSh9TduXfUxA==" saltValue="5TPtLq2WoiRSae/yaDPnTw==" spinCount="100000" sqref="EV2020:EW2021" name="Rango2_99_22_25"/>
    <protectedRange algorithmName="SHA-512" hashValue="9+DNppQbWrLYYUMoJ+lyQctV2bX3Vq9kZnegLbpjTLP49It2ovUbcartuoQTeXgP+TGpY//7mDH/UQlFCKDGiA==" saltValue="KUnni6YEm00anzSSvyLqQA==" spinCount="100000" sqref="FC2020:FC2021" name="Rango2_26_24"/>
    <protectedRange algorithmName="SHA-512" hashValue="XZw03RosI/l0z9FxmTtF29EdZ7P+4+ybhqoaAAUmURojSR5XbGfjC4f2i8gMqfY+RI9JvfdCA6PSh9TduXfUxA==" saltValue="5TPtLq2WoiRSae/yaDPnTw==" spinCount="100000" sqref="FF2020:FF2021" name="Rango2_99_23_28"/>
    <protectedRange algorithmName="SHA-512" hashValue="9+DNppQbWrLYYUMoJ+lyQctV2bX3Vq9kZnegLbpjTLP49It2ovUbcartuoQTeXgP+TGpY//7mDH/UQlFCKDGiA==" saltValue="KUnni6YEm00anzSSvyLqQA==" spinCount="100000" sqref="FH2020:FH2021" name="Rango2_35_25"/>
    <protectedRange algorithmName="SHA-512" hashValue="XZw03RosI/l0z9FxmTtF29EdZ7P+4+ybhqoaAAUmURojSR5XbGfjC4f2i8gMqfY+RI9JvfdCA6PSh9TduXfUxA==" saltValue="5TPtLq2WoiRSae/yaDPnTw==" spinCount="100000" sqref="FQ2020:FR2021" name="Rango2_99_27_27"/>
    <protectedRange algorithmName="SHA-512" hashValue="XZw03RosI/l0z9FxmTtF29EdZ7P+4+ybhqoaAAUmURojSR5XbGfjC4f2i8gMqfY+RI9JvfdCA6PSh9TduXfUxA==" saltValue="5TPtLq2WoiRSae/yaDPnTw==" spinCount="100000" sqref="FU2020:FU2021" name="Rango2_99_29_24"/>
    <protectedRange algorithmName="SHA-512" hashValue="XZw03RosI/l0z9FxmTtF29EdZ7P+4+ybhqoaAAUmURojSR5XbGfjC4f2i8gMqfY+RI9JvfdCA6PSh9TduXfUxA==" saltValue="5TPtLq2WoiRSae/yaDPnTw==" spinCount="100000" sqref="FW2020:FX2020 FX2021" name="Rango2_99_31_24"/>
    <protectedRange algorithmName="SHA-512" hashValue="Umj9+5Ys20VQPxBFtc6qE5LtKKSgPKwit+B8dd4XnEUaLfBM2ozpkEC4YxwK0SbBiAHDDex+pY+LomQ0lyuamQ==" saltValue="N2/MCRws+mmA+NXw0axolg==" spinCount="100000" sqref="FY2020:FY2021" name="Rango2_31_2_2_25"/>
    <protectedRange algorithmName="SHA-512" hashValue="Umj9+5Ys20VQPxBFtc6qE5LtKKSgPKwit+B8dd4XnEUaLfBM2ozpkEC4YxwK0SbBiAHDDex+pY+LomQ0lyuamQ==" saltValue="N2/MCRws+mmA+NXw0axolg==" spinCount="100000" sqref="GB2020" name="Rango2_31_2_4_23"/>
    <protectedRange algorithmName="SHA-512" hashValue="Rgskw+AQdeJ5qbJdarzTa3SCkJfDGziy0Uan5N0F3IWn/H3Z/e+VcB56R7Nes7MPxNHewNP1sSSucVjz3iTLeA==" saltValue="qKZH3DnwaZHBzy3cBZo1qQ==" spinCount="100000" sqref="GF2020:GF2021" name="Rango2_31_28_1_25"/>
    <protectedRange algorithmName="SHA-512" hashValue="Umj9+5Ys20VQPxBFtc6qE5LtKKSgPKwit+B8dd4XnEUaLfBM2ozpkEC4YxwK0SbBiAHDDex+pY+LomQ0lyuamQ==" saltValue="N2/MCRws+mmA+NXw0axolg==" spinCount="100000" sqref="GE2020:GE2021" name="Rango2_31_2_5_22"/>
    <protectedRange algorithmName="SHA-512" hashValue="Umj9+5Ys20VQPxBFtc6qE5LtKKSgPKwit+B8dd4XnEUaLfBM2ozpkEC4YxwK0SbBiAHDDex+pY+LomQ0lyuamQ==" saltValue="N2/MCRws+mmA+NXw0axolg==" spinCount="100000" sqref="GJ2020:GJ2021 GH2020:GH2021 GL2020:GL2021" name="Rango2_31_2_6_22"/>
    <protectedRange algorithmName="SHA-512" hashValue="XZw03RosI/l0z9FxmTtF29EdZ7P+4+ybhqoaAAUmURojSR5XbGfjC4f2i8gMqfY+RI9JvfdCA6PSh9TduXfUxA==" saltValue="5TPtLq2WoiRSae/yaDPnTw==" spinCount="100000" sqref="GO2020:GO2021 GM2020:GM2021 GK2020:GK2021" name="Rango2_99_36_27"/>
    <protectedRange algorithmName="SHA-512" hashValue="EEHzbvEYwO1eufllBljOz0uf9BJ2ENtvOScQ7IsS321QhYbwKn7qhHKKP8cKj02rTDvVRMWvwQ1ZP0mZWsBprQ==" saltValue="CjXqBRFbKezlWOFV37MnDQ==" spinCount="100000" sqref="GQ2020:GR2021" name="Rango2_30_2_2_26"/>
    <protectedRange algorithmName="SHA-512" hashValue="EEHzbvEYwO1eufllBljOz0uf9BJ2ENtvOScQ7IsS321QhYbwKn7qhHKKP8cKj02rTDvVRMWvwQ1ZP0mZWsBprQ==" saltValue="CjXqBRFbKezlWOFV37MnDQ==" spinCount="100000" sqref="GW2020:GW2021" name="Rango2_30_2_3_24"/>
    <protectedRange algorithmName="SHA-512" hashValue="XZw03RosI/l0z9FxmTtF29EdZ7P+4+ybhqoaAAUmURojSR5XbGfjC4f2i8gMqfY+RI9JvfdCA6PSh9TduXfUxA==" saltValue="5TPtLq2WoiRSae/yaDPnTw==" spinCount="100000" sqref="GY2020:GZ2021" name="Rango2_99_39_22"/>
    <protectedRange algorithmName="SHA-512" hashValue="XZw03RosI/l0z9FxmTtF29EdZ7P+4+ybhqoaAAUmURojSR5XbGfjC4f2i8gMqfY+RI9JvfdCA6PSh9TduXfUxA==" saltValue="5TPtLq2WoiRSae/yaDPnTw==" spinCount="100000" sqref="HJ2020:HJ2021" name="Rango2_99_40_26"/>
    <protectedRange algorithmName="SHA-512" hashValue="9+DNppQbWrLYYUMoJ+lyQctV2bX3Vq9kZnegLbpjTLP49It2ovUbcartuoQTeXgP+TGpY//7mDH/UQlFCKDGiA==" saltValue="KUnni6YEm00anzSSvyLqQA==" spinCount="100000" sqref="HD2020:HI2021" name="Rango2_39_28"/>
    <protectedRange algorithmName="SHA-512" hashValue="XZw03RosI/l0z9FxmTtF29EdZ7P+4+ybhqoaAAUmURojSR5XbGfjC4f2i8gMqfY+RI9JvfdCA6PSh9TduXfUxA==" saltValue="5TPtLq2WoiRSae/yaDPnTw==" spinCount="100000" sqref="IB2020:IB2021 HU2020:HZ2021" name="Rango2_99_41_23"/>
    <protectedRange algorithmName="SHA-512" hashValue="9+DNppQbWrLYYUMoJ+lyQctV2bX3Vq9kZnegLbpjTLP49It2ovUbcartuoQTeXgP+TGpY//7mDH/UQlFCKDGiA==" saltValue="KUnni6YEm00anzSSvyLqQA==" spinCount="100000" sqref="HS2020:HT2021" name="Rango2_40_26"/>
    <protectedRange algorithmName="SHA-512" hashValue="XZw03RosI/l0z9FxmTtF29EdZ7P+4+ybhqoaAAUmURojSR5XbGfjC4f2i8gMqfY+RI9JvfdCA6PSh9TduXfUxA==" saltValue="5TPtLq2WoiRSae/yaDPnTw==" spinCount="100000" sqref="IL2020:IM2021" name="Rango2_99_79_15"/>
    <protectedRange algorithmName="SHA-512" hashValue="XZw03RosI/l0z9FxmTtF29EdZ7P+4+ybhqoaAAUmURojSR5XbGfjC4f2i8gMqfY+RI9JvfdCA6PSh9TduXfUxA==" saltValue="5TPtLq2WoiRSae/yaDPnTw==" spinCount="100000" sqref="IO2020:IO2021" name="Rango2_99_80_33"/>
    <protectedRange algorithmName="SHA-512" hashValue="XZw03RosI/l0z9FxmTtF29EdZ7P+4+ybhqoaAAUmURojSR5XbGfjC4f2i8gMqfY+RI9JvfdCA6PSh9TduXfUxA==" saltValue="5TPtLq2WoiRSae/yaDPnTw==" spinCount="100000" sqref="EA2022:EJ2030" name="Rango2_99_18_29"/>
    <protectedRange algorithmName="SHA-512" hashValue="9+DNppQbWrLYYUMoJ+lyQctV2bX3Vq9kZnegLbpjTLP49It2ovUbcartuoQTeXgP+TGpY//7mDH/UQlFCKDGiA==" saltValue="KUnni6YEm00anzSSvyLqQA==" spinCount="100000" sqref="EN2022:EN2030" name="Rango2_22_24"/>
    <protectedRange algorithmName="SHA-512" hashValue="XZw03RosI/l0z9FxmTtF29EdZ7P+4+ybhqoaAAUmURojSR5XbGfjC4f2i8gMqfY+RI9JvfdCA6PSh9TduXfUxA==" saltValue="5TPtLq2WoiRSae/yaDPnTw==" spinCount="100000" sqref="ER2022:ES2030" name="Rango2_99_20_26"/>
    <protectedRange algorithmName="SHA-512" hashValue="XZw03RosI/l0z9FxmTtF29EdZ7P+4+ybhqoaAAUmURojSR5XbGfjC4f2i8gMqfY+RI9JvfdCA6PSh9TduXfUxA==" saltValue="5TPtLq2WoiRSae/yaDPnTw==" spinCount="100000" sqref="EV2022:EW2030" name="Rango2_99_22_26"/>
    <protectedRange algorithmName="SHA-512" hashValue="9+DNppQbWrLYYUMoJ+lyQctV2bX3Vq9kZnegLbpjTLP49It2ovUbcartuoQTeXgP+TGpY//7mDH/UQlFCKDGiA==" saltValue="KUnni6YEm00anzSSvyLqQA==" spinCount="100000" sqref="FC2022:FC2030" name="Rango2_26_25"/>
    <protectedRange algorithmName="SHA-512" hashValue="XZw03RosI/l0z9FxmTtF29EdZ7P+4+ybhqoaAAUmURojSR5XbGfjC4f2i8gMqfY+RI9JvfdCA6PSh9TduXfUxA==" saltValue="5TPtLq2WoiRSae/yaDPnTw==" spinCount="100000" sqref="FF2022:FF2030" name="Rango2_99_23_29"/>
    <protectedRange algorithmName="SHA-512" hashValue="9+DNppQbWrLYYUMoJ+lyQctV2bX3Vq9kZnegLbpjTLP49It2ovUbcartuoQTeXgP+TGpY//7mDH/UQlFCKDGiA==" saltValue="KUnni6YEm00anzSSvyLqQA==" spinCount="100000" sqref="FH2022:FH2030" name="Rango2_35_26"/>
    <protectedRange algorithmName="SHA-512" hashValue="XZw03RosI/l0z9FxmTtF29EdZ7P+4+ybhqoaAAUmURojSR5XbGfjC4f2i8gMqfY+RI9JvfdCA6PSh9TduXfUxA==" saltValue="5TPtLq2WoiRSae/yaDPnTw==" spinCount="100000" sqref="FQ2022:FR2030" name="Rango2_99_27_28"/>
    <protectedRange algorithmName="SHA-512" hashValue="XZw03RosI/l0z9FxmTtF29EdZ7P+4+ybhqoaAAUmURojSR5XbGfjC4f2i8gMqfY+RI9JvfdCA6PSh9TduXfUxA==" saltValue="5TPtLq2WoiRSae/yaDPnTw==" spinCount="100000" sqref="FU2022:FU2030" name="Rango2_99_29_25"/>
    <protectedRange algorithmName="SHA-512" hashValue="XZw03RosI/l0z9FxmTtF29EdZ7P+4+ybhqoaAAUmURojSR5XbGfjC4f2i8gMqfY+RI9JvfdCA6PSh9TduXfUxA==" saltValue="5TPtLq2WoiRSae/yaDPnTw==" spinCount="100000" sqref="FW2022:FX2030" name="Rango2_99_31_25"/>
    <protectedRange algorithmName="SHA-512" hashValue="Umj9+5Ys20VQPxBFtc6qE5LtKKSgPKwit+B8dd4XnEUaLfBM2ozpkEC4YxwK0SbBiAHDDex+pY+LomQ0lyuamQ==" saltValue="N2/MCRws+mmA+NXw0axolg==" spinCount="100000" sqref="FY2022:FY2030" name="Rango2_31_2_2_26"/>
    <protectedRange algorithmName="SHA-512" hashValue="Umj9+5Ys20VQPxBFtc6qE5LtKKSgPKwit+B8dd4XnEUaLfBM2ozpkEC4YxwK0SbBiAHDDex+pY+LomQ0lyuamQ==" saltValue="N2/MCRws+mmA+NXw0axolg==" spinCount="100000" sqref="GB2025 GB2027:GB2028" name="Rango2_31_2_4_24"/>
    <protectedRange algorithmName="SHA-512" hashValue="Rgskw+AQdeJ5qbJdarzTa3SCkJfDGziy0Uan5N0F3IWn/H3Z/e+VcB56R7Nes7MPxNHewNP1sSSucVjz3iTLeA==" saltValue="qKZH3DnwaZHBzy3cBZo1qQ==" spinCount="100000" sqref="GF2022:GF2030" name="Rango2_31_28_1_26"/>
    <protectedRange algorithmName="SHA-512" hashValue="Umj9+5Ys20VQPxBFtc6qE5LtKKSgPKwit+B8dd4XnEUaLfBM2ozpkEC4YxwK0SbBiAHDDex+pY+LomQ0lyuamQ==" saltValue="N2/MCRws+mmA+NXw0axolg==" spinCount="100000" sqref="GE2022:GE2030" name="Rango2_31_2_5_23"/>
    <protectedRange algorithmName="SHA-512" hashValue="Umj9+5Ys20VQPxBFtc6qE5LtKKSgPKwit+B8dd4XnEUaLfBM2ozpkEC4YxwK0SbBiAHDDex+pY+LomQ0lyuamQ==" saltValue="N2/MCRws+mmA+NXw0axolg==" spinCount="100000" sqref="GJ2022:GJ2030 GH2022:GH2030 GL2022:GL2030" name="Rango2_31_2_6_23"/>
    <protectedRange algorithmName="SHA-512" hashValue="XZw03RosI/l0z9FxmTtF29EdZ7P+4+ybhqoaAAUmURojSR5XbGfjC4f2i8gMqfY+RI9JvfdCA6PSh9TduXfUxA==" saltValue="5TPtLq2WoiRSae/yaDPnTw==" spinCount="100000" sqref="GO2022:GO2030 GM2022:GM2030 GK2022:GK2030" name="Rango2_99_36_28"/>
    <protectedRange algorithmName="SHA-512" hashValue="EEHzbvEYwO1eufllBljOz0uf9BJ2ENtvOScQ7IsS321QhYbwKn7qhHKKP8cKj02rTDvVRMWvwQ1ZP0mZWsBprQ==" saltValue="CjXqBRFbKezlWOFV37MnDQ==" spinCount="100000" sqref="GQ2022:GR2030" name="Rango2_30_2_2_27"/>
    <protectedRange algorithmName="SHA-512" hashValue="EEHzbvEYwO1eufllBljOz0uf9BJ2ENtvOScQ7IsS321QhYbwKn7qhHKKP8cKj02rTDvVRMWvwQ1ZP0mZWsBprQ==" saltValue="CjXqBRFbKezlWOFV37MnDQ==" spinCount="100000" sqref="GW2022:GW2030" name="Rango2_30_2_3_25"/>
    <protectedRange algorithmName="SHA-512" hashValue="XZw03RosI/l0z9FxmTtF29EdZ7P+4+ybhqoaAAUmURojSR5XbGfjC4f2i8gMqfY+RI9JvfdCA6PSh9TduXfUxA==" saltValue="5TPtLq2WoiRSae/yaDPnTw==" spinCount="100000" sqref="GY2022:GZ2030" name="Rango2_99_39_23"/>
    <protectedRange algorithmName="SHA-512" hashValue="XZw03RosI/l0z9FxmTtF29EdZ7P+4+ybhqoaAAUmURojSR5XbGfjC4f2i8gMqfY+RI9JvfdCA6PSh9TduXfUxA==" saltValue="5TPtLq2WoiRSae/yaDPnTw==" spinCount="100000" sqref="HJ2022:HJ2030" name="Rango2_99_40_27"/>
    <protectedRange algorithmName="SHA-512" hashValue="9+DNppQbWrLYYUMoJ+lyQctV2bX3Vq9kZnegLbpjTLP49It2ovUbcartuoQTeXgP+TGpY//7mDH/UQlFCKDGiA==" saltValue="KUnni6YEm00anzSSvyLqQA==" spinCount="100000" sqref="HD2022:HI2030" name="Rango2_39_29"/>
    <protectedRange algorithmName="SHA-512" hashValue="XZw03RosI/l0z9FxmTtF29EdZ7P+4+ybhqoaAAUmURojSR5XbGfjC4f2i8gMqfY+RI9JvfdCA6PSh9TduXfUxA==" saltValue="5TPtLq2WoiRSae/yaDPnTw==" spinCount="100000" sqref="IB2022:IB2030 HU2022:HZ2030" name="Rango2_99_41_24"/>
    <protectedRange algorithmName="SHA-512" hashValue="9+DNppQbWrLYYUMoJ+lyQctV2bX3Vq9kZnegLbpjTLP49It2ovUbcartuoQTeXgP+TGpY//7mDH/UQlFCKDGiA==" saltValue="KUnni6YEm00anzSSvyLqQA==" spinCount="100000" sqref="HS2022:HT2030" name="Rango2_40_27"/>
    <protectedRange algorithmName="SHA-512" hashValue="XZw03RosI/l0z9FxmTtF29EdZ7P+4+ybhqoaAAUmURojSR5XbGfjC4f2i8gMqfY+RI9JvfdCA6PSh9TduXfUxA==" saltValue="5TPtLq2WoiRSae/yaDPnTw==" spinCount="100000" sqref="IL2022:IM2030" name="Rango2_99_79_16"/>
    <protectedRange algorithmName="SHA-512" hashValue="XZw03RosI/l0z9FxmTtF29EdZ7P+4+ybhqoaAAUmURojSR5XbGfjC4f2i8gMqfY+RI9JvfdCA6PSh9TduXfUxA==" saltValue="5TPtLq2WoiRSae/yaDPnTw==" spinCount="100000" sqref="IO2022:IO2030" name="Rango2_99_80_34"/>
    <protectedRange algorithmName="SHA-512" hashValue="XZw03RosI/l0z9FxmTtF29EdZ7P+4+ybhqoaAAUmURojSR5XbGfjC4f2i8gMqfY+RI9JvfdCA6PSh9TduXfUxA==" saltValue="5TPtLq2WoiRSae/yaDPnTw==" spinCount="100000" sqref="EA2031:EJ2032" name="Rango2_99_18_30"/>
    <protectedRange algorithmName="SHA-512" hashValue="9+DNppQbWrLYYUMoJ+lyQctV2bX3Vq9kZnegLbpjTLP49It2ovUbcartuoQTeXgP+TGpY//7mDH/UQlFCKDGiA==" saltValue="KUnni6YEm00anzSSvyLqQA==" spinCount="100000" sqref="EN2031:EN2032" name="Rango2_22_25"/>
    <protectedRange algorithmName="SHA-512" hashValue="XZw03RosI/l0z9FxmTtF29EdZ7P+4+ybhqoaAAUmURojSR5XbGfjC4f2i8gMqfY+RI9JvfdCA6PSh9TduXfUxA==" saltValue="5TPtLq2WoiRSae/yaDPnTw==" spinCount="100000" sqref="ER2031:ES2032" name="Rango2_99_20_27"/>
    <protectedRange algorithmName="SHA-512" hashValue="XZw03RosI/l0z9FxmTtF29EdZ7P+4+ybhqoaAAUmURojSR5XbGfjC4f2i8gMqfY+RI9JvfdCA6PSh9TduXfUxA==" saltValue="5TPtLq2WoiRSae/yaDPnTw==" spinCount="100000" sqref="EV2031:EW2032" name="Rango2_99_22_27"/>
    <protectedRange algorithmName="SHA-512" hashValue="9+DNppQbWrLYYUMoJ+lyQctV2bX3Vq9kZnegLbpjTLP49It2ovUbcartuoQTeXgP+TGpY//7mDH/UQlFCKDGiA==" saltValue="KUnni6YEm00anzSSvyLqQA==" spinCount="100000" sqref="FC2031:FC2032" name="Rango2_26_26"/>
    <protectedRange algorithmName="SHA-512" hashValue="XZw03RosI/l0z9FxmTtF29EdZ7P+4+ybhqoaAAUmURojSR5XbGfjC4f2i8gMqfY+RI9JvfdCA6PSh9TduXfUxA==" saltValue="5TPtLq2WoiRSae/yaDPnTw==" spinCount="100000" sqref="FF2031:FF2032" name="Rango2_99_23_30"/>
    <protectedRange algorithmName="SHA-512" hashValue="9+DNppQbWrLYYUMoJ+lyQctV2bX3Vq9kZnegLbpjTLP49It2ovUbcartuoQTeXgP+TGpY//7mDH/UQlFCKDGiA==" saltValue="KUnni6YEm00anzSSvyLqQA==" spinCount="100000" sqref="FH2031:FH2032" name="Rango2_35_27"/>
    <protectedRange algorithmName="SHA-512" hashValue="XZw03RosI/l0z9FxmTtF29EdZ7P+4+ybhqoaAAUmURojSR5XbGfjC4f2i8gMqfY+RI9JvfdCA6PSh9TduXfUxA==" saltValue="5TPtLq2WoiRSae/yaDPnTw==" spinCount="100000" sqref="FQ2031:FR2032" name="Rango2_99_27_29"/>
    <protectedRange algorithmName="SHA-512" hashValue="XZw03RosI/l0z9FxmTtF29EdZ7P+4+ybhqoaAAUmURojSR5XbGfjC4f2i8gMqfY+RI9JvfdCA6PSh9TduXfUxA==" saltValue="5TPtLq2WoiRSae/yaDPnTw==" spinCount="100000" sqref="FU2031:FU2032" name="Rango2_99_29_26"/>
    <protectedRange algorithmName="SHA-512" hashValue="XZw03RosI/l0z9FxmTtF29EdZ7P+4+ybhqoaAAUmURojSR5XbGfjC4f2i8gMqfY+RI9JvfdCA6PSh9TduXfUxA==" saltValue="5TPtLq2WoiRSae/yaDPnTw==" spinCount="100000" sqref="FW2031:FX2032" name="Rango2_99_31_26"/>
    <protectedRange algorithmName="SHA-512" hashValue="Umj9+5Ys20VQPxBFtc6qE5LtKKSgPKwit+B8dd4XnEUaLfBM2ozpkEC4YxwK0SbBiAHDDex+pY+LomQ0lyuamQ==" saltValue="N2/MCRws+mmA+NXw0axolg==" spinCount="100000" sqref="FY2031:FY2032" name="Rango2_31_2_2_27"/>
    <protectedRange algorithmName="SHA-512" hashValue="Rgskw+AQdeJ5qbJdarzTa3SCkJfDGziy0Uan5N0F3IWn/H3Z/e+VcB56R7Nes7MPxNHewNP1sSSucVjz3iTLeA==" saltValue="qKZH3DnwaZHBzy3cBZo1qQ==" spinCount="100000" sqref="GF2031:GF2032" name="Rango2_31_28_1_27"/>
    <protectedRange algorithmName="SHA-512" hashValue="Umj9+5Ys20VQPxBFtc6qE5LtKKSgPKwit+B8dd4XnEUaLfBM2ozpkEC4YxwK0SbBiAHDDex+pY+LomQ0lyuamQ==" saltValue="N2/MCRws+mmA+NXw0axolg==" spinCount="100000" sqref="GE2031:GE2032" name="Rango2_31_2_5_24"/>
    <protectedRange algorithmName="SHA-512" hashValue="Umj9+5Ys20VQPxBFtc6qE5LtKKSgPKwit+B8dd4XnEUaLfBM2ozpkEC4YxwK0SbBiAHDDex+pY+LomQ0lyuamQ==" saltValue="N2/MCRws+mmA+NXw0axolg==" spinCount="100000" sqref="GJ2031:GJ2032 GH2031:GH2032 GL2031:GL2032" name="Rango2_31_2_6_24"/>
    <protectedRange algorithmName="SHA-512" hashValue="XZw03RosI/l0z9FxmTtF29EdZ7P+4+ybhqoaAAUmURojSR5XbGfjC4f2i8gMqfY+RI9JvfdCA6PSh9TduXfUxA==" saltValue="5TPtLq2WoiRSae/yaDPnTw==" spinCount="100000" sqref="GO2031:GO2032 GM2031:GM2032 GK2031:GK2032" name="Rango2_99_36_29"/>
    <protectedRange algorithmName="SHA-512" hashValue="EEHzbvEYwO1eufllBljOz0uf9BJ2ENtvOScQ7IsS321QhYbwKn7qhHKKP8cKj02rTDvVRMWvwQ1ZP0mZWsBprQ==" saltValue="CjXqBRFbKezlWOFV37MnDQ==" spinCount="100000" sqref="GQ2031:GR2032" name="Rango2_30_2_2_28"/>
    <protectedRange algorithmName="SHA-512" hashValue="EEHzbvEYwO1eufllBljOz0uf9BJ2ENtvOScQ7IsS321QhYbwKn7qhHKKP8cKj02rTDvVRMWvwQ1ZP0mZWsBprQ==" saltValue="CjXqBRFbKezlWOFV37MnDQ==" spinCount="100000" sqref="GW2031:GW2032" name="Rango2_30_2_3_26"/>
    <protectedRange algorithmName="SHA-512" hashValue="XZw03RosI/l0z9FxmTtF29EdZ7P+4+ybhqoaAAUmURojSR5XbGfjC4f2i8gMqfY+RI9JvfdCA6PSh9TduXfUxA==" saltValue="5TPtLq2WoiRSae/yaDPnTw==" spinCount="100000" sqref="GY2031:GZ2032" name="Rango2_99_39_24"/>
    <protectedRange algorithmName="SHA-512" hashValue="XZw03RosI/l0z9FxmTtF29EdZ7P+4+ybhqoaAAUmURojSR5XbGfjC4f2i8gMqfY+RI9JvfdCA6PSh9TduXfUxA==" saltValue="5TPtLq2WoiRSae/yaDPnTw==" spinCount="100000" sqref="HJ2031:HJ2032" name="Rango2_99_40_28"/>
    <protectedRange algorithmName="SHA-512" hashValue="9+DNppQbWrLYYUMoJ+lyQctV2bX3Vq9kZnegLbpjTLP49It2ovUbcartuoQTeXgP+TGpY//7mDH/UQlFCKDGiA==" saltValue="KUnni6YEm00anzSSvyLqQA==" spinCount="100000" sqref="HD2031:HI2032" name="Rango2_39_30"/>
    <protectedRange algorithmName="SHA-512" hashValue="XZw03RosI/l0z9FxmTtF29EdZ7P+4+ybhqoaAAUmURojSR5XbGfjC4f2i8gMqfY+RI9JvfdCA6PSh9TduXfUxA==" saltValue="5TPtLq2WoiRSae/yaDPnTw==" spinCount="100000" sqref="IB2031:IB2032 HU2031:HZ2032" name="Rango2_99_41_25"/>
    <protectedRange algorithmName="SHA-512" hashValue="9+DNppQbWrLYYUMoJ+lyQctV2bX3Vq9kZnegLbpjTLP49It2ovUbcartuoQTeXgP+TGpY//7mDH/UQlFCKDGiA==" saltValue="KUnni6YEm00anzSSvyLqQA==" spinCount="100000" sqref="HS2031:HT2032" name="Rango2_40_28"/>
    <protectedRange algorithmName="SHA-512" hashValue="XZw03RosI/l0z9FxmTtF29EdZ7P+4+ybhqoaAAUmURojSR5XbGfjC4f2i8gMqfY+RI9JvfdCA6PSh9TduXfUxA==" saltValue="5TPtLq2WoiRSae/yaDPnTw==" spinCount="100000" sqref="IL2031:IM2032" name="Rango2_99_79_17"/>
    <protectedRange algorithmName="SHA-512" hashValue="XZw03RosI/l0z9FxmTtF29EdZ7P+4+ybhqoaAAUmURojSR5XbGfjC4f2i8gMqfY+RI9JvfdCA6PSh9TduXfUxA==" saltValue="5TPtLq2WoiRSae/yaDPnTw==" spinCount="100000" sqref="IO2031:IO2032" name="Rango2_99_80_35"/>
    <protectedRange algorithmName="SHA-512" hashValue="XZw03RosI/l0z9FxmTtF29EdZ7P+4+ybhqoaAAUmURojSR5XbGfjC4f2i8gMqfY+RI9JvfdCA6PSh9TduXfUxA==" saltValue="5TPtLq2WoiRSae/yaDPnTw==" spinCount="100000" sqref="EA2033:EJ2033" name="Rango2_99_18_31"/>
    <protectedRange algorithmName="SHA-512" hashValue="9+DNppQbWrLYYUMoJ+lyQctV2bX3Vq9kZnegLbpjTLP49It2ovUbcartuoQTeXgP+TGpY//7mDH/UQlFCKDGiA==" saltValue="KUnni6YEm00anzSSvyLqQA==" spinCount="100000" sqref="EN2033" name="Rango2_22_26"/>
    <protectedRange algorithmName="SHA-512" hashValue="XZw03RosI/l0z9FxmTtF29EdZ7P+4+ybhqoaAAUmURojSR5XbGfjC4f2i8gMqfY+RI9JvfdCA6PSh9TduXfUxA==" saltValue="5TPtLq2WoiRSae/yaDPnTw==" spinCount="100000" sqref="ER2033:ES2033" name="Rango2_99_20_28"/>
    <protectedRange algorithmName="SHA-512" hashValue="XZw03RosI/l0z9FxmTtF29EdZ7P+4+ybhqoaAAUmURojSR5XbGfjC4f2i8gMqfY+RI9JvfdCA6PSh9TduXfUxA==" saltValue="5TPtLq2WoiRSae/yaDPnTw==" spinCount="100000" sqref="EV2033:EW2033" name="Rango2_99_22_28"/>
    <protectedRange algorithmName="SHA-512" hashValue="9+DNppQbWrLYYUMoJ+lyQctV2bX3Vq9kZnegLbpjTLP49It2ovUbcartuoQTeXgP+TGpY//7mDH/UQlFCKDGiA==" saltValue="KUnni6YEm00anzSSvyLqQA==" spinCount="100000" sqref="FC2033" name="Rango2_26_27"/>
    <protectedRange algorithmName="SHA-512" hashValue="XZw03RosI/l0z9FxmTtF29EdZ7P+4+ybhqoaAAUmURojSR5XbGfjC4f2i8gMqfY+RI9JvfdCA6PSh9TduXfUxA==" saltValue="5TPtLq2WoiRSae/yaDPnTw==" spinCount="100000" sqref="FF2033" name="Rango2_99_23_31"/>
    <protectedRange algorithmName="SHA-512" hashValue="9+DNppQbWrLYYUMoJ+lyQctV2bX3Vq9kZnegLbpjTLP49It2ovUbcartuoQTeXgP+TGpY//7mDH/UQlFCKDGiA==" saltValue="KUnni6YEm00anzSSvyLqQA==" spinCount="100000" sqref="FH2033" name="Rango2_35_28"/>
    <protectedRange algorithmName="SHA-512" hashValue="XZw03RosI/l0z9FxmTtF29EdZ7P+4+ybhqoaAAUmURojSR5XbGfjC4f2i8gMqfY+RI9JvfdCA6PSh9TduXfUxA==" saltValue="5TPtLq2WoiRSae/yaDPnTw==" spinCount="100000" sqref="FQ2033:FR2033" name="Rango2_99_27_30"/>
    <protectedRange algorithmName="SHA-512" hashValue="XZw03RosI/l0z9FxmTtF29EdZ7P+4+ybhqoaAAUmURojSR5XbGfjC4f2i8gMqfY+RI9JvfdCA6PSh9TduXfUxA==" saltValue="5TPtLq2WoiRSae/yaDPnTw==" spinCount="100000" sqref="FU2033" name="Rango2_99_29_27"/>
    <protectedRange algorithmName="SHA-512" hashValue="XZw03RosI/l0z9FxmTtF29EdZ7P+4+ybhqoaAAUmURojSR5XbGfjC4f2i8gMqfY+RI9JvfdCA6PSh9TduXfUxA==" saltValue="5TPtLq2WoiRSae/yaDPnTw==" spinCount="100000" sqref="FW2033:FX2033" name="Rango2_99_31_27"/>
    <protectedRange algorithmName="SHA-512" hashValue="Umj9+5Ys20VQPxBFtc6qE5LtKKSgPKwit+B8dd4XnEUaLfBM2ozpkEC4YxwK0SbBiAHDDex+pY+LomQ0lyuamQ==" saltValue="N2/MCRws+mmA+NXw0axolg==" spinCount="100000" sqref="FY2033" name="Rango2_31_2_2_28"/>
    <protectedRange algorithmName="SHA-512" hashValue="Umj9+5Ys20VQPxBFtc6qE5LtKKSgPKwit+B8dd4XnEUaLfBM2ozpkEC4YxwK0SbBiAHDDex+pY+LomQ0lyuamQ==" saltValue="N2/MCRws+mmA+NXw0axolg==" spinCount="100000" sqref="GB2033" name="Rango2_31_2_4_26"/>
    <protectedRange algorithmName="SHA-512" hashValue="Rgskw+AQdeJ5qbJdarzTa3SCkJfDGziy0Uan5N0F3IWn/H3Z/e+VcB56R7Nes7MPxNHewNP1sSSucVjz3iTLeA==" saltValue="qKZH3DnwaZHBzy3cBZo1qQ==" spinCount="100000" sqref="GF2033" name="Rango2_31_28_1_28"/>
    <protectedRange algorithmName="SHA-512" hashValue="Umj9+5Ys20VQPxBFtc6qE5LtKKSgPKwit+B8dd4XnEUaLfBM2ozpkEC4YxwK0SbBiAHDDex+pY+LomQ0lyuamQ==" saltValue="N2/MCRws+mmA+NXw0axolg==" spinCount="100000" sqref="GE2033" name="Rango2_31_2_5_25"/>
    <protectedRange algorithmName="SHA-512" hashValue="Umj9+5Ys20VQPxBFtc6qE5LtKKSgPKwit+B8dd4XnEUaLfBM2ozpkEC4YxwK0SbBiAHDDex+pY+LomQ0lyuamQ==" saltValue="N2/MCRws+mmA+NXw0axolg==" spinCount="100000" sqref="GJ2033 GH2033 GL2033" name="Rango2_31_2_6_25"/>
    <protectedRange algorithmName="SHA-512" hashValue="XZw03RosI/l0z9FxmTtF29EdZ7P+4+ybhqoaAAUmURojSR5XbGfjC4f2i8gMqfY+RI9JvfdCA6PSh9TduXfUxA==" saltValue="5TPtLq2WoiRSae/yaDPnTw==" spinCount="100000" sqref="GO2033 GM2033 GK2033" name="Rango2_99_36_30"/>
    <protectedRange algorithmName="SHA-512" hashValue="EEHzbvEYwO1eufllBljOz0uf9BJ2ENtvOScQ7IsS321QhYbwKn7qhHKKP8cKj02rTDvVRMWvwQ1ZP0mZWsBprQ==" saltValue="CjXqBRFbKezlWOFV37MnDQ==" spinCount="100000" sqref="GQ2033:GR2033" name="Rango2_30_2_2_29"/>
    <protectedRange algorithmName="SHA-512" hashValue="EEHzbvEYwO1eufllBljOz0uf9BJ2ENtvOScQ7IsS321QhYbwKn7qhHKKP8cKj02rTDvVRMWvwQ1ZP0mZWsBprQ==" saltValue="CjXqBRFbKezlWOFV37MnDQ==" spinCount="100000" sqref="GW2033" name="Rango2_30_2_3_27"/>
    <protectedRange algorithmName="SHA-512" hashValue="XZw03RosI/l0z9FxmTtF29EdZ7P+4+ybhqoaAAUmURojSR5XbGfjC4f2i8gMqfY+RI9JvfdCA6PSh9TduXfUxA==" saltValue="5TPtLq2WoiRSae/yaDPnTw==" spinCount="100000" sqref="GY2033:GZ2033" name="Rango2_99_39_25"/>
    <protectedRange algorithmName="SHA-512" hashValue="XZw03RosI/l0z9FxmTtF29EdZ7P+4+ybhqoaAAUmURojSR5XbGfjC4f2i8gMqfY+RI9JvfdCA6PSh9TduXfUxA==" saltValue="5TPtLq2WoiRSae/yaDPnTw==" spinCount="100000" sqref="HJ2033" name="Rango2_99_40_29"/>
    <protectedRange algorithmName="SHA-512" hashValue="9+DNppQbWrLYYUMoJ+lyQctV2bX3Vq9kZnegLbpjTLP49It2ovUbcartuoQTeXgP+TGpY//7mDH/UQlFCKDGiA==" saltValue="KUnni6YEm00anzSSvyLqQA==" spinCount="100000" sqref="HD2033:HI2033" name="Rango2_39_31"/>
    <protectedRange algorithmName="SHA-512" hashValue="XZw03RosI/l0z9FxmTtF29EdZ7P+4+ybhqoaAAUmURojSR5XbGfjC4f2i8gMqfY+RI9JvfdCA6PSh9TduXfUxA==" saltValue="5TPtLq2WoiRSae/yaDPnTw==" spinCount="100000" sqref="IB2033 HU2033:HZ2033" name="Rango2_99_41_26"/>
    <protectedRange algorithmName="SHA-512" hashValue="9+DNppQbWrLYYUMoJ+lyQctV2bX3Vq9kZnegLbpjTLP49It2ovUbcartuoQTeXgP+TGpY//7mDH/UQlFCKDGiA==" saltValue="KUnni6YEm00anzSSvyLqQA==" spinCount="100000" sqref="HS2033:HT2033" name="Rango2_40_29"/>
    <protectedRange algorithmName="SHA-512" hashValue="XZw03RosI/l0z9FxmTtF29EdZ7P+4+ybhqoaAAUmURojSR5XbGfjC4f2i8gMqfY+RI9JvfdCA6PSh9TduXfUxA==" saltValue="5TPtLq2WoiRSae/yaDPnTw==" spinCount="100000" sqref="IL2033:IM2033" name="Rango2_99_79_18"/>
    <protectedRange algorithmName="SHA-512" hashValue="XZw03RosI/l0z9FxmTtF29EdZ7P+4+ybhqoaAAUmURojSR5XbGfjC4f2i8gMqfY+RI9JvfdCA6PSh9TduXfUxA==" saltValue="5TPtLq2WoiRSae/yaDPnTw==" spinCount="100000" sqref="IO2033" name="Rango2_99_80_36"/>
    <protectedRange algorithmName="SHA-512" hashValue="XZw03RosI/l0z9FxmTtF29EdZ7P+4+ybhqoaAAUmURojSR5XbGfjC4f2i8gMqfY+RI9JvfdCA6PSh9TduXfUxA==" saltValue="5TPtLq2WoiRSae/yaDPnTw==" spinCount="100000" sqref="EA2034:EJ2035" name="Rango2_99_18_32"/>
    <protectedRange algorithmName="SHA-512" hashValue="9+DNppQbWrLYYUMoJ+lyQctV2bX3Vq9kZnegLbpjTLP49It2ovUbcartuoQTeXgP+TGpY//7mDH/UQlFCKDGiA==" saltValue="KUnni6YEm00anzSSvyLqQA==" spinCount="100000" sqref="EN2034:EN2035" name="Rango2_22_27"/>
    <protectedRange algorithmName="SHA-512" hashValue="XZw03RosI/l0z9FxmTtF29EdZ7P+4+ybhqoaAAUmURojSR5XbGfjC4f2i8gMqfY+RI9JvfdCA6PSh9TduXfUxA==" saltValue="5TPtLq2WoiRSae/yaDPnTw==" spinCount="100000" sqref="ER2034:ES2035" name="Rango2_99_20_29"/>
    <protectedRange algorithmName="SHA-512" hashValue="XZw03RosI/l0z9FxmTtF29EdZ7P+4+ybhqoaAAUmURojSR5XbGfjC4f2i8gMqfY+RI9JvfdCA6PSh9TduXfUxA==" saltValue="5TPtLq2WoiRSae/yaDPnTw==" spinCount="100000" sqref="EV2034:EW2035" name="Rango2_99_22_29"/>
    <protectedRange algorithmName="SHA-512" hashValue="9+DNppQbWrLYYUMoJ+lyQctV2bX3Vq9kZnegLbpjTLP49It2ovUbcartuoQTeXgP+TGpY//7mDH/UQlFCKDGiA==" saltValue="KUnni6YEm00anzSSvyLqQA==" spinCount="100000" sqref="FC2034:FC2035" name="Rango2_26_28"/>
    <protectedRange algorithmName="SHA-512" hashValue="XZw03RosI/l0z9FxmTtF29EdZ7P+4+ybhqoaAAUmURojSR5XbGfjC4f2i8gMqfY+RI9JvfdCA6PSh9TduXfUxA==" saltValue="5TPtLq2WoiRSae/yaDPnTw==" spinCount="100000" sqref="FF2034:FF2035" name="Rango2_99_23_32"/>
    <protectedRange algorithmName="SHA-512" hashValue="9+DNppQbWrLYYUMoJ+lyQctV2bX3Vq9kZnegLbpjTLP49It2ovUbcartuoQTeXgP+TGpY//7mDH/UQlFCKDGiA==" saltValue="KUnni6YEm00anzSSvyLqQA==" spinCount="100000" sqref="FH2034:FH2035" name="Rango2_35_29"/>
    <protectedRange algorithmName="SHA-512" hashValue="XZw03RosI/l0z9FxmTtF29EdZ7P+4+ybhqoaAAUmURojSR5XbGfjC4f2i8gMqfY+RI9JvfdCA6PSh9TduXfUxA==" saltValue="5TPtLq2WoiRSae/yaDPnTw==" spinCount="100000" sqref="FQ2034:FR2035" name="Rango2_99_27_31"/>
    <protectedRange algorithmName="SHA-512" hashValue="XZw03RosI/l0z9FxmTtF29EdZ7P+4+ybhqoaAAUmURojSR5XbGfjC4f2i8gMqfY+RI9JvfdCA6PSh9TduXfUxA==" saltValue="5TPtLq2WoiRSae/yaDPnTw==" spinCount="100000" sqref="FU2034:FU2035" name="Rango2_99_29_28"/>
    <protectedRange algorithmName="SHA-512" hashValue="XZw03RosI/l0z9FxmTtF29EdZ7P+4+ybhqoaAAUmURojSR5XbGfjC4f2i8gMqfY+RI9JvfdCA6PSh9TduXfUxA==" saltValue="5TPtLq2WoiRSae/yaDPnTw==" spinCount="100000" sqref="FW2034:FX2035" name="Rango2_99_31_28"/>
    <protectedRange algorithmName="SHA-512" hashValue="Umj9+5Ys20VQPxBFtc6qE5LtKKSgPKwit+B8dd4XnEUaLfBM2ozpkEC4YxwK0SbBiAHDDex+pY+LomQ0lyuamQ==" saltValue="N2/MCRws+mmA+NXw0axolg==" spinCount="100000" sqref="FY2034:FY2035" name="Rango2_31_2_2_29"/>
    <protectedRange algorithmName="SHA-512" hashValue="Umj9+5Ys20VQPxBFtc6qE5LtKKSgPKwit+B8dd4XnEUaLfBM2ozpkEC4YxwK0SbBiAHDDex+pY+LomQ0lyuamQ==" saltValue="N2/MCRws+mmA+NXw0axolg==" spinCount="100000" sqref="GB2035" name="Rango2_31_2_4_27"/>
    <protectedRange algorithmName="SHA-512" hashValue="Rgskw+AQdeJ5qbJdarzTa3SCkJfDGziy0Uan5N0F3IWn/H3Z/e+VcB56R7Nes7MPxNHewNP1sSSucVjz3iTLeA==" saltValue="qKZH3DnwaZHBzy3cBZo1qQ==" spinCount="100000" sqref="GF2034:GF2035" name="Rango2_31_28_1_29"/>
    <protectedRange algorithmName="SHA-512" hashValue="Umj9+5Ys20VQPxBFtc6qE5LtKKSgPKwit+B8dd4XnEUaLfBM2ozpkEC4YxwK0SbBiAHDDex+pY+LomQ0lyuamQ==" saltValue="N2/MCRws+mmA+NXw0axolg==" spinCount="100000" sqref="GE2034:GE2035" name="Rango2_31_2_5_26"/>
    <protectedRange algorithmName="SHA-512" hashValue="Umj9+5Ys20VQPxBFtc6qE5LtKKSgPKwit+B8dd4XnEUaLfBM2ozpkEC4YxwK0SbBiAHDDex+pY+LomQ0lyuamQ==" saltValue="N2/MCRws+mmA+NXw0axolg==" spinCount="100000" sqref="GJ2034:GJ2035 GH2034:GH2035 GL2034:GL2035" name="Rango2_31_2_6_26"/>
    <protectedRange algorithmName="SHA-512" hashValue="XZw03RosI/l0z9FxmTtF29EdZ7P+4+ybhqoaAAUmURojSR5XbGfjC4f2i8gMqfY+RI9JvfdCA6PSh9TduXfUxA==" saltValue="5TPtLq2WoiRSae/yaDPnTw==" spinCount="100000" sqref="GO2034:GO2035 GM2034:GM2035 GK2034:GK2035" name="Rango2_99_36_31"/>
    <protectedRange algorithmName="SHA-512" hashValue="EEHzbvEYwO1eufllBljOz0uf9BJ2ENtvOScQ7IsS321QhYbwKn7qhHKKP8cKj02rTDvVRMWvwQ1ZP0mZWsBprQ==" saltValue="CjXqBRFbKezlWOFV37MnDQ==" spinCount="100000" sqref="GQ2034:GR2035" name="Rango2_30_2_2_30"/>
    <protectedRange algorithmName="SHA-512" hashValue="EEHzbvEYwO1eufllBljOz0uf9BJ2ENtvOScQ7IsS321QhYbwKn7qhHKKP8cKj02rTDvVRMWvwQ1ZP0mZWsBprQ==" saltValue="CjXqBRFbKezlWOFV37MnDQ==" spinCount="100000" sqref="GW2034:GW2035" name="Rango2_30_2_3_28"/>
    <protectedRange algorithmName="SHA-512" hashValue="XZw03RosI/l0z9FxmTtF29EdZ7P+4+ybhqoaAAUmURojSR5XbGfjC4f2i8gMqfY+RI9JvfdCA6PSh9TduXfUxA==" saltValue="5TPtLq2WoiRSae/yaDPnTw==" spinCount="100000" sqref="GY2034:GZ2035" name="Rango2_99_39_26"/>
    <protectedRange algorithmName="SHA-512" hashValue="XZw03RosI/l0z9FxmTtF29EdZ7P+4+ybhqoaAAUmURojSR5XbGfjC4f2i8gMqfY+RI9JvfdCA6PSh9TduXfUxA==" saltValue="5TPtLq2WoiRSae/yaDPnTw==" spinCount="100000" sqref="HJ2034:HJ2035" name="Rango2_99_40_30"/>
    <protectedRange algorithmName="SHA-512" hashValue="9+DNppQbWrLYYUMoJ+lyQctV2bX3Vq9kZnegLbpjTLP49It2ovUbcartuoQTeXgP+TGpY//7mDH/UQlFCKDGiA==" saltValue="KUnni6YEm00anzSSvyLqQA==" spinCount="100000" sqref="HD2034:HI2035" name="Rango2_39_32"/>
    <protectedRange algorithmName="SHA-512" hashValue="XZw03RosI/l0z9FxmTtF29EdZ7P+4+ybhqoaAAUmURojSR5XbGfjC4f2i8gMqfY+RI9JvfdCA6PSh9TduXfUxA==" saltValue="5TPtLq2WoiRSae/yaDPnTw==" spinCount="100000" sqref="IB2034:IB2035 HU2034:HZ2035" name="Rango2_99_41_27"/>
    <protectedRange algorithmName="SHA-512" hashValue="9+DNppQbWrLYYUMoJ+lyQctV2bX3Vq9kZnegLbpjTLP49It2ovUbcartuoQTeXgP+TGpY//7mDH/UQlFCKDGiA==" saltValue="KUnni6YEm00anzSSvyLqQA==" spinCount="100000" sqref="HS2034:HT2035" name="Rango2_40_30"/>
    <protectedRange algorithmName="SHA-512" hashValue="XZw03RosI/l0z9FxmTtF29EdZ7P+4+ybhqoaAAUmURojSR5XbGfjC4f2i8gMqfY+RI9JvfdCA6PSh9TduXfUxA==" saltValue="5TPtLq2WoiRSae/yaDPnTw==" spinCount="100000" sqref="IL2034:IM2035" name="Rango2_99_79_19"/>
    <protectedRange algorithmName="SHA-512" hashValue="XZw03RosI/l0z9FxmTtF29EdZ7P+4+ybhqoaAAUmURojSR5XbGfjC4f2i8gMqfY+RI9JvfdCA6PSh9TduXfUxA==" saltValue="5TPtLq2WoiRSae/yaDPnTw==" spinCount="100000" sqref="IO2034:IO2035" name="Rango2_99_80_37"/>
    <protectedRange algorithmName="SHA-512" hashValue="XZw03RosI/l0z9FxmTtF29EdZ7P+4+ybhqoaAAUmURojSR5XbGfjC4f2i8gMqfY+RI9JvfdCA6PSh9TduXfUxA==" saltValue="5TPtLq2WoiRSae/yaDPnTw==" spinCount="100000" sqref="EA2036:EJ2037" name="Rango2_99_18_33"/>
    <protectedRange algorithmName="SHA-512" hashValue="9+DNppQbWrLYYUMoJ+lyQctV2bX3Vq9kZnegLbpjTLP49It2ovUbcartuoQTeXgP+TGpY//7mDH/UQlFCKDGiA==" saltValue="KUnni6YEm00anzSSvyLqQA==" spinCount="100000" sqref="EN2036:EN2037" name="Rango2_22_28"/>
    <protectedRange algorithmName="SHA-512" hashValue="XZw03RosI/l0z9FxmTtF29EdZ7P+4+ybhqoaAAUmURojSR5XbGfjC4f2i8gMqfY+RI9JvfdCA6PSh9TduXfUxA==" saltValue="5TPtLq2WoiRSae/yaDPnTw==" spinCount="100000" sqref="ER2036:ES2037" name="Rango2_99_20_30"/>
    <protectedRange algorithmName="SHA-512" hashValue="XZw03RosI/l0z9FxmTtF29EdZ7P+4+ybhqoaAAUmURojSR5XbGfjC4f2i8gMqfY+RI9JvfdCA6PSh9TduXfUxA==" saltValue="5TPtLq2WoiRSae/yaDPnTw==" spinCount="100000" sqref="EV2036:EW2037" name="Rango2_99_22_30"/>
    <protectedRange algorithmName="SHA-512" hashValue="9+DNppQbWrLYYUMoJ+lyQctV2bX3Vq9kZnegLbpjTLP49It2ovUbcartuoQTeXgP+TGpY//7mDH/UQlFCKDGiA==" saltValue="KUnni6YEm00anzSSvyLqQA==" spinCount="100000" sqref="FC2036:FC2037" name="Rango2_26_29"/>
    <protectedRange algorithmName="SHA-512" hashValue="XZw03RosI/l0z9FxmTtF29EdZ7P+4+ybhqoaAAUmURojSR5XbGfjC4f2i8gMqfY+RI9JvfdCA6PSh9TduXfUxA==" saltValue="5TPtLq2WoiRSae/yaDPnTw==" spinCount="100000" sqref="FF2036:FF2037" name="Rango2_99_23_33"/>
    <protectedRange algorithmName="SHA-512" hashValue="9+DNppQbWrLYYUMoJ+lyQctV2bX3Vq9kZnegLbpjTLP49It2ovUbcartuoQTeXgP+TGpY//7mDH/UQlFCKDGiA==" saltValue="KUnni6YEm00anzSSvyLqQA==" spinCount="100000" sqref="FH2036:FH2037" name="Rango2_35_30"/>
    <protectedRange algorithmName="SHA-512" hashValue="XZw03RosI/l0z9FxmTtF29EdZ7P+4+ybhqoaAAUmURojSR5XbGfjC4f2i8gMqfY+RI9JvfdCA6PSh9TduXfUxA==" saltValue="5TPtLq2WoiRSae/yaDPnTw==" spinCount="100000" sqref="FQ2036:FR2037" name="Rango2_99_27_32"/>
    <protectedRange algorithmName="SHA-512" hashValue="XZw03RosI/l0z9FxmTtF29EdZ7P+4+ybhqoaAAUmURojSR5XbGfjC4f2i8gMqfY+RI9JvfdCA6PSh9TduXfUxA==" saltValue="5TPtLq2WoiRSae/yaDPnTw==" spinCount="100000" sqref="FU2036:FU2037" name="Rango2_99_29_29"/>
    <protectedRange algorithmName="SHA-512" hashValue="XZw03RosI/l0z9FxmTtF29EdZ7P+4+ybhqoaAAUmURojSR5XbGfjC4f2i8gMqfY+RI9JvfdCA6PSh9TduXfUxA==" saltValue="5TPtLq2WoiRSae/yaDPnTw==" spinCount="100000" sqref="FW2036:FX2037" name="Rango2_99_31_29"/>
    <protectedRange algorithmName="SHA-512" hashValue="Umj9+5Ys20VQPxBFtc6qE5LtKKSgPKwit+B8dd4XnEUaLfBM2ozpkEC4YxwK0SbBiAHDDex+pY+LomQ0lyuamQ==" saltValue="N2/MCRws+mmA+NXw0axolg==" spinCount="100000" sqref="FY2036:FY2037" name="Rango2_31_2_2_30"/>
    <protectedRange algorithmName="SHA-512" hashValue="Rgskw+AQdeJ5qbJdarzTa3SCkJfDGziy0Uan5N0F3IWn/H3Z/e+VcB56R7Nes7MPxNHewNP1sSSucVjz3iTLeA==" saltValue="qKZH3DnwaZHBzy3cBZo1qQ==" spinCount="100000" sqref="GF2036:GF2037" name="Rango2_31_28_1_30"/>
    <protectedRange algorithmName="SHA-512" hashValue="Umj9+5Ys20VQPxBFtc6qE5LtKKSgPKwit+B8dd4XnEUaLfBM2ozpkEC4YxwK0SbBiAHDDex+pY+LomQ0lyuamQ==" saltValue="N2/MCRws+mmA+NXw0axolg==" spinCount="100000" sqref="GE2036:GE2037" name="Rango2_31_2_5_27"/>
    <protectedRange algorithmName="SHA-512" hashValue="Umj9+5Ys20VQPxBFtc6qE5LtKKSgPKwit+B8dd4XnEUaLfBM2ozpkEC4YxwK0SbBiAHDDex+pY+LomQ0lyuamQ==" saltValue="N2/MCRws+mmA+NXw0axolg==" spinCount="100000" sqref="GJ2036:GJ2037 GH2036:GH2037 GL2036:GL2037" name="Rango2_31_2_6_27"/>
    <protectedRange algorithmName="SHA-512" hashValue="XZw03RosI/l0z9FxmTtF29EdZ7P+4+ybhqoaAAUmURojSR5XbGfjC4f2i8gMqfY+RI9JvfdCA6PSh9TduXfUxA==" saltValue="5TPtLq2WoiRSae/yaDPnTw==" spinCount="100000" sqref="GO2036:GO2037 GM2036:GM2037 GK2036:GK2037" name="Rango2_99_36_32"/>
    <protectedRange algorithmName="SHA-512" hashValue="EEHzbvEYwO1eufllBljOz0uf9BJ2ENtvOScQ7IsS321QhYbwKn7qhHKKP8cKj02rTDvVRMWvwQ1ZP0mZWsBprQ==" saltValue="CjXqBRFbKezlWOFV37MnDQ==" spinCount="100000" sqref="GQ2036:GR2037" name="Rango2_30_2_2_31"/>
    <protectedRange algorithmName="SHA-512" hashValue="EEHzbvEYwO1eufllBljOz0uf9BJ2ENtvOScQ7IsS321QhYbwKn7qhHKKP8cKj02rTDvVRMWvwQ1ZP0mZWsBprQ==" saltValue="CjXqBRFbKezlWOFV37MnDQ==" spinCount="100000" sqref="GW2036:GW2037" name="Rango2_30_2_3_29"/>
    <protectedRange algorithmName="SHA-512" hashValue="XZw03RosI/l0z9FxmTtF29EdZ7P+4+ybhqoaAAUmURojSR5XbGfjC4f2i8gMqfY+RI9JvfdCA6PSh9TduXfUxA==" saltValue="5TPtLq2WoiRSae/yaDPnTw==" spinCount="100000" sqref="GY2036:GZ2037" name="Rango2_99_39_27"/>
    <protectedRange algorithmName="SHA-512" hashValue="XZw03RosI/l0z9FxmTtF29EdZ7P+4+ybhqoaAAUmURojSR5XbGfjC4f2i8gMqfY+RI9JvfdCA6PSh9TduXfUxA==" saltValue="5TPtLq2WoiRSae/yaDPnTw==" spinCount="100000" sqref="HJ2036:HJ2037" name="Rango2_99_40_31"/>
    <protectedRange algorithmName="SHA-512" hashValue="9+DNppQbWrLYYUMoJ+lyQctV2bX3Vq9kZnegLbpjTLP49It2ovUbcartuoQTeXgP+TGpY//7mDH/UQlFCKDGiA==" saltValue="KUnni6YEm00anzSSvyLqQA==" spinCount="100000" sqref="HD2036:HI2037" name="Rango2_39_33"/>
    <protectedRange algorithmName="SHA-512" hashValue="XZw03RosI/l0z9FxmTtF29EdZ7P+4+ybhqoaAAUmURojSR5XbGfjC4f2i8gMqfY+RI9JvfdCA6PSh9TduXfUxA==" saltValue="5TPtLq2WoiRSae/yaDPnTw==" spinCount="100000" sqref="IB2036:IB2037 HU2036:HZ2037" name="Rango2_99_41_28"/>
    <protectedRange algorithmName="SHA-512" hashValue="9+DNppQbWrLYYUMoJ+lyQctV2bX3Vq9kZnegLbpjTLP49It2ovUbcartuoQTeXgP+TGpY//7mDH/UQlFCKDGiA==" saltValue="KUnni6YEm00anzSSvyLqQA==" spinCount="100000" sqref="HS2036:HT2037" name="Rango2_40_31"/>
    <protectedRange algorithmName="SHA-512" hashValue="XZw03RosI/l0z9FxmTtF29EdZ7P+4+ybhqoaAAUmURojSR5XbGfjC4f2i8gMqfY+RI9JvfdCA6PSh9TduXfUxA==" saltValue="5TPtLq2WoiRSae/yaDPnTw==" spinCount="100000" sqref="IL2036:IM2037" name="Rango2_99_79_20"/>
    <protectedRange algorithmName="SHA-512" hashValue="XZw03RosI/l0z9FxmTtF29EdZ7P+4+ybhqoaAAUmURojSR5XbGfjC4f2i8gMqfY+RI9JvfdCA6PSh9TduXfUxA==" saltValue="5TPtLq2WoiRSae/yaDPnTw==" spinCount="100000" sqref="IO2036:IO2037" name="Rango2_99_80_38"/>
    <protectedRange algorithmName="SHA-512" hashValue="XZw03RosI/l0z9FxmTtF29EdZ7P+4+ybhqoaAAUmURojSR5XbGfjC4f2i8gMqfY+RI9JvfdCA6PSh9TduXfUxA==" saltValue="5TPtLq2WoiRSae/yaDPnTw==" spinCount="100000" sqref="EA2038:EJ2038" name="Rango2_99_18_34"/>
    <protectedRange algorithmName="SHA-512" hashValue="9+DNppQbWrLYYUMoJ+lyQctV2bX3Vq9kZnegLbpjTLP49It2ovUbcartuoQTeXgP+TGpY//7mDH/UQlFCKDGiA==" saltValue="KUnni6YEm00anzSSvyLqQA==" spinCount="100000" sqref="EN2038" name="Rango2_22_29"/>
    <protectedRange algorithmName="SHA-512" hashValue="XZw03RosI/l0z9FxmTtF29EdZ7P+4+ybhqoaAAUmURojSR5XbGfjC4f2i8gMqfY+RI9JvfdCA6PSh9TduXfUxA==" saltValue="5TPtLq2WoiRSae/yaDPnTw==" spinCount="100000" sqref="ER2038:ES2038" name="Rango2_99_20_31"/>
    <protectedRange algorithmName="SHA-512" hashValue="XZw03RosI/l0z9FxmTtF29EdZ7P+4+ybhqoaAAUmURojSR5XbGfjC4f2i8gMqfY+RI9JvfdCA6PSh9TduXfUxA==" saltValue="5TPtLq2WoiRSae/yaDPnTw==" spinCount="100000" sqref="EV2038:EW2038" name="Rango2_99_22_31"/>
    <protectedRange algorithmName="SHA-512" hashValue="9+DNppQbWrLYYUMoJ+lyQctV2bX3Vq9kZnegLbpjTLP49It2ovUbcartuoQTeXgP+TGpY//7mDH/UQlFCKDGiA==" saltValue="KUnni6YEm00anzSSvyLqQA==" spinCount="100000" sqref="FC2038" name="Rango2_26_30"/>
    <protectedRange algorithmName="SHA-512" hashValue="XZw03RosI/l0z9FxmTtF29EdZ7P+4+ybhqoaAAUmURojSR5XbGfjC4f2i8gMqfY+RI9JvfdCA6PSh9TduXfUxA==" saltValue="5TPtLq2WoiRSae/yaDPnTw==" spinCount="100000" sqref="FF2038" name="Rango2_99_23_34"/>
    <protectedRange algorithmName="SHA-512" hashValue="9+DNppQbWrLYYUMoJ+lyQctV2bX3Vq9kZnegLbpjTLP49It2ovUbcartuoQTeXgP+TGpY//7mDH/UQlFCKDGiA==" saltValue="KUnni6YEm00anzSSvyLqQA==" spinCount="100000" sqref="FH2038" name="Rango2_35_31"/>
    <protectedRange algorithmName="SHA-512" hashValue="XZw03RosI/l0z9FxmTtF29EdZ7P+4+ybhqoaAAUmURojSR5XbGfjC4f2i8gMqfY+RI9JvfdCA6PSh9TduXfUxA==" saltValue="5TPtLq2WoiRSae/yaDPnTw==" spinCount="100000" sqref="FQ2038:FR2038" name="Rango2_99_27_33"/>
    <protectedRange algorithmName="SHA-512" hashValue="XZw03RosI/l0z9FxmTtF29EdZ7P+4+ybhqoaAAUmURojSR5XbGfjC4f2i8gMqfY+RI9JvfdCA6PSh9TduXfUxA==" saltValue="5TPtLq2WoiRSae/yaDPnTw==" spinCount="100000" sqref="FU2038" name="Rango2_99_29_30"/>
    <protectedRange algorithmName="SHA-512" hashValue="XZw03RosI/l0z9FxmTtF29EdZ7P+4+ybhqoaAAUmURojSR5XbGfjC4f2i8gMqfY+RI9JvfdCA6PSh9TduXfUxA==" saltValue="5TPtLq2WoiRSae/yaDPnTw==" spinCount="100000" sqref="FW2038:FX2038" name="Rango2_99_31_30"/>
    <protectedRange algorithmName="SHA-512" hashValue="Umj9+5Ys20VQPxBFtc6qE5LtKKSgPKwit+B8dd4XnEUaLfBM2ozpkEC4YxwK0SbBiAHDDex+pY+LomQ0lyuamQ==" saltValue="N2/MCRws+mmA+NXw0axolg==" spinCount="100000" sqref="FY2038" name="Rango2_31_2_2_31"/>
    <protectedRange algorithmName="SHA-512" hashValue="Umj9+5Ys20VQPxBFtc6qE5LtKKSgPKwit+B8dd4XnEUaLfBM2ozpkEC4YxwK0SbBiAHDDex+pY+LomQ0lyuamQ==" saltValue="N2/MCRws+mmA+NXw0axolg==" spinCount="100000" sqref="GB2038" name="Rango2_31_2_4_29"/>
    <protectedRange algorithmName="SHA-512" hashValue="Rgskw+AQdeJ5qbJdarzTa3SCkJfDGziy0Uan5N0F3IWn/H3Z/e+VcB56R7Nes7MPxNHewNP1sSSucVjz3iTLeA==" saltValue="qKZH3DnwaZHBzy3cBZo1qQ==" spinCount="100000" sqref="GF2038" name="Rango2_31_28_1_31"/>
    <protectedRange algorithmName="SHA-512" hashValue="Umj9+5Ys20VQPxBFtc6qE5LtKKSgPKwit+B8dd4XnEUaLfBM2ozpkEC4YxwK0SbBiAHDDex+pY+LomQ0lyuamQ==" saltValue="N2/MCRws+mmA+NXw0axolg==" spinCount="100000" sqref="GE2038" name="Rango2_31_2_5_28"/>
    <protectedRange algorithmName="SHA-512" hashValue="Umj9+5Ys20VQPxBFtc6qE5LtKKSgPKwit+B8dd4XnEUaLfBM2ozpkEC4YxwK0SbBiAHDDex+pY+LomQ0lyuamQ==" saltValue="N2/MCRws+mmA+NXw0axolg==" spinCount="100000" sqref="GJ2038 GH2038 GL2038" name="Rango2_31_2_6_28"/>
    <protectedRange algorithmName="SHA-512" hashValue="XZw03RosI/l0z9FxmTtF29EdZ7P+4+ybhqoaAAUmURojSR5XbGfjC4f2i8gMqfY+RI9JvfdCA6PSh9TduXfUxA==" saltValue="5TPtLq2WoiRSae/yaDPnTw==" spinCount="100000" sqref="GO2038 GM2038 GK2038" name="Rango2_99_36_33"/>
    <protectedRange algorithmName="SHA-512" hashValue="EEHzbvEYwO1eufllBljOz0uf9BJ2ENtvOScQ7IsS321QhYbwKn7qhHKKP8cKj02rTDvVRMWvwQ1ZP0mZWsBprQ==" saltValue="CjXqBRFbKezlWOFV37MnDQ==" spinCount="100000" sqref="GQ2038:GR2038" name="Rango2_30_2_2_32"/>
    <protectedRange algorithmName="SHA-512" hashValue="EEHzbvEYwO1eufllBljOz0uf9BJ2ENtvOScQ7IsS321QhYbwKn7qhHKKP8cKj02rTDvVRMWvwQ1ZP0mZWsBprQ==" saltValue="CjXqBRFbKezlWOFV37MnDQ==" spinCount="100000" sqref="GW2038" name="Rango2_30_2_3_30"/>
    <protectedRange algorithmName="SHA-512" hashValue="XZw03RosI/l0z9FxmTtF29EdZ7P+4+ybhqoaAAUmURojSR5XbGfjC4f2i8gMqfY+RI9JvfdCA6PSh9TduXfUxA==" saltValue="5TPtLq2WoiRSae/yaDPnTw==" spinCount="100000" sqref="GY2038:GZ2038" name="Rango2_99_39_28"/>
    <protectedRange algorithmName="SHA-512" hashValue="XZw03RosI/l0z9FxmTtF29EdZ7P+4+ybhqoaAAUmURojSR5XbGfjC4f2i8gMqfY+RI9JvfdCA6PSh9TduXfUxA==" saltValue="5TPtLq2WoiRSae/yaDPnTw==" spinCount="100000" sqref="HJ2038" name="Rango2_99_40_32"/>
    <protectedRange algorithmName="SHA-512" hashValue="9+DNppQbWrLYYUMoJ+lyQctV2bX3Vq9kZnegLbpjTLP49It2ovUbcartuoQTeXgP+TGpY//7mDH/UQlFCKDGiA==" saltValue="KUnni6YEm00anzSSvyLqQA==" spinCount="100000" sqref="HD2038:HI2038" name="Rango2_39_34"/>
    <protectedRange algorithmName="SHA-512" hashValue="XZw03RosI/l0z9FxmTtF29EdZ7P+4+ybhqoaAAUmURojSR5XbGfjC4f2i8gMqfY+RI9JvfdCA6PSh9TduXfUxA==" saltValue="5TPtLq2WoiRSae/yaDPnTw==" spinCount="100000" sqref="IB2038 HU2038:HZ2038" name="Rango2_99_41_29"/>
    <protectedRange algorithmName="SHA-512" hashValue="9+DNppQbWrLYYUMoJ+lyQctV2bX3Vq9kZnegLbpjTLP49It2ovUbcartuoQTeXgP+TGpY//7mDH/UQlFCKDGiA==" saltValue="KUnni6YEm00anzSSvyLqQA==" spinCount="100000" sqref="HS2038:HT2038" name="Rango2_40_32"/>
    <protectedRange algorithmName="SHA-512" hashValue="XZw03RosI/l0z9FxmTtF29EdZ7P+4+ybhqoaAAUmURojSR5XbGfjC4f2i8gMqfY+RI9JvfdCA6PSh9TduXfUxA==" saltValue="5TPtLq2WoiRSae/yaDPnTw==" spinCount="100000" sqref="IL2038:IM2038" name="Rango2_99_79_21"/>
    <protectedRange algorithmName="SHA-512" hashValue="XZw03RosI/l0z9FxmTtF29EdZ7P+4+ybhqoaAAUmURojSR5XbGfjC4f2i8gMqfY+RI9JvfdCA6PSh9TduXfUxA==" saltValue="5TPtLq2WoiRSae/yaDPnTw==" spinCount="100000" sqref="IO2038" name="Rango2_99_80_39"/>
    <protectedRange algorithmName="SHA-512" hashValue="XZw03RosI/l0z9FxmTtF29EdZ7P+4+ybhqoaAAUmURojSR5XbGfjC4f2i8gMqfY+RI9JvfdCA6PSh9TduXfUxA==" saltValue="5TPtLq2WoiRSae/yaDPnTw==" spinCount="100000" sqref="EA2039:EJ2039" name="Rango2_99_18_35"/>
    <protectedRange algorithmName="SHA-512" hashValue="9+DNppQbWrLYYUMoJ+lyQctV2bX3Vq9kZnegLbpjTLP49It2ovUbcartuoQTeXgP+TGpY//7mDH/UQlFCKDGiA==" saltValue="KUnni6YEm00anzSSvyLqQA==" spinCount="100000" sqref="EN2039" name="Rango2_22_30"/>
    <protectedRange algorithmName="SHA-512" hashValue="XZw03RosI/l0z9FxmTtF29EdZ7P+4+ybhqoaAAUmURojSR5XbGfjC4f2i8gMqfY+RI9JvfdCA6PSh9TduXfUxA==" saltValue="5TPtLq2WoiRSae/yaDPnTw==" spinCount="100000" sqref="ER2039:ES2039" name="Rango2_99_20_32"/>
    <protectedRange algorithmName="SHA-512" hashValue="XZw03RosI/l0z9FxmTtF29EdZ7P+4+ybhqoaAAUmURojSR5XbGfjC4f2i8gMqfY+RI9JvfdCA6PSh9TduXfUxA==" saltValue="5TPtLq2WoiRSae/yaDPnTw==" spinCount="100000" sqref="EV2039:EW2039" name="Rango2_99_22_32"/>
    <protectedRange algorithmName="SHA-512" hashValue="9+DNppQbWrLYYUMoJ+lyQctV2bX3Vq9kZnegLbpjTLP49It2ovUbcartuoQTeXgP+TGpY//7mDH/UQlFCKDGiA==" saltValue="KUnni6YEm00anzSSvyLqQA==" spinCount="100000" sqref="FC2039" name="Rango2_26_31"/>
    <protectedRange algorithmName="SHA-512" hashValue="XZw03RosI/l0z9FxmTtF29EdZ7P+4+ybhqoaAAUmURojSR5XbGfjC4f2i8gMqfY+RI9JvfdCA6PSh9TduXfUxA==" saltValue="5TPtLq2WoiRSae/yaDPnTw==" spinCount="100000" sqref="FF2039" name="Rango2_99_23_35"/>
    <protectedRange algorithmName="SHA-512" hashValue="9+DNppQbWrLYYUMoJ+lyQctV2bX3Vq9kZnegLbpjTLP49It2ovUbcartuoQTeXgP+TGpY//7mDH/UQlFCKDGiA==" saltValue="KUnni6YEm00anzSSvyLqQA==" spinCount="100000" sqref="FH2039" name="Rango2_35_32"/>
    <protectedRange algorithmName="SHA-512" hashValue="XZw03RosI/l0z9FxmTtF29EdZ7P+4+ybhqoaAAUmURojSR5XbGfjC4f2i8gMqfY+RI9JvfdCA6PSh9TduXfUxA==" saltValue="5TPtLq2WoiRSae/yaDPnTw==" spinCount="100000" sqref="FQ2039:FR2039" name="Rango2_99_27_34"/>
    <protectedRange algorithmName="SHA-512" hashValue="XZw03RosI/l0z9FxmTtF29EdZ7P+4+ybhqoaAAUmURojSR5XbGfjC4f2i8gMqfY+RI9JvfdCA6PSh9TduXfUxA==" saltValue="5TPtLq2WoiRSae/yaDPnTw==" spinCount="100000" sqref="FU2039" name="Rango2_99_29_31"/>
    <protectedRange algorithmName="SHA-512" hashValue="XZw03RosI/l0z9FxmTtF29EdZ7P+4+ybhqoaAAUmURojSR5XbGfjC4f2i8gMqfY+RI9JvfdCA6PSh9TduXfUxA==" saltValue="5TPtLq2WoiRSae/yaDPnTw==" spinCount="100000" sqref="FW2039:FX2039" name="Rango2_99_31_31"/>
    <protectedRange algorithmName="SHA-512" hashValue="Umj9+5Ys20VQPxBFtc6qE5LtKKSgPKwit+B8dd4XnEUaLfBM2ozpkEC4YxwK0SbBiAHDDex+pY+LomQ0lyuamQ==" saltValue="N2/MCRws+mmA+NXw0axolg==" spinCount="100000" sqref="FY2039" name="Rango2_31_2_2_32"/>
    <protectedRange algorithmName="SHA-512" hashValue="Rgskw+AQdeJ5qbJdarzTa3SCkJfDGziy0Uan5N0F3IWn/H3Z/e+VcB56R7Nes7MPxNHewNP1sSSucVjz3iTLeA==" saltValue="qKZH3DnwaZHBzy3cBZo1qQ==" spinCount="100000" sqref="GF2039" name="Rango2_31_28_1_32"/>
    <protectedRange algorithmName="SHA-512" hashValue="Umj9+5Ys20VQPxBFtc6qE5LtKKSgPKwit+B8dd4XnEUaLfBM2ozpkEC4YxwK0SbBiAHDDex+pY+LomQ0lyuamQ==" saltValue="N2/MCRws+mmA+NXw0axolg==" spinCount="100000" sqref="GE2039" name="Rango2_31_2_5_29"/>
    <protectedRange algorithmName="SHA-512" hashValue="Umj9+5Ys20VQPxBFtc6qE5LtKKSgPKwit+B8dd4XnEUaLfBM2ozpkEC4YxwK0SbBiAHDDex+pY+LomQ0lyuamQ==" saltValue="N2/MCRws+mmA+NXw0axolg==" spinCount="100000" sqref="GJ2039 GH2039 GL2039" name="Rango2_31_2_6_29"/>
    <protectedRange algorithmName="SHA-512" hashValue="XZw03RosI/l0z9FxmTtF29EdZ7P+4+ybhqoaAAUmURojSR5XbGfjC4f2i8gMqfY+RI9JvfdCA6PSh9TduXfUxA==" saltValue="5TPtLq2WoiRSae/yaDPnTw==" spinCount="100000" sqref="GO2039 GM2039 GK2039" name="Rango2_99_36_34"/>
    <protectedRange algorithmName="SHA-512" hashValue="EEHzbvEYwO1eufllBljOz0uf9BJ2ENtvOScQ7IsS321QhYbwKn7qhHKKP8cKj02rTDvVRMWvwQ1ZP0mZWsBprQ==" saltValue="CjXqBRFbKezlWOFV37MnDQ==" spinCount="100000" sqref="GQ2039:GR2039" name="Rango2_30_2_2_33"/>
    <protectedRange algorithmName="SHA-512" hashValue="EEHzbvEYwO1eufllBljOz0uf9BJ2ENtvOScQ7IsS321QhYbwKn7qhHKKP8cKj02rTDvVRMWvwQ1ZP0mZWsBprQ==" saltValue="CjXqBRFbKezlWOFV37MnDQ==" spinCount="100000" sqref="GW2039" name="Rango2_30_2_3_31"/>
    <protectedRange algorithmName="SHA-512" hashValue="XZw03RosI/l0z9FxmTtF29EdZ7P+4+ybhqoaAAUmURojSR5XbGfjC4f2i8gMqfY+RI9JvfdCA6PSh9TduXfUxA==" saltValue="5TPtLq2WoiRSae/yaDPnTw==" spinCount="100000" sqref="GY2039:GZ2039" name="Rango2_99_39_29"/>
    <protectedRange algorithmName="SHA-512" hashValue="XZw03RosI/l0z9FxmTtF29EdZ7P+4+ybhqoaAAUmURojSR5XbGfjC4f2i8gMqfY+RI9JvfdCA6PSh9TduXfUxA==" saltValue="5TPtLq2WoiRSae/yaDPnTw==" spinCount="100000" sqref="HJ2039" name="Rango2_99_40_33"/>
    <protectedRange algorithmName="SHA-512" hashValue="9+DNppQbWrLYYUMoJ+lyQctV2bX3Vq9kZnegLbpjTLP49It2ovUbcartuoQTeXgP+TGpY//7mDH/UQlFCKDGiA==" saltValue="KUnni6YEm00anzSSvyLqQA==" spinCount="100000" sqref="HD2039:HI2039" name="Rango2_39_35"/>
    <protectedRange algorithmName="SHA-512" hashValue="XZw03RosI/l0z9FxmTtF29EdZ7P+4+ybhqoaAAUmURojSR5XbGfjC4f2i8gMqfY+RI9JvfdCA6PSh9TduXfUxA==" saltValue="5TPtLq2WoiRSae/yaDPnTw==" spinCount="100000" sqref="IB2039 HU2039:HZ2039" name="Rango2_99_41_30"/>
    <protectedRange algorithmName="SHA-512" hashValue="9+DNppQbWrLYYUMoJ+lyQctV2bX3Vq9kZnegLbpjTLP49It2ovUbcartuoQTeXgP+TGpY//7mDH/UQlFCKDGiA==" saltValue="KUnni6YEm00anzSSvyLqQA==" spinCount="100000" sqref="HS2039:HT2039" name="Rango2_40_33"/>
    <protectedRange algorithmName="SHA-512" hashValue="XZw03RosI/l0z9FxmTtF29EdZ7P+4+ybhqoaAAUmURojSR5XbGfjC4f2i8gMqfY+RI9JvfdCA6PSh9TduXfUxA==" saltValue="5TPtLq2WoiRSae/yaDPnTw==" spinCount="100000" sqref="IL2039:IM2039" name="Rango2_99_79_22"/>
    <protectedRange algorithmName="SHA-512" hashValue="XZw03RosI/l0z9FxmTtF29EdZ7P+4+ybhqoaAAUmURojSR5XbGfjC4f2i8gMqfY+RI9JvfdCA6PSh9TduXfUxA==" saltValue="5TPtLq2WoiRSae/yaDPnTw==" spinCount="100000" sqref="IO2039" name="Rango2_99_80_40"/>
    <protectedRange algorithmName="SHA-512" hashValue="XZw03RosI/l0z9FxmTtF29EdZ7P+4+ybhqoaAAUmURojSR5XbGfjC4f2i8gMqfY+RI9JvfdCA6PSh9TduXfUxA==" saltValue="5TPtLq2WoiRSae/yaDPnTw==" spinCount="100000" sqref="EA2040:EJ2040" name="Rango2_99_18_36"/>
    <protectedRange algorithmName="SHA-512" hashValue="9+DNppQbWrLYYUMoJ+lyQctV2bX3Vq9kZnegLbpjTLP49It2ovUbcartuoQTeXgP+TGpY//7mDH/UQlFCKDGiA==" saltValue="KUnni6YEm00anzSSvyLqQA==" spinCount="100000" sqref="EN2040" name="Rango2_22_31"/>
    <protectedRange algorithmName="SHA-512" hashValue="XZw03RosI/l0z9FxmTtF29EdZ7P+4+ybhqoaAAUmURojSR5XbGfjC4f2i8gMqfY+RI9JvfdCA6PSh9TduXfUxA==" saltValue="5TPtLq2WoiRSae/yaDPnTw==" spinCount="100000" sqref="ER2040:ES2040" name="Rango2_99_20_33"/>
    <protectedRange algorithmName="SHA-512" hashValue="XZw03RosI/l0z9FxmTtF29EdZ7P+4+ybhqoaAAUmURojSR5XbGfjC4f2i8gMqfY+RI9JvfdCA6PSh9TduXfUxA==" saltValue="5TPtLq2WoiRSae/yaDPnTw==" spinCount="100000" sqref="EV2040:EW2040" name="Rango2_99_22_33"/>
    <protectedRange algorithmName="SHA-512" hashValue="9+DNppQbWrLYYUMoJ+lyQctV2bX3Vq9kZnegLbpjTLP49It2ovUbcartuoQTeXgP+TGpY//7mDH/UQlFCKDGiA==" saltValue="KUnni6YEm00anzSSvyLqQA==" spinCount="100000" sqref="FC2040" name="Rango2_26_32"/>
    <protectedRange algorithmName="SHA-512" hashValue="XZw03RosI/l0z9FxmTtF29EdZ7P+4+ybhqoaAAUmURojSR5XbGfjC4f2i8gMqfY+RI9JvfdCA6PSh9TduXfUxA==" saltValue="5TPtLq2WoiRSae/yaDPnTw==" spinCount="100000" sqref="FF2040" name="Rango2_99_23_36"/>
    <protectedRange algorithmName="SHA-512" hashValue="9+DNppQbWrLYYUMoJ+lyQctV2bX3Vq9kZnegLbpjTLP49It2ovUbcartuoQTeXgP+TGpY//7mDH/UQlFCKDGiA==" saltValue="KUnni6YEm00anzSSvyLqQA==" spinCount="100000" sqref="FH2040" name="Rango2_35_33"/>
    <protectedRange algorithmName="SHA-512" hashValue="XZw03RosI/l0z9FxmTtF29EdZ7P+4+ybhqoaAAUmURojSR5XbGfjC4f2i8gMqfY+RI9JvfdCA6PSh9TduXfUxA==" saltValue="5TPtLq2WoiRSae/yaDPnTw==" spinCount="100000" sqref="FQ2040:FR2040" name="Rango2_99_27_35"/>
    <protectedRange algorithmName="SHA-512" hashValue="XZw03RosI/l0z9FxmTtF29EdZ7P+4+ybhqoaAAUmURojSR5XbGfjC4f2i8gMqfY+RI9JvfdCA6PSh9TduXfUxA==" saltValue="5TPtLq2WoiRSae/yaDPnTw==" spinCount="100000" sqref="FU2040" name="Rango2_99_29_32"/>
    <protectedRange algorithmName="SHA-512" hashValue="XZw03RosI/l0z9FxmTtF29EdZ7P+4+ybhqoaAAUmURojSR5XbGfjC4f2i8gMqfY+RI9JvfdCA6PSh9TduXfUxA==" saltValue="5TPtLq2WoiRSae/yaDPnTw==" spinCount="100000" sqref="FW2040:FX2040" name="Rango2_99_31_32"/>
    <protectedRange algorithmName="SHA-512" hashValue="Umj9+5Ys20VQPxBFtc6qE5LtKKSgPKwit+B8dd4XnEUaLfBM2ozpkEC4YxwK0SbBiAHDDex+pY+LomQ0lyuamQ==" saltValue="N2/MCRws+mmA+NXw0axolg==" spinCount="100000" sqref="FY2040" name="Rango2_31_2_2_33"/>
    <protectedRange algorithmName="SHA-512" hashValue="Umj9+5Ys20VQPxBFtc6qE5LtKKSgPKwit+B8dd4XnEUaLfBM2ozpkEC4YxwK0SbBiAHDDex+pY+LomQ0lyuamQ==" saltValue="N2/MCRws+mmA+NXw0axolg==" spinCount="100000" sqref="GB2040" name="Rango2_31_2_4_31"/>
    <protectedRange algorithmName="SHA-512" hashValue="Rgskw+AQdeJ5qbJdarzTa3SCkJfDGziy0Uan5N0F3IWn/H3Z/e+VcB56R7Nes7MPxNHewNP1sSSucVjz3iTLeA==" saltValue="qKZH3DnwaZHBzy3cBZo1qQ==" spinCount="100000" sqref="GF2040" name="Rango2_31_28_1_33"/>
    <protectedRange algorithmName="SHA-512" hashValue="Umj9+5Ys20VQPxBFtc6qE5LtKKSgPKwit+B8dd4XnEUaLfBM2ozpkEC4YxwK0SbBiAHDDex+pY+LomQ0lyuamQ==" saltValue="N2/MCRws+mmA+NXw0axolg==" spinCount="100000" sqref="GE2040" name="Rango2_31_2_5_30"/>
    <protectedRange algorithmName="SHA-512" hashValue="Umj9+5Ys20VQPxBFtc6qE5LtKKSgPKwit+B8dd4XnEUaLfBM2ozpkEC4YxwK0SbBiAHDDex+pY+LomQ0lyuamQ==" saltValue="N2/MCRws+mmA+NXw0axolg==" spinCount="100000" sqref="GJ2040 GH2040 GL2040" name="Rango2_31_2_6_30"/>
    <protectedRange algorithmName="SHA-512" hashValue="XZw03RosI/l0z9FxmTtF29EdZ7P+4+ybhqoaAAUmURojSR5XbGfjC4f2i8gMqfY+RI9JvfdCA6PSh9TduXfUxA==" saltValue="5TPtLq2WoiRSae/yaDPnTw==" spinCount="100000" sqref="GO2040 GM2040 GK2040" name="Rango2_99_36_35"/>
    <protectedRange algorithmName="SHA-512" hashValue="EEHzbvEYwO1eufllBljOz0uf9BJ2ENtvOScQ7IsS321QhYbwKn7qhHKKP8cKj02rTDvVRMWvwQ1ZP0mZWsBprQ==" saltValue="CjXqBRFbKezlWOFV37MnDQ==" spinCount="100000" sqref="GQ2040:GR2040" name="Rango2_30_2_2_34"/>
    <protectedRange algorithmName="SHA-512" hashValue="EEHzbvEYwO1eufllBljOz0uf9BJ2ENtvOScQ7IsS321QhYbwKn7qhHKKP8cKj02rTDvVRMWvwQ1ZP0mZWsBprQ==" saltValue="CjXqBRFbKezlWOFV37MnDQ==" spinCount="100000" sqref="GW2040" name="Rango2_30_2_3_32"/>
    <protectedRange algorithmName="SHA-512" hashValue="XZw03RosI/l0z9FxmTtF29EdZ7P+4+ybhqoaAAUmURojSR5XbGfjC4f2i8gMqfY+RI9JvfdCA6PSh9TduXfUxA==" saltValue="5TPtLq2WoiRSae/yaDPnTw==" spinCount="100000" sqref="GY2040:GZ2040" name="Rango2_99_39_30"/>
    <protectedRange algorithmName="SHA-512" hashValue="XZw03RosI/l0z9FxmTtF29EdZ7P+4+ybhqoaAAUmURojSR5XbGfjC4f2i8gMqfY+RI9JvfdCA6PSh9TduXfUxA==" saltValue="5TPtLq2WoiRSae/yaDPnTw==" spinCount="100000" sqref="HJ2040" name="Rango2_99_40_34"/>
    <protectedRange algorithmName="SHA-512" hashValue="9+DNppQbWrLYYUMoJ+lyQctV2bX3Vq9kZnegLbpjTLP49It2ovUbcartuoQTeXgP+TGpY//7mDH/UQlFCKDGiA==" saltValue="KUnni6YEm00anzSSvyLqQA==" spinCount="100000" sqref="HD2040:HI2040" name="Rango2_39_36"/>
    <protectedRange algorithmName="SHA-512" hashValue="XZw03RosI/l0z9FxmTtF29EdZ7P+4+ybhqoaAAUmURojSR5XbGfjC4f2i8gMqfY+RI9JvfdCA6PSh9TduXfUxA==" saltValue="5TPtLq2WoiRSae/yaDPnTw==" spinCount="100000" sqref="IB2040 HU2040:HZ2040" name="Rango2_99_41_31"/>
    <protectedRange algorithmName="SHA-512" hashValue="9+DNppQbWrLYYUMoJ+lyQctV2bX3Vq9kZnegLbpjTLP49It2ovUbcartuoQTeXgP+TGpY//7mDH/UQlFCKDGiA==" saltValue="KUnni6YEm00anzSSvyLqQA==" spinCount="100000" sqref="HS2040:HT2040" name="Rango2_40_34"/>
    <protectedRange algorithmName="SHA-512" hashValue="XZw03RosI/l0z9FxmTtF29EdZ7P+4+ybhqoaAAUmURojSR5XbGfjC4f2i8gMqfY+RI9JvfdCA6PSh9TduXfUxA==" saltValue="5TPtLq2WoiRSae/yaDPnTw==" spinCount="100000" sqref="IL2040:IM2040" name="Rango2_99_79_23"/>
    <protectedRange algorithmName="SHA-512" hashValue="XZw03RosI/l0z9FxmTtF29EdZ7P+4+ybhqoaAAUmURojSR5XbGfjC4f2i8gMqfY+RI9JvfdCA6PSh9TduXfUxA==" saltValue="5TPtLq2WoiRSae/yaDPnTw==" spinCount="100000" sqref="IO2040" name="Rango2_99_80_41"/>
    <protectedRange algorithmName="SHA-512" hashValue="XZw03RosI/l0z9FxmTtF29EdZ7P+4+ybhqoaAAUmURojSR5XbGfjC4f2i8gMqfY+RI9JvfdCA6PSh9TduXfUxA==" saltValue="5TPtLq2WoiRSae/yaDPnTw==" spinCount="100000" sqref="EA2041:EJ2041" name="Rango2_99_18_37"/>
    <protectedRange algorithmName="SHA-512" hashValue="9+DNppQbWrLYYUMoJ+lyQctV2bX3Vq9kZnegLbpjTLP49It2ovUbcartuoQTeXgP+TGpY//7mDH/UQlFCKDGiA==" saltValue="KUnni6YEm00anzSSvyLqQA==" spinCount="100000" sqref="EN2041" name="Rango2_22_32"/>
    <protectedRange algorithmName="SHA-512" hashValue="XZw03RosI/l0z9FxmTtF29EdZ7P+4+ybhqoaAAUmURojSR5XbGfjC4f2i8gMqfY+RI9JvfdCA6PSh9TduXfUxA==" saltValue="5TPtLq2WoiRSae/yaDPnTw==" spinCount="100000" sqref="ER2041:ES2041" name="Rango2_99_20_34"/>
    <protectedRange algorithmName="SHA-512" hashValue="XZw03RosI/l0z9FxmTtF29EdZ7P+4+ybhqoaAAUmURojSR5XbGfjC4f2i8gMqfY+RI9JvfdCA6PSh9TduXfUxA==" saltValue="5TPtLq2WoiRSae/yaDPnTw==" spinCount="100000" sqref="EV2041:EW2041" name="Rango2_99_22_34"/>
    <protectedRange algorithmName="SHA-512" hashValue="9+DNppQbWrLYYUMoJ+lyQctV2bX3Vq9kZnegLbpjTLP49It2ovUbcartuoQTeXgP+TGpY//7mDH/UQlFCKDGiA==" saltValue="KUnni6YEm00anzSSvyLqQA==" spinCount="100000" sqref="FC2041" name="Rango2_26_33"/>
    <protectedRange algorithmName="SHA-512" hashValue="XZw03RosI/l0z9FxmTtF29EdZ7P+4+ybhqoaAAUmURojSR5XbGfjC4f2i8gMqfY+RI9JvfdCA6PSh9TduXfUxA==" saltValue="5TPtLq2WoiRSae/yaDPnTw==" spinCount="100000" sqref="FF2041" name="Rango2_99_23_37"/>
    <protectedRange algorithmName="SHA-512" hashValue="9+DNppQbWrLYYUMoJ+lyQctV2bX3Vq9kZnegLbpjTLP49It2ovUbcartuoQTeXgP+TGpY//7mDH/UQlFCKDGiA==" saltValue="KUnni6YEm00anzSSvyLqQA==" spinCount="100000" sqref="FH2041" name="Rango2_35_34"/>
    <protectedRange algorithmName="SHA-512" hashValue="XZw03RosI/l0z9FxmTtF29EdZ7P+4+ybhqoaAAUmURojSR5XbGfjC4f2i8gMqfY+RI9JvfdCA6PSh9TduXfUxA==" saltValue="5TPtLq2WoiRSae/yaDPnTw==" spinCount="100000" sqref="FQ2041:FR2041" name="Rango2_99_27_36"/>
    <protectedRange algorithmName="SHA-512" hashValue="XZw03RosI/l0z9FxmTtF29EdZ7P+4+ybhqoaAAUmURojSR5XbGfjC4f2i8gMqfY+RI9JvfdCA6PSh9TduXfUxA==" saltValue="5TPtLq2WoiRSae/yaDPnTw==" spinCount="100000" sqref="FU2041" name="Rango2_99_29_33"/>
    <protectedRange algorithmName="SHA-512" hashValue="XZw03RosI/l0z9FxmTtF29EdZ7P+4+ybhqoaAAUmURojSR5XbGfjC4f2i8gMqfY+RI9JvfdCA6PSh9TduXfUxA==" saltValue="5TPtLq2WoiRSae/yaDPnTw==" spinCount="100000" sqref="FW2041:FX2041" name="Rango2_99_31_33"/>
    <protectedRange algorithmName="SHA-512" hashValue="Umj9+5Ys20VQPxBFtc6qE5LtKKSgPKwit+B8dd4XnEUaLfBM2ozpkEC4YxwK0SbBiAHDDex+pY+LomQ0lyuamQ==" saltValue="N2/MCRws+mmA+NXw0axolg==" spinCount="100000" sqref="FY2041" name="Rango2_31_2_2_34"/>
    <protectedRange algorithmName="SHA-512" hashValue="Rgskw+AQdeJ5qbJdarzTa3SCkJfDGziy0Uan5N0F3IWn/H3Z/e+VcB56R7Nes7MPxNHewNP1sSSucVjz3iTLeA==" saltValue="qKZH3DnwaZHBzy3cBZo1qQ==" spinCount="100000" sqref="GF2041" name="Rango2_31_28_1_34"/>
    <protectedRange algorithmName="SHA-512" hashValue="Umj9+5Ys20VQPxBFtc6qE5LtKKSgPKwit+B8dd4XnEUaLfBM2ozpkEC4YxwK0SbBiAHDDex+pY+LomQ0lyuamQ==" saltValue="N2/MCRws+mmA+NXw0axolg==" spinCount="100000" sqref="GE2041" name="Rango2_31_2_5_31"/>
    <protectedRange algorithmName="SHA-512" hashValue="Umj9+5Ys20VQPxBFtc6qE5LtKKSgPKwit+B8dd4XnEUaLfBM2ozpkEC4YxwK0SbBiAHDDex+pY+LomQ0lyuamQ==" saltValue="N2/MCRws+mmA+NXw0axolg==" spinCount="100000" sqref="GJ2041 GH2041 GL2041" name="Rango2_31_2_6_31"/>
    <protectedRange algorithmName="SHA-512" hashValue="XZw03RosI/l0z9FxmTtF29EdZ7P+4+ybhqoaAAUmURojSR5XbGfjC4f2i8gMqfY+RI9JvfdCA6PSh9TduXfUxA==" saltValue="5TPtLq2WoiRSae/yaDPnTw==" spinCount="100000" sqref="GO2041 GM2041 GK2041" name="Rango2_99_36_36"/>
    <protectedRange algorithmName="SHA-512" hashValue="EEHzbvEYwO1eufllBljOz0uf9BJ2ENtvOScQ7IsS321QhYbwKn7qhHKKP8cKj02rTDvVRMWvwQ1ZP0mZWsBprQ==" saltValue="CjXqBRFbKezlWOFV37MnDQ==" spinCount="100000" sqref="GQ2041:GR2041" name="Rango2_30_2_2_35"/>
    <protectedRange algorithmName="SHA-512" hashValue="EEHzbvEYwO1eufllBljOz0uf9BJ2ENtvOScQ7IsS321QhYbwKn7qhHKKP8cKj02rTDvVRMWvwQ1ZP0mZWsBprQ==" saltValue="CjXqBRFbKezlWOFV37MnDQ==" spinCount="100000" sqref="GW2041" name="Rango2_30_2_3_33"/>
    <protectedRange algorithmName="SHA-512" hashValue="XZw03RosI/l0z9FxmTtF29EdZ7P+4+ybhqoaAAUmURojSR5XbGfjC4f2i8gMqfY+RI9JvfdCA6PSh9TduXfUxA==" saltValue="5TPtLq2WoiRSae/yaDPnTw==" spinCount="100000" sqref="GY2041:GZ2041" name="Rango2_99_39_31"/>
    <protectedRange algorithmName="SHA-512" hashValue="XZw03RosI/l0z9FxmTtF29EdZ7P+4+ybhqoaAAUmURojSR5XbGfjC4f2i8gMqfY+RI9JvfdCA6PSh9TduXfUxA==" saltValue="5TPtLq2WoiRSae/yaDPnTw==" spinCount="100000" sqref="HJ2041" name="Rango2_99_40_35"/>
    <protectedRange algorithmName="SHA-512" hashValue="9+DNppQbWrLYYUMoJ+lyQctV2bX3Vq9kZnegLbpjTLP49It2ovUbcartuoQTeXgP+TGpY//7mDH/UQlFCKDGiA==" saltValue="KUnni6YEm00anzSSvyLqQA==" spinCount="100000" sqref="HD2041:HI2041" name="Rango2_39_37"/>
    <protectedRange algorithmName="SHA-512" hashValue="XZw03RosI/l0z9FxmTtF29EdZ7P+4+ybhqoaAAUmURojSR5XbGfjC4f2i8gMqfY+RI9JvfdCA6PSh9TduXfUxA==" saltValue="5TPtLq2WoiRSae/yaDPnTw==" spinCount="100000" sqref="IB2041 HU2041:HZ2041" name="Rango2_99_41_32"/>
    <protectedRange algorithmName="SHA-512" hashValue="9+DNppQbWrLYYUMoJ+lyQctV2bX3Vq9kZnegLbpjTLP49It2ovUbcartuoQTeXgP+TGpY//7mDH/UQlFCKDGiA==" saltValue="KUnni6YEm00anzSSvyLqQA==" spinCount="100000" sqref="HS2041:HT2041" name="Rango2_40_35"/>
    <protectedRange algorithmName="SHA-512" hashValue="XZw03RosI/l0z9FxmTtF29EdZ7P+4+ybhqoaAAUmURojSR5XbGfjC4f2i8gMqfY+RI9JvfdCA6PSh9TduXfUxA==" saltValue="5TPtLq2WoiRSae/yaDPnTw==" spinCount="100000" sqref="IL2041:IM2041" name="Rango2_99_79_24"/>
    <protectedRange algorithmName="SHA-512" hashValue="XZw03RosI/l0z9FxmTtF29EdZ7P+4+ybhqoaAAUmURojSR5XbGfjC4f2i8gMqfY+RI9JvfdCA6PSh9TduXfUxA==" saltValue="5TPtLq2WoiRSae/yaDPnTw==" spinCount="100000" sqref="IO2041" name="Rango2_99_80_42"/>
    <protectedRange algorithmName="SHA-512" hashValue="XZw03RosI/l0z9FxmTtF29EdZ7P+4+ybhqoaAAUmURojSR5XbGfjC4f2i8gMqfY+RI9JvfdCA6PSh9TduXfUxA==" saltValue="5TPtLq2WoiRSae/yaDPnTw==" spinCount="100000" sqref="EA2042:EJ2043" name="Rango2_99_18_38"/>
    <protectedRange algorithmName="SHA-512" hashValue="9+DNppQbWrLYYUMoJ+lyQctV2bX3Vq9kZnegLbpjTLP49It2ovUbcartuoQTeXgP+TGpY//7mDH/UQlFCKDGiA==" saltValue="KUnni6YEm00anzSSvyLqQA==" spinCount="100000" sqref="EN2042:EN2043" name="Rango2_22_33"/>
    <protectedRange algorithmName="SHA-512" hashValue="XZw03RosI/l0z9FxmTtF29EdZ7P+4+ybhqoaAAUmURojSR5XbGfjC4f2i8gMqfY+RI9JvfdCA6PSh9TduXfUxA==" saltValue="5TPtLq2WoiRSae/yaDPnTw==" spinCount="100000" sqref="ER2042:ES2043" name="Rango2_99_20_35"/>
    <protectedRange algorithmName="SHA-512" hashValue="XZw03RosI/l0z9FxmTtF29EdZ7P+4+ybhqoaAAUmURojSR5XbGfjC4f2i8gMqfY+RI9JvfdCA6PSh9TduXfUxA==" saltValue="5TPtLq2WoiRSae/yaDPnTw==" spinCount="100000" sqref="EV2042:EW2043" name="Rango2_99_22_35"/>
    <protectedRange algorithmName="SHA-512" hashValue="9+DNppQbWrLYYUMoJ+lyQctV2bX3Vq9kZnegLbpjTLP49It2ovUbcartuoQTeXgP+TGpY//7mDH/UQlFCKDGiA==" saltValue="KUnni6YEm00anzSSvyLqQA==" spinCount="100000" sqref="FC2042:FC2043" name="Rango2_26_34"/>
    <protectedRange algorithmName="SHA-512" hashValue="XZw03RosI/l0z9FxmTtF29EdZ7P+4+ybhqoaAAUmURojSR5XbGfjC4f2i8gMqfY+RI9JvfdCA6PSh9TduXfUxA==" saltValue="5TPtLq2WoiRSae/yaDPnTw==" spinCount="100000" sqref="FF2042:FF2043" name="Rango2_99_23_38"/>
    <protectedRange algorithmName="SHA-512" hashValue="9+DNppQbWrLYYUMoJ+lyQctV2bX3Vq9kZnegLbpjTLP49It2ovUbcartuoQTeXgP+TGpY//7mDH/UQlFCKDGiA==" saltValue="KUnni6YEm00anzSSvyLqQA==" spinCount="100000" sqref="FH2042:FH2043" name="Rango2_35_35"/>
    <protectedRange algorithmName="SHA-512" hashValue="XZw03RosI/l0z9FxmTtF29EdZ7P+4+ybhqoaAAUmURojSR5XbGfjC4f2i8gMqfY+RI9JvfdCA6PSh9TduXfUxA==" saltValue="5TPtLq2WoiRSae/yaDPnTw==" spinCount="100000" sqref="FQ2042:FR2043" name="Rango2_99_27_37"/>
    <protectedRange algorithmName="SHA-512" hashValue="XZw03RosI/l0z9FxmTtF29EdZ7P+4+ybhqoaAAUmURojSR5XbGfjC4f2i8gMqfY+RI9JvfdCA6PSh9TduXfUxA==" saltValue="5TPtLq2WoiRSae/yaDPnTw==" spinCount="100000" sqref="FU2042:FU2043" name="Rango2_99_29_34"/>
    <protectedRange algorithmName="SHA-512" hashValue="XZw03RosI/l0z9FxmTtF29EdZ7P+4+ybhqoaAAUmURojSR5XbGfjC4f2i8gMqfY+RI9JvfdCA6PSh9TduXfUxA==" saltValue="5TPtLq2WoiRSae/yaDPnTw==" spinCount="100000" sqref="FW2042:FX2043" name="Rango2_99_31_34"/>
    <protectedRange algorithmName="SHA-512" hashValue="Umj9+5Ys20VQPxBFtc6qE5LtKKSgPKwit+B8dd4XnEUaLfBM2ozpkEC4YxwK0SbBiAHDDex+pY+LomQ0lyuamQ==" saltValue="N2/MCRws+mmA+NXw0axolg==" spinCount="100000" sqref="FY2042:FY2043" name="Rango2_31_2_2_35"/>
    <protectedRange algorithmName="SHA-512" hashValue="Umj9+5Ys20VQPxBFtc6qE5LtKKSgPKwit+B8dd4XnEUaLfBM2ozpkEC4YxwK0SbBiAHDDex+pY+LomQ0lyuamQ==" saltValue="N2/MCRws+mmA+NXw0axolg==" spinCount="100000" sqref="GB2042:GB2043" name="Rango2_31_2_4_33"/>
    <protectedRange algorithmName="SHA-512" hashValue="Rgskw+AQdeJ5qbJdarzTa3SCkJfDGziy0Uan5N0F3IWn/H3Z/e+VcB56R7Nes7MPxNHewNP1sSSucVjz3iTLeA==" saltValue="qKZH3DnwaZHBzy3cBZo1qQ==" spinCount="100000" sqref="GF2042:GF2043" name="Rango2_31_28_1_35"/>
    <protectedRange algorithmName="SHA-512" hashValue="Umj9+5Ys20VQPxBFtc6qE5LtKKSgPKwit+B8dd4XnEUaLfBM2ozpkEC4YxwK0SbBiAHDDex+pY+LomQ0lyuamQ==" saltValue="N2/MCRws+mmA+NXw0axolg==" spinCount="100000" sqref="GE2042:GE2043" name="Rango2_31_2_5_32"/>
    <protectedRange algorithmName="SHA-512" hashValue="Umj9+5Ys20VQPxBFtc6qE5LtKKSgPKwit+B8dd4XnEUaLfBM2ozpkEC4YxwK0SbBiAHDDex+pY+LomQ0lyuamQ==" saltValue="N2/MCRws+mmA+NXw0axolg==" spinCount="100000" sqref="GJ2042:GJ2043 GH2042:GH2043 GL2042:GL2043" name="Rango2_31_2_6_32"/>
    <protectedRange algorithmName="SHA-512" hashValue="XZw03RosI/l0z9FxmTtF29EdZ7P+4+ybhqoaAAUmURojSR5XbGfjC4f2i8gMqfY+RI9JvfdCA6PSh9TduXfUxA==" saltValue="5TPtLq2WoiRSae/yaDPnTw==" spinCount="100000" sqref="GO2042:GO2043 GM2042:GM2043 GK2042:GK2043" name="Rango2_99_36_37"/>
    <protectedRange algorithmName="SHA-512" hashValue="EEHzbvEYwO1eufllBljOz0uf9BJ2ENtvOScQ7IsS321QhYbwKn7qhHKKP8cKj02rTDvVRMWvwQ1ZP0mZWsBprQ==" saltValue="CjXqBRFbKezlWOFV37MnDQ==" spinCount="100000" sqref="GQ2042:GR2043" name="Rango2_30_2_2_36"/>
    <protectedRange algorithmName="SHA-512" hashValue="EEHzbvEYwO1eufllBljOz0uf9BJ2ENtvOScQ7IsS321QhYbwKn7qhHKKP8cKj02rTDvVRMWvwQ1ZP0mZWsBprQ==" saltValue="CjXqBRFbKezlWOFV37MnDQ==" spinCount="100000" sqref="GW2042:GW2043" name="Rango2_30_2_3_34"/>
    <protectedRange algorithmName="SHA-512" hashValue="XZw03RosI/l0z9FxmTtF29EdZ7P+4+ybhqoaAAUmURojSR5XbGfjC4f2i8gMqfY+RI9JvfdCA6PSh9TduXfUxA==" saltValue="5TPtLq2WoiRSae/yaDPnTw==" spinCount="100000" sqref="GY2042:GZ2043" name="Rango2_99_39_32"/>
    <protectedRange algorithmName="SHA-512" hashValue="XZw03RosI/l0z9FxmTtF29EdZ7P+4+ybhqoaAAUmURojSR5XbGfjC4f2i8gMqfY+RI9JvfdCA6PSh9TduXfUxA==" saltValue="5TPtLq2WoiRSae/yaDPnTw==" spinCount="100000" sqref="HJ2042:HJ2043" name="Rango2_99_40_36"/>
    <protectedRange algorithmName="SHA-512" hashValue="9+DNppQbWrLYYUMoJ+lyQctV2bX3Vq9kZnegLbpjTLP49It2ovUbcartuoQTeXgP+TGpY//7mDH/UQlFCKDGiA==" saltValue="KUnni6YEm00anzSSvyLqQA==" spinCount="100000" sqref="HD2042:HI2043" name="Rango2_39_38"/>
    <protectedRange algorithmName="SHA-512" hashValue="XZw03RosI/l0z9FxmTtF29EdZ7P+4+ybhqoaAAUmURojSR5XbGfjC4f2i8gMqfY+RI9JvfdCA6PSh9TduXfUxA==" saltValue="5TPtLq2WoiRSae/yaDPnTw==" spinCount="100000" sqref="IB2042:IB2043 HU2042:HZ2043" name="Rango2_99_41_33"/>
    <protectedRange algorithmName="SHA-512" hashValue="9+DNppQbWrLYYUMoJ+lyQctV2bX3Vq9kZnegLbpjTLP49It2ovUbcartuoQTeXgP+TGpY//7mDH/UQlFCKDGiA==" saltValue="KUnni6YEm00anzSSvyLqQA==" spinCount="100000" sqref="HS2042:HT2043" name="Rango2_40_36"/>
    <protectedRange algorithmName="SHA-512" hashValue="XZw03RosI/l0z9FxmTtF29EdZ7P+4+ybhqoaAAUmURojSR5XbGfjC4f2i8gMqfY+RI9JvfdCA6PSh9TduXfUxA==" saltValue="5TPtLq2WoiRSae/yaDPnTw==" spinCount="100000" sqref="IL2042:IM2043" name="Rango2_99_79_25"/>
    <protectedRange algorithmName="SHA-512" hashValue="XZw03RosI/l0z9FxmTtF29EdZ7P+4+ybhqoaAAUmURojSR5XbGfjC4f2i8gMqfY+RI9JvfdCA6PSh9TduXfUxA==" saltValue="5TPtLq2WoiRSae/yaDPnTw==" spinCount="100000" sqref="IO2043" name="Rango2_99_80_43"/>
    <protectedRange algorithmName="SHA-512" hashValue="XZw03RosI/l0z9FxmTtF29EdZ7P+4+ybhqoaAAUmURojSR5XbGfjC4f2i8gMqfY+RI9JvfdCA6PSh9TduXfUxA==" saltValue="5TPtLq2WoiRSae/yaDPnTw==" spinCount="100000" sqref="EA2044:EJ2045" name="Rango2_99_18_39"/>
    <protectedRange algorithmName="SHA-512" hashValue="9+DNppQbWrLYYUMoJ+lyQctV2bX3Vq9kZnegLbpjTLP49It2ovUbcartuoQTeXgP+TGpY//7mDH/UQlFCKDGiA==" saltValue="KUnni6YEm00anzSSvyLqQA==" spinCount="100000" sqref="EN2044:EN2045" name="Rango2_22_34"/>
    <protectedRange algorithmName="SHA-512" hashValue="XZw03RosI/l0z9FxmTtF29EdZ7P+4+ybhqoaAAUmURojSR5XbGfjC4f2i8gMqfY+RI9JvfdCA6PSh9TduXfUxA==" saltValue="5TPtLq2WoiRSae/yaDPnTw==" spinCount="100000" sqref="ER2044:ES2045" name="Rango2_99_20_36"/>
    <protectedRange algorithmName="SHA-512" hashValue="XZw03RosI/l0z9FxmTtF29EdZ7P+4+ybhqoaAAUmURojSR5XbGfjC4f2i8gMqfY+RI9JvfdCA6PSh9TduXfUxA==" saltValue="5TPtLq2WoiRSae/yaDPnTw==" spinCount="100000" sqref="EV2044:EW2045" name="Rango2_99_22_36"/>
    <protectedRange algorithmName="SHA-512" hashValue="9+DNppQbWrLYYUMoJ+lyQctV2bX3Vq9kZnegLbpjTLP49It2ovUbcartuoQTeXgP+TGpY//7mDH/UQlFCKDGiA==" saltValue="KUnni6YEm00anzSSvyLqQA==" spinCount="100000" sqref="FC2044:FC2045" name="Rango2_26_35"/>
    <protectedRange algorithmName="SHA-512" hashValue="XZw03RosI/l0z9FxmTtF29EdZ7P+4+ybhqoaAAUmURojSR5XbGfjC4f2i8gMqfY+RI9JvfdCA6PSh9TduXfUxA==" saltValue="5TPtLq2WoiRSae/yaDPnTw==" spinCount="100000" sqref="FF2044:FF2045" name="Rango2_99_23_39"/>
    <protectedRange algorithmName="SHA-512" hashValue="9+DNppQbWrLYYUMoJ+lyQctV2bX3Vq9kZnegLbpjTLP49It2ovUbcartuoQTeXgP+TGpY//7mDH/UQlFCKDGiA==" saltValue="KUnni6YEm00anzSSvyLqQA==" spinCount="100000" sqref="FH2044:FH2045" name="Rango2_35_36"/>
    <protectedRange algorithmName="SHA-512" hashValue="XZw03RosI/l0z9FxmTtF29EdZ7P+4+ybhqoaAAUmURojSR5XbGfjC4f2i8gMqfY+RI9JvfdCA6PSh9TduXfUxA==" saltValue="5TPtLq2WoiRSae/yaDPnTw==" spinCount="100000" sqref="FQ2044:FR2045" name="Rango2_99_27_38"/>
    <protectedRange algorithmName="SHA-512" hashValue="XZw03RosI/l0z9FxmTtF29EdZ7P+4+ybhqoaAAUmURojSR5XbGfjC4f2i8gMqfY+RI9JvfdCA6PSh9TduXfUxA==" saltValue="5TPtLq2WoiRSae/yaDPnTw==" spinCount="100000" sqref="FU2044:FU2045" name="Rango2_99_29_35"/>
    <protectedRange algorithmName="SHA-512" hashValue="XZw03RosI/l0z9FxmTtF29EdZ7P+4+ybhqoaAAUmURojSR5XbGfjC4f2i8gMqfY+RI9JvfdCA6PSh9TduXfUxA==" saltValue="5TPtLq2WoiRSae/yaDPnTw==" spinCount="100000" sqref="FW2044:FX2045" name="Rango2_99_31_35"/>
    <protectedRange algorithmName="SHA-512" hashValue="Umj9+5Ys20VQPxBFtc6qE5LtKKSgPKwit+B8dd4XnEUaLfBM2ozpkEC4YxwK0SbBiAHDDex+pY+LomQ0lyuamQ==" saltValue="N2/MCRws+mmA+NXw0axolg==" spinCount="100000" sqref="FY2044:FY2045" name="Rango2_31_2_2_36"/>
    <protectedRange algorithmName="SHA-512" hashValue="Rgskw+AQdeJ5qbJdarzTa3SCkJfDGziy0Uan5N0F3IWn/H3Z/e+VcB56R7Nes7MPxNHewNP1sSSucVjz3iTLeA==" saltValue="qKZH3DnwaZHBzy3cBZo1qQ==" spinCount="100000" sqref="GF2044:GF2045" name="Rango2_31_28_1_36"/>
    <protectedRange algorithmName="SHA-512" hashValue="Umj9+5Ys20VQPxBFtc6qE5LtKKSgPKwit+B8dd4XnEUaLfBM2ozpkEC4YxwK0SbBiAHDDex+pY+LomQ0lyuamQ==" saltValue="N2/MCRws+mmA+NXw0axolg==" spinCount="100000" sqref="GE2044:GE2045" name="Rango2_31_2_5_33"/>
    <protectedRange algorithmName="SHA-512" hashValue="Umj9+5Ys20VQPxBFtc6qE5LtKKSgPKwit+B8dd4XnEUaLfBM2ozpkEC4YxwK0SbBiAHDDex+pY+LomQ0lyuamQ==" saltValue="N2/MCRws+mmA+NXw0axolg==" spinCount="100000" sqref="GJ2044:GJ2045 GH2044:GH2045 GL2044:GL2045" name="Rango2_31_2_6_33"/>
    <protectedRange algorithmName="SHA-512" hashValue="XZw03RosI/l0z9FxmTtF29EdZ7P+4+ybhqoaAAUmURojSR5XbGfjC4f2i8gMqfY+RI9JvfdCA6PSh9TduXfUxA==" saltValue="5TPtLq2WoiRSae/yaDPnTw==" spinCount="100000" sqref="GO2044:GO2045 GM2044:GM2045 GK2044:GK2045" name="Rango2_99_36_38"/>
    <protectedRange algorithmName="SHA-512" hashValue="EEHzbvEYwO1eufllBljOz0uf9BJ2ENtvOScQ7IsS321QhYbwKn7qhHKKP8cKj02rTDvVRMWvwQ1ZP0mZWsBprQ==" saltValue="CjXqBRFbKezlWOFV37MnDQ==" spinCount="100000" sqref="GQ2044:GR2045" name="Rango2_30_2_2_37"/>
    <protectedRange algorithmName="SHA-512" hashValue="EEHzbvEYwO1eufllBljOz0uf9BJ2ENtvOScQ7IsS321QhYbwKn7qhHKKP8cKj02rTDvVRMWvwQ1ZP0mZWsBprQ==" saltValue="CjXqBRFbKezlWOFV37MnDQ==" spinCount="100000" sqref="GW2044:GW2045" name="Rango2_30_2_3_35"/>
    <protectedRange algorithmName="SHA-512" hashValue="XZw03RosI/l0z9FxmTtF29EdZ7P+4+ybhqoaAAUmURojSR5XbGfjC4f2i8gMqfY+RI9JvfdCA6PSh9TduXfUxA==" saltValue="5TPtLq2WoiRSae/yaDPnTw==" spinCount="100000" sqref="GY2044:GZ2045" name="Rango2_99_39_33"/>
    <protectedRange algorithmName="SHA-512" hashValue="XZw03RosI/l0z9FxmTtF29EdZ7P+4+ybhqoaAAUmURojSR5XbGfjC4f2i8gMqfY+RI9JvfdCA6PSh9TduXfUxA==" saltValue="5TPtLq2WoiRSae/yaDPnTw==" spinCount="100000" sqref="HJ2044:HJ2045" name="Rango2_99_40_37"/>
    <protectedRange algorithmName="SHA-512" hashValue="9+DNppQbWrLYYUMoJ+lyQctV2bX3Vq9kZnegLbpjTLP49It2ovUbcartuoQTeXgP+TGpY//7mDH/UQlFCKDGiA==" saltValue="KUnni6YEm00anzSSvyLqQA==" spinCount="100000" sqref="HD2044:HI2045" name="Rango2_39_39"/>
    <protectedRange algorithmName="SHA-512" hashValue="XZw03RosI/l0z9FxmTtF29EdZ7P+4+ybhqoaAAUmURojSR5XbGfjC4f2i8gMqfY+RI9JvfdCA6PSh9TduXfUxA==" saltValue="5TPtLq2WoiRSae/yaDPnTw==" spinCount="100000" sqref="IB2044:IB2045 HU2044:HZ2045" name="Rango2_99_41_34"/>
    <protectedRange algorithmName="SHA-512" hashValue="9+DNppQbWrLYYUMoJ+lyQctV2bX3Vq9kZnegLbpjTLP49It2ovUbcartuoQTeXgP+TGpY//7mDH/UQlFCKDGiA==" saltValue="KUnni6YEm00anzSSvyLqQA==" spinCount="100000" sqref="HS2044:HT2045" name="Rango2_40_37"/>
    <protectedRange algorithmName="SHA-512" hashValue="XZw03RosI/l0z9FxmTtF29EdZ7P+4+ybhqoaAAUmURojSR5XbGfjC4f2i8gMqfY+RI9JvfdCA6PSh9TduXfUxA==" saltValue="5TPtLq2WoiRSae/yaDPnTw==" spinCount="100000" sqref="IL2044:IM2045" name="Rango2_99_79_26"/>
    <protectedRange algorithmName="SHA-512" hashValue="XZw03RosI/l0z9FxmTtF29EdZ7P+4+ybhqoaAAUmURojSR5XbGfjC4f2i8gMqfY+RI9JvfdCA6PSh9TduXfUxA==" saltValue="5TPtLq2WoiRSae/yaDPnTw==" spinCount="100000" sqref="IO2044:IO2045" name="Rango2_99_80_44"/>
    <protectedRange algorithmName="SHA-512" hashValue="XZw03RosI/l0z9FxmTtF29EdZ7P+4+ybhqoaAAUmURojSR5XbGfjC4f2i8gMqfY+RI9JvfdCA6PSh9TduXfUxA==" saltValue="5TPtLq2WoiRSae/yaDPnTw==" spinCount="100000" sqref="EA2046:EJ2047" name="Rango2_99_18_40"/>
    <protectedRange algorithmName="SHA-512" hashValue="9+DNppQbWrLYYUMoJ+lyQctV2bX3Vq9kZnegLbpjTLP49It2ovUbcartuoQTeXgP+TGpY//7mDH/UQlFCKDGiA==" saltValue="KUnni6YEm00anzSSvyLqQA==" spinCount="100000" sqref="EN2046:EN2047" name="Rango2_22_35"/>
    <protectedRange algorithmName="SHA-512" hashValue="XZw03RosI/l0z9FxmTtF29EdZ7P+4+ybhqoaAAUmURojSR5XbGfjC4f2i8gMqfY+RI9JvfdCA6PSh9TduXfUxA==" saltValue="5TPtLq2WoiRSae/yaDPnTw==" spinCount="100000" sqref="ER2046:ES2047" name="Rango2_99_20_37"/>
    <protectedRange algorithmName="SHA-512" hashValue="XZw03RosI/l0z9FxmTtF29EdZ7P+4+ybhqoaAAUmURojSR5XbGfjC4f2i8gMqfY+RI9JvfdCA6PSh9TduXfUxA==" saltValue="5TPtLq2WoiRSae/yaDPnTw==" spinCount="100000" sqref="EV2046:EW2047" name="Rango2_99_22_37"/>
    <protectedRange algorithmName="SHA-512" hashValue="9+DNppQbWrLYYUMoJ+lyQctV2bX3Vq9kZnegLbpjTLP49It2ovUbcartuoQTeXgP+TGpY//7mDH/UQlFCKDGiA==" saltValue="KUnni6YEm00anzSSvyLqQA==" spinCount="100000" sqref="FC2046:FC2047" name="Rango2_26_36"/>
    <protectedRange algorithmName="SHA-512" hashValue="XZw03RosI/l0z9FxmTtF29EdZ7P+4+ybhqoaAAUmURojSR5XbGfjC4f2i8gMqfY+RI9JvfdCA6PSh9TduXfUxA==" saltValue="5TPtLq2WoiRSae/yaDPnTw==" spinCount="100000" sqref="FF2046:FF2047" name="Rango2_99_23_40"/>
    <protectedRange algorithmName="SHA-512" hashValue="9+DNppQbWrLYYUMoJ+lyQctV2bX3Vq9kZnegLbpjTLP49It2ovUbcartuoQTeXgP+TGpY//7mDH/UQlFCKDGiA==" saltValue="KUnni6YEm00anzSSvyLqQA==" spinCount="100000" sqref="FH2046:FH2047" name="Rango2_35_37"/>
    <protectedRange algorithmName="SHA-512" hashValue="XZw03RosI/l0z9FxmTtF29EdZ7P+4+ybhqoaAAUmURojSR5XbGfjC4f2i8gMqfY+RI9JvfdCA6PSh9TduXfUxA==" saltValue="5TPtLq2WoiRSae/yaDPnTw==" spinCount="100000" sqref="FQ2046:FR2047" name="Rango2_99_27_39"/>
    <protectedRange algorithmName="SHA-512" hashValue="XZw03RosI/l0z9FxmTtF29EdZ7P+4+ybhqoaAAUmURojSR5XbGfjC4f2i8gMqfY+RI9JvfdCA6PSh9TduXfUxA==" saltValue="5TPtLq2WoiRSae/yaDPnTw==" spinCount="100000" sqref="FU2046:FU2047" name="Rango2_99_29_36"/>
    <protectedRange algorithmName="SHA-512" hashValue="XZw03RosI/l0z9FxmTtF29EdZ7P+4+ybhqoaAAUmURojSR5XbGfjC4f2i8gMqfY+RI9JvfdCA6PSh9TduXfUxA==" saltValue="5TPtLq2WoiRSae/yaDPnTw==" spinCount="100000" sqref="FW2046:FX2047" name="Rango2_99_31_36"/>
    <protectedRange algorithmName="SHA-512" hashValue="Umj9+5Ys20VQPxBFtc6qE5LtKKSgPKwit+B8dd4XnEUaLfBM2ozpkEC4YxwK0SbBiAHDDex+pY+LomQ0lyuamQ==" saltValue="N2/MCRws+mmA+NXw0axolg==" spinCount="100000" sqref="FY2046:FY2047" name="Rango2_31_2_2_37"/>
    <protectedRange algorithmName="SHA-512" hashValue="Rgskw+AQdeJ5qbJdarzTa3SCkJfDGziy0Uan5N0F3IWn/H3Z/e+VcB56R7Nes7MPxNHewNP1sSSucVjz3iTLeA==" saltValue="qKZH3DnwaZHBzy3cBZo1qQ==" spinCount="100000" sqref="GF2046:GF2047" name="Rango2_31_28_1_37"/>
    <protectedRange algorithmName="SHA-512" hashValue="Umj9+5Ys20VQPxBFtc6qE5LtKKSgPKwit+B8dd4XnEUaLfBM2ozpkEC4YxwK0SbBiAHDDex+pY+LomQ0lyuamQ==" saltValue="N2/MCRws+mmA+NXw0axolg==" spinCount="100000" sqref="GE2046:GE2047" name="Rango2_31_2_5_34"/>
    <protectedRange algorithmName="SHA-512" hashValue="Umj9+5Ys20VQPxBFtc6qE5LtKKSgPKwit+B8dd4XnEUaLfBM2ozpkEC4YxwK0SbBiAHDDex+pY+LomQ0lyuamQ==" saltValue="N2/MCRws+mmA+NXw0axolg==" spinCount="100000" sqref="GJ2046:GJ2047 GH2046:GH2047 GL2046:GL2047" name="Rango2_31_2_6_34"/>
    <protectedRange algorithmName="SHA-512" hashValue="XZw03RosI/l0z9FxmTtF29EdZ7P+4+ybhqoaAAUmURojSR5XbGfjC4f2i8gMqfY+RI9JvfdCA6PSh9TduXfUxA==" saltValue="5TPtLq2WoiRSae/yaDPnTw==" spinCount="100000" sqref="GO2046:GO2047 GM2046:GM2047 GK2046:GK2047" name="Rango2_99_36_39"/>
    <protectedRange algorithmName="SHA-512" hashValue="EEHzbvEYwO1eufllBljOz0uf9BJ2ENtvOScQ7IsS321QhYbwKn7qhHKKP8cKj02rTDvVRMWvwQ1ZP0mZWsBprQ==" saltValue="CjXqBRFbKezlWOFV37MnDQ==" spinCount="100000" sqref="GQ2046:GR2047" name="Rango2_30_2_2_38"/>
    <protectedRange algorithmName="SHA-512" hashValue="EEHzbvEYwO1eufllBljOz0uf9BJ2ENtvOScQ7IsS321QhYbwKn7qhHKKP8cKj02rTDvVRMWvwQ1ZP0mZWsBprQ==" saltValue="CjXqBRFbKezlWOFV37MnDQ==" spinCount="100000" sqref="GW2046:GW2047" name="Rango2_30_2_3_36"/>
    <protectedRange algorithmName="SHA-512" hashValue="XZw03RosI/l0z9FxmTtF29EdZ7P+4+ybhqoaAAUmURojSR5XbGfjC4f2i8gMqfY+RI9JvfdCA6PSh9TduXfUxA==" saltValue="5TPtLq2WoiRSae/yaDPnTw==" spinCount="100000" sqref="GY2046:GZ2047" name="Rango2_99_39_34"/>
    <protectedRange algorithmName="SHA-512" hashValue="XZw03RosI/l0z9FxmTtF29EdZ7P+4+ybhqoaAAUmURojSR5XbGfjC4f2i8gMqfY+RI9JvfdCA6PSh9TduXfUxA==" saltValue="5TPtLq2WoiRSae/yaDPnTw==" spinCount="100000" sqref="HJ2046:HJ2047" name="Rango2_99_40_38"/>
    <protectedRange algorithmName="SHA-512" hashValue="9+DNppQbWrLYYUMoJ+lyQctV2bX3Vq9kZnegLbpjTLP49It2ovUbcartuoQTeXgP+TGpY//7mDH/UQlFCKDGiA==" saltValue="KUnni6YEm00anzSSvyLqQA==" spinCount="100000" sqref="HD2046:HI2047" name="Rango2_39_40"/>
    <protectedRange algorithmName="SHA-512" hashValue="XZw03RosI/l0z9FxmTtF29EdZ7P+4+ybhqoaAAUmURojSR5XbGfjC4f2i8gMqfY+RI9JvfdCA6PSh9TduXfUxA==" saltValue="5TPtLq2WoiRSae/yaDPnTw==" spinCount="100000" sqref="IB2046:IB2047 HU2046:HZ2047" name="Rango2_99_41_35"/>
    <protectedRange algorithmName="SHA-512" hashValue="9+DNppQbWrLYYUMoJ+lyQctV2bX3Vq9kZnegLbpjTLP49It2ovUbcartuoQTeXgP+TGpY//7mDH/UQlFCKDGiA==" saltValue="KUnni6YEm00anzSSvyLqQA==" spinCount="100000" sqref="HS2046:HT2047" name="Rango2_40_38"/>
    <protectedRange algorithmName="SHA-512" hashValue="XZw03RosI/l0z9FxmTtF29EdZ7P+4+ybhqoaAAUmURojSR5XbGfjC4f2i8gMqfY+RI9JvfdCA6PSh9TduXfUxA==" saltValue="5TPtLq2WoiRSae/yaDPnTw==" spinCount="100000" sqref="IL2046:IM2047" name="Rango2_99_79_27"/>
    <protectedRange algorithmName="SHA-512" hashValue="XZw03RosI/l0z9FxmTtF29EdZ7P+4+ybhqoaAAUmURojSR5XbGfjC4f2i8gMqfY+RI9JvfdCA6PSh9TduXfUxA==" saltValue="5TPtLq2WoiRSae/yaDPnTw==" spinCount="100000" sqref="IO2046:IO2047" name="Rango2_99_80_45"/>
    <protectedRange algorithmName="SHA-512" hashValue="XZw03RosI/l0z9FxmTtF29EdZ7P+4+ybhqoaAAUmURojSR5XbGfjC4f2i8gMqfY+RI9JvfdCA6PSh9TduXfUxA==" saltValue="5TPtLq2WoiRSae/yaDPnTw==" spinCount="100000" sqref="EA2048:EJ2048" name="Rango2_99_18_41"/>
    <protectedRange algorithmName="SHA-512" hashValue="9+DNppQbWrLYYUMoJ+lyQctV2bX3Vq9kZnegLbpjTLP49It2ovUbcartuoQTeXgP+TGpY//7mDH/UQlFCKDGiA==" saltValue="KUnni6YEm00anzSSvyLqQA==" spinCount="100000" sqref="EN2048" name="Rango2_22_36"/>
    <protectedRange algorithmName="SHA-512" hashValue="XZw03RosI/l0z9FxmTtF29EdZ7P+4+ybhqoaAAUmURojSR5XbGfjC4f2i8gMqfY+RI9JvfdCA6PSh9TduXfUxA==" saltValue="5TPtLq2WoiRSae/yaDPnTw==" spinCount="100000" sqref="ER2048:ES2048" name="Rango2_99_20_38"/>
    <protectedRange algorithmName="SHA-512" hashValue="XZw03RosI/l0z9FxmTtF29EdZ7P+4+ybhqoaAAUmURojSR5XbGfjC4f2i8gMqfY+RI9JvfdCA6PSh9TduXfUxA==" saltValue="5TPtLq2WoiRSae/yaDPnTw==" spinCount="100000" sqref="EV2048:EW2048" name="Rango2_99_22_38"/>
    <protectedRange algorithmName="SHA-512" hashValue="9+DNppQbWrLYYUMoJ+lyQctV2bX3Vq9kZnegLbpjTLP49It2ovUbcartuoQTeXgP+TGpY//7mDH/UQlFCKDGiA==" saltValue="KUnni6YEm00anzSSvyLqQA==" spinCount="100000" sqref="FC2048" name="Rango2_26_37"/>
    <protectedRange algorithmName="SHA-512" hashValue="XZw03RosI/l0z9FxmTtF29EdZ7P+4+ybhqoaAAUmURojSR5XbGfjC4f2i8gMqfY+RI9JvfdCA6PSh9TduXfUxA==" saltValue="5TPtLq2WoiRSae/yaDPnTw==" spinCount="100000" sqref="FF2048" name="Rango2_99_23_41"/>
    <protectedRange algorithmName="SHA-512" hashValue="9+DNppQbWrLYYUMoJ+lyQctV2bX3Vq9kZnegLbpjTLP49It2ovUbcartuoQTeXgP+TGpY//7mDH/UQlFCKDGiA==" saltValue="KUnni6YEm00anzSSvyLqQA==" spinCount="100000" sqref="FH2048" name="Rango2_35_38"/>
    <protectedRange algorithmName="SHA-512" hashValue="XZw03RosI/l0z9FxmTtF29EdZ7P+4+ybhqoaAAUmURojSR5XbGfjC4f2i8gMqfY+RI9JvfdCA6PSh9TduXfUxA==" saltValue="5TPtLq2WoiRSae/yaDPnTw==" spinCount="100000" sqref="FQ2048:FR2048" name="Rango2_99_27_40"/>
    <protectedRange algorithmName="SHA-512" hashValue="XZw03RosI/l0z9FxmTtF29EdZ7P+4+ybhqoaAAUmURojSR5XbGfjC4f2i8gMqfY+RI9JvfdCA6PSh9TduXfUxA==" saltValue="5TPtLq2WoiRSae/yaDPnTw==" spinCount="100000" sqref="FU2048" name="Rango2_99_29_37"/>
    <protectedRange algorithmName="SHA-512" hashValue="XZw03RosI/l0z9FxmTtF29EdZ7P+4+ybhqoaAAUmURojSR5XbGfjC4f2i8gMqfY+RI9JvfdCA6PSh9TduXfUxA==" saltValue="5TPtLq2WoiRSae/yaDPnTw==" spinCount="100000" sqref="FW2048:FX2048" name="Rango2_99_31_37"/>
    <protectedRange algorithmName="SHA-512" hashValue="Umj9+5Ys20VQPxBFtc6qE5LtKKSgPKwit+B8dd4XnEUaLfBM2ozpkEC4YxwK0SbBiAHDDex+pY+LomQ0lyuamQ==" saltValue="N2/MCRws+mmA+NXw0axolg==" spinCount="100000" sqref="FY2048" name="Rango2_31_2_2_38"/>
    <protectedRange algorithmName="SHA-512" hashValue="Rgskw+AQdeJ5qbJdarzTa3SCkJfDGziy0Uan5N0F3IWn/H3Z/e+VcB56R7Nes7MPxNHewNP1sSSucVjz3iTLeA==" saltValue="qKZH3DnwaZHBzy3cBZo1qQ==" spinCount="100000" sqref="GF2048" name="Rango2_31_28_1_38"/>
    <protectedRange algorithmName="SHA-512" hashValue="Umj9+5Ys20VQPxBFtc6qE5LtKKSgPKwit+B8dd4XnEUaLfBM2ozpkEC4YxwK0SbBiAHDDex+pY+LomQ0lyuamQ==" saltValue="N2/MCRws+mmA+NXw0axolg==" spinCount="100000" sqref="GE2048" name="Rango2_31_2_5_35"/>
    <protectedRange algorithmName="SHA-512" hashValue="Umj9+5Ys20VQPxBFtc6qE5LtKKSgPKwit+B8dd4XnEUaLfBM2ozpkEC4YxwK0SbBiAHDDex+pY+LomQ0lyuamQ==" saltValue="N2/MCRws+mmA+NXw0axolg==" spinCount="100000" sqref="GJ2048 GH2048 GL2048" name="Rango2_31_2_6_35"/>
    <protectedRange algorithmName="SHA-512" hashValue="XZw03RosI/l0z9FxmTtF29EdZ7P+4+ybhqoaAAUmURojSR5XbGfjC4f2i8gMqfY+RI9JvfdCA6PSh9TduXfUxA==" saltValue="5TPtLq2WoiRSae/yaDPnTw==" spinCount="100000" sqref="GO2048 GM2048 GK2048" name="Rango2_99_36_40"/>
    <protectedRange algorithmName="SHA-512" hashValue="EEHzbvEYwO1eufllBljOz0uf9BJ2ENtvOScQ7IsS321QhYbwKn7qhHKKP8cKj02rTDvVRMWvwQ1ZP0mZWsBprQ==" saltValue="CjXqBRFbKezlWOFV37MnDQ==" spinCount="100000" sqref="GQ2048:GR2048" name="Rango2_30_2_2_39"/>
    <protectedRange algorithmName="SHA-512" hashValue="EEHzbvEYwO1eufllBljOz0uf9BJ2ENtvOScQ7IsS321QhYbwKn7qhHKKP8cKj02rTDvVRMWvwQ1ZP0mZWsBprQ==" saltValue="CjXqBRFbKezlWOFV37MnDQ==" spinCount="100000" sqref="GW2048" name="Rango2_30_2_3_37"/>
    <protectedRange algorithmName="SHA-512" hashValue="XZw03RosI/l0z9FxmTtF29EdZ7P+4+ybhqoaAAUmURojSR5XbGfjC4f2i8gMqfY+RI9JvfdCA6PSh9TduXfUxA==" saltValue="5TPtLq2WoiRSae/yaDPnTw==" spinCount="100000" sqref="GY2048:GZ2048" name="Rango2_99_39_35"/>
    <protectedRange algorithmName="SHA-512" hashValue="XZw03RosI/l0z9FxmTtF29EdZ7P+4+ybhqoaAAUmURojSR5XbGfjC4f2i8gMqfY+RI9JvfdCA6PSh9TduXfUxA==" saltValue="5TPtLq2WoiRSae/yaDPnTw==" spinCount="100000" sqref="HJ2048" name="Rango2_99_40_39"/>
    <protectedRange algorithmName="SHA-512" hashValue="9+DNppQbWrLYYUMoJ+lyQctV2bX3Vq9kZnegLbpjTLP49It2ovUbcartuoQTeXgP+TGpY//7mDH/UQlFCKDGiA==" saltValue="KUnni6YEm00anzSSvyLqQA==" spinCount="100000" sqref="HD2048:HI2048" name="Rango2_39_41"/>
    <protectedRange algorithmName="SHA-512" hashValue="XZw03RosI/l0z9FxmTtF29EdZ7P+4+ybhqoaAAUmURojSR5XbGfjC4f2i8gMqfY+RI9JvfdCA6PSh9TduXfUxA==" saltValue="5TPtLq2WoiRSae/yaDPnTw==" spinCount="100000" sqref="IB2048 HU2048:HZ2048" name="Rango2_99_41_36"/>
    <protectedRange algorithmName="SHA-512" hashValue="9+DNppQbWrLYYUMoJ+lyQctV2bX3Vq9kZnegLbpjTLP49It2ovUbcartuoQTeXgP+TGpY//7mDH/UQlFCKDGiA==" saltValue="KUnni6YEm00anzSSvyLqQA==" spinCount="100000" sqref="HS2048:HT2048" name="Rango2_40_39"/>
    <protectedRange algorithmName="SHA-512" hashValue="XZw03RosI/l0z9FxmTtF29EdZ7P+4+ybhqoaAAUmURojSR5XbGfjC4f2i8gMqfY+RI9JvfdCA6PSh9TduXfUxA==" saltValue="5TPtLq2WoiRSae/yaDPnTw==" spinCount="100000" sqref="IL2048:IM2048" name="Rango2_99_79_28"/>
    <protectedRange algorithmName="SHA-512" hashValue="XZw03RosI/l0z9FxmTtF29EdZ7P+4+ybhqoaAAUmURojSR5XbGfjC4f2i8gMqfY+RI9JvfdCA6PSh9TduXfUxA==" saltValue="5TPtLq2WoiRSae/yaDPnTw==" spinCount="100000" sqref="IO2048" name="Rango2_99_80_46"/>
    <protectedRange algorithmName="SHA-512" hashValue="XZw03RosI/l0z9FxmTtF29EdZ7P+4+ybhqoaAAUmURojSR5XbGfjC4f2i8gMqfY+RI9JvfdCA6PSh9TduXfUxA==" saltValue="5TPtLq2WoiRSae/yaDPnTw==" spinCount="100000" sqref="EA2049:EJ2054" name="Rango2_99_18_42"/>
    <protectedRange algorithmName="SHA-512" hashValue="9+DNppQbWrLYYUMoJ+lyQctV2bX3Vq9kZnegLbpjTLP49It2ovUbcartuoQTeXgP+TGpY//7mDH/UQlFCKDGiA==" saltValue="KUnni6YEm00anzSSvyLqQA==" spinCount="100000" sqref="EN2049:EN2054" name="Rango2_22_37"/>
    <protectedRange algorithmName="SHA-512" hashValue="XZw03RosI/l0z9FxmTtF29EdZ7P+4+ybhqoaAAUmURojSR5XbGfjC4f2i8gMqfY+RI9JvfdCA6PSh9TduXfUxA==" saltValue="5TPtLq2WoiRSae/yaDPnTw==" spinCount="100000" sqref="ER2049:ES2054" name="Rango2_99_20_39"/>
    <protectedRange algorithmName="SHA-512" hashValue="XZw03RosI/l0z9FxmTtF29EdZ7P+4+ybhqoaAAUmURojSR5XbGfjC4f2i8gMqfY+RI9JvfdCA6PSh9TduXfUxA==" saltValue="5TPtLq2WoiRSae/yaDPnTw==" spinCount="100000" sqref="EV2049:EW2054" name="Rango2_99_22_39"/>
    <protectedRange algorithmName="SHA-512" hashValue="9+DNppQbWrLYYUMoJ+lyQctV2bX3Vq9kZnegLbpjTLP49It2ovUbcartuoQTeXgP+TGpY//7mDH/UQlFCKDGiA==" saltValue="KUnni6YEm00anzSSvyLqQA==" spinCount="100000" sqref="FC2049:FC2054" name="Rango2_26_38"/>
    <protectedRange algorithmName="SHA-512" hashValue="XZw03RosI/l0z9FxmTtF29EdZ7P+4+ybhqoaAAUmURojSR5XbGfjC4f2i8gMqfY+RI9JvfdCA6PSh9TduXfUxA==" saltValue="5TPtLq2WoiRSae/yaDPnTw==" spinCount="100000" sqref="FF2049:FF2054" name="Rango2_99_23_42"/>
    <protectedRange algorithmName="SHA-512" hashValue="9+DNppQbWrLYYUMoJ+lyQctV2bX3Vq9kZnegLbpjTLP49It2ovUbcartuoQTeXgP+TGpY//7mDH/UQlFCKDGiA==" saltValue="KUnni6YEm00anzSSvyLqQA==" spinCount="100000" sqref="FH2049:FH2054" name="Rango2_35_39"/>
    <protectedRange algorithmName="SHA-512" hashValue="XZw03RosI/l0z9FxmTtF29EdZ7P+4+ybhqoaAAUmURojSR5XbGfjC4f2i8gMqfY+RI9JvfdCA6PSh9TduXfUxA==" saltValue="5TPtLq2WoiRSae/yaDPnTw==" spinCount="100000" sqref="FQ2049:FR2054" name="Rango2_99_27_41"/>
    <protectedRange algorithmName="SHA-512" hashValue="XZw03RosI/l0z9FxmTtF29EdZ7P+4+ybhqoaAAUmURojSR5XbGfjC4f2i8gMqfY+RI9JvfdCA6PSh9TduXfUxA==" saltValue="5TPtLq2WoiRSae/yaDPnTw==" spinCount="100000" sqref="FU2049:FU2054" name="Rango2_99_29_38"/>
    <protectedRange algorithmName="SHA-512" hashValue="XZw03RosI/l0z9FxmTtF29EdZ7P+4+ybhqoaAAUmURojSR5XbGfjC4f2i8gMqfY+RI9JvfdCA6PSh9TduXfUxA==" saltValue="5TPtLq2WoiRSae/yaDPnTw==" spinCount="100000" sqref="FW2049:FX2054" name="Rango2_99_31_38"/>
    <protectedRange algorithmName="SHA-512" hashValue="Umj9+5Ys20VQPxBFtc6qE5LtKKSgPKwit+B8dd4XnEUaLfBM2ozpkEC4YxwK0SbBiAHDDex+pY+LomQ0lyuamQ==" saltValue="N2/MCRws+mmA+NXw0axolg==" spinCount="100000" sqref="FY2049:FY2054" name="Rango2_31_2_2_39"/>
    <protectedRange algorithmName="SHA-512" hashValue="Umj9+5Ys20VQPxBFtc6qE5LtKKSgPKwit+B8dd4XnEUaLfBM2ozpkEC4YxwK0SbBiAHDDex+pY+LomQ0lyuamQ==" saltValue="N2/MCRws+mmA+NXw0axolg==" spinCount="100000" sqref="GB2049 GB2053" name="Rango2_31_2_4_37"/>
    <protectedRange algorithmName="SHA-512" hashValue="Rgskw+AQdeJ5qbJdarzTa3SCkJfDGziy0Uan5N0F3IWn/H3Z/e+VcB56R7Nes7MPxNHewNP1sSSucVjz3iTLeA==" saltValue="qKZH3DnwaZHBzy3cBZo1qQ==" spinCount="100000" sqref="GF2049:GF2054" name="Rango2_31_28_1_39"/>
    <protectedRange algorithmName="SHA-512" hashValue="Umj9+5Ys20VQPxBFtc6qE5LtKKSgPKwit+B8dd4XnEUaLfBM2ozpkEC4YxwK0SbBiAHDDex+pY+LomQ0lyuamQ==" saltValue="N2/MCRws+mmA+NXw0axolg==" spinCount="100000" sqref="GE2049:GE2054" name="Rango2_31_2_5_36"/>
    <protectedRange algorithmName="SHA-512" hashValue="Umj9+5Ys20VQPxBFtc6qE5LtKKSgPKwit+B8dd4XnEUaLfBM2ozpkEC4YxwK0SbBiAHDDex+pY+LomQ0lyuamQ==" saltValue="N2/MCRws+mmA+NXw0axolg==" spinCount="100000" sqref="GJ2049:GJ2054 GH2049:GH2054 GL2049:GL2054" name="Rango2_31_2_6_36"/>
    <protectedRange algorithmName="SHA-512" hashValue="XZw03RosI/l0z9FxmTtF29EdZ7P+4+ybhqoaAAUmURojSR5XbGfjC4f2i8gMqfY+RI9JvfdCA6PSh9TduXfUxA==" saltValue="5TPtLq2WoiRSae/yaDPnTw==" spinCount="100000" sqref="GO2049:GO2054 GM2049:GM2054 GK2049:GK2054" name="Rango2_99_36_41"/>
    <protectedRange algorithmName="SHA-512" hashValue="EEHzbvEYwO1eufllBljOz0uf9BJ2ENtvOScQ7IsS321QhYbwKn7qhHKKP8cKj02rTDvVRMWvwQ1ZP0mZWsBprQ==" saltValue="CjXqBRFbKezlWOFV37MnDQ==" spinCount="100000" sqref="GQ2049:GR2054" name="Rango2_30_2_2_40"/>
    <protectedRange algorithmName="SHA-512" hashValue="EEHzbvEYwO1eufllBljOz0uf9BJ2ENtvOScQ7IsS321QhYbwKn7qhHKKP8cKj02rTDvVRMWvwQ1ZP0mZWsBprQ==" saltValue="CjXqBRFbKezlWOFV37MnDQ==" spinCount="100000" sqref="GW2049:GW2054" name="Rango2_30_2_3_38"/>
    <protectedRange algorithmName="SHA-512" hashValue="XZw03RosI/l0z9FxmTtF29EdZ7P+4+ybhqoaAAUmURojSR5XbGfjC4f2i8gMqfY+RI9JvfdCA6PSh9TduXfUxA==" saltValue="5TPtLq2WoiRSae/yaDPnTw==" spinCount="100000" sqref="GY2049:GZ2054" name="Rango2_99_39_36"/>
    <protectedRange algorithmName="SHA-512" hashValue="XZw03RosI/l0z9FxmTtF29EdZ7P+4+ybhqoaAAUmURojSR5XbGfjC4f2i8gMqfY+RI9JvfdCA6PSh9TduXfUxA==" saltValue="5TPtLq2WoiRSae/yaDPnTw==" spinCount="100000" sqref="HJ2049:HJ2054" name="Rango2_99_40_40"/>
    <protectedRange algorithmName="SHA-512" hashValue="9+DNppQbWrLYYUMoJ+lyQctV2bX3Vq9kZnegLbpjTLP49It2ovUbcartuoQTeXgP+TGpY//7mDH/UQlFCKDGiA==" saltValue="KUnni6YEm00anzSSvyLqQA==" spinCount="100000" sqref="HD2049:HI2054" name="Rango2_39_42"/>
    <protectedRange algorithmName="SHA-512" hashValue="XZw03RosI/l0z9FxmTtF29EdZ7P+4+ybhqoaAAUmURojSR5XbGfjC4f2i8gMqfY+RI9JvfdCA6PSh9TduXfUxA==" saltValue="5TPtLq2WoiRSae/yaDPnTw==" spinCount="100000" sqref="IB2049:IB2054 HU2049:HZ2054" name="Rango2_99_41_37"/>
    <protectedRange algorithmName="SHA-512" hashValue="9+DNppQbWrLYYUMoJ+lyQctV2bX3Vq9kZnegLbpjTLP49It2ovUbcartuoQTeXgP+TGpY//7mDH/UQlFCKDGiA==" saltValue="KUnni6YEm00anzSSvyLqQA==" spinCount="100000" sqref="HS2049:HT2054" name="Rango2_40_40"/>
    <protectedRange algorithmName="SHA-512" hashValue="XZw03RosI/l0z9FxmTtF29EdZ7P+4+ybhqoaAAUmURojSR5XbGfjC4f2i8gMqfY+RI9JvfdCA6PSh9TduXfUxA==" saltValue="5TPtLq2WoiRSae/yaDPnTw==" spinCount="100000" sqref="IL2049:IM2054" name="Rango2_99_79_29"/>
    <protectedRange algorithmName="SHA-512" hashValue="XZw03RosI/l0z9FxmTtF29EdZ7P+4+ybhqoaAAUmURojSR5XbGfjC4f2i8gMqfY+RI9JvfdCA6PSh9TduXfUxA==" saltValue="5TPtLq2WoiRSae/yaDPnTw==" spinCount="100000" sqref="IO2049:IO2054" name="Rango2_99_80_47"/>
    <protectedRange algorithmName="SHA-512" hashValue="XZw03RosI/l0z9FxmTtF29EdZ7P+4+ybhqoaAAUmURojSR5XbGfjC4f2i8gMqfY+RI9JvfdCA6PSh9TduXfUxA==" saltValue="5TPtLq2WoiRSae/yaDPnTw==" spinCount="100000" sqref="EA2055:EJ2096" name="Rango2_99_18_43"/>
    <protectedRange algorithmName="SHA-512" hashValue="9+DNppQbWrLYYUMoJ+lyQctV2bX3Vq9kZnegLbpjTLP49It2ovUbcartuoQTeXgP+TGpY//7mDH/UQlFCKDGiA==" saltValue="KUnni6YEm00anzSSvyLqQA==" spinCount="100000" sqref="EN2055:EN2096" name="Rango2_22_38"/>
    <protectedRange algorithmName="SHA-512" hashValue="XZw03RosI/l0z9FxmTtF29EdZ7P+4+ybhqoaAAUmURojSR5XbGfjC4f2i8gMqfY+RI9JvfdCA6PSh9TduXfUxA==" saltValue="5TPtLq2WoiRSae/yaDPnTw==" spinCount="100000" sqref="ER2055:ES2096" name="Rango2_99_20_40"/>
    <protectedRange algorithmName="SHA-512" hashValue="XZw03RosI/l0z9FxmTtF29EdZ7P+4+ybhqoaAAUmURojSR5XbGfjC4f2i8gMqfY+RI9JvfdCA6PSh9TduXfUxA==" saltValue="5TPtLq2WoiRSae/yaDPnTw==" spinCount="100000" sqref="EV2055:EW2096" name="Rango2_99_22_40"/>
    <protectedRange algorithmName="SHA-512" hashValue="9+DNppQbWrLYYUMoJ+lyQctV2bX3Vq9kZnegLbpjTLP49It2ovUbcartuoQTeXgP+TGpY//7mDH/UQlFCKDGiA==" saltValue="KUnni6YEm00anzSSvyLqQA==" spinCount="100000" sqref="FC2055:FC2096" name="Rango2_26_39"/>
    <protectedRange algorithmName="SHA-512" hashValue="XZw03RosI/l0z9FxmTtF29EdZ7P+4+ybhqoaAAUmURojSR5XbGfjC4f2i8gMqfY+RI9JvfdCA6PSh9TduXfUxA==" saltValue="5TPtLq2WoiRSae/yaDPnTw==" spinCount="100000" sqref="FF2055:FF2096" name="Rango2_99_23_43"/>
    <protectedRange algorithmName="SHA-512" hashValue="9+DNppQbWrLYYUMoJ+lyQctV2bX3Vq9kZnegLbpjTLP49It2ovUbcartuoQTeXgP+TGpY//7mDH/UQlFCKDGiA==" saltValue="KUnni6YEm00anzSSvyLqQA==" spinCount="100000" sqref="FH2055:FH2096" name="Rango2_35_40"/>
    <protectedRange algorithmName="SHA-512" hashValue="XZw03RosI/l0z9FxmTtF29EdZ7P+4+ybhqoaAAUmURojSR5XbGfjC4f2i8gMqfY+RI9JvfdCA6PSh9TduXfUxA==" saltValue="5TPtLq2WoiRSae/yaDPnTw==" spinCount="100000" sqref="FQ2055:FR2096" name="Rango2_99_27_42"/>
    <protectedRange algorithmName="SHA-512" hashValue="XZw03RosI/l0z9FxmTtF29EdZ7P+4+ybhqoaAAUmURojSR5XbGfjC4f2i8gMqfY+RI9JvfdCA6PSh9TduXfUxA==" saltValue="5TPtLq2WoiRSae/yaDPnTw==" spinCount="100000" sqref="FU2055:FU2096" name="Rango2_99_29_39"/>
    <protectedRange algorithmName="SHA-512" hashValue="XZw03RosI/l0z9FxmTtF29EdZ7P+4+ybhqoaAAUmURojSR5XbGfjC4f2i8gMqfY+RI9JvfdCA6PSh9TduXfUxA==" saltValue="5TPtLq2WoiRSae/yaDPnTw==" spinCount="100000" sqref="FW2055:FX2096" name="Rango2_99_31_39"/>
    <protectedRange algorithmName="SHA-512" hashValue="Umj9+5Ys20VQPxBFtc6qE5LtKKSgPKwit+B8dd4XnEUaLfBM2ozpkEC4YxwK0SbBiAHDDex+pY+LomQ0lyuamQ==" saltValue="N2/MCRws+mmA+NXw0axolg==" spinCount="100000" sqref="FY2055:FY2096" name="Rango2_31_2_2_40"/>
    <protectedRange algorithmName="SHA-512" hashValue="Umj9+5Ys20VQPxBFtc6qE5LtKKSgPKwit+B8dd4XnEUaLfBM2ozpkEC4YxwK0SbBiAHDDex+pY+LomQ0lyuamQ==" saltValue="N2/MCRws+mmA+NXw0axolg==" spinCount="100000" sqref="GB2055:GB2056 GB2058 GB2063 GB2065 GB2067:GB2069 GB2072 GB2074:GB2075 GB2079:GB2080 GB2085 GB2088:GB2093 GB2096" name="Rango2_31_2_4_38"/>
    <protectedRange algorithmName="SHA-512" hashValue="Rgskw+AQdeJ5qbJdarzTa3SCkJfDGziy0Uan5N0F3IWn/H3Z/e+VcB56R7Nes7MPxNHewNP1sSSucVjz3iTLeA==" saltValue="qKZH3DnwaZHBzy3cBZo1qQ==" spinCount="100000" sqref="GF2055:GF2096" name="Rango2_31_28_1_40"/>
    <protectedRange algorithmName="SHA-512" hashValue="Umj9+5Ys20VQPxBFtc6qE5LtKKSgPKwit+B8dd4XnEUaLfBM2ozpkEC4YxwK0SbBiAHDDex+pY+LomQ0lyuamQ==" saltValue="N2/MCRws+mmA+NXw0axolg==" spinCount="100000" sqref="GE2055:GE2096" name="Rango2_31_2_5_37"/>
    <protectedRange algorithmName="SHA-512" hashValue="Umj9+5Ys20VQPxBFtc6qE5LtKKSgPKwit+B8dd4XnEUaLfBM2ozpkEC4YxwK0SbBiAHDDex+pY+LomQ0lyuamQ==" saltValue="N2/MCRws+mmA+NXw0axolg==" spinCount="100000" sqref="GJ2055:GJ2096 GH2055:GH2096 GL2055:GL2096" name="Rango2_31_2_6_37"/>
    <protectedRange algorithmName="SHA-512" hashValue="XZw03RosI/l0z9FxmTtF29EdZ7P+4+ybhqoaAAUmURojSR5XbGfjC4f2i8gMqfY+RI9JvfdCA6PSh9TduXfUxA==" saltValue="5TPtLq2WoiRSae/yaDPnTw==" spinCount="100000" sqref="GO2055:GO2096 GM2055:GM2096 GK2055:GK2096" name="Rango2_99_36_42"/>
    <protectedRange algorithmName="SHA-512" hashValue="EEHzbvEYwO1eufllBljOz0uf9BJ2ENtvOScQ7IsS321QhYbwKn7qhHKKP8cKj02rTDvVRMWvwQ1ZP0mZWsBprQ==" saltValue="CjXqBRFbKezlWOFV37MnDQ==" spinCount="100000" sqref="GQ2055:GR2096" name="Rango2_30_2_2_41"/>
    <protectedRange algorithmName="SHA-512" hashValue="EEHzbvEYwO1eufllBljOz0uf9BJ2ENtvOScQ7IsS321QhYbwKn7qhHKKP8cKj02rTDvVRMWvwQ1ZP0mZWsBprQ==" saltValue="CjXqBRFbKezlWOFV37MnDQ==" spinCount="100000" sqref="GW2055:GW2096" name="Rango2_30_2_3_39"/>
    <protectedRange algorithmName="SHA-512" hashValue="XZw03RosI/l0z9FxmTtF29EdZ7P+4+ybhqoaAAUmURojSR5XbGfjC4f2i8gMqfY+RI9JvfdCA6PSh9TduXfUxA==" saltValue="5TPtLq2WoiRSae/yaDPnTw==" spinCount="100000" sqref="GY2055:GZ2096" name="Rango2_99_39_37"/>
    <protectedRange algorithmName="SHA-512" hashValue="XZw03RosI/l0z9FxmTtF29EdZ7P+4+ybhqoaAAUmURojSR5XbGfjC4f2i8gMqfY+RI9JvfdCA6PSh9TduXfUxA==" saltValue="5TPtLq2WoiRSae/yaDPnTw==" spinCount="100000" sqref="HJ2055:HJ2096" name="Rango2_99_40_41"/>
    <protectedRange algorithmName="SHA-512" hashValue="9+DNppQbWrLYYUMoJ+lyQctV2bX3Vq9kZnegLbpjTLP49It2ovUbcartuoQTeXgP+TGpY//7mDH/UQlFCKDGiA==" saltValue="KUnni6YEm00anzSSvyLqQA==" spinCount="100000" sqref="HD2055:HI2096" name="Rango2_39_43"/>
    <protectedRange algorithmName="SHA-512" hashValue="XZw03RosI/l0z9FxmTtF29EdZ7P+4+ybhqoaAAUmURojSR5XbGfjC4f2i8gMqfY+RI9JvfdCA6PSh9TduXfUxA==" saltValue="5TPtLq2WoiRSae/yaDPnTw==" spinCount="100000" sqref="IB2055:IB2096 HU2055:HZ2096" name="Rango2_99_41_38"/>
    <protectedRange algorithmName="SHA-512" hashValue="9+DNppQbWrLYYUMoJ+lyQctV2bX3Vq9kZnegLbpjTLP49It2ovUbcartuoQTeXgP+TGpY//7mDH/UQlFCKDGiA==" saltValue="KUnni6YEm00anzSSvyLqQA==" spinCount="100000" sqref="HS2055:HT2096" name="Rango2_40_41"/>
    <protectedRange algorithmName="SHA-512" hashValue="XZw03RosI/l0z9FxmTtF29EdZ7P+4+ybhqoaAAUmURojSR5XbGfjC4f2i8gMqfY+RI9JvfdCA6PSh9TduXfUxA==" saltValue="5TPtLq2WoiRSae/yaDPnTw==" spinCount="100000" sqref="IL2055:IM2096" name="Rango2_99_79_30"/>
    <protectedRange algorithmName="SHA-512" hashValue="XZw03RosI/l0z9FxmTtF29EdZ7P+4+ybhqoaAAUmURojSR5XbGfjC4f2i8gMqfY+RI9JvfdCA6PSh9TduXfUxA==" saltValue="5TPtLq2WoiRSae/yaDPnTw==" spinCount="100000" sqref="IO2055:IO2096" name="Rango2_99_80_48"/>
    <protectedRange algorithmName="SHA-512" hashValue="XZw03RosI/l0z9FxmTtF29EdZ7P+4+ybhqoaAAUmURojSR5XbGfjC4f2i8gMqfY+RI9JvfdCA6PSh9TduXfUxA==" saltValue="5TPtLq2WoiRSae/yaDPnTw==" spinCount="100000" sqref="EA2097:EJ2107" name="Rango2_99_18_44"/>
    <protectedRange algorithmName="SHA-512" hashValue="9+DNppQbWrLYYUMoJ+lyQctV2bX3Vq9kZnegLbpjTLP49It2ovUbcartuoQTeXgP+TGpY//7mDH/UQlFCKDGiA==" saltValue="KUnni6YEm00anzSSvyLqQA==" spinCount="100000" sqref="EN2097:EN2107" name="Rango2_22_39"/>
    <protectedRange algorithmName="SHA-512" hashValue="XZw03RosI/l0z9FxmTtF29EdZ7P+4+ybhqoaAAUmURojSR5XbGfjC4f2i8gMqfY+RI9JvfdCA6PSh9TduXfUxA==" saltValue="5TPtLq2WoiRSae/yaDPnTw==" spinCount="100000" sqref="ER2097:ES2107" name="Rango2_99_20_41"/>
    <protectedRange algorithmName="SHA-512" hashValue="XZw03RosI/l0z9FxmTtF29EdZ7P+4+ybhqoaAAUmURojSR5XbGfjC4f2i8gMqfY+RI9JvfdCA6PSh9TduXfUxA==" saltValue="5TPtLq2WoiRSae/yaDPnTw==" spinCount="100000" sqref="EV2097:EW2107" name="Rango2_99_22_41"/>
    <protectedRange algorithmName="SHA-512" hashValue="9+DNppQbWrLYYUMoJ+lyQctV2bX3Vq9kZnegLbpjTLP49It2ovUbcartuoQTeXgP+TGpY//7mDH/UQlFCKDGiA==" saltValue="KUnni6YEm00anzSSvyLqQA==" spinCount="100000" sqref="FC2097:FC2107" name="Rango2_26_40"/>
    <protectedRange algorithmName="SHA-512" hashValue="XZw03RosI/l0z9FxmTtF29EdZ7P+4+ybhqoaAAUmURojSR5XbGfjC4f2i8gMqfY+RI9JvfdCA6PSh9TduXfUxA==" saltValue="5TPtLq2WoiRSae/yaDPnTw==" spinCount="100000" sqref="FF2097:FF2107" name="Rango2_99_23_44"/>
    <protectedRange algorithmName="SHA-512" hashValue="9+DNppQbWrLYYUMoJ+lyQctV2bX3Vq9kZnegLbpjTLP49It2ovUbcartuoQTeXgP+TGpY//7mDH/UQlFCKDGiA==" saltValue="KUnni6YEm00anzSSvyLqQA==" spinCount="100000" sqref="FH2097:FH2107" name="Rango2_35_41"/>
    <protectedRange algorithmName="SHA-512" hashValue="XZw03RosI/l0z9FxmTtF29EdZ7P+4+ybhqoaAAUmURojSR5XbGfjC4f2i8gMqfY+RI9JvfdCA6PSh9TduXfUxA==" saltValue="5TPtLq2WoiRSae/yaDPnTw==" spinCount="100000" sqref="FQ2097:FR2107" name="Rango2_99_27_43"/>
    <protectedRange algorithmName="SHA-512" hashValue="XZw03RosI/l0z9FxmTtF29EdZ7P+4+ybhqoaAAUmURojSR5XbGfjC4f2i8gMqfY+RI9JvfdCA6PSh9TduXfUxA==" saltValue="5TPtLq2WoiRSae/yaDPnTw==" spinCount="100000" sqref="FU2097:FU2107" name="Rango2_99_29_40"/>
    <protectedRange algorithmName="SHA-512" hashValue="XZw03RosI/l0z9FxmTtF29EdZ7P+4+ybhqoaAAUmURojSR5XbGfjC4f2i8gMqfY+RI9JvfdCA6PSh9TduXfUxA==" saltValue="5TPtLq2WoiRSae/yaDPnTw==" spinCount="100000" sqref="FW2097:FX2107" name="Rango2_99_31_40"/>
    <protectedRange algorithmName="SHA-512" hashValue="Umj9+5Ys20VQPxBFtc6qE5LtKKSgPKwit+B8dd4XnEUaLfBM2ozpkEC4YxwK0SbBiAHDDex+pY+LomQ0lyuamQ==" saltValue="N2/MCRws+mmA+NXw0axolg==" spinCount="100000" sqref="FY2097:FY2107" name="Rango2_31_2_2_41"/>
    <protectedRange algorithmName="SHA-512" hashValue="Umj9+5Ys20VQPxBFtc6qE5LtKKSgPKwit+B8dd4XnEUaLfBM2ozpkEC4YxwK0SbBiAHDDex+pY+LomQ0lyuamQ==" saltValue="N2/MCRws+mmA+NXw0axolg==" spinCount="100000" sqref="GB2097 GB2100:GB2101 GB2106:GB2107" name="Rango2_31_2_4_39"/>
    <protectedRange algorithmName="SHA-512" hashValue="Rgskw+AQdeJ5qbJdarzTa3SCkJfDGziy0Uan5N0F3IWn/H3Z/e+VcB56R7Nes7MPxNHewNP1sSSucVjz3iTLeA==" saltValue="qKZH3DnwaZHBzy3cBZo1qQ==" spinCount="100000" sqref="GF2097:GF2107" name="Rango2_31_28_1_41"/>
    <protectedRange algorithmName="SHA-512" hashValue="Umj9+5Ys20VQPxBFtc6qE5LtKKSgPKwit+B8dd4XnEUaLfBM2ozpkEC4YxwK0SbBiAHDDex+pY+LomQ0lyuamQ==" saltValue="N2/MCRws+mmA+NXw0axolg==" spinCount="100000" sqref="GE2097:GE2107" name="Rango2_31_2_5_38"/>
    <protectedRange algorithmName="SHA-512" hashValue="Umj9+5Ys20VQPxBFtc6qE5LtKKSgPKwit+B8dd4XnEUaLfBM2ozpkEC4YxwK0SbBiAHDDex+pY+LomQ0lyuamQ==" saltValue="N2/MCRws+mmA+NXw0axolg==" spinCount="100000" sqref="GJ2097:GJ2107 GH2097:GH2107 GL2097:GL2107" name="Rango2_31_2_6_38"/>
    <protectedRange algorithmName="SHA-512" hashValue="XZw03RosI/l0z9FxmTtF29EdZ7P+4+ybhqoaAAUmURojSR5XbGfjC4f2i8gMqfY+RI9JvfdCA6PSh9TduXfUxA==" saltValue="5TPtLq2WoiRSae/yaDPnTw==" spinCount="100000" sqref="GO2097:GO2107 GM2097:GM2107 GK2097:GK2107" name="Rango2_99_36_43"/>
    <protectedRange algorithmName="SHA-512" hashValue="EEHzbvEYwO1eufllBljOz0uf9BJ2ENtvOScQ7IsS321QhYbwKn7qhHKKP8cKj02rTDvVRMWvwQ1ZP0mZWsBprQ==" saltValue="CjXqBRFbKezlWOFV37MnDQ==" spinCount="100000" sqref="GQ2097:GR2107" name="Rango2_30_2_2_42"/>
    <protectedRange algorithmName="SHA-512" hashValue="EEHzbvEYwO1eufllBljOz0uf9BJ2ENtvOScQ7IsS321QhYbwKn7qhHKKP8cKj02rTDvVRMWvwQ1ZP0mZWsBprQ==" saltValue="CjXqBRFbKezlWOFV37MnDQ==" spinCount="100000" sqref="GW2097:GW2107" name="Rango2_30_2_3_40"/>
    <protectedRange algorithmName="SHA-512" hashValue="XZw03RosI/l0z9FxmTtF29EdZ7P+4+ybhqoaAAUmURojSR5XbGfjC4f2i8gMqfY+RI9JvfdCA6PSh9TduXfUxA==" saltValue="5TPtLq2WoiRSae/yaDPnTw==" spinCount="100000" sqref="GY2097:GZ2107" name="Rango2_99_39_38"/>
    <protectedRange algorithmName="SHA-512" hashValue="XZw03RosI/l0z9FxmTtF29EdZ7P+4+ybhqoaAAUmURojSR5XbGfjC4f2i8gMqfY+RI9JvfdCA6PSh9TduXfUxA==" saltValue="5TPtLq2WoiRSae/yaDPnTw==" spinCount="100000" sqref="HJ2097:HJ2107" name="Rango2_99_40_42"/>
    <protectedRange algorithmName="SHA-512" hashValue="9+DNppQbWrLYYUMoJ+lyQctV2bX3Vq9kZnegLbpjTLP49It2ovUbcartuoQTeXgP+TGpY//7mDH/UQlFCKDGiA==" saltValue="KUnni6YEm00anzSSvyLqQA==" spinCount="100000" sqref="HD2097:HI2107" name="Rango2_39_44"/>
    <protectedRange algorithmName="SHA-512" hashValue="XZw03RosI/l0z9FxmTtF29EdZ7P+4+ybhqoaAAUmURojSR5XbGfjC4f2i8gMqfY+RI9JvfdCA6PSh9TduXfUxA==" saltValue="5TPtLq2WoiRSae/yaDPnTw==" spinCount="100000" sqref="IB2097:IB2107 HU2097:HZ2107" name="Rango2_99_41_39"/>
    <protectedRange algorithmName="SHA-512" hashValue="9+DNppQbWrLYYUMoJ+lyQctV2bX3Vq9kZnegLbpjTLP49It2ovUbcartuoQTeXgP+TGpY//7mDH/UQlFCKDGiA==" saltValue="KUnni6YEm00anzSSvyLqQA==" spinCount="100000" sqref="HS2097:HT2107" name="Rango2_40_42"/>
    <protectedRange algorithmName="SHA-512" hashValue="XZw03RosI/l0z9FxmTtF29EdZ7P+4+ybhqoaAAUmURojSR5XbGfjC4f2i8gMqfY+RI9JvfdCA6PSh9TduXfUxA==" saltValue="5TPtLq2WoiRSae/yaDPnTw==" spinCount="100000" sqref="IL2097:IM2107" name="Rango2_99_79_31"/>
    <protectedRange algorithmName="SHA-512" hashValue="XZw03RosI/l0z9FxmTtF29EdZ7P+4+ybhqoaAAUmURojSR5XbGfjC4f2i8gMqfY+RI9JvfdCA6PSh9TduXfUxA==" saltValue="5TPtLq2WoiRSae/yaDPnTw==" spinCount="100000" sqref="IO2097:IO2107" name="Rango2_99_80_49"/>
    <protectedRange algorithmName="SHA-512" hashValue="D8TacORwT7iz0mF9GEucchnMHfB5er2FFjQsxyeWWyeJkM6Bt3gYQ3LbcHPxZXFpVAYtFOuTrzYOCJrlZDx16g==" saltValue="QtCzIBktdS4NZkOEGcLTRQ==" spinCount="100000" sqref="IW1997" name="Rango2_41_38_1"/>
    <protectedRange algorithmName="SHA-512" hashValue="Gqwr8n5jYbCESAqCFk8dpOzViQICBV+k0xoqBoQaZ5lHaRlvT9TZDB4yXtm+qC6OhD064ZDBOFWkwo+LHXu1sg==" saltValue="gEL9PCN2ekF2IxW9yqAGYA==" spinCount="100000" sqref="IS1997" name="Rango2_40_2_38_1"/>
    <protectedRange algorithmName="SHA-512" hashValue="9+DNppQbWrLYYUMoJ+lyQctV2bX3Vq9kZnegLbpjTLP49It2ovUbcartuoQTeXgP+TGpY//7mDH/UQlFCKDGiA==" saltValue="KUnni6YEm00anzSSvyLqQA==" spinCount="100000" sqref="JC1997:JM1997" name="Rango2_43_9"/>
    <protectedRange algorithmName="SHA-512" hashValue="9+DNppQbWrLYYUMoJ+lyQctV2bX3Vq9kZnegLbpjTLP49It2ovUbcartuoQTeXgP+TGpY//7mDH/UQlFCKDGiA==" saltValue="KUnni6YEm00anzSSvyLqQA==" spinCount="100000" sqref="JO1997:JW1997" name="Rango2_44_9"/>
    <protectedRange algorithmName="SHA-512" hashValue="9+DNppQbWrLYYUMoJ+lyQctV2bX3Vq9kZnegLbpjTLP49It2ovUbcartuoQTeXgP+TGpY//7mDH/UQlFCKDGiA==" saltValue="KUnni6YEm00anzSSvyLqQA==" spinCount="100000" sqref="JY1997:KF1997" name="Rango2_45_11"/>
    <protectedRange algorithmName="SHA-512" hashValue="9+DNppQbWrLYYUMoJ+lyQctV2bX3Vq9kZnegLbpjTLP49It2ovUbcartuoQTeXgP+TGpY//7mDH/UQlFCKDGiA==" saltValue="KUnni6YEm00anzSSvyLqQA==" spinCount="100000" sqref="KH1997" name="Rango2_46_8"/>
    <protectedRange algorithmName="SHA-512" hashValue="9+DNppQbWrLYYUMoJ+lyQctV2bX3Vq9kZnegLbpjTLP49It2ovUbcartuoQTeXgP+TGpY//7mDH/UQlFCKDGiA==" saltValue="KUnni6YEm00anzSSvyLqQA==" spinCount="100000" sqref="KJ1997:MP1997" name="Rango2_47_3"/>
    <protectedRange algorithmName="SHA-512" hashValue="D8TacORwT7iz0mF9GEucchnMHfB5er2FFjQsxyeWWyeJkM6Bt3gYQ3LbcHPxZXFpVAYtFOuTrzYOCJrlZDx16g==" saltValue="QtCzIBktdS4NZkOEGcLTRQ==" spinCount="100000" sqref="IW1998" name="Rango2_41_39_1"/>
    <protectedRange algorithmName="SHA-512" hashValue="Gqwr8n5jYbCESAqCFk8dpOzViQICBV+k0xoqBoQaZ5lHaRlvT9TZDB4yXtm+qC6OhD064ZDBOFWkwo+LHXu1sg==" saltValue="gEL9PCN2ekF2IxW9yqAGYA==" spinCount="100000" sqref="IS1998" name="Rango2_40_2_39_1"/>
    <protectedRange algorithmName="SHA-512" hashValue="9+DNppQbWrLYYUMoJ+lyQctV2bX3Vq9kZnegLbpjTLP49It2ovUbcartuoQTeXgP+TGpY//7mDH/UQlFCKDGiA==" saltValue="KUnni6YEm00anzSSvyLqQA==" spinCount="100000" sqref="JC1998:JM1998" name="Rango2_43_10"/>
    <protectedRange algorithmName="SHA-512" hashValue="9+DNppQbWrLYYUMoJ+lyQctV2bX3Vq9kZnegLbpjTLP49It2ovUbcartuoQTeXgP+TGpY//7mDH/UQlFCKDGiA==" saltValue="KUnni6YEm00anzSSvyLqQA==" spinCount="100000" sqref="JO1998:JW1998" name="Rango2_44_10"/>
    <protectedRange algorithmName="SHA-512" hashValue="9+DNppQbWrLYYUMoJ+lyQctV2bX3Vq9kZnegLbpjTLP49It2ovUbcartuoQTeXgP+TGpY//7mDH/UQlFCKDGiA==" saltValue="KUnni6YEm00anzSSvyLqQA==" spinCount="100000" sqref="JY1998:KF1998" name="Rango2_45_12"/>
    <protectedRange algorithmName="SHA-512" hashValue="9+DNppQbWrLYYUMoJ+lyQctV2bX3Vq9kZnegLbpjTLP49It2ovUbcartuoQTeXgP+TGpY//7mDH/UQlFCKDGiA==" saltValue="KUnni6YEm00anzSSvyLqQA==" spinCount="100000" sqref="KH1998" name="Rango2_46_9"/>
    <protectedRange algorithmName="SHA-512" hashValue="9+DNppQbWrLYYUMoJ+lyQctV2bX3Vq9kZnegLbpjTLP49It2ovUbcartuoQTeXgP+TGpY//7mDH/UQlFCKDGiA==" saltValue="KUnni6YEm00anzSSvyLqQA==" spinCount="100000" sqref="LG1998:MP1998 KJ1998:LB1998" name="Rango2_47_4"/>
    <protectedRange algorithmName="SHA-512" hashValue="D8TacORwT7iz0mF9GEucchnMHfB5er2FFjQsxyeWWyeJkM6Bt3gYQ3LbcHPxZXFpVAYtFOuTrzYOCJrlZDx16g==" saltValue="QtCzIBktdS4NZkOEGcLTRQ==" spinCount="100000" sqref="IW1999" name="Rango2_41_39_2"/>
    <protectedRange algorithmName="SHA-512" hashValue="Gqwr8n5jYbCESAqCFk8dpOzViQICBV+k0xoqBoQaZ5lHaRlvT9TZDB4yXtm+qC6OhD064ZDBOFWkwo+LHXu1sg==" saltValue="gEL9PCN2ekF2IxW9yqAGYA==" spinCount="100000" sqref="IS1999" name="Rango2_40_2_39_2"/>
    <protectedRange algorithmName="SHA-512" hashValue="9+DNppQbWrLYYUMoJ+lyQctV2bX3Vq9kZnegLbpjTLP49It2ovUbcartuoQTeXgP+TGpY//7mDH/UQlFCKDGiA==" saltValue="KUnni6YEm00anzSSvyLqQA==" spinCount="100000" sqref="JC1999:JM1999" name="Rango2_43_11"/>
    <protectedRange algorithmName="SHA-512" hashValue="9+DNppQbWrLYYUMoJ+lyQctV2bX3Vq9kZnegLbpjTLP49It2ovUbcartuoQTeXgP+TGpY//7mDH/UQlFCKDGiA==" saltValue="KUnni6YEm00anzSSvyLqQA==" spinCount="100000" sqref="JO1999:JW1999" name="Rango2_44_11"/>
    <protectedRange algorithmName="SHA-512" hashValue="9+DNppQbWrLYYUMoJ+lyQctV2bX3Vq9kZnegLbpjTLP49It2ovUbcartuoQTeXgP+TGpY//7mDH/UQlFCKDGiA==" saltValue="KUnni6YEm00anzSSvyLqQA==" spinCount="100000" sqref="JY1999:KF1999" name="Rango2_45_13"/>
    <protectedRange algorithmName="SHA-512" hashValue="9+DNppQbWrLYYUMoJ+lyQctV2bX3Vq9kZnegLbpjTLP49It2ovUbcartuoQTeXgP+TGpY//7mDH/UQlFCKDGiA==" saltValue="KUnni6YEm00anzSSvyLqQA==" spinCount="100000" sqref="KH1999" name="Rango2_46_10"/>
    <protectedRange algorithmName="SHA-512" hashValue="9+DNppQbWrLYYUMoJ+lyQctV2bX3Vq9kZnegLbpjTLP49It2ovUbcartuoQTeXgP+TGpY//7mDH/UQlFCKDGiA==" saltValue="KUnni6YEm00anzSSvyLqQA==" spinCount="100000" sqref="KJ1999:MP1999" name="Rango2_47_5"/>
    <protectedRange algorithmName="SHA-512" hashValue="D8TacORwT7iz0mF9GEucchnMHfB5er2FFjQsxyeWWyeJkM6Bt3gYQ3LbcHPxZXFpVAYtFOuTrzYOCJrlZDx16g==" saltValue="QtCzIBktdS4NZkOEGcLTRQ==" spinCount="100000" sqref="IW2000" name="Rango2_41_39_3"/>
    <protectedRange algorithmName="SHA-512" hashValue="Gqwr8n5jYbCESAqCFk8dpOzViQICBV+k0xoqBoQaZ5lHaRlvT9TZDB4yXtm+qC6OhD064ZDBOFWkwo+LHXu1sg==" saltValue="gEL9PCN2ekF2IxW9yqAGYA==" spinCount="100000" sqref="IS2000" name="Rango2_40_2_39_3"/>
    <protectedRange algorithmName="SHA-512" hashValue="9+DNppQbWrLYYUMoJ+lyQctV2bX3Vq9kZnegLbpjTLP49It2ovUbcartuoQTeXgP+TGpY//7mDH/UQlFCKDGiA==" saltValue="KUnni6YEm00anzSSvyLqQA==" spinCount="100000" sqref="JC2000:JM2000" name="Rango2_43_12"/>
    <protectedRange algorithmName="SHA-512" hashValue="9+DNppQbWrLYYUMoJ+lyQctV2bX3Vq9kZnegLbpjTLP49It2ovUbcartuoQTeXgP+TGpY//7mDH/UQlFCKDGiA==" saltValue="KUnni6YEm00anzSSvyLqQA==" spinCount="100000" sqref="JO2000:JW2000" name="Rango2_44_12"/>
    <protectedRange algorithmName="SHA-512" hashValue="9+DNppQbWrLYYUMoJ+lyQctV2bX3Vq9kZnegLbpjTLP49It2ovUbcartuoQTeXgP+TGpY//7mDH/UQlFCKDGiA==" saltValue="KUnni6YEm00anzSSvyLqQA==" spinCount="100000" sqref="JY2000:KF2000" name="Rango2_45_14"/>
    <protectedRange algorithmName="SHA-512" hashValue="9+DNppQbWrLYYUMoJ+lyQctV2bX3Vq9kZnegLbpjTLP49It2ovUbcartuoQTeXgP+TGpY//7mDH/UQlFCKDGiA==" saltValue="KUnni6YEm00anzSSvyLqQA==" spinCount="100000" sqref="KH2000" name="Rango2_46_11"/>
    <protectedRange algorithmName="SHA-512" hashValue="9+DNppQbWrLYYUMoJ+lyQctV2bX3Vq9kZnegLbpjTLP49It2ovUbcartuoQTeXgP+TGpY//7mDH/UQlFCKDGiA==" saltValue="KUnni6YEm00anzSSvyLqQA==" spinCount="100000" sqref="KJ2000:MP2000" name="Rango2_47_6"/>
    <protectedRange algorithmName="SHA-512" hashValue="D8TacORwT7iz0mF9GEucchnMHfB5er2FFjQsxyeWWyeJkM6Bt3gYQ3LbcHPxZXFpVAYtFOuTrzYOCJrlZDx16g==" saltValue="QtCzIBktdS4NZkOEGcLTRQ==" spinCount="100000" sqref="IW2001" name="Rango2_41_39_4"/>
    <protectedRange algorithmName="SHA-512" hashValue="Gqwr8n5jYbCESAqCFk8dpOzViQICBV+k0xoqBoQaZ5lHaRlvT9TZDB4yXtm+qC6OhD064ZDBOFWkwo+LHXu1sg==" saltValue="gEL9PCN2ekF2IxW9yqAGYA==" spinCount="100000" sqref="IS2001" name="Rango2_40_2_39_4"/>
    <protectedRange algorithmName="SHA-512" hashValue="9+DNppQbWrLYYUMoJ+lyQctV2bX3Vq9kZnegLbpjTLP49It2ovUbcartuoQTeXgP+TGpY//7mDH/UQlFCKDGiA==" saltValue="KUnni6YEm00anzSSvyLqQA==" spinCount="100000" sqref="JC2001:JM2001" name="Rango2_43_13"/>
    <protectedRange algorithmName="SHA-512" hashValue="9+DNppQbWrLYYUMoJ+lyQctV2bX3Vq9kZnegLbpjTLP49It2ovUbcartuoQTeXgP+TGpY//7mDH/UQlFCKDGiA==" saltValue="KUnni6YEm00anzSSvyLqQA==" spinCount="100000" sqref="JO2001:JW2001" name="Rango2_44_13"/>
    <protectedRange algorithmName="SHA-512" hashValue="9+DNppQbWrLYYUMoJ+lyQctV2bX3Vq9kZnegLbpjTLP49It2ovUbcartuoQTeXgP+TGpY//7mDH/UQlFCKDGiA==" saltValue="KUnni6YEm00anzSSvyLqQA==" spinCount="100000" sqref="JY2001:KF2001" name="Rango2_45_15"/>
    <protectedRange algorithmName="SHA-512" hashValue="9+DNppQbWrLYYUMoJ+lyQctV2bX3Vq9kZnegLbpjTLP49It2ovUbcartuoQTeXgP+TGpY//7mDH/UQlFCKDGiA==" saltValue="KUnni6YEm00anzSSvyLqQA==" spinCount="100000" sqref="KH2001" name="Rango2_46_12"/>
    <protectedRange algorithmName="SHA-512" hashValue="9+DNppQbWrLYYUMoJ+lyQctV2bX3Vq9kZnegLbpjTLP49It2ovUbcartuoQTeXgP+TGpY//7mDH/UQlFCKDGiA==" saltValue="KUnni6YEm00anzSSvyLqQA==" spinCount="100000" sqref="KJ2001:MP2001" name="Rango2_47_7"/>
    <protectedRange algorithmName="SHA-512" hashValue="D8TacORwT7iz0mF9GEucchnMHfB5er2FFjQsxyeWWyeJkM6Bt3gYQ3LbcHPxZXFpVAYtFOuTrzYOCJrlZDx16g==" saltValue="QtCzIBktdS4NZkOEGcLTRQ==" spinCount="100000" sqref="IW2002" name="Rango2_41_39_5"/>
    <protectedRange algorithmName="SHA-512" hashValue="Gqwr8n5jYbCESAqCFk8dpOzViQICBV+k0xoqBoQaZ5lHaRlvT9TZDB4yXtm+qC6OhD064ZDBOFWkwo+LHXu1sg==" saltValue="gEL9PCN2ekF2IxW9yqAGYA==" spinCount="100000" sqref="IS2002" name="Rango2_40_2_39_5"/>
    <protectedRange algorithmName="SHA-512" hashValue="9+DNppQbWrLYYUMoJ+lyQctV2bX3Vq9kZnegLbpjTLP49It2ovUbcartuoQTeXgP+TGpY//7mDH/UQlFCKDGiA==" saltValue="KUnni6YEm00anzSSvyLqQA==" spinCount="100000" sqref="JC2002:JM2002" name="Rango2_43_14"/>
    <protectedRange algorithmName="SHA-512" hashValue="9+DNppQbWrLYYUMoJ+lyQctV2bX3Vq9kZnegLbpjTLP49It2ovUbcartuoQTeXgP+TGpY//7mDH/UQlFCKDGiA==" saltValue="KUnni6YEm00anzSSvyLqQA==" spinCount="100000" sqref="JO2002:JW2002" name="Rango2_44_14"/>
    <protectedRange algorithmName="SHA-512" hashValue="9+DNppQbWrLYYUMoJ+lyQctV2bX3Vq9kZnegLbpjTLP49It2ovUbcartuoQTeXgP+TGpY//7mDH/UQlFCKDGiA==" saltValue="KUnni6YEm00anzSSvyLqQA==" spinCount="100000" sqref="JY2002:KF2002" name="Rango2_45_16"/>
    <protectedRange algorithmName="SHA-512" hashValue="9+DNppQbWrLYYUMoJ+lyQctV2bX3Vq9kZnegLbpjTLP49It2ovUbcartuoQTeXgP+TGpY//7mDH/UQlFCKDGiA==" saltValue="KUnni6YEm00anzSSvyLqQA==" spinCount="100000" sqref="KH2002" name="Rango2_46_13"/>
    <protectedRange algorithmName="SHA-512" hashValue="9+DNppQbWrLYYUMoJ+lyQctV2bX3Vq9kZnegLbpjTLP49It2ovUbcartuoQTeXgP+TGpY//7mDH/UQlFCKDGiA==" saltValue="KUnni6YEm00anzSSvyLqQA==" spinCount="100000" sqref="KJ2002:MP2002" name="Rango2_47_8"/>
    <protectedRange algorithmName="SHA-512" hashValue="D8TacORwT7iz0mF9GEucchnMHfB5er2FFjQsxyeWWyeJkM6Bt3gYQ3LbcHPxZXFpVAYtFOuTrzYOCJrlZDx16g==" saltValue="QtCzIBktdS4NZkOEGcLTRQ==" spinCount="100000" sqref="IW2003" name="Rango2_41_39_6"/>
    <protectedRange algorithmName="SHA-512" hashValue="Gqwr8n5jYbCESAqCFk8dpOzViQICBV+k0xoqBoQaZ5lHaRlvT9TZDB4yXtm+qC6OhD064ZDBOFWkwo+LHXu1sg==" saltValue="gEL9PCN2ekF2IxW9yqAGYA==" spinCount="100000" sqref="IS2003" name="Rango2_40_2_39_6"/>
    <protectedRange algorithmName="SHA-512" hashValue="9+DNppQbWrLYYUMoJ+lyQctV2bX3Vq9kZnegLbpjTLP49It2ovUbcartuoQTeXgP+TGpY//7mDH/UQlFCKDGiA==" saltValue="KUnni6YEm00anzSSvyLqQA==" spinCount="100000" sqref="JC2003:JM2003" name="Rango2_43_15"/>
    <protectedRange algorithmName="SHA-512" hashValue="9+DNppQbWrLYYUMoJ+lyQctV2bX3Vq9kZnegLbpjTLP49It2ovUbcartuoQTeXgP+TGpY//7mDH/UQlFCKDGiA==" saltValue="KUnni6YEm00anzSSvyLqQA==" spinCount="100000" sqref="JO2003:JW2003" name="Rango2_44_15"/>
    <protectedRange algorithmName="SHA-512" hashValue="9+DNppQbWrLYYUMoJ+lyQctV2bX3Vq9kZnegLbpjTLP49It2ovUbcartuoQTeXgP+TGpY//7mDH/UQlFCKDGiA==" saltValue="KUnni6YEm00anzSSvyLqQA==" spinCount="100000" sqref="JY2003:KF2003" name="Rango2_45_17"/>
    <protectedRange algorithmName="SHA-512" hashValue="9+DNppQbWrLYYUMoJ+lyQctV2bX3Vq9kZnegLbpjTLP49It2ovUbcartuoQTeXgP+TGpY//7mDH/UQlFCKDGiA==" saltValue="KUnni6YEm00anzSSvyLqQA==" spinCount="100000" sqref="KH2003" name="Rango2_46_14"/>
    <protectedRange algorithmName="SHA-512" hashValue="9+DNppQbWrLYYUMoJ+lyQctV2bX3Vq9kZnegLbpjTLP49It2ovUbcartuoQTeXgP+TGpY//7mDH/UQlFCKDGiA==" saltValue="KUnni6YEm00anzSSvyLqQA==" spinCount="100000" sqref="KJ2003:MP2003" name="Rango2_47_9"/>
    <protectedRange algorithmName="SHA-512" hashValue="Gqwr8n5jYbCESAqCFk8dpOzViQICBV+k0xoqBoQaZ5lHaRlvT9TZDB4yXtm+qC6OhD064ZDBOFWkwo+LHXu1sg==" saltValue="gEL9PCN2ekF2IxW9yqAGYA==" spinCount="100000" sqref="IS2004" name="Rango2_40_2_1_5"/>
    <protectedRange algorithmName="SHA-512" hashValue="D8TacORwT7iz0mF9GEucchnMHfB5er2FFjQsxyeWWyeJkM6Bt3gYQ3LbcHPxZXFpVAYtFOuTrzYOCJrlZDx16g==" saltValue="QtCzIBktdS4NZkOEGcLTRQ==" spinCount="100000" sqref="IW2004" name="Rango2_41_1_4"/>
    <protectedRange algorithmName="SHA-512" hashValue="9+DNppQbWrLYYUMoJ+lyQctV2bX3Vq9kZnegLbpjTLP49It2ovUbcartuoQTeXgP+TGpY//7mDH/UQlFCKDGiA==" saltValue="KUnni6YEm00anzSSvyLqQA==" spinCount="100000" sqref="IX2004 IT2004:IV2004" name="Rango2_42_2"/>
    <protectedRange algorithmName="SHA-512" hashValue="9+DNppQbWrLYYUMoJ+lyQctV2bX3Vq9kZnegLbpjTLP49It2ovUbcartuoQTeXgP+TGpY//7mDH/UQlFCKDGiA==" saltValue="KUnni6YEm00anzSSvyLqQA==" spinCount="100000" sqref="IZ2004:JM2004" name="Rango2_43_16"/>
    <protectedRange algorithmName="SHA-512" hashValue="9+DNppQbWrLYYUMoJ+lyQctV2bX3Vq9kZnegLbpjTLP49It2ovUbcartuoQTeXgP+TGpY//7mDH/UQlFCKDGiA==" saltValue="KUnni6YEm00anzSSvyLqQA==" spinCount="100000" sqref="JO2004:JW2004" name="Rango2_44_16"/>
    <protectedRange algorithmName="SHA-512" hashValue="9+DNppQbWrLYYUMoJ+lyQctV2bX3Vq9kZnegLbpjTLP49It2ovUbcartuoQTeXgP+TGpY//7mDH/UQlFCKDGiA==" saltValue="KUnni6YEm00anzSSvyLqQA==" spinCount="100000" sqref="JY2004:KF2004" name="Rango2_45_18"/>
    <protectedRange algorithmName="SHA-512" hashValue="9+DNppQbWrLYYUMoJ+lyQctV2bX3Vq9kZnegLbpjTLP49It2ovUbcartuoQTeXgP+TGpY//7mDH/UQlFCKDGiA==" saltValue="KUnni6YEm00anzSSvyLqQA==" spinCount="100000" sqref="KH2004" name="Rango2_46_15"/>
    <protectedRange algorithmName="SHA-512" hashValue="9+DNppQbWrLYYUMoJ+lyQctV2bX3Vq9kZnegLbpjTLP49It2ovUbcartuoQTeXgP+TGpY//7mDH/UQlFCKDGiA==" saltValue="KUnni6YEm00anzSSvyLqQA==" spinCount="100000" sqref="KJ2004:MP2004" name="Rango2_47_10"/>
    <protectedRange algorithmName="SHA-512" hashValue="Gqwr8n5jYbCESAqCFk8dpOzViQICBV+k0xoqBoQaZ5lHaRlvT9TZDB4yXtm+qC6OhD064ZDBOFWkwo+LHXu1sg==" saltValue="gEL9PCN2ekF2IxW9yqAGYA==" spinCount="100000" sqref="IS2005" name="Rango2_40_2_1_7"/>
    <protectedRange algorithmName="SHA-512" hashValue="D8TacORwT7iz0mF9GEucchnMHfB5er2FFjQsxyeWWyeJkM6Bt3gYQ3LbcHPxZXFpVAYtFOuTrzYOCJrlZDx16g==" saltValue="QtCzIBktdS4NZkOEGcLTRQ==" spinCount="100000" sqref="IW2005" name="Rango2_41_1_5"/>
    <protectedRange algorithmName="SHA-512" hashValue="9+DNppQbWrLYYUMoJ+lyQctV2bX3Vq9kZnegLbpjTLP49It2ovUbcartuoQTeXgP+TGpY//7mDH/UQlFCKDGiA==" saltValue="KUnni6YEm00anzSSvyLqQA==" spinCount="100000" sqref="IX2005 IT2005:IV2005" name="Rango2_42_3"/>
    <protectedRange algorithmName="SHA-512" hashValue="9+DNppQbWrLYYUMoJ+lyQctV2bX3Vq9kZnegLbpjTLP49It2ovUbcartuoQTeXgP+TGpY//7mDH/UQlFCKDGiA==" saltValue="KUnni6YEm00anzSSvyLqQA==" spinCount="100000" sqref="IZ2005:JM2005" name="Rango2_43_17"/>
    <protectedRange algorithmName="SHA-512" hashValue="9+DNppQbWrLYYUMoJ+lyQctV2bX3Vq9kZnegLbpjTLP49It2ovUbcartuoQTeXgP+TGpY//7mDH/UQlFCKDGiA==" saltValue="KUnni6YEm00anzSSvyLqQA==" spinCount="100000" sqref="JO2005:JW2005" name="Rango2_44_17"/>
    <protectedRange algorithmName="SHA-512" hashValue="9+DNppQbWrLYYUMoJ+lyQctV2bX3Vq9kZnegLbpjTLP49It2ovUbcartuoQTeXgP+TGpY//7mDH/UQlFCKDGiA==" saltValue="KUnni6YEm00anzSSvyLqQA==" spinCount="100000" sqref="JY2005:KF2005" name="Rango2_45_19"/>
    <protectedRange algorithmName="SHA-512" hashValue="9+DNppQbWrLYYUMoJ+lyQctV2bX3Vq9kZnegLbpjTLP49It2ovUbcartuoQTeXgP+TGpY//7mDH/UQlFCKDGiA==" saltValue="KUnni6YEm00anzSSvyLqQA==" spinCount="100000" sqref="KH2005" name="Rango2_46_16"/>
    <protectedRange algorithmName="SHA-512" hashValue="9+DNppQbWrLYYUMoJ+lyQctV2bX3Vq9kZnegLbpjTLP49It2ovUbcartuoQTeXgP+TGpY//7mDH/UQlFCKDGiA==" saltValue="KUnni6YEm00anzSSvyLqQA==" spinCount="100000" sqref="KJ2005:MP2005" name="Rango2_47_11"/>
    <protectedRange algorithmName="SHA-512" hashValue="Gqwr8n5jYbCESAqCFk8dpOzViQICBV+k0xoqBoQaZ5lHaRlvT9TZDB4yXtm+qC6OhD064ZDBOFWkwo+LHXu1sg==" saltValue="gEL9PCN2ekF2IxW9yqAGYA==" spinCount="100000" sqref="IS2006" name="Rango2_40_2_1_8"/>
    <protectedRange algorithmName="SHA-512" hashValue="D8TacORwT7iz0mF9GEucchnMHfB5er2FFjQsxyeWWyeJkM6Bt3gYQ3LbcHPxZXFpVAYtFOuTrzYOCJrlZDx16g==" saltValue="QtCzIBktdS4NZkOEGcLTRQ==" spinCount="100000" sqref="IW2006" name="Rango2_41_1_6"/>
    <protectedRange algorithmName="SHA-512" hashValue="9+DNppQbWrLYYUMoJ+lyQctV2bX3Vq9kZnegLbpjTLP49It2ovUbcartuoQTeXgP+TGpY//7mDH/UQlFCKDGiA==" saltValue="KUnni6YEm00anzSSvyLqQA==" spinCount="100000" sqref="IX2006 IT2006:IV2006" name="Rango2_42_4"/>
    <protectedRange algorithmName="SHA-512" hashValue="9+DNppQbWrLYYUMoJ+lyQctV2bX3Vq9kZnegLbpjTLP49It2ovUbcartuoQTeXgP+TGpY//7mDH/UQlFCKDGiA==" saltValue="KUnni6YEm00anzSSvyLqQA==" spinCount="100000" sqref="IZ2006:JM2006" name="Rango2_43_18"/>
    <protectedRange algorithmName="SHA-512" hashValue="9+DNppQbWrLYYUMoJ+lyQctV2bX3Vq9kZnegLbpjTLP49It2ovUbcartuoQTeXgP+TGpY//7mDH/UQlFCKDGiA==" saltValue="KUnni6YEm00anzSSvyLqQA==" spinCount="100000" sqref="JO2006:JW2006" name="Rango2_44_18"/>
    <protectedRange algorithmName="SHA-512" hashValue="9+DNppQbWrLYYUMoJ+lyQctV2bX3Vq9kZnegLbpjTLP49It2ovUbcartuoQTeXgP+TGpY//7mDH/UQlFCKDGiA==" saltValue="KUnni6YEm00anzSSvyLqQA==" spinCount="100000" sqref="JY2006:KF2006" name="Rango2_45_20"/>
    <protectedRange algorithmName="SHA-512" hashValue="9+DNppQbWrLYYUMoJ+lyQctV2bX3Vq9kZnegLbpjTLP49It2ovUbcartuoQTeXgP+TGpY//7mDH/UQlFCKDGiA==" saltValue="KUnni6YEm00anzSSvyLqQA==" spinCount="100000" sqref="KH2006" name="Rango2_46_17"/>
    <protectedRange algorithmName="SHA-512" hashValue="9+DNppQbWrLYYUMoJ+lyQctV2bX3Vq9kZnegLbpjTLP49It2ovUbcartuoQTeXgP+TGpY//7mDH/UQlFCKDGiA==" saltValue="KUnni6YEm00anzSSvyLqQA==" spinCount="100000" sqref="KJ2006:MP2006" name="Rango2_47_12"/>
    <protectedRange algorithmName="SHA-512" hashValue="Gqwr8n5jYbCESAqCFk8dpOzViQICBV+k0xoqBoQaZ5lHaRlvT9TZDB4yXtm+qC6OhD064ZDBOFWkwo+LHXu1sg==" saltValue="gEL9PCN2ekF2IxW9yqAGYA==" spinCount="100000" sqref="IS2007" name="Rango2_40_2_1_9"/>
    <protectedRange algorithmName="SHA-512" hashValue="D8TacORwT7iz0mF9GEucchnMHfB5er2FFjQsxyeWWyeJkM6Bt3gYQ3LbcHPxZXFpVAYtFOuTrzYOCJrlZDx16g==" saltValue="QtCzIBktdS4NZkOEGcLTRQ==" spinCount="100000" sqref="IW2007" name="Rango2_41_1_7"/>
    <protectedRange algorithmName="SHA-512" hashValue="9+DNppQbWrLYYUMoJ+lyQctV2bX3Vq9kZnegLbpjTLP49It2ovUbcartuoQTeXgP+TGpY//7mDH/UQlFCKDGiA==" saltValue="KUnni6YEm00anzSSvyLqQA==" spinCount="100000" sqref="IX2007 IT2007:IV2007" name="Rango2_42_5"/>
    <protectedRange algorithmName="SHA-512" hashValue="9+DNppQbWrLYYUMoJ+lyQctV2bX3Vq9kZnegLbpjTLP49It2ovUbcartuoQTeXgP+TGpY//7mDH/UQlFCKDGiA==" saltValue="KUnni6YEm00anzSSvyLqQA==" spinCount="100000" sqref="IZ2007:JM2007" name="Rango2_43_19"/>
    <protectedRange algorithmName="SHA-512" hashValue="9+DNppQbWrLYYUMoJ+lyQctV2bX3Vq9kZnegLbpjTLP49It2ovUbcartuoQTeXgP+TGpY//7mDH/UQlFCKDGiA==" saltValue="KUnni6YEm00anzSSvyLqQA==" spinCount="100000" sqref="JO2007:JW2007" name="Rango2_44_19"/>
    <protectedRange algorithmName="SHA-512" hashValue="9+DNppQbWrLYYUMoJ+lyQctV2bX3Vq9kZnegLbpjTLP49It2ovUbcartuoQTeXgP+TGpY//7mDH/UQlFCKDGiA==" saltValue="KUnni6YEm00anzSSvyLqQA==" spinCount="100000" sqref="JY2007:KF2007" name="Rango2_45_21"/>
    <protectedRange algorithmName="SHA-512" hashValue="9+DNppQbWrLYYUMoJ+lyQctV2bX3Vq9kZnegLbpjTLP49It2ovUbcartuoQTeXgP+TGpY//7mDH/UQlFCKDGiA==" saltValue="KUnni6YEm00anzSSvyLqQA==" spinCount="100000" sqref="KH2007" name="Rango2_46_18"/>
    <protectedRange algorithmName="SHA-512" hashValue="9+DNppQbWrLYYUMoJ+lyQctV2bX3Vq9kZnegLbpjTLP49It2ovUbcartuoQTeXgP+TGpY//7mDH/UQlFCKDGiA==" saltValue="KUnni6YEm00anzSSvyLqQA==" spinCount="100000" sqref="KJ2007:MP2007" name="Rango2_47_13"/>
    <protectedRange algorithmName="SHA-512" hashValue="Gqwr8n5jYbCESAqCFk8dpOzViQICBV+k0xoqBoQaZ5lHaRlvT9TZDB4yXtm+qC6OhD064ZDBOFWkwo+LHXu1sg==" saltValue="gEL9PCN2ekF2IxW9yqAGYA==" spinCount="100000" sqref="IS2008:IS2010" name="Rango2_40_2_1_10"/>
    <protectedRange algorithmName="SHA-512" hashValue="D8TacORwT7iz0mF9GEucchnMHfB5er2FFjQsxyeWWyeJkM6Bt3gYQ3LbcHPxZXFpVAYtFOuTrzYOCJrlZDx16g==" saltValue="QtCzIBktdS4NZkOEGcLTRQ==" spinCount="100000" sqref="IW2008:IW2010" name="Rango2_41_1_8"/>
    <protectedRange algorithmName="SHA-512" hashValue="9+DNppQbWrLYYUMoJ+lyQctV2bX3Vq9kZnegLbpjTLP49It2ovUbcartuoQTeXgP+TGpY//7mDH/UQlFCKDGiA==" saltValue="KUnni6YEm00anzSSvyLqQA==" spinCount="100000" sqref="IX2008:IX2010 IT2008:IV2010" name="Rango2_42_6"/>
    <protectedRange algorithmName="SHA-512" hashValue="9+DNppQbWrLYYUMoJ+lyQctV2bX3Vq9kZnegLbpjTLP49It2ovUbcartuoQTeXgP+TGpY//7mDH/UQlFCKDGiA==" saltValue="KUnni6YEm00anzSSvyLqQA==" spinCount="100000" sqref="IZ2008:JM2010" name="Rango2_43_20"/>
    <protectedRange algorithmName="SHA-512" hashValue="9+DNppQbWrLYYUMoJ+lyQctV2bX3Vq9kZnegLbpjTLP49It2ovUbcartuoQTeXgP+TGpY//7mDH/UQlFCKDGiA==" saltValue="KUnni6YEm00anzSSvyLqQA==" spinCount="100000" sqref="JO2008:JW2010" name="Rango2_44_20"/>
    <protectedRange algorithmName="SHA-512" hashValue="9+DNppQbWrLYYUMoJ+lyQctV2bX3Vq9kZnegLbpjTLP49It2ovUbcartuoQTeXgP+TGpY//7mDH/UQlFCKDGiA==" saltValue="KUnni6YEm00anzSSvyLqQA==" spinCount="100000" sqref="JY2008:KF2010" name="Rango2_45_22"/>
    <protectedRange algorithmName="SHA-512" hashValue="9+DNppQbWrLYYUMoJ+lyQctV2bX3Vq9kZnegLbpjTLP49It2ovUbcartuoQTeXgP+TGpY//7mDH/UQlFCKDGiA==" saltValue="KUnni6YEm00anzSSvyLqQA==" spinCount="100000" sqref="KH2008:KH2010" name="Rango2_46_19"/>
    <protectedRange algorithmName="SHA-512" hashValue="9+DNppQbWrLYYUMoJ+lyQctV2bX3Vq9kZnegLbpjTLP49It2ovUbcartuoQTeXgP+TGpY//7mDH/UQlFCKDGiA==" saltValue="KUnni6YEm00anzSSvyLqQA==" spinCount="100000" sqref="KJ2008:MP2010" name="Rango2_47_14"/>
    <protectedRange algorithmName="SHA-512" hashValue="Gqwr8n5jYbCESAqCFk8dpOzViQICBV+k0xoqBoQaZ5lHaRlvT9TZDB4yXtm+qC6OhD064ZDBOFWkwo+LHXu1sg==" saltValue="gEL9PCN2ekF2IxW9yqAGYA==" spinCount="100000" sqref="IS2011" name="Rango2_40_2_1_11"/>
    <protectedRange algorithmName="SHA-512" hashValue="D8TacORwT7iz0mF9GEucchnMHfB5er2FFjQsxyeWWyeJkM6Bt3gYQ3LbcHPxZXFpVAYtFOuTrzYOCJrlZDx16g==" saltValue="QtCzIBktdS4NZkOEGcLTRQ==" spinCount="100000" sqref="IW2011" name="Rango2_41_1_9"/>
    <protectedRange algorithmName="SHA-512" hashValue="9+DNppQbWrLYYUMoJ+lyQctV2bX3Vq9kZnegLbpjTLP49It2ovUbcartuoQTeXgP+TGpY//7mDH/UQlFCKDGiA==" saltValue="KUnni6YEm00anzSSvyLqQA==" spinCount="100000" sqref="IX2011 IT2011:IV2011" name="Rango2_42_7"/>
    <protectedRange algorithmName="SHA-512" hashValue="9+DNppQbWrLYYUMoJ+lyQctV2bX3Vq9kZnegLbpjTLP49It2ovUbcartuoQTeXgP+TGpY//7mDH/UQlFCKDGiA==" saltValue="KUnni6YEm00anzSSvyLqQA==" spinCount="100000" sqref="IZ2011:JM2011" name="Rango2_43_21"/>
    <protectedRange algorithmName="SHA-512" hashValue="9+DNppQbWrLYYUMoJ+lyQctV2bX3Vq9kZnegLbpjTLP49It2ovUbcartuoQTeXgP+TGpY//7mDH/UQlFCKDGiA==" saltValue="KUnni6YEm00anzSSvyLqQA==" spinCount="100000" sqref="JO2011:JW2011" name="Rango2_44_21"/>
    <protectedRange algorithmName="SHA-512" hashValue="9+DNppQbWrLYYUMoJ+lyQctV2bX3Vq9kZnegLbpjTLP49It2ovUbcartuoQTeXgP+TGpY//7mDH/UQlFCKDGiA==" saltValue="KUnni6YEm00anzSSvyLqQA==" spinCount="100000" sqref="JY2011:KF2011" name="Rango2_45_23"/>
    <protectedRange algorithmName="SHA-512" hashValue="9+DNppQbWrLYYUMoJ+lyQctV2bX3Vq9kZnegLbpjTLP49It2ovUbcartuoQTeXgP+TGpY//7mDH/UQlFCKDGiA==" saltValue="KUnni6YEm00anzSSvyLqQA==" spinCount="100000" sqref="KH2011" name="Rango2_46_20"/>
    <protectedRange algorithmName="SHA-512" hashValue="9+DNppQbWrLYYUMoJ+lyQctV2bX3Vq9kZnegLbpjTLP49It2ovUbcartuoQTeXgP+TGpY//7mDH/UQlFCKDGiA==" saltValue="KUnni6YEm00anzSSvyLqQA==" spinCount="100000" sqref="KJ2011:MP2011" name="Rango2_47_15"/>
    <protectedRange algorithmName="SHA-512" hashValue="Gqwr8n5jYbCESAqCFk8dpOzViQICBV+k0xoqBoQaZ5lHaRlvT9TZDB4yXtm+qC6OhD064ZDBOFWkwo+LHXu1sg==" saltValue="gEL9PCN2ekF2IxW9yqAGYA==" spinCount="100000" sqref="IS2012:IS2013" name="Rango2_40_2_1_12"/>
    <protectedRange algorithmName="SHA-512" hashValue="D8TacORwT7iz0mF9GEucchnMHfB5er2FFjQsxyeWWyeJkM6Bt3gYQ3LbcHPxZXFpVAYtFOuTrzYOCJrlZDx16g==" saltValue="QtCzIBktdS4NZkOEGcLTRQ==" spinCount="100000" sqref="IW2012:IW2013" name="Rango2_41_1_10"/>
    <protectedRange algorithmName="SHA-512" hashValue="9+DNppQbWrLYYUMoJ+lyQctV2bX3Vq9kZnegLbpjTLP49It2ovUbcartuoQTeXgP+TGpY//7mDH/UQlFCKDGiA==" saltValue="KUnni6YEm00anzSSvyLqQA==" spinCount="100000" sqref="IX2012:IX2013 IT2012:IV2013" name="Rango2_42_8"/>
    <protectedRange algorithmName="SHA-512" hashValue="9+DNppQbWrLYYUMoJ+lyQctV2bX3Vq9kZnegLbpjTLP49It2ovUbcartuoQTeXgP+TGpY//7mDH/UQlFCKDGiA==" saltValue="KUnni6YEm00anzSSvyLqQA==" spinCount="100000" sqref="IZ2012:JM2013" name="Rango2_43_22"/>
    <protectedRange algorithmName="SHA-512" hashValue="9+DNppQbWrLYYUMoJ+lyQctV2bX3Vq9kZnegLbpjTLP49It2ovUbcartuoQTeXgP+TGpY//7mDH/UQlFCKDGiA==" saltValue="KUnni6YEm00anzSSvyLqQA==" spinCount="100000" sqref="JO2012:JW2013" name="Rango2_44_22"/>
    <protectedRange algorithmName="SHA-512" hashValue="9+DNppQbWrLYYUMoJ+lyQctV2bX3Vq9kZnegLbpjTLP49It2ovUbcartuoQTeXgP+TGpY//7mDH/UQlFCKDGiA==" saltValue="KUnni6YEm00anzSSvyLqQA==" spinCount="100000" sqref="JY2012:KF2013" name="Rango2_45_24"/>
    <protectedRange algorithmName="SHA-512" hashValue="9+DNppQbWrLYYUMoJ+lyQctV2bX3Vq9kZnegLbpjTLP49It2ovUbcartuoQTeXgP+TGpY//7mDH/UQlFCKDGiA==" saltValue="KUnni6YEm00anzSSvyLqQA==" spinCount="100000" sqref="KH2012:KH2013" name="Rango2_46_21"/>
    <protectedRange algorithmName="SHA-512" hashValue="9+DNppQbWrLYYUMoJ+lyQctV2bX3Vq9kZnegLbpjTLP49It2ovUbcartuoQTeXgP+TGpY//7mDH/UQlFCKDGiA==" saltValue="KUnni6YEm00anzSSvyLqQA==" spinCount="100000" sqref="KJ2012:MP2013" name="Rango2_47_16"/>
    <protectedRange algorithmName="SHA-512" hashValue="Gqwr8n5jYbCESAqCFk8dpOzViQICBV+k0xoqBoQaZ5lHaRlvT9TZDB4yXtm+qC6OhD064ZDBOFWkwo+LHXu1sg==" saltValue="gEL9PCN2ekF2IxW9yqAGYA==" spinCount="100000" sqref="IS2014" name="Rango2_40_2_1_13"/>
    <protectedRange algorithmName="SHA-512" hashValue="D8TacORwT7iz0mF9GEucchnMHfB5er2FFjQsxyeWWyeJkM6Bt3gYQ3LbcHPxZXFpVAYtFOuTrzYOCJrlZDx16g==" saltValue="QtCzIBktdS4NZkOEGcLTRQ==" spinCount="100000" sqref="IW2014" name="Rango2_41_1_11"/>
    <protectedRange algorithmName="SHA-512" hashValue="9+DNppQbWrLYYUMoJ+lyQctV2bX3Vq9kZnegLbpjTLP49It2ovUbcartuoQTeXgP+TGpY//7mDH/UQlFCKDGiA==" saltValue="KUnni6YEm00anzSSvyLqQA==" spinCount="100000" sqref="IX2014 IT2014:IV2014" name="Rango2_42_9"/>
    <protectedRange algorithmName="SHA-512" hashValue="9+DNppQbWrLYYUMoJ+lyQctV2bX3Vq9kZnegLbpjTLP49It2ovUbcartuoQTeXgP+TGpY//7mDH/UQlFCKDGiA==" saltValue="KUnni6YEm00anzSSvyLqQA==" spinCount="100000" sqref="IZ2014:JM2014" name="Rango2_43_23"/>
    <protectedRange algorithmName="SHA-512" hashValue="9+DNppQbWrLYYUMoJ+lyQctV2bX3Vq9kZnegLbpjTLP49It2ovUbcartuoQTeXgP+TGpY//7mDH/UQlFCKDGiA==" saltValue="KUnni6YEm00anzSSvyLqQA==" spinCount="100000" sqref="JO2014:JW2014" name="Rango2_44_23"/>
    <protectedRange algorithmName="SHA-512" hashValue="9+DNppQbWrLYYUMoJ+lyQctV2bX3Vq9kZnegLbpjTLP49It2ovUbcartuoQTeXgP+TGpY//7mDH/UQlFCKDGiA==" saltValue="KUnni6YEm00anzSSvyLqQA==" spinCount="100000" sqref="JY2014:KF2014" name="Rango2_45_25"/>
    <protectedRange algorithmName="SHA-512" hashValue="9+DNppQbWrLYYUMoJ+lyQctV2bX3Vq9kZnegLbpjTLP49It2ovUbcartuoQTeXgP+TGpY//7mDH/UQlFCKDGiA==" saltValue="KUnni6YEm00anzSSvyLqQA==" spinCount="100000" sqref="KH2014" name="Rango2_46_22"/>
    <protectedRange algorithmName="SHA-512" hashValue="9+DNppQbWrLYYUMoJ+lyQctV2bX3Vq9kZnegLbpjTLP49It2ovUbcartuoQTeXgP+TGpY//7mDH/UQlFCKDGiA==" saltValue="KUnni6YEm00anzSSvyLqQA==" spinCount="100000" sqref="KJ2014:MP2014" name="Rango2_47_17"/>
    <protectedRange algorithmName="SHA-512" hashValue="Gqwr8n5jYbCESAqCFk8dpOzViQICBV+k0xoqBoQaZ5lHaRlvT9TZDB4yXtm+qC6OhD064ZDBOFWkwo+LHXu1sg==" saltValue="gEL9PCN2ekF2IxW9yqAGYA==" spinCount="100000" sqref="IS2015" name="Rango2_40_2_1_14"/>
    <protectedRange algorithmName="SHA-512" hashValue="D8TacORwT7iz0mF9GEucchnMHfB5er2FFjQsxyeWWyeJkM6Bt3gYQ3LbcHPxZXFpVAYtFOuTrzYOCJrlZDx16g==" saltValue="QtCzIBktdS4NZkOEGcLTRQ==" spinCount="100000" sqref="IW2015" name="Rango2_41_1_12"/>
    <protectedRange algorithmName="SHA-512" hashValue="9+DNppQbWrLYYUMoJ+lyQctV2bX3Vq9kZnegLbpjTLP49It2ovUbcartuoQTeXgP+TGpY//7mDH/UQlFCKDGiA==" saltValue="KUnni6YEm00anzSSvyLqQA==" spinCount="100000" sqref="IX2015 IT2015:IV2015" name="Rango2_42_10"/>
    <protectedRange algorithmName="SHA-512" hashValue="9+DNppQbWrLYYUMoJ+lyQctV2bX3Vq9kZnegLbpjTLP49It2ovUbcartuoQTeXgP+TGpY//7mDH/UQlFCKDGiA==" saltValue="KUnni6YEm00anzSSvyLqQA==" spinCount="100000" sqref="IZ2015:JM2015" name="Rango2_43_24"/>
    <protectedRange algorithmName="SHA-512" hashValue="9+DNppQbWrLYYUMoJ+lyQctV2bX3Vq9kZnegLbpjTLP49It2ovUbcartuoQTeXgP+TGpY//7mDH/UQlFCKDGiA==" saltValue="KUnni6YEm00anzSSvyLqQA==" spinCount="100000" sqref="JO2015:JW2015" name="Rango2_44_24"/>
    <protectedRange algorithmName="SHA-512" hashValue="9+DNppQbWrLYYUMoJ+lyQctV2bX3Vq9kZnegLbpjTLP49It2ovUbcartuoQTeXgP+TGpY//7mDH/UQlFCKDGiA==" saltValue="KUnni6YEm00anzSSvyLqQA==" spinCount="100000" sqref="JY2015:KF2015" name="Rango2_45_26"/>
    <protectedRange algorithmName="SHA-512" hashValue="9+DNppQbWrLYYUMoJ+lyQctV2bX3Vq9kZnegLbpjTLP49It2ovUbcartuoQTeXgP+TGpY//7mDH/UQlFCKDGiA==" saltValue="KUnni6YEm00anzSSvyLqQA==" spinCount="100000" sqref="KH2015" name="Rango2_46_23"/>
    <protectedRange algorithmName="SHA-512" hashValue="9+DNppQbWrLYYUMoJ+lyQctV2bX3Vq9kZnegLbpjTLP49It2ovUbcartuoQTeXgP+TGpY//7mDH/UQlFCKDGiA==" saltValue="KUnni6YEm00anzSSvyLqQA==" spinCount="100000" sqref="KJ2015:MP2015" name="Rango2_47_18"/>
    <protectedRange algorithmName="SHA-512" hashValue="Gqwr8n5jYbCESAqCFk8dpOzViQICBV+k0xoqBoQaZ5lHaRlvT9TZDB4yXtm+qC6OhD064ZDBOFWkwo+LHXu1sg==" saltValue="gEL9PCN2ekF2IxW9yqAGYA==" spinCount="100000" sqref="IS2016" name="Rango2_40_2_1_15"/>
    <protectedRange algorithmName="SHA-512" hashValue="D8TacORwT7iz0mF9GEucchnMHfB5er2FFjQsxyeWWyeJkM6Bt3gYQ3LbcHPxZXFpVAYtFOuTrzYOCJrlZDx16g==" saltValue="QtCzIBktdS4NZkOEGcLTRQ==" spinCount="100000" sqref="IW2016" name="Rango2_41_1_13"/>
    <protectedRange algorithmName="SHA-512" hashValue="9+DNppQbWrLYYUMoJ+lyQctV2bX3Vq9kZnegLbpjTLP49It2ovUbcartuoQTeXgP+TGpY//7mDH/UQlFCKDGiA==" saltValue="KUnni6YEm00anzSSvyLqQA==" spinCount="100000" sqref="IX2016 IT2016:IV2016" name="Rango2_42_11"/>
    <protectedRange algorithmName="SHA-512" hashValue="9+DNppQbWrLYYUMoJ+lyQctV2bX3Vq9kZnegLbpjTLP49It2ovUbcartuoQTeXgP+TGpY//7mDH/UQlFCKDGiA==" saltValue="KUnni6YEm00anzSSvyLqQA==" spinCount="100000" sqref="IZ2016:JM2016" name="Rango2_43_25"/>
    <protectedRange algorithmName="SHA-512" hashValue="9+DNppQbWrLYYUMoJ+lyQctV2bX3Vq9kZnegLbpjTLP49It2ovUbcartuoQTeXgP+TGpY//7mDH/UQlFCKDGiA==" saltValue="KUnni6YEm00anzSSvyLqQA==" spinCount="100000" sqref="JO2016:JW2016" name="Rango2_44_25"/>
    <protectedRange algorithmName="SHA-512" hashValue="9+DNppQbWrLYYUMoJ+lyQctV2bX3Vq9kZnegLbpjTLP49It2ovUbcartuoQTeXgP+TGpY//7mDH/UQlFCKDGiA==" saltValue="KUnni6YEm00anzSSvyLqQA==" spinCount="100000" sqref="JY2016:KF2016" name="Rango2_45_27"/>
    <protectedRange algorithmName="SHA-512" hashValue="9+DNppQbWrLYYUMoJ+lyQctV2bX3Vq9kZnegLbpjTLP49It2ovUbcartuoQTeXgP+TGpY//7mDH/UQlFCKDGiA==" saltValue="KUnni6YEm00anzSSvyLqQA==" spinCount="100000" sqref="KH2016" name="Rango2_46_24"/>
    <protectedRange algorithmName="SHA-512" hashValue="9+DNppQbWrLYYUMoJ+lyQctV2bX3Vq9kZnegLbpjTLP49It2ovUbcartuoQTeXgP+TGpY//7mDH/UQlFCKDGiA==" saltValue="KUnni6YEm00anzSSvyLqQA==" spinCount="100000" sqref="KJ2016:MP2016" name="Rango2_47_19"/>
    <protectedRange algorithmName="SHA-512" hashValue="Gqwr8n5jYbCESAqCFk8dpOzViQICBV+k0xoqBoQaZ5lHaRlvT9TZDB4yXtm+qC6OhD064ZDBOFWkwo+LHXu1sg==" saltValue="gEL9PCN2ekF2IxW9yqAGYA==" spinCount="100000" sqref="IS2017" name="Rango2_40_2_1_16"/>
    <protectedRange algorithmName="SHA-512" hashValue="D8TacORwT7iz0mF9GEucchnMHfB5er2FFjQsxyeWWyeJkM6Bt3gYQ3LbcHPxZXFpVAYtFOuTrzYOCJrlZDx16g==" saltValue="QtCzIBktdS4NZkOEGcLTRQ==" spinCount="100000" sqref="IW2017" name="Rango2_41_1_14"/>
    <protectedRange algorithmName="SHA-512" hashValue="9+DNppQbWrLYYUMoJ+lyQctV2bX3Vq9kZnegLbpjTLP49It2ovUbcartuoQTeXgP+TGpY//7mDH/UQlFCKDGiA==" saltValue="KUnni6YEm00anzSSvyLqQA==" spinCount="100000" sqref="IX2017 IT2017:IV2017" name="Rango2_42_12"/>
    <protectedRange algorithmName="SHA-512" hashValue="9+DNppQbWrLYYUMoJ+lyQctV2bX3Vq9kZnegLbpjTLP49It2ovUbcartuoQTeXgP+TGpY//7mDH/UQlFCKDGiA==" saltValue="KUnni6YEm00anzSSvyLqQA==" spinCount="100000" sqref="IZ2017:JM2017" name="Rango2_43_26"/>
    <protectedRange algorithmName="SHA-512" hashValue="9+DNppQbWrLYYUMoJ+lyQctV2bX3Vq9kZnegLbpjTLP49It2ovUbcartuoQTeXgP+TGpY//7mDH/UQlFCKDGiA==" saltValue="KUnni6YEm00anzSSvyLqQA==" spinCount="100000" sqref="JO2017:JW2017" name="Rango2_44_26"/>
    <protectedRange algorithmName="SHA-512" hashValue="9+DNppQbWrLYYUMoJ+lyQctV2bX3Vq9kZnegLbpjTLP49It2ovUbcartuoQTeXgP+TGpY//7mDH/UQlFCKDGiA==" saltValue="KUnni6YEm00anzSSvyLqQA==" spinCount="100000" sqref="JY2017:KF2017" name="Rango2_45_28"/>
    <protectedRange algorithmName="SHA-512" hashValue="9+DNppQbWrLYYUMoJ+lyQctV2bX3Vq9kZnegLbpjTLP49It2ovUbcartuoQTeXgP+TGpY//7mDH/UQlFCKDGiA==" saltValue="KUnni6YEm00anzSSvyLqQA==" spinCount="100000" sqref="KH2017" name="Rango2_46_25"/>
    <protectedRange algorithmName="SHA-512" hashValue="9+DNppQbWrLYYUMoJ+lyQctV2bX3Vq9kZnegLbpjTLP49It2ovUbcartuoQTeXgP+TGpY//7mDH/UQlFCKDGiA==" saltValue="KUnni6YEm00anzSSvyLqQA==" spinCount="100000" sqref="KJ2017:MP2017" name="Rango2_47_20"/>
    <protectedRange algorithmName="SHA-512" hashValue="Gqwr8n5jYbCESAqCFk8dpOzViQICBV+k0xoqBoQaZ5lHaRlvT9TZDB4yXtm+qC6OhD064ZDBOFWkwo+LHXu1sg==" saltValue="gEL9PCN2ekF2IxW9yqAGYA==" spinCount="100000" sqref="IS2018" name="Rango2_40_2_1_17"/>
    <protectedRange algorithmName="SHA-512" hashValue="D8TacORwT7iz0mF9GEucchnMHfB5er2FFjQsxyeWWyeJkM6Bt3gYQ3LbcHPxZXFpVAYtFOuTrzYOCJrlZDx16g==" saltValue="QtCzIBktdS4NZkOEGcLTRQ==" spinCount="100000" sqref="IW2018" name="Rango2_41_1_15"/>
    <protectedRange algorithmName="SHA-512" hashValue="9+DNppQbWrLYYUMoJ+lyQctV2bX3Vq9kZnegLbpjTLP49It2ovUbcartuoQTeXgP+TGpY//7mDH/UQlFCKDGiA==" saltValue="KUnni6YEm00anzSSvyLqQA==" spinCount="100000" sqref="IX2018 IT2018:IV2018" name="Rango2_42_13"/>
    <protectedRange algorithmName="SHA-512" hashValue="9+DNppQbWrLYYUMoJ+lyQctV2bX3Vq9kZnegLbpjTLP49It2ovUbcartuoQTeXgP+TGpY//7mDH/UQlFCKDGiA==" saltValue="KUnni6YEm00anzSSvyLqQA==" spinCount="100000" sqref="IZ2018:JM2018" name="Rango2_43_27"/>
    <protectedRange algorithmName="SHA-512" hashValue="9+DNppQbWrLYYUMoJ+lyQctV2bX3Vq9kZnegLbpjTLP49It2ovUbcartuoQTeXgP+TGpY//7mDH/UQlFCKDGiA==" saltValue="KUnni6YEm00anzSSvyLqQA==" spinCount="100000" sqref="JO2018:JW2018" name="Rango2_44_27"/>
    <protectedRange algorithmName="SHA-512" hashValue="9+DNppQbWrLYYUMoJ+lyQctV2bX3Vq9kZnegLbpjTLP49It2ovUbcartuoQTeXgP+TGpY//7mDH/UQlFCKDGiA==" saltValue="KUnni6YEm00anzSSvyLqQA==" spinCount="100000" sqref="JY2018:KF2018" name="Rango2_45_29"/>
    <protectedRange algorithmName="SHA-512" hashValue="9+DNppQbWrLYYUMoJ+lyQctV2bX3Vq9kZnegLbpjTLP49It2ovUbcartuoQTeXgP+TGpY//7mDH/UQlFCKDGiA==" saltValue="KUnni6YEm00anzSSvyLqQA==" spinCount="100000" sqref="KH2018" name="Rango2_46_26"/>
    <protectedRange algorithmName="SHA-512" hashValue="9+DNppQbWrLYYUMoJ+lyQctV2bX3Vq9kZnegLbpjTLP49It2ovUbcartuoQTeXgP+TGpY//7mDH/UQlFCKDGiA==" saltValue="KUnni6YEm00anzSSvyLqQA==" spinCount="100000" sqref="KJ2018:MP2018" name="Rango2_47_21"/>
    <protectedRange algorithmName="SHA-512" hashValue="Gqwr8n5jYbCESAqCFk8dpOzViQICBV+k0xoqBoQaZ5lHaRlvT9TZDB4yXtm+qC6OhD064ZDBOFWkwo+LHXu1sg==" saltValue="gEL9PCN2ekF2IxW9yqAGYA==" spinCount="100000" sqref="IS2019" name="Rango2_40_2_1_18"/>
    <protectedRange algorithmName="SHA-512" hashValue="D8TacORwT7iz0mF9GEucchnMHfB5er2FFjQsxyeWWyeJkM6Bt3gYQ3LbcHPxZXFpVAYtFOuTrzYOCJrlZDx16g==" saltValue="QtCzIBktdS4NZkOEGcLTRQ==" spinCount="100000" sqref="IW2019" name="Rango2_41_1_16"/>
    <protectedRange algorithmName="SHA-512" hashValue="9+DNppQbWrLYYUMoJ+lyQctV2bX3Vq9kZnegLbpjTLP49It2ovUbcartuoQTeXgP+TGpY//7mDH/UQlFCKDGiA==" saltValue="KUnni6YEm00anzSSvyLqQA==" spinCount="100000" sqref="IX2019 IT2019:IV2019" name="Rango2_42_14"/>
    <protectedRange algorithmName="SHA-512" hashValue="9+DNppQbWrLYYUMoJ+lyQctV2bX3Vq9kZnegLbpjTLP49It2ovUbcartuoQTeXgP+TGpY//7mDH/UQlFCKDGiA==" saltValue="KUnni6YEm00anzSSvyLqQA==" spinCount="100000" sqref="IZ2019:JM2019" name="Rango2_43_28"/>
    <protectedRange algorithmName="SHA-512" hashValue="9+DNppQbWrLYYUMoJ+lyQctV2bX3Vq9kZnegLbpjTLP49It2ovUbcartuoQTeXgP+TGpY//7mDH/UQlFCKDGiA==" saltValue="KUnni6YEm00anzSSvyLqQA==" spinCount="100000" sqref="JO2019:JW2019" name="Rango2_44_28"/>
    <protectedRange algorithmName="SHA-512" hashValue="9+DNppQbWrLYYUMoJ+lyQctV2bX3Vq9kZnegLbpjTLP49It2ovUbcartuoQTeXgP+TGpY//7mDH/UQlFCKDGiA==" saltValue="KUnni6YEm00anzSSvyLqQA==" spinCount="100000" sqref="JY2019:KF2019" name="Rango2_45_30"/>
    <protectedRange algorithmName="SHA-512" hashValue="9+DNppQbWrLYYUMoJ+lyQctV2bX3Vq9kZnegLbpjTLP49It2ovUbcartuoQTeXgP+TGpY//7mDH/UQlFCKDGiA==" saltValue="KUnni6YEm00anzSSvyLqQA==" spinCount="100000" sqref="KH2019" name="Rango2_46_27"/>
    <protectedRange algorithmName="SHA-512" hashValue="9+DNppQbWrLYYUMoJ+lyQctV2bX3Vq9kZnegLbpjTLP49It2ovUbcartuoQTeXgP+TGpY//7mDH/UQlFCKDGiA==" saltValue="KUnni6YEm00anzSSvyLqQA==" spinCount="100000" sqref="KJ2019:MP2019" name="Rango2_47_22"/>
    <protectedRange algorithmName="SHA-512" hashValue="Gqwr8n5jYbCESAqCFk8dpOzViQICBV+k0xoqBoQaZ5lHaRlvT9TZDB4yXtm+qC6OhD064ZDBOFWkwo+LHXu1sg==" saltValue="gEL9PCN2ekF2IxW9yqAGYA==" spinCount="100000" sqref="IS2020:IS2021" name="Rango2_40_2_1_19"/>
    <protectedRange algorithmName="SHA-512" hashValue="D8TacORwT7iz0mF9GEucchnMHfB5er2FFjQsxyeWWyeJkM6Bt3gYQ3LbcHPxZXFpVAYtFOuTrzYOCJrlZDx16g==" saltValue="QtCzIBktdS4NZkOEGcLTRQ==" spinCount="100000" sqref="IW2020:IW2021" name="Rango2_41_1_17"/>
    <protectedRange algorithmName="SHA-512" hashValue="9+DNppQbWrLYYUMoJ+lyQctV2bX3Vq9kZnegLbpjTLP49It2ovUbcartuoQTeXgP+TGpY//7mDH/UQlFCKDGiA==" saltValue="KUnni6YEm00anzSSvyLqQA==" spinCount="100000" sqref="IX2020:IX2021 IT2020:IV2021" name="Rango2_42_15"/>
    <protectedRange algorithmName="SHA-512" hashValue="9+DNppQbWrLYYUMoJ+lyQctV2bX3Vq9kZnegLbpjTLP49It2ovUbcartuoQTeXgP+TGpY//7mDH/UQlFCKDGiA==" saltValue="KUnni6YEm00anzSSvyLqQA==" spinCount="100000" sqref="IZ2020:JM2021" name="Rango2_43_29"/>
    <protectedRange algorithmName="SHA-512" hashValue="9+DNppQbWrLYYUMoJ+lyQctV2bX3Vq9kZnegLbpjTLP49It2ovUbcartuoQTeXgP+TGpY//7mDH/UQlFCKDGiA==" saltValue="KUnni6YEm00anzSSvyLqQA==" spinCount="100000" sqref="JO2020:JW2021" name="Rango2_44_29"/>
    <protectedRange algorithmName="SHA-512" hashValue="9+DNppQbWrLYYUMoJ+lyQctV2bX3Vq9kZnegLbpjTLP49It2ovUbcartuoQTeXgP+TGpY//7mDH/UQlFCKDGiA==" saltValue="KUnni6YEm00anzSSvyLqQA==" spinCount="100000" sqref="JY2020:KF2021" name="Rango2_45_31"/>
    <protectedRange algorithmName="SHA-512" hashValue="9+DNppQbWrLYYUMoJ+lyQctV2bX3Vq9kZnegLbpjTLP49It2ovUbcartuoQTeXgP+TGpY//7mDH/UQlFCKDGiA==" saltValue="KUnni6YEm00anzSSvyLqQA==" spinCount="100000" sqref="KH2020:KH2021" name="Rango2_46_28"/>
    <protectedRange algorithmName="SHA-512" hashValue="9+DNppQbWrLYYUMoJ+lyQctV2bX3Vq9kZnegLbpjTLP49It2ovUbcartuoQTeXgP+TGpY//7mDH/UQlFCKDGiA==" saltValue="KUnni6YEm00anzSSvyLqQA==" spinCount="100000" sqref="KJ2020:MP2021" name="Rango2_47_23"/>
    <protectedRange algorithmName="SHA-512" hashValue="Gqwr8n5jYbCESAqCFk8dpOzViQICBV+k0xoqBoQaZ5lHaRlvT9TZDB4yXtm+qC6OhD064ZDBOFWkwo+LHXu1sg==" saltValue="gEL9PCN2ekF2IxW9yqAGYA==" spinCount="100000" sqref="IS2022:IS2030" name="Rango2_40_2_1_20"/>
    <protectedRange algorithmName="SHA-512" hashValue="D8TacORwT7iz0mF9GEucchnMHfB5er2FFjQsxyeWWyeJkM6Bt3gYQ3LbcHPxZXFpVAYtFOuTrzYOCJrlZDx16g==" saltValue="QtCzIBktdS4NZkOEGcLTRQ==" spinCount="100000" sqref="IW2022:IW2030" name="Rango2_41_1_18"/>
    <protectedRange algorithmName="SHA-512" hashValue="9+DNppQbWrLYYUMoJ+lyQctV2bX3Vq9kZnegLbpjTLP49It2ovUbcartuoQTeXgP+TGpY//7mDH/UQlFCKDGiA==" saltValue="KUnni6YEm00anzSSvyLqQA==" spinCount="100000" sqref="IX2022:IX2030 IT2022:IV2030" name="Rango2_42_16"/>
    <protectedRange algorithmName="SHA-512" hashValue="9+DNppQbWrLYYUMoJ+lyQctV2bX3Vq9kZnegLbpjTLP49It2ovUbcartuoQTeXgP+TGpY//7mDH/UQlFCKDGiA==" saltValue="KUnni6YEm00anzSSvyLqQA==" spinCount="100000" sqref="IZ2022:JM2030" name="Rango2_43_30"/>
    <protectedRange algorithmName="SHA-512" hashValue="9+DNppQbWrLYYUMoJ+lyQctV2bX3Vq9kZnegLbpjTLP49It2ovUbcartuoQTeXgP+TGpY//7mDH/UQlFCKDGiA==" saltValue="KUnni6YEm00anzSSvyLqQA==" spinCount="100000" sqref="JO2022:JW2030" name="Rango2_44_30"/>
    <protectedRange algorithmName="SHA-512" hashValue="9+DNppQbWrLYYUMoJ+lyQctV2bX3Vq9kZnegLbpjTLP49It2ovUbcartuoQTeXgP+TGpY//7mDH/UQlFCKDGiA==" saltValue="KUnni6YEm00anzSSvyLqQA==" spinCount="100000" sqref="JY2022:KF2030" name="Rango2_45_32"/>
    <protectedRange algorithmName="SHA-512" hashValue="9+DNppQbWrLYYUMoJ+lyQctV2bX3Vq9kZnegLbpjTLP49It2ovUbcartuoQTeXgP+TGpY//7mDH/UQlFCKDGiA==" saltValue="KUnni6YEm00anzSSvyLqQA==" spinCount="100000" sqref="KH2022:KH2030" name="Rango2_46_29"/>
    <protectedRange algorithmName="SHA-512" hashValue="9+DNppQbWrLYYUMoJ+lyQctV2bX3Vq9kZnegLbpjTLP49It2ovUbcartuoQTeXgP+TGpY//7mDH/UQlFCKDGiA==" saltValue="KUnni6YEm00anzSSvyLqQA==" spinCount="100000" sqref="KJ2022:MP2030" name="Rango2_47_24"/>
    <protectedRange algorithmName="SHA-512" hashValue="Gqwr8n5jYbCESAqCFk8dpOzViQICBV+k0xoqBoQaZ5lHaRlvT9TZDB4yXtm+qC6OhD064ZDBOFWkwo+LHXu1sg==" saltValue="gEL9PCN2ekF2IxW9yqAGYA==" spinCount="100000" sqref="IS2031:IS2032" name="Rango2_40_2_1_21"/>
    <protectedRange algorithmName="SHA-512" hashValue="D8TacORwT7iz0mF9GEucchnMHfB5er2FFjQsxyeWWyeJkM6Bt3gYQ3LbcHPxZXFpVAYtFOuTrzYOCJrlZDx16g==" saltValue="QtCzIBktdS4NZkOEGcLTRQ==" spinCount="100000" sqref="IW2031:IW2032" name="Rango2_41_1_19"/>
    <protectedRange algorithmName="SHA-512" hashValue="9+DNppQbWrLYYUMoJ+lyQctV2bX3Vq9kZnegLbpjTLP49It2ovUbcartuoQTeXgP+TGpY//7mDH/UQlFCKDGiA==" saltValue="KUnni6YEm00anzSSvyLqQA==" spinCount="100000" sqref="IX2031:IX2032 IT2031:IV2032" name="Rango2_42_17"/>
    <protectedRange algorithmName="SHA-512" hashValue="9+DNppQbWrLYYUMoJ+lyQctV2bX3Vq9kZnegLbpjTLP49It2ovUbcartuoQTeXgP+TGpY//7mDH/UQlFCKDGiA==" saltValue="KUnni6YEm00anzSSvyLqQA==" spinCount="100000" sqref="IZ2031:JM2032" name="Rango2_43_31"/>
    <protectedRange algorithmName="SHA-512" hashValue="9+DNppQbWrLYYUMoJ+lyQctV2bX3Vq9kZnegLbpjTLP49It2ovUbcartuoQTeXgP+TGpY//7mDH/UQlFCKDGiA==" saltValue="KUnni6YEm00anzSSvyLqQA==" spinCount="100000" sqref="JO2031:JW2032" name="Rango2_44_31"/>
    <protectedRange algorithmName="SHA-512" hashValue="9+DNppQbWrLYYUMoJ+lyQctV2bX3Vq9kZnegLbpjTLP49It2ovUbcartuoQTeXgP+TGpY//7mDH/UQlFCKDGiA==" saltValue="KUnni6YEm00anzSSvyLqQA==" spinCount="100000" sqref="JY2031:KF2032" name="Rango2_45_33"/>
    <protectedRange algorithmName="SHA-512" hashValue="9+DNppQbWrLYYUMoJ+lyQctV2bX3Vq9kZnegLbpjTLP49It2ovUbcartuoQTeXgP+TGpY//7mDH/UQlFCKDGiA==" saltValue="KUnni6YEm00anzSSvyLqQA==" spinCount="100000" sqref="KH2031:KH2032" name="Rango2_46_30"/>
    <protectedRange algorithmName="SHA-512" hashValue="9+DNppQbWrLYYUMoJ+lyQctV2bX3Vq9kZnegLbpjTLP49It2ovUbcartuoQTeXgP+TGpY//7mDH/UQlFCKDGiA==" saltValue="KUnni6YEm00anzSSvyLqQA==" spinCount="100000" sqref="KJ2031:MP2032" name="Rango2_47_25"/>
    <protectedRange algorithmName="SHA-512" hashValue="Gqwr8n5jYbCESAqCFk8dpOzViQICBV+k0xoqBoQaZ5lHaRlvT9TZDB4yXtm+qC6OhD064ZDBOFWkwo+LHXu1sg==" saltValue="gEL9PCN2ekF2IxW9yqAGYA==" spinCount="100000" sqref="IS2033" name="Rango2_40_2_1_22"/>
    <protectedRange algorithmName="SHA-512" hashValue="D8TacORwT7iz0mF9GEucchnMHfB5er2FFjQsxyeWWyeJkM6Bt3gYQ3LbcHPxZXFpVAYtFOuTrzYOCJrlZDx16g==" saltValue="QtCzIBktdS4NZkOEGcLTRQ==" spinCount="100000" sqref="IW2033" name="Rango2_41_1_20"/>
    <protectedRange algorithmName="SHA-512" hashValue="9+DNppQbWrLYYUMoJ+lyQctV2bX3Vq9kZnegLbpjTLP49It2ovUbcartuoQTeXgP+TGpY//7mDH/UQlFCKDGiA==" saltValue="KUnni6YEm00anzSSvyLqQA==" spinCount="100000" sqref="IX2033 IT2033:IV2033" name="Rango2_42_18"/>
    <protectedRange algorithmName="SHA-512" hashValue="9+DNppQbWrLYYUMoJ+lyQctV2bX3Vq9kZnegLbpjTLP49It2ovUbcartuoQTeXgP+TGpY//7mDH/UQlFCKDGiA==" saltValue="KUnni6YEm00anzSSvyLqQA==" spinCount="100000" sqref="IZ2033:JM2033" name="Rango2_43_32"/>
    <protectedRange algorithmName="SHA-512" hashValue="9+DNppQbWrLYYUMoJ+lyQctV2bX3Vq9kZnegLbpjTLP49It2ovUbcartuoQTeXgP+TGpY//7mDH/UQlFCKDGiA==" saltValue="KUnni6YEm00anzSSvyLqQA==" spinCount="100000" sqref="JO2033:JW2033" name="Rango2_44_32"/>
    <protectedRange algorithmName="SHA-512" hashValue="9+DNppQbWrLYYUMoJ+lyQctV2bX3Vq9kZnegLbpjTLP49It2ovUbcartuoQTeXgP+TGpY//7mDH/UQlFCKDGiA==" saltValue="KUnni6YEm00anzSSvyLqQA==" spinCount="100000" sqref="JY2033:KF2033" name="Rango2_45_34"/>
    <protectedRange algorithmName="SHA-512" hashValue="9+DNppQbWrLYYUMoJ+lyQctV2bX3Vq9kZnegLbpjTLP49It2ovUbcartuoQTeXgP+TGpY//7mDH/UQlFCKDGiA==" saltValue="KUnni6YEm00anzSSvyLqQA==" spinCount="100000" sqref="KH2033" name="Rango2_46_31"/>
    <protectedRange algorithmName="SHA-512" hashValue="9+DNppQbWrLYYUMoJ+lyQctV2bX3Vq9kZnegLbpjTLP49It2ovUbcartuoQTeXgP+TGpY//7mDH/UQlFCKDGiA==" saltValue="KUnni6YEm00anzSSvyLqQA==" spinCount="100000" sqref="KJ2033:MP2033" name="Rango2_47_26"/>
    <protectedRange algorithmName="SHA-512" hashValue="Gqwr8n5jYbCESAqCFk8dpOzViQICBV+k0xoqBoQaZ5lHaRlvT9TZDB4yXtm+qC6OhD064ZDBOFWkwo+LHXu1sg==" saltValue="gEL9PCN2ekF2IxW9yqAGYA==" spinCount="100000" sqref="IS2034:IS2035" name="Rango2_40_2_1_23"/>
    <protectedRange algorithmName="SHA-512" hashValue="D8TacORwT7iz0mF9GEucchnMHfB5er2FFjQsxyeWWyeJkM6Bt3gYQ3LbcHPxZXFpVAYtFOuTrzYOCJrlZDx16g==" saltValue="QtCzIBktdS4NZkOEGcLTRQ==" spinCount="100000" sqref="IW2034:IW2035" name="Rango2_41_1_21"/>
    <protectedRange algorithmName="SHA-512" hashValue="9+DNppQbWrLYYUMoJ+lyQctV2bX3Vq9kZnegLbpjTLP49It2ovUbcartuoQTeXgP+TGpY//7mDH/UQlFCKDGiA==" saltValue="KUnni6YEm00anzSSvyLqQA==" spinCount="100000" sqref="IX2034:IX2035 IT2034:IV2035" name="Rango2_42_19"/>
    <protectedRange algorithmName="SHA-512" hashValue="9+DNppQbWrLYYUMoJ+lyQctV2bX3Vq9kZnegLbpjTLP49It2ovUbcartuoQTeXgP+TGpY//7mDH/UQlFCKDGiA==" saltValue="KUnni6YEm00anzSSvyLqQA==" spinCount="100000" sqref="IZ2034:JM2035" name="Rango2_43_33"/>
    <protectedRange algorithmName="SHA-512" hashValue="9+DNppQbWrLYYUMoJ+lyQctV2bX3Vq9kZnegLbpjTLP49It2ovUbcartuoQTeXgP+TGpY//7mDH/UQlFCKDGiA==" saltValue="KUnni6YEm00anzSSvyLqQA==" spinCount="100000" sqref="JO2034:JW2035" name="Rango2_44_33"/>
    <protectedRange algorithmName="SHA-512" hashValue="9+DNppQbWrLYYUMoJ+lyQctV2bX3Vq9kZnegLbpjTLP49It2ovUbcartuoQTeXgP+TGpY//7mDH/UQlFCKDGiA==" saltValue="KUnni6YEm00anzSSvyLqQA==" spinCount="100000" sqref="JY2034:KF2035" name="Rango2_45_35"/>
    <protectedRange algorithmName="SHA-512" hashValue="9+DNppQbWrLYYUMoJ+lyQctV2bX3Vq9kZnegLbpjTLP49It2ovUbcartuoQTeXgP+TGpY//7mDH/UQlFCKDGiA==" saltValue="KUnni6YEm00anzSSvyLqQA==" spinCount="100000" sqref="KH2034:KH2035" name="Rango2_46_32"/>
    <protectedRange algorithmName="SHA-512" hashValue="9+DNppQbWrLYYUMoJ+lyQctV2bX3Vq9kZnegLbpjTLP49It2ovUbcartuoQTeXgP+TGpY//7mDH/UQlFCKDGiA==" saltValue="KUnni6YEm00anzSSvyLqQA==" spinCount="100000" sqref="KJ2034:MP2035" name="Rango2_47_27"/>
    <protectedRange algorithmName="SHA-512" hashValue="Gqwr8n5jYbCESAqCFk8dpOzViQICBV+k0xoqBoQaZ5lHaRlvT9TZDB4yXtm+qC6OhD064ZDBOFWkwo+LHXu1sg==" saltValue="gEL9PCN2ekF2IxW9yqAGYA==" spinCount="100000" sqref="IS2036:IS2037" name="Rango2_40_2_1_24"/>
    <protectedRange algorithmName="SHA-512" hashValue="D8TacORwT7iz0mF9GEucchnMHfB5er2FFjQsxyeWWyeJkM6Bt3gYQ3LbcHPxZXFpVAYtFOuTrzYOCJrlZDx16g==" saltValue="QtCzIBktdS4NZkOEGcLTRQ==" spinCount="100000" sqref="IW2036:IW2037" name="Rango2_41_1_22"/>
    <protectedRange algorithmName="SHA-512" hashValue="9+DNppQbWrLYYUMoJ+lyQctV2bX3Vq9kZnegLbpjTLP49It2ovUbcartuoQTeXgP+TGpY//7mDH/UQlFCKDGiA==" saltValue="KUnni6YEm00anzSSvyLqQA==" spinCount="100000" sqref="IX2036:IX2037 IT2036:IV2037" name="Rango2_42_20"/>
    <protectedRange algorithmName="SHA-512" hashValue="9+DNppQbWrLYYUMoJ+lyQctV2bX3Vq9kZnegLbpjTLP49It2ovUbcartuoQTeXgP+TGpY//7mDH/UQlFCKDGiA==" saltValue="KUnni6YEm00anzSSvyLqQA==" spinCount="100000" sqref="IZ2036:JM2037" name="Rango2_43_34"/>
    <protectedRange algorithmName="SHA-512" hashValue="9+DNppQbWrLYYUMoJ+lyQctV2bX3Vq9kZnegLbpjTLP49It2ovUbcartuoQTeXgP+TGpY//7mDH/UQlFCKDGiA==" saltValue="KUnni6YEm00anzSSvyLqQA==" spinCount="100000" sqref="JO2036:JW2037" name="Rango2_44_34"/>
    <protectedRange algorithmName="SHA-512" hashValue="9+DNppQbWrLYYUMoJ+lyQctV2bX3Vq9kZnegLbpjTLP49It2ovUbcartuoQTeXgP+TGpY//7mDH/UQlFCKDGiA==" saltValue="KUnni6YEm00anzSSvyLqQA==" spinCount="100000" sqref="JY2036:KF2037" name="Rango2_45_36"/>
    <protectedRange algorithmName="SHA-512" hashValue="9+DNppQbWrLYYUMoJ+lyQctV2bX3Vq9kZnegLbpjTLP49It2ovUbcartuoQTeXgP+TGpY//7mDH/UQlFCKDGiA==" saltValue="KUnni6YEm00anzSSvyLqQA==" spinCount="100000" sqref="KH2036:KH2037" name="Rango2_46_33"/>
    <protectedRange algorithmName="SHA-512" hashValue="9+DNppQbWrLYYUMoJ+lyQctV2bX3Vq9kZnegLbpjTLP49It2ovUbcartuoQTeXgP+TGpY//7mDH/UQlFCKDGiA==" saltValue="KUnni6YEm00anzSSvyLqQA==" spinCount="100000" sqref="KJ2036:MP2037" name="Rango2_47_28"/>
    <protectedRange algorithmName="SHA-512" hashValue="Gqwr8n5jYbCESAqCFk8dpOzViQICBV+k0xoqBoQaZ5lHaRlvT9TZDB4yXtm+qC6OhD064ZDBOFWkwo+LHXu1sg==" saltValue="gEL9PCN2ekF2IxW9yqAGYA==" spinCount="100000" sqref="IS2038" name="Rango2_40_2_1_25"/>
    <protectedRange algorithmName="SHA-512" hashValue="D8TacORwT7iz0mF9GEucchnMHfB5er2FFjQsxyeWWyeJkM6Bt3gYQ3LbcHPxZXFpVAYtFOuTrzYOCJrlZDx16g==" saltValue="QtCzIBktdS4NZkOEGcLTRQ==" spinCount="100000" sqref="IW2038" name="Rango2_41_1_23"/>
    <protectedRange algorithmName="SHA-512" hashValue="9+DNppQbWrLYYUMoJ+lyQctV2bX3Vq9kZnegLbpjTLP49It2ovUbcartuoQTeXgP+TGpY//7mDH/UQlFCKDGiA==" saltValue="KUnni6YEm00anzSSvyLqQA==" spinCount="100000" sqref="IX2038 IT2038:IV2038" name="Rango2_42_21"/>
    <protectedRange algorithmName="SHA-512" hashValue="9+DNppQbWrLYYUMoJ+lyQctV2bX3Vq9kZnegLbpjTLP49It2ovUbcartuoQTeXgP+TGpY//7mDH/UQlFCKDGiA==" saltValue="KUnni6YEm00anzSSvyLqQA==" spinCount="100000" sqref="IZ2038:JM2038" name="Rango2_43_35"/>
    <protectedRange algorithmName="SHA-512" hashValue="9+DNppQbWrLYYUMoJ+lyQctV2bX3Vq9kZnegLbpjTLP49It2ovUbcartuoQTeXgP+TGpY//7mDH/UQlFCKDGiA==" saltValue="KUnni6YEm00anzSSvyLqQA==" spinCount="100000" sqref="JO2038:JW2038" name="Rango2_44_35"/>
    <protectedRange algorithmName="SHA-512" hashValue="9+DNppQbWrLYYUMoJ+lyQctV2bX3Vq9kZnegLbpjTLP49It2ovUbcartuoQTeXgP+TGpY//7mDH/UQlFCKDGiA==" saltValue="KUnni6YEm00anzSSvyLqQA==" spinCount="100000" sqref="JY2038:KF2038" name="Rango2_45_37"/>
    <protectedRange algorithmName="SHA-512" hashValue="9+DNppQbWrLYYUMoJ+lyQctV2bX3Vq9kZnegLbpjTLP49It2ovUbcartuoQTeXgP+TGpY//7mDH/UQlFCKDGiA==" saltValue="KUnni6YEm00anzSSvyLqQA==" spinCount="100000" sqref="KH2038" name="Rango2_46_34"/>
    <protectedRange algorithmName="SHA-512" hashValue="9+DNppQbWrLYYUMoJ+lyQctV2bX3Vq9kZnegLbpjTLP49It2ovUbcartuoQTeXgP+TGpY//7mDH/UQlFCKDGiA==" saltValue="KUnni6YEm00anzSSvyLqQA==" spinCount="100000" sqref="KJ2038:MP2038" name="Rango2_47_29"/>
    <protectedRange algorithmName="SHA-512" hashValue="Gqwr8n5jYbCESAqCFk8dpOzViQICBV+k0xoqBoQaZ5lHaRlvT9TZDB4yXtm+qC6OhD064ZDBOFWkwo+LHXu1sg==" saltValue="gEL9PCN2ekF2IxW9yqAGYA==" spinCount="100000" sqref="IS2039" name="Rango2_40_2_1_26"/>
    <protectedRange algorithmName="SHA-512" hashValue="D8TacORwT7iz0mF9GEucchnMHfB5er2FFjQsxyeWWyeJkM6Bt3gYQ3LbcHPxZXFpVAYtFOuTrzYOCJrlZDx16g==" saltValue="QtCzIBktdS4NZkOEGcLTRQ==" spinCount="100000" sqref="IW2039" name="Rango2_41_1_24"/>
    <protectedRange algorithmName="SHA-512" hashValue="9+DNppQbWrLYYUMoJ+lyQctV2bX3Vq9kZnegLbpjTLP49It2ovUbcartuoQTeXgP+TGpY//7mDH/UQlFCKDGiA==" saltValue="KUnni6YEm00anzSSvyLqQA==" spinCount="100000" sqref="IX2039 IT2039:IV2039" name="Rango2_42_22"/>
    <protectedRange algorithmName="SHA-512" hashValue="9+DNppQbWrLYYUMoJ+lyQctV2bX3Vq9kZnegLbpjTLP49It2ovUbcartuoQTeXgP+TGpY//7mDH/UQlFCKDGiA==" saltValue="KUnni6YEm00anzSSvyLqQA==" spinCount="100000" sqref="IZ2039:JM2039" name="Rango2_43_36"/>
    <protectedRange algorithmName="SHA-512" hashValue="9+DNppQbWrLYYUMoJ+lyQctV2bX3Vq9kZnegLbpjTLP49It2ovUbcartuoQTeXgP+TGpY//7mDH/UQlFCKDGiA==" saltValue="KUnni6YEm00anzSSvyLqQA==" spinCount="100000" sqref="JO2039:JW2039" name="Rango2_44_36"/>
    <protectedRange algorithmName="SHA-512" hashValue="9+DNppQbWrLYYUMoJ+lyQctV2bX3Vq9kZnegLbpjTLP49It2ovUbcartuoQTeXgP+TGpY//7mDH/UQlFCKDGiA==" saltValue="KUnni6YEm00anzSSvyLqQA==" spinCount="100000" sqref="JY2039:KF2039" name="Rango2_45_38"/>
    <protectedRange algorithmName="SHA-512" hashValue="9+DNppQbWrLYYUMoJ+lyQctV2bX3Vq9kZnegLbpjTLP49It2ovUbcartuoQTeXgP+TGpY//7mDH/UQlFCKDGiA==" saltValue="KUnni6YEm00anzSSvyLqQA==" spinCount="100000" sqref="KH2039" name="Rango2_46_35"/>
    <protectedRange algorithmName="SHA-512" hashValue="9+DNppQbWrLYYUMoJ+lyQctV2bX3Vq9kZnegLbpjTLP49It2ovUbcartuoQTeXgP+TGpY//7mDH/UQlFCKDGiA==" saltValue="KUnni6YEm00anzSSvyLqQA==" spinCount="100000" sqref="KJ2039:MP2039" name="Rango2_47_30"/>
    <protectedRange algorithmName="SHA-512" hashValue="Gqwr8n5jYbCESAqCFk8dpOzViQICBV+k0xoqBoQaZ5lHaRlvT9TZDB4yXtm+qC6OhD064ZDBOFWkwo+LHXu1sg==" saltValue="gEL9PCN2ekF2IxW9yqAGYA==" spinCount="100000" sqref="IS2040" name="Rango2_40_2_1_27"/>
    <protectedRange algorithmName="SHA-512" hashValue="D8TacORwT7iz0mF9GEucchnMHfB5er2FFjQsxyeWWyeJkM6Bt3gYQ3LbcHPxZXFpVAYtFOuTrzYOCJrlZDx16g==" saltValue="QtCzIBktdS4NZkOEGcLTRQ==" spinCount="100000" sqref="IW2040" name="Rango2_41_1_25"/>
    <protectedRange algorithmName="SHA-512" hashValue="9+DNppQbWrLYYUMoJ+lyQctV2bX3Vq9kZnegLbpjTLP49It2ovUbcartuoQTeXgP+TGpY//7mDH/UQlFCKDGiA==" saltValue="KUnni6YEm00anzSSvyLqQA==" spinCount="100000" sqref="IX2040 IT2040:IV2040" name="Rango2_42_23"/>
    <protectedRange algorithmName="SHA-512" hashValue="9+DNppQbWrLYYUMoJ+lyQctV2bX3Vq9kZnegLbpjTLP49It2ovUbcartuoQTeXgP+TGpY//7mDH/UQlFCKDGiA==" saltValue="KUnni6YEm00anzSSvyLqQA==" spinCount="100000" sqref="IZ2040:JM2040" name="Rango2_43_37"/>
    <protectedRange algorithmName="SHA-512" hashValue="9+DNppQbWrLYYUMoJ+lyQctV2bX3Vq9kZnegLbpjTLP49It2ovUbcartuoQTeXgP+TGpY//7mDH/UQlFCKDGiA==" saltValue="KUnni6YEm00anzSSvyLqQA==" spinCount="100000" sqref="JO2040:JW2040" name="Rango2_44_37"/>
    <protectedRange algorithmName="SHA-512" hashValue="9+DNppQbWrLYYUMoJ+lyQctV2bX3Vq9kZnegLbpjTLP49It2ovUbcartuoQTeXgP+TGpY//7mDH/UQlFCKDGiA==" saltValue="KUnni6YEm00anzSSvyLqQA==" spinCount="100000" sqref="JY2040:KF2040" name="Rango2_45_39"/>
    <protectedRange algorithmName="SHA-512" hashValue="9+DNppQbWrLYYUMoJ+lyQctV2bX3Vq9kZnegLbpjTLP49It2ovUbcartuoQTeXgP+TGpY//7mDH/UQlFCKDGiA==" saltValue="KUnni6YEm00anzSSvyLqQA==" spinCount="100000" sqref="KH2040" name="Rango2_46_36"/>
    <protectedRange algorithmName="SHA-512" hashValue="9+DNppQbWrLYYUMoJ+lyQctV2bX3Vq9kZnegLbpjTLP49It2ovUbcartuoQTeXgP+TGpY//7mDH/UQlFCKDGiA==" saltValue="KUnni6YEm00anzSSvyLqQA==" spinCount="100000" sqref="KJ2040:MP2040" name="Rango2_47_31"/>
    <protectedRange algorithmName="SHA-512" hashValue="Gqwr8n5jYbCESAqCFk8dpOzViQICBV+k0xoqBoQaZ5lHaRlvT9TZDB4yXtm+qC6OhD064ZDBOFWkwo+LHXu1sg==" saltValue="gEL9PCN2ekF2IxW9yqAGYA==" spinCount="100000" sqref="IS2041" name="Rango2_40_2_1_28"/>
    <protectedRange algorithmName="SHA-512" hashValue="D8TacORwT7iz0mF9GEucchnMHfB5er2FFjQsxyeWWyeJkM6Bt3gYQ3LbcHPxZXFpVAYtFOuTrzYOCJrlZDx16g==" saltValue="QtCzIBktdS4NZkOEGcLTRQ==" spinCount="100000" sqref="IW2041" name="Rango2_41_1_26"/>
    <protectedRange algorithmName="SHA-512" hashValue="9+DNppQbWrLYYUMoJ+lyQctV2bX3Vq9kZnegLbpjTLP49It2ovUbcartuoQTeXgP+TGpY//7mDH/UQlFCKDGiA==" saltValue="KUnni6YEm00anzSSvyLqQA==" spinCount="100000" sqref="IX2041 IT2041:IV2041" name="Rango2_42_24"/>
    <protectedRange algorithmName="SHA-512" hashValue="9+DNppQbWrLYYUMoJ+lyQctV2bX3Vq9kZnegLbpjTLP49It2ovUbcartuoQTeXgP+TGpY//7mDH/UQlFCKDGiA==" saltValue="KUnni6YEm00anzSSvyLqQA==" spinCount="100000" sqref="IZ2041:JM2041" name="Rango2_43_38"/>
    <protectedRange algorithmName="SHA-512" hashValue="9+DNppQbWrLYYUMoJ+lyQctV2bX3Vq9kZnegLbpjTLP49It2ovUbcartuoQTeXgP+TGpY//7mDH/UQlFCKDGiA==" saltValue="KUnni6YEm00anzSSvyLqQA==" spinCount="100000" sqref="JO2041:JW2041" name="Rango2_44_38"/>
    <protectedRange algorithmName="SHA-512" hashValue="9+DNppQbWrLYYUMoJ+lyQctV2bX3Vq9kZnegLbpjTLP49It2ovUbcartuoQTeXgP+TGpY//7mDH/UQlFCKDGiA==" saltValue="KUnni6YEm00anzSSvyLqQA==" spinCount="100000" sqref="JY2041:KF2041" name="Rango2_45_40"/>
    <protectedRange algorithmName="SHA-512" hashValue="9+DNppQbWrLYYUMoJ+lyQctV2bX3Vq9kZnegLbpjTLP49It2ovUbcartuoQTeXgP+TGpY//7mDH/UQlFCKDGiA==" saltValue="KUnni6YEm00anzSSvyLqQA==" spinCount="100000" sqref="KH2041" name="Rango2_46_37"/>
    <protectedRange algorithmName="SHA-512" hashValue="9+DNppQbWrLYYUMoJ+lyQctV2bX3Vq9kZnegLbpjTLP49It2ovUbcartuoQTeXgP+TGpY//7mDH/UQlFCKDGiA==" saltValue="KUnni6YEm00anzSSvyLqQA==" spinCount="100000" sqref="KJ2041:MP2041" name="Rango2_47_32"/>
    <protectedRange algorithmName="SHA-512" hashValue="Gqwr8n5jYbCESAqCFk8dpOzViQICBV+k0xoqBoQaZ5lHaRlvT9TZDB4yXtm+qC6OhD064ZDBOFWkwo+LHXu1sg==" saltValue="gEL9PCN2ekF2IxW9yqAGYA==" spinCount="100000" sqref="IS2042:IS2043" name="Rango2_40_2_1_29"/>
    <protectedRange algorithmName="SHA-512" hashValue="D8TacORwT7iz0mF9GEucchnMHfB5er2FFjQsxyeWWyeJkM6Bt3gYQ3LbcHPxZXFpVAYtFOuTrzYOCJrlZDx16g==" saltValue="QtCzIBktdS4NZkOEGcLTRQ==" spinCount="100000" sqref="IW2042:IW2043" name="Rango2_41_1_27"/>
    <protectedRange algorithmName="SHA-512" hashValue="9+DNppQbWrLYYUMoJ+lyQctV2bX3Vq9kZnegLbpjTLP49It2ovUbcartuoQTeXgP+TGpY//7mDH/UQlFCKDGiA==" saltValue="KUnni6YEm00anzSSvyLqQA==" spinCount="100000" sqref="IX2042:IX2043 IT2042:IV2043" name="Rango2_42_25"/>
    <protectedRange algorithmName="SHA-512" hashValue="9+DNppQbWrLYYUMoJ+lyQctV2bX3Vq9kZnegLbpjTLP49It2ovUbcartuoQTeXgP+TGpY//7mDH/UQlFCKDGiA==" saltValue="KUnni6YEm00anzSSvyLqQA==" spinCount="100000" sqref="IZ2042:JM2043" name="Rango2_43_39"/>
    <protectedRange algorithmName="SHA-512" hashValue="9+DNppQbWrLYYUMoJ+lyQctV2bX3Vq9kZnegLbpjTLP49It2ovUbcartuoQTeXgP+TGpY//7mDH/UQlFCKDGiA==" saltValue="KUnni6YEm00anzSSvyLqQA==" spinCount="100000" sqref="JO2042:JW2043" name="Rango2_44_39"/>
    <protectedRange algorithmName="SHA-512" hashValue="9+DNppQbWrLYYUMoJ+lyQctV2bX3Vq9kZnegLbpjTLP49It2ovUbcartuoQTeXgP+TGpY//7mDH/UQlFCKDGiA==" saltValue="KUnni6YEm00anzSSvyLqQA==" spinCount="100000" sqref="JY2042:KF2043" name="Rango2_45_41"/>
    <protectedRange algorithmName="SHA-512" hashValue="9+DNppQbWrLYYUMoJ+lyQctV2bX3Vq9kZnegLbpjTLP49It2ovUbcartuoQTeXgP+TGpY//7mDH/UQlFCKDGiA==" saltValue="KUnni6YEm00anzSSvyLqQA==" spinCount="100000" sqref="KH2042:KH2043" name="Rango2_46_38"/>
    <protectedRange algorithmName="SHA-512" hashValue="9+DNppQbWrLYYUMoJ+lyQctV2bX3Vq9kZnegLbpjTLP49It2ovUbcartuoQTeXgP+TGpY//7mDH/UQlFCKDGiA==" saltValue="KUnni6YEm00anzSSvyLqQA==" spinCount="100000" sqref="KJ2042:MP2043" name="Rango2_47_33"/>
    <protectedRange algorithmName="SHA-512" hashValue="Gqwr8n5jYbCESAqCFk8dpOzViQICBV+k0xoqBoQaZ5lHaRlvT9TZDB4yXtm+qC6OhD064ZDBOFWkwo+LHXu1sg==" saltValue="gEL9PCN2ekF2IxW9yqAGYA==" spinCount="100000" sqref="IS2044:IS2045" name="Rango2_40_2_1_30"/>
    <protectedRange algorithmName="SHA-512" hashValue="D8TacORwT7iz0mF9GEucchnMHfB5er2FFjQsxyeWWyeJkM6Bt3gYQ3LbcHPxZXFpVAYtFOuTrzYOCJrlZDx16g==" saltValue="QtCzIBktdS4NZkOEGcLTRQ==" spinCount="100000" sqref="IW2044:IW2045" name="Rango2_41_1_28"/>
    <protectedRange algorithmName="SHA-512" hashValue="9+DNppQbWrLYYUMoJ+lyQctV2bX3Vq9kZnegLbpjTLP49It2ovUbcartuoQTeXgP+TGpY//7mDH/UQlFCKDGiA==" saltValue="KUnni6YEm00anzSSvyLqQA==" spinCount="100000" sqref="IX2044:IX2045 IT2044:IV2045" name="Rango2_42_26"/>
    <protectedRange algorithmName="SHA-512" hashValue="9+DNppQbWrLYYUMoJ+lyQctV2bX3Vq9kZnegLbpjTLP49It2ovUbcartuoQTeXgP+TGpY//7mDH/UQlFCKDGiA==" saltValue="KUnni6YEm00anzSSvyLqQA==" spinCount="100000" sqref="IZ2044:JM2045" name="Rango2_43_40"/>
    <protectedRange algorithmName="SHA-512" hashValue="9+DNppQbWrLYYUMoJ+lyQctV2bX3Vq9kZnegLbpjTLP49It2ovUbcartuoQTeXgP+TGpY//7mDH/UQlFCKDGiA==" saltValue="KUnni6YEm00anzSSvyLqQA==" spinCount="100000" sqref="JO2044:JW2045" name="Rango2_44_40"/>
    <protectedRange algorithmName="SHA-512" hashValue="9+DNppQbWrLYYUMoJ+lyQctV2bX3Vq9kZnegLbpjTLP49It2ovUbcartuoQTeXgP+TGpY//7mDH/UQlFCKDGiA==" saltValue="KUnni6YEm00anzSSvyLqQA==" spinCount="100000" sqref="JY2044:KF2045" name="Rango2_45_42"/>
    <protectedRange algorithmName="SHA-512" hashValue="9+DNppQbWrLYYUMoJ+lyQctV2bX3Vq9kZnegLbpjTLP49It2ovUbcartuoQTeXgP+TGpY//7mDH/UQlFCKDGiA==" saltValue="KUnni6YEm00anzSSvyLqQA==" spinCount="100000" sqref="KH2044:KH2045" name="Rango2_46_39"/>
    <protectedRange algorithmName="SHA-512" hashValue="9+DNppQbWrLYYUMoJ+lyQctV2bX3Vq9kZnegLbpjTLP49It2ovUbcartuoQTeXgP+TGpY//7mDH/UQlFCKDGiA==" saltValue="KUnni6YEm00anzSSvyLqQA==" spinCount="100000" sqref="KJ2044:MP2045" name="Rango2_47_34"/>
    <protectedRange algorithmName="SHA-512" hashValue="Gqwr8n5jYbCESAqCFk8dpOzViQICBV+k0xoqBoQaZ5lHaRlvT9TZDB4yXtm+qC6OhD064ZDBOFWkwo+LHXu1sg==" saltValue="gEL9PCN2ekF2IxW9yqAGYA==" spinCount="100000" sqref="IS2046:IS2047" name="Rango2_40_2_1_31"/>
    <protectedRange algorithmName="SHA-512" hashValue="D8TacORwT7iz0mF9GEucchnMHfB5er2FFjQsxyeWWyeJkM6Bt3gYQ3LbcHPxZXFpVAYtFOuTrzYOCJrlZDx16g==" saltValue="QtCzIBktdS4NZkOEGcLTRQ==" spinCount="100000" sqref="IW2046:IW2047" name="Rango2_41_1_29"/>
    <protectedRange algorithmName="SHA-512" hashValue="9+DNppQbWrLYYUMoJ+lyQctV2bX3Vq9kZnegLbpjTLP49It2ovUbcartuoQTeXgP+TGpY//7mDH/UQlFCKDGiA==" saltValue="KUnni6YEm00anzSSvyLqQA==" spinCount="100000" sqref="IX2046:IX2047 IT2046:IV2047" name="Rango2_42_27"/>
    <protectedRange algorithmName="SHA-512" hashValue="9+DNppQbWrLYYUMoJ+lyQctV2bX3Vq9kZnegLbpjTLP49It2ovUbcartuoQTeXgP+TGpY//7mDH/UQlFCKDGiA==" saltValue="KUnni6YEm00anzSSvyLqQA==" spinCount="100000" sqref="IZ2046:JM2047" name="Rango2_43_41"/>
    <protectedRange algorithmName="SHA-512" hashValue="9+DNppQbWrLYYUMoJ+lyQctV2bX3Vq9kZnegLbpjTLP49It2ovUbcartuoQTeXgP+TGpY//7mDH/UQlFCKDGiA==" saltValue="KUnni6YEm00anzSSvyLqQA==" spinCount="100000" sqref="JO2046:JW2047" name="Rango2_44_41"/>
    <protectedRange algorithmName="SHA-512" hashValue="9+DNppQbWrLYYUMoJ+lyQctV2bX3Vq9kZnegLbpjTLP49It2ovUbcartuoQTeXgP+TGpY//7mDH/UQlFCKDGiA==" saltValue="KUnni6YEm00anzSSvyLqQA==" spinCount="100000" sqref="JY2046:KF2047" name="Rango2_45_43"/>
    <protectedRange algorithmName="SHA-512" hashValue="9+DNppQbWrLYYUMoJ+lyQctV2bX3Vq9kZnegLbpjTLP49It2ovUbcartuoQTeXgP+TGpY//7mDH/UQlFCKDGiA==" saltValue="KUnni6YEm00anzSSvyLqQA==" spinCount="100000" sqref="KH2046:KH2047" name="Rango2_46_40"/>
    <protectedRange algorithmName="SHA-512" hashValue="9+DNppQbWrLYYUMoJ+lyQctV2bX3Vq9kZnegLbpjTLP49It2ovUbcartuoQTeXgP+TGpY//7mDH/UQlFCKDGiA==" saltValue="KUnni6YEm00anzSSvyLqQA==" spinCount="100000" sqref="KJ2046:MP2047" name="Rango2_47_35"/>
    <protectedRange algorithmName="SHA-512" hashValue="Gqwr8n5jYbCESAqCFk8dpOzViQICBV+k0xoqBoQaZ5lHaRlvT9TZDB4yXtm+qC6OhD064ZDBOFWkwo+LHXu1sg==" saltValue="gEL9PCN2ekF2IxW9yqAGYA==" spinCount="100000" sqref="IS2048" name="Rango2_40_2_1_32"/>
    <protectedRange algorithmName="SHA-512" hashValue="D8TacORwT7iz0mF9GEucchnMHfB5er2FFjQsxyeWWyeJkM6Bt3gYQ3LbcHPxZXFpVAYtFOuTrzYOCJrlZDx16g==" saltValue="QtCzIBktdS4NZkOEGcLTRQ==" spinCount="100000" sqref="IW2048" name="Rango2_41_1_30"/>
    <protectedRange algorithmName="SHA-512" hashValue="9+DNppQbWrLYYUMoJ+lyQctV2bX3Vq9kZnegLbpjTLP49It2ovUbcartuoQTeXgP+TGpY//7mDH/UQlFCKDGiA==" saltValue="KUnni6YEm00anzSSvyLqQA==" spinCount="100000" sqref="IX2048 IT2048:IV2048" name="Rango2_42_28"/>
    <protectedRange algorithmName="SHA-512" hashValue="9+DNppQbWrLYYUMoJ+lyQctV2bX3Vq9kZnegLbpjTLP49It2ovUbcartuoQTeXgP+TGpY//7mDH/UQlFCKDGiA==" saltValue="KUnni6YEm00anzSSvyLqQA==" spinCount="100000" sqref="IZ2048:JM2048" name="Rango2_43_42"/>
    <protectedRange algorithmName="SHA-512" hashValue="9+DNppQbWrLYYUMoJ+lyQctV2bX3Vq9kZnegLbpjTLP49It2ovUbcartuoQTeXgP+TGpY//7mDH/UQlFCKDGiA==" saltValue="KUnni6YEm00anzSSvyLqQA==" spinCount="100000" sqref="JO2048:JW2048" name="Rango2_44_42"/>
    <protectedRange algorithmName="SHA-512" hashValue="9+DNppQbWrLYYUMoJ+lyQctV2bX3Vq9kZnegLbpjTLP49It2ovUbcartuoQTeXgP+TGpY//7mDH/UQlFCKDGiA==" saltValue="KUnni6YEm00anzSSvyLqQA==" spinCount="100000" sqref="JY2048:KF2048" name="Rango2_45_44"/>
    <protectedRange algorithmName="SHA-512" hashValue="9+DNppQbWrLYYUMoJ+lyQctV2bX3Vq9kZnegLbpjTLP49It2ovUbcartuoQTeXgP+TGpY//7mDH/UQlFCKDGiA==" saltValue="KUnni6YEm00anzSSvyLqQA==" spinCount="100000" sqref="KH2048" name="Rango2_46_41"/>
    <protectedRange algorithmName="SHA-512" hashValue="9+DNppQbWrLYYUMoJ+lyQctV2bX3Vq9kZnegLbpjTLP49It2ovUbcartuoQTeXgP+TGpY//7mDH/UQlFCKDGiA==" saltValue="KUnni6YEm00anzSSvyLqQA==" spinCount="100000" sqref="KJ2048:MP2048" name="Rango2_47_36"/>
    <protectedRange algorithmName="SHA-512" hashValue="Gqwr8n5jYbCESAqCFk8dpOzViQICBV+k0xoqBoQaZ5lHaRlvT9TZDB4yXtm+qC6OhD064ZDBOFWkwo+LHXu1sg==" saltValue="gEL9PCN2ekF2IxW9yqAGYA==" spinCount="100000" sqref="IS2049:IS2054" name="Rango2_40_2_1_33"/>
    <protectedRange algorithmName="SHA-512" hashValue="D8TacORwT7iz0mF9GEucchnMHfB5er2FFjQsxyeWWyeJkM6Bt3gYQ3LbcHPxZXFpVAYtFOuTrzYOCJrlZDx16g==" saltValue="QtCzIBktdS4NZkOEGcLTRQ==" spinCount="100000" sqref="IW2049:IW2054" name="Rango2_41_1_31"/>
    <protectedRange algorithmName="SHA-512" hashValue="9+DNppQbWrLYYUMoJ+lyQctV2bX3Vq9kZnegLbpjTLP49It2ovUbcartuoQTeXgP+TGpY//7mDH/UQlFCKDGiA==" saltValue="KUnni6YEm00anzSSvyLqQA==" spinCount="100000" sqref="IX2049:IX2054 IT2049:IV2054" name="Rango2_42_29"/>
    <protectedRange algorithmName="SHA-512" hashValue="9+DNppQbWrLYYUMoJ+lyQctV2bX3Vq9kZnegLbpjTLP49It2ovUbcartuoQTeXgP+TGpY//7mDH/UQlFCKDGiA==" saltValue="KUnni6YEm00anzSSvyLqQA==" spinCount="100000" sqref="IZ2049:JM2054" name="Rango2_43_43"/>
    <protectedRange algorithmName="SHA-512" hashValue="9+DNppQbWrLYYUMoJ+lyQctV2bX3Vq9kZnegLbpjTLP49It2ovUbcartuoQTeXgP+TGpY//7mDH/UQlFCKDGiA==" saltValue="KUnni6YEm00anzSSvyLqQA==" spinCount="100000" sqref="JO2049:JW2054" name="Rango2_44_43"/>
    <protectedRange algorithmName="SHA-512" hashValue="9+DNppQbWrLYYUMoJ+lyQctV2bX3Vq9kZnegLbpjTLP49It2ovUbcartuoQTeXgP+TGpY//7mDH/UQlFCKDGiA==" saltValue="KUnni6YEm00anzSSvyLqQA==" spinCount="100000" sqref="JY2049:KF2054" name="Rango2_45_45"/>
    <protectedRange algorithmName="SHA-512" hashValue="9+DNppQbWrLYYUMoJ+lyQctV2bX3Vq9kZnegLbpjTLP49It2ovUbcartuoQTeXgP+TGpY//7mDH/UQlFCKDGiA==" saltValue="KUnni6YEm00anzSSvyLqQA==" spinCount="100000" sqref="KH2049:KH2054" name="Rango2_46_42"/>
    <protectedRange algorithmName="SHA-512" hashValue="9+DNppQbWrLYYUMoJ+lyQctV2bX3Vq9kZnegLbpjTLP49It2ovUbcartuoQTeXgP+TGpY//7mDH/UQlFCKDGiA==" saltValue="KUnni6YEm00anzSSvyLqQA==" spinCount="100000" sqref="KJ2049:MP2054" name="Rango2_47_37"/>
    <protectedRange algorithmName="SHA-512" hashValue="Gqwr8n5jYbCESAqCFk8dpOzViQICBV+k0xoqBoQaZ5lHaRlvT9TZDB4yXtm+qC6OhD064ZDBOFWkwo+LHXu1sg==" saltValue="gEL9PCN2ekF2IxW9yqAGYA==" spinCount="100000" sqref="IS2055:IS2096" name="Rango2_40_2_1_34"/>
    <protectedRange algorithmName="SHA-512" hashValue="D8TacORwT7iz0mF9GEucchnMHfB5er2FFjQsxyeWWyeJkM6Bt3gYQ3LbcHPxZXFpVAYtFOuTrzYOCJrlZDx16g==" saltValue="QtCzIBktdS4NZkOEGcLTRQ==" spinCount="100000" sqref="IW2055:IW2096" name="Rango2_41_1_32"/>
    <protectedRange algorithmName="SHA-512" hashValue="9+DNppQbWrLYYUMoJ+lyQctV2bX3Vq9kZnegLbpjTLP49It2ovUbcartuoQTeXgP+TGpY//7mDH/UQlFCKDGiA==" saltValue="KUnni6YEm00anzSSvyLqQA==" spinCount="100000" sqref="IX2055:IX2096 IT2055:IV2096" name="Rango2_42_30"/>
    <protectedRange algorithmName="SHA-512" hashValue="9+DNppQbWrLYYUMoJ+lyQctV2bX3Vq9kZnegLbpjTLP49It2ovUbcartuoQTeXgP+TGpY//7mDH/UQlFCKDGiA==" saltValue="KUnni6YEm00anzSSvyLqQA==" spinCount="100000" sqref="IZ2055:JM2096" name="Rango2_43_44"/>
    <protectedRange algorithmName="SHA-512" hashValue="9+DNppQbWrLYYUMoJ+lyQctV2bX3Vq9kZnegLbpjTLP49It2ovUbcartuoQTeXgP+TGpY//7mDH/UQlFCKDGiA==" saltValue="KUnni6YEm00anzSSvyLqQA==" spinCount="100000" sqref="JO2055:JW2096" name="Rango2_44_44"/>
    <protectedRange algorithmName="SHA-512" hashValue="9+DNppQbWrLYYUMoJ+lyQctV2bX3Vq9kZnegLbpjTLP49It2ovUbcartuoQTeXgP+TGpY//7mDH/UQlFCKDGiA==" saltValue="KUnni6YEm00anzSSvyLqQA==" spinCount="100000" sqref="JY2055:KF2096" name="Rango2_45_46"/>
    <protectedRange algorithmName="SHA-512" hashValue="9+DNppQbWrLYYUMoJ+lyQctV2bX3Vq9kZnegLbpjTLP49It2ovUbcartuoQTeXgP+TGpY//7mDH/UQlFCKDGiA==" saltValue="KUnni6YEm00anzSSvyLqQA==" spinCount="100000" sqref="KH2055:KH2096" name="Rango2_46_43"/>
    <protectedRange algorithmName="SHA-512" hashValue="9+DNppQbWrLYYUMoJ+lyQctV2bX3Vq9kZnegLbpjTLP49It2ovUbcartuoQTeXgP+TGpY//7mDH/UQlFCKDGiA==" saltValue="KUnni6YEm00anzSSvyLqQA==" spinCount="100000" sqref="KJ2055:MP2096" name="Rango2_47_38"/>
    <protectedRange algorithmName="SHA-512" hashValue="Gqwr8n5jYbCESAqCFk8dpOzViQICBV+k0xoqBoQaZ5lHaRlvT9TZDB4yXtm+qC6OhD064ZDBOFWkwo+LHXu1sg==" saltValue="gEL9PCN2ekF2IxW9yqAGYA==" spinCount="100000" sqref="IS2097:IS2107" name="Rango2_40_2_1_35"/>
    <protectedRange algorithmName="SHA-512" hashValue="D8TacORwT7iz0mF9GEucchnMHfB5er2FFjQsxyeWWyeJkM6Bt3gYQ3LbcHPxZXFpVAYtFOuTrzYOCJrlZDx16g==" saltValue="QtCzIBktdS4NZkOEGcLTRQ==" spinCount="100000" sqref="IW2097:IW2107" name="Rango2_41_1_33"/>
    <protectedRange algorithmName="SHA-512" hashValue="9+DNppQbWrLYYUMoJ+lyQctV2bX3Vq9kZnegLbpjTLP49It2ovUbcartuoQTeXgP+TGpY//7mDH/UQlFCKDGiA==" saltValue="KUnni6YEm00anzSSvyLqQA==" spinCount="100000" sqref="IX2097:IX2107 IT2097:IV2107" name="Rango2_42_31"/>
    <protectedRange algorithmName="SHA-512" hashValue="9+DNppQbWrLYYUMoJ+lyQctV2bX3Vq9kZnegLbpjTLP49It2ovUbcartuoQTeXgP+TGpY//7mDH/UQlFCKDGiA==" saltValue="KUnni6YEm00anzSSvyLqQA==" spinCount="100000" sqref="JO2097:JW2107" name="Rango2_44_45"/>
    <protectedRange algorithmName="SHA-512" hashValue="9+DNppQbWrLYYUMoJ+lyQctV2bX3Vq9kZnegLbpjTLP49It2ovUbcartuoQTeXgP+TGpY//7mDH/UQlFCKDGiA==" saltValue="KUnni6YEm00anzSSvyLqQA==" spinCount="100000" sqref="JY2097:KF2107" name="Rango2_45_47"/>
    <protectedRange algorithmName="SHA-512" hashValue="9+DNppQbWrLYYUMoJ+lyQctV2bX3Vq9kZnegLbpjTLP49It2ovUbcartuoQTeXgP+TGpY//7mDH/UQlFCKDGiA==" saltValue="KUnni6YEm00anzSSvyLqQA==" spinCount="100000" sqref="KH2097:KH2107" name="Rango2_46_44"/>
    <protectedRange algorithmName="SHA-512" hashValue="9+DNppQbWrLYYUMoJ+lyQctV2bX3Vq9kZnegLbpjTLP49It2ovUbcartuoQTeXgP+TGpY//7mDH/UQlFCKDGiA==" saltValue="KUnni6YEm00anzSSvyLqQA==" spinCount="100000" sqref="KJ2097:MP2107" name="Rango2_47_39"/>
    <protectedRange password="CF7A" sqref="I2152" name="Rango2_61_2_6"/>
    <protectedRange password="CF7A" sqref="I2153" name="Rango2_61_2_6_1"/>
    <protectedRange password="CF7A" sqref="I2154:I2155" name="Rango2_61_2_6_2"/>
    <protectedRange algorithmName="SHA-512" hashValue="Umj9+5Ys20VQPxBFtc6qE5LtKKSgPKwit+B8dd4XnEUaLfBM2ozpkEC4YxwK0SbBiAHDDex+pY+LomQ0lyuamQ==" saltValue="N2/MCRws+mmA+NXw0axolg==" spinCount="100000" sqref="GJ2320:GJ2361 FY2320:FY2361 GL2320:GL2361 GB2320:GB2361 GE2320:GE2361 GH2320:GH2361" name="Rango2_31_2_44"/>
    <protectedRange algorithmName="SHA-512" hashValue="6a5oYwZw9WJcgjqXpleUXH8uaqNEuymPPpeOb7lKBc1WoM6IG/DNyDLWmj2lYwxnZO2yhl+B61kwrxD9m9AdhQ==" saltValue="tdNQPzLQd+n9Ww064QJIaQ==" spinCount="100000" sqref="I2380" name="Rango2_61_1_42"/>
    <protectedRange algorithmName="SHA-512" hashValue="XM8+0Jh5zLWw02PI0Lt8dLqjTcW5ulySion19FAnruDN6QRp4UwcVqdfQxnOQAItgpWG7rNsELzjwy0iXOonxw==" saltValue="Sd4WFUedDfLKoMQTDrxJuQ==" spinCount="100000" sqref="K2380" name="Rango2_88_4_4_1_5"/>
    <protectedRange algorithmName="SHA-512" hashValue="EMMPgE8t/az1rHHzaZAQIhz+GQV0k2O/tQGA96sJqEEMzz1efIRa4CcLzC7iY9CCscto3g7dwz41haOE28iXYg==" saltValue="CVzFsG4X4LXUMo7796PiDQ==" spinCount="100000" sqref="J2380 L2380:M2380 B2380 D2380:H2380" name="Rango2_10_1_45"/>
    <protectedRange algorithmName="SHA-512" hashValue="6a5oYwZw9WJcgjqXpleUXH8uaqNEuymPPpeOb7lKBc1WoM6IG/DNyDLWmj2lYwxnZO2yhl+B61kwrxD9m9AdhQ==" saltValue="tdNQPzLQd+n9Ww064QJIaQ==" spinCount="100000" sqref="I2385" name="Rango2_61_2_3"/>
    <protectedRange algorithmName="SHA-512" hashValue="XM8+0Jh5zLWw02PI0Lt8dLqjTcW5ulySion19FAnruDN6QRp4UwcVqdfQxnOQAItgpWG7rNsELzjwy0iXOonxw==" saltValue="Sd4WFUedDfLKoMQTDrxJuQ==" spinCount="100000" sqref="K2385" name="Rango2_88_4_4_2_2"/>
    <protectedRange algorithmName="SHA-512" hashValue="EMMPgE8t/az1rHHzaZAQIhz+GQV0k2O/tQGA96sJqEEMzz1efIRa4CcLzC7iY9CCscto3g7dwz41haOE28iXYg==" saltValue="CVzFsG4X4LXUMo7796PiDQ==" spinCount="100000" sqref="J2385 L2385:M2385 B2385 D2385:H2385" name="Rango2_10_2_3"/>
    <protectedRange algorithmName="SHA-512" hashValue="RQ91b7oAw60DVtcgB2vRpial2kSdzJx5guGCTYUwXYkKrtrUHfiYnLf9R+SNpYXlJDYpyEJLhcWwP0EqNN86dQ==" saltValue="W3RbH3zrcY9sy39xNwXNxg==" spinCount="100000" sqref="BV2380:BY2380 BA2380:BI2380" name="Rango2_88_99_1_5"/>
    <protectedRange algorithmName="SHA-512" hashValue="fMbmUM1DQ7FuAPRNvFL5mPdHUYjQnlLFhkuaxvHguaqR7aWyDxcmJs0jLYQfQKY+oyhsMb4Lew4VL6i7um3/ew==" saltValue="ydaTm0CeH8+/cYqoL/AMaQ==" spinCount="100000" sqref="AU2380 AW2380:AZ2380" name="Rango2_88_91_1_45"/>
    <protectedRange algorithmName="SHA-512" hashValue="CHipOQaT63FWw628cQcXXJRZlrbNZ7OgmnEbDx38UmmH7z19GRYEzXFiVOzHAy1OAaAbST7g2bHZHDKQp2qm3w==" saltValue="iRVuL+373yLHv0ZHzS9qog==" spinCount="100000" sqref="AG2380:AH2380 AJ2380 AL2380" name="Rango2_88_7_5_1_6"/>
    <protectedRange algorithmName="SHA-512" hashValue="NkG6oHuDGvGBEiLAAq8MEJHEfLQUMyjihfH+DBXhT+eQW0r1yri7tOJEFRM9nbOejjjXiviq9RFo7KB7wF+xJA==" saltValue="bpjB0AAANu2X/PeR3eiFkA==" spinCount="100000" sqref="AM2380:AS2380" name="Rango2_88_65_1_42"/>
    <protectedRange algorithmName="SHA-512" hashValue="fPHvtIAf3pQeZUoAI9C2/vdXMHBpqqEq+67P5Ypyu4+9IWqs3yc9TZcMWQ0THLxUwqseQPyVvakuYFtCwJHsxA==" saltValue="QHIogSs2PrwAfdqa9PAOFQ==" spinCount="100000" sqref="AC2380" name="Rango2_88_5_5_1_41"/>
    <protectedRange algorithmName="SHA-512" hashValue="LEEeiU6pKqm7TAP46VGlz0q+evvFwpT/0iLpRuWuQ7MacbP0OGL1/FSmrIEOg2rb6M+Jla2bPbVWiGag27j87w==" saltValue="HEVt+pS5OloNDlqSnzGLLw==" spinCount="100000" sqref="AI2380" name="Rango2_8_7_1_44"/>
    <protectedRange algorithmName="SHA-512" hashValue="q2z5hEFmXS0v2chiPTC/VCoDWNlnhp+Xe6Ybfxe48vIsnB/KTJQxJv+pFUnCXfZ9T6vyJopuqFFNROfQTW/JUw==" saltValue="IctfdGJb5tOTpq+KPi9vww==" spinCount="100000" sqref="AE2380:AF2380" name="Rango2_88_39_1_43"/>
    <protectedRange algorithmName="SHA-512" hashValue="AYYX88LSDB6RDNMvSqt0KPGWPjBqTk56tMxTOlv5QD61MGTKAAQnSnudvNDWPN0Bbllh2qRQC+P5uq7goxjdrw==" saltValue="i/iPMewnks1FoXYOjKMEVg==" spinCount="100000" sqref="AB2380" name="Rango2_87_6_1_4"/>
    <protectedRange algorithmName="SHA-512" hashValue="NUll9P9xh7KbSfMYpMxsRZLfDw/y/AzW2LSWlpXVscBDqiAxmzo71xjs+a2lh+jRa7pceOC849slke4+ZKx8LA==" saltValue="8qbkKpQ+CiQuLnqgShNvXA==" spinCount="100000" sqref="T2380" name="Rango2_88_6_1_42"/>
    <protectedRange algorithmName="SHA-512" hashValue="KHhv3JU/LRdRrRTxxkgFceEHPZ5UzadmpZRZR3zmQRnPvkUJZuanRafIJ+qde0IWwLZSvFIQDyUAHq6v6k7XIg==" saltValue="2GKG1kCzVNNcn+vbOPuhJA==" spinCount="100000" sqref="Q2380" name="Rango2_2_5_1_5"/>
    <protectedRange algorithmName="SHA-512" hashValue="XZw03RosI/l0z9FxmTtF29EdZ7P+4+ybhqoaAAUmURojSR5XbGfjC4f2i8gMqfY+RI9JvfdCA6PSh9TduXfUxA==" saltValue="5TPtLq2WoiRSae/yaDPnTw==" spinCount="100000" sqref="CS2380:CT2380 CP2380:CQ2380 CV2380:CY2380 CE2380:CF2380 O2380 BR2380:BU2380 R2380:S2380 DA2380:DN2380 CJ2380:CK2380 BJ2380:BL2380 U2380:AA2380 AT2380 AV2380 BZ2380:CB2380" name="Rango2_99_1_7"/>
    <protectedRange algorithmName="SHA-512" hashValue="9+DNppQbWrLYYUMoJ+lyQctV2bX3Vq9kZnegLbpjTLP49It2ovUbcartuoQTeXgP+TGpY//7mDH/UQlFCKDGiA==" saltValue="KUnni6YEm00anzSSvyLqQA==" spinCount="100000" sqref="AD2380" name="Rango2_16_49"/>
    <protectedRange algorithmName="SHA-512" hashValue="RQ91b7oAw60DVtcgB2vRpial2kSdzJx5guGCTYUwXYkKrtrUHfiYnLf9R+SNpYXlJDYpyEJLhcWwP0EqNN86dQ==" saltValue="W3RbH3zrcY9sy39xNwXNxg==" spinCount="100000" sqref="BV2385:BY2385 BA2385:BI2385" name="Rango2_88_99_2_42"/>
    <protectedRange algorithmName="SHA-512" hashValue="fMbmUM1DQ7FuAPRNvFL5mPdHUYjQnlLFhkuaxvHguaqR7aWyDxcmJs0jLYQfQKY+oyhsMb4Lew4VL6i7um3/ew==" saltValue="ydaTm0CeH8+/cYqoL/AMaQ==" spinCount="100000" sqref="AU2385 AW2385:AZ2385" name="Rango2_88_91_2_2"/>
    <protectedRange algorithmName="SHA-512" hashValue="CHipOQaT63FWw628cQcXXJRZlrbNZ7OgmnEbDx38UmmH7z19GRYEzXFiVOzHAy1OAaAbST7g2bHZHDKQp2qm3w==" saltValue="iRVuL+373yLHv0ZHzS9qog==" spinCount="100000" sqref="AG2385:AH2385 AJ2385 AL2385" name="Rango2_88_7_5_2_40"/>
    <protectedRange algorithmName="SHA-512" hashValue="NkG6oHuDGvGBEiLAAq8MEJHEfLQUMyjihfH+DBXhT+eQW0r1yri7tOJEFRM9nbOejjjXiviq9RFo7KB7wF+xJA==" saltValue="bpjB0AAANu2X/PeR3eiFkA==" spinCount="100000" sqref="AM2385:AS2385" name="Rango2_88_65_2_2"/>
    <protectedRange algorithmName="SHA-512" hashValue="fPHvtIAf3pQeZUoAI9C2/vdXMHBpqqEq+67P5Ypyu4+9IWqs3yc9TZcMWQ0THLxUwqseQPyVvakuYFtCwJHsxA==" saltValue="QHIogSs2PrwAfdqa9PAOFQ==" spinCount="100000" sqref="AC2385" name="Rango2_88_5_5_2_2"/>
    <protectedRange algorithmName="SHA-512" hashValue="LEEeiU6pKqm7TAP46VGlz0q+evvFwpT/0iLpRuWuQ7MacbP0OGL1/FSmrIEOg2rb6M+Jla2bPbVWiGag27j87w==" saltValue="HEVt+pS5OloNDlqSnzGLLw==" spinCount="100000" sqref="AI2385" name="Rango2_8_7_2_2"/>
    <protectedRange algorithmName="SHA-512" hashValue="q2z5hEFmXS0v2chiPTC/VCoDWNlnhp+Xe6Ybfxe48vIsnB/KTJQxJv+pFUnCXfZ9T6vyJopuqFFNROfQTW/JUw==" saltValue="IctfdGJb5tOTpq+KPi9vww==" spinCount="100000" sqref="AE2385:AF2385" name="Rango2_88_39_2_2"/>
    <protectedRange algorithmName="SHA-512" hashValue="AYYX88LSDB6RDNMvSqt0KPGWPjBqTk56tMxTOlv5QD61MGTKAAQnSnudvNDWPN0Bbllh2qRQC+P5uq7goxjdrw==" saltValue="i/iPMewnks1FoXYOjKMEVg==" spinCount="100000" sqref="AB2385" name="Rango2_87_6_2_3"/>
    <protectedRange algorithmName="SHA-512" hashValue="NUll9P9xh7KbSfMYpMxsRZLfDw/y/AzW2LSWlpXVscBDqiAxmzo71xjs+a2lh+jRa7pceOC849slke4+ZKx8LA==" saltValue="8qbkKpQ+CiQuLnqgShNvXA==" spinCount="100000" sqref="T2385" name="Rango2_88_6_2_2"/>
    <protectedRange algorithmName="SHA-512" hashValue="KHhv3JU/LRdRrRTxxkgFceEHPZ5UzadmpZRZR3zmQRnPvkUJZuanRafIJ+qde0IWwLZSvFIQDyUAHq6v6k7XIg==" saltValue="2GKG1kCzVNNcn+vbOPuhJA==" spinCount="100000" sqref="Q2385" name="Rango2_2_5_2_2"/>
    <protectedRange algorithmName="SHA-512" hashValue="XZw03RosI/l0z9FxmTtF29EdZ7P+4+ybhqoaAAUmURojSR5XbGfjC4f2i8gMqfY+RI9JvfdCA6PSh9TduXfUxA==" saltValue="5TPtLq2WoiRSae/yaDPnTw==" spinCount="100000" sqref="CS2385:CT2385 CP2385:CQ2385 CV2385:CY2385 CE2385:CF2385 O2385 BR2385:BU2385 R2385:S2385 DA2385:DN2385 CJ2385:CK2385 BJ2385:BK2385 U2385:AA2385 AT2385 AV2385 BZ2385:CB2385" name="Rango2_99_2_45"/>
    <protectedRange algorithmName="SHA-512" hashValue="9+DNppQbWrLYYUMoJ+lyQctV2bX3Vq9kZnegLbpjTLP49It2ovUbcartuoQTeXgP+TGpY//7mDH/UQlFCKDGiA==" saltValue="KUnni6YEm00anzSSvyLqQA==" spinCount="100000" sqref="AD2385" name="Rango2_22_40"/>
    <protectedRange algorithmName="SHA-512" hashValue="Umj9+5Ys20VQPxBFtc6qE5LtKKSgPKwit+B8dd4XnEUaLfBM2ozpkEC4YxwK0SbBiAHDDex+pY+LomQ0lyuamQ==" saltValue="N2/MCRws+mmA+NXw0axolg==" spinCount="100000" sqref="GJ2362 GH2362 GE2362 GB2362 GL2362 FY2362" name="Rango2_31_2_45"/>
    <protectedRange algorithmName="SHA-512" hashValue="Umj9+5Ys20VQPxBFtc6qE5LtKKSgPKwit+B8dd4XnEUaLfBM2ozpkEC4YxwK0SbBiAHDDex+pY+LomQ0lyuamQ==" saltValue="N2/MCRws+mmA+NXw0axolg==" spinCount="100000" sqref="GJ2363 GH2363 GE2363 GB2363 GL2363 FY2363" name="Rango2_31_2_50"/>
    <protectedRange algorithmName="SHA-512" hashValue="Umj9+5Ys20VQPxBFtc6qE5LtKKSgPKwit+B8dd4XnEUaLfBM2ozpkEC4YxwK0SbBiAHDDex+pY+LomQ0lyuamQ==" saltValue="N2/MCRws+mmA+NXw0axolg==" spinCount="100000" sqref="GJ2364:GJ2365 GH2364:GH2365 GE2364:GE2365 GB2364:GB2365 GL2364:GL2365 FY2364:FY2365" name="Rango2_31_2_53"/>
    <protectedRange algorithmName="SHA-512" hashValue="EEHzbvEYwO1eufllBljOz0uf9BJ2ENtvOScQ7IsS321QhYbwKn7qhHKKP8cKj02rTDvVRMWvwQ1ZP0mZWsBprQ==" saltValue="CjXqBRFbKezlWOFV37MnDQ==" spinCount="100000" sqref="GQ2380:GR2380 GW2380 GN2380" name="Rango2_30_2_1_5"/>
    <protectedRange algorithmName="SHA-512" hashValue="Rgskw+AQdeJ5qbJdarzTa3SCkJfDGziy0Uan5N0F3IWn/H3Z/e+VcB56R7Nes7MPxNHewNP1sSSucVjz3iTLeA==" saltValue="qKZH3DnwaZHBzy3cBZo1qQ==" spinCount="100000" sqref="GF2380" name="Rango2_31_28_1_42"/>
    <protectedRange algorithmName="SHA-512" hashValue="Umj9+5Ys20VQPxBFtc6qE5LtKKSgPKwit+B8dd4XnEUaLfBM2ozpkEC4YxwK0SbBiAHDDex+pY+LomQ0lyuamQ==" saltValue="N2/MCRws+mmA+NXw0axolg==" spinCount="100000" sqref="GJ2380 GH2380 GE2380 GB2380 GL2380 FY2380" name="Rango2_31_2_1_6"/>
    <protectedRange algorithmName="SHA-512" hashValue="q2z5hEFmXS0v2chiPTC/VCoDWNlnhp+Xe6Ybfxe48vIsnB/KTJQxJv+pFUnCXfZ9T6vyJopuqFFNROfQTW/JUw==" saltValue="IctfdGJb5tOTpq+KPi9vww==" spinCount="100000" sqref="IA2380 ID2380:IJ2380" name="Rango2_88_39_1_44"/>
    <protectedRange algorithmName="SHA-512" hashValue="XZw03RosI/l0z9FxmTtF29EdZ7P+4+ybhqoaAAUmURojSR5XbGfjC4f2i8gMqfY+RI9JvfdCA6PSh9TduXfUxA==" saltValue="5TPtLq2WoiRSae/yaDPnTw==" spinCount="100000" sqref="FQ2380:FR2380 ER2380:ES2380 EV2380:EW2380 FF2380 GO2380 GT2380 FZ2380 IB2380 FU2380 EO2380 GM2380 GK2380 GY2380:GZ2380 FI2380 HJ2380 IL2380:IM2380 HU2380:HZ2380 FW2380:FX2380 EA2380:EJ2380 IO2380" name="Rango2_99_1_8"/>
    <protectedRange algorithmName="SHA-512" hashValue="YXHanhqXL0e4jPrzkCF8r/22WmlCviFUW909WKuG1JOcU0mp0/Huh0aP3EaGYxV2ep0WGu48HsShAy4Ka2uOiw==" saltValue="h/7U5iwJm7DLR4tRVfwZYw==" spinCount="100000" sqref="GI2380 GC2380" name="Rango2_33_1_5"/>
    <protectedRange algorithmName="SHA-512" hashValue="pL4tgTKqwEsWSIEGFTBd+4pvEhE7d5Q99Eijs+L/Y1rhA0saQGGRJw5Pv2HLOP0quglztFwB6WVnQ1YGxd4AiQ==" saltValue="IF5mhk2RcoEjrcYppes1VA==" spinCount="100000" sqref="FT2380" name="Rango2_30_1_4"/>
    <protectedRange algorithmName="SHA-512" hashValue="9+DNppQbWrLYYUMoJ+lyQctV2bX3Vq9kZnegLbpjTLP49It2ovUbcartuoQTeXgP+TGpY//7mDH/UQlFCKDGiA==" saltValue="KUnni6YEm00anzSSvyLqQA==" spinCount="100000" sqref="FE2380 GX2380 EY2380:FA2380 FC2380 FH2380 FK2380:FL2380 EN2380 FN2380:FO2380 HD2380:HI2380 HS2380:HT2380" name="Rango2_16_50"/>
    <protectedRange algorithmName="SHA-512" hashValue="EEHzbvEYwO1eufllBljOz0uf9BJ2ENtvOScQ7IsS321QhYbwKn7qhHKKP8cKj02rTDvVRMWvwQ1ZP0mZWsBprQ==" saltValue="CjXqBRFbKezlWOFV37MnDQ==" spinCount="100000" sqref="GQ2385:GR2385 GW2385 GN2385" name="Rango2_30_2_2_43"/>
    <protectedRange algorithmName="SHA-512" hashValue="Rgskw+AQdeJ5qbJdarzTa3SCkJfDGziy0Uan5N0F3IWn/H3Z/e+VcB56R7Nes7MPxNHewNP1sSSucVjz3iTLeA==" saltValue="qKZH3DnwaZHBzy3cBZo1qQ==" spinCount="100000" sqref="GF2385" name="Rango2_31_28_2_2"/>
    <protectedRange algorithmName="SHA-512" hashValue="Umj9+5Ys20VQPxBFtc6qE5LtKKSgPKwit+B8dd4XnEUaLfBM2ozpkEC4YxwK0SbBiAHDDex+pY+LomQ0lyuamQ==" saltValue="N2/MCRws+mmA+NXw0axolg==" spinCount="100000" sqref="GJ2385 GH2385 GE2385 GB2385 GL2385 FY2385" name="Rango2_31_2_2_42"/>
    <protectedRange algorithmName="SHA-512" hashValue="q2z5hEFmXS0v2chiPTC/VCoDWNlnhp+Xe6Ybfxe48vIsnB/KTJQxJv+pFUnCXfZ9T6vyJopuqFFNROfQTW/JUw==" saltValue="IctfdGJb5tOTpq+KPi9vww==" spinCount="100000" sqref="IA2385 ID2385:IJ2385" name="Rango2_88_39_2_3"/>
    <protectedRange algorithmName="SHA-512" hashValue="XZw03RosI/l0z9FxmTtF29EdZ7P+4+ybhqoaAAUmURojSR5XbGfjC4f2i8gMqfY+RI9JvfdCA6PSh9TduXfUxA==" saltValue="5TPtLq2WoiRSae/yaDPnTw==" spinCount="100000" sqref="FQ2385:FR2385 ER2385:ES2385 EV2385:EW2385 FF2385 GO2385 GT2385 FZ2385 IB2385 FU2385 EO2385 GM2385 GK2385 GY2385:GZ2385 FI2385 HJ2385 IL2385:IM2385 HU2385:HZ2385 FW2385:FX2385 EA2385:EJ2385 IO2385" name="Rango2_99_2_46"/>
    <protectedRange algorithmName="SHA-512" hashValue="YXHanhqXL0e4jPrzkCF8r/22WmlCviFUW909WKuG1JOcU0mp0/Huh0aP3EaGYxV2ep0WGu48HsShAy4Ka2uOiw==" saltValue="h/7U5iwJm7DLR4tRVfwZYw==" spinCount="100000" sqref="GI2385 GC2385" name="Rango2_33_2_2"/>
    <protectedRange algorithmName="SHA-512" hashValue="pL4tgTKqwEsWSIEGFTBd+4pvEhE7d5Q99Eijs+L/Y1rhA0saQGGRJw5Pv2HLOP0quglztFwB6WVnQ1YGxd4AiQ==" saltValue="IF5mhk2RcoEjrcYppes1VA==" spinCount="100000" sqref="FT2385" name="Rango2_30_3_2"/>
    <protectedRange algorithmName="SHA-512" hashValue="9+DNppQbWrLYYUMoJ+lyQctV2bX3Vq9kZnegLbpjTLP49It2ovUbcartuoQTeXgP+TGpY//7mDH/UQlFCKDGiA==" saltValue="KUnni6YEm00anzSSvyLqQA==" spinCount="100000" sqref="FE2385 GX2385 EY2385:FA2385 FC2385 FH2385 FK2385:FL2385 EN2385 FN2385:FO2385 HD2385:HI2385 HS2385:HT2385" name="Rango2_22_41"/>
    <protectedRange algorithmName="SHA-512" hashValue="Gqwr8n5jYbCESAqCFk8dpOzViQICBV+k0xoqBoQaZ5lHaRlvT9TZDB4yXtm+qC6OhD064ZDBOFWkwo+LHXu1sg==" saltValue="gEL9PCN2ekF2IxW9yqAGYA==" spinCount="100000" sqref="IS2380" name="Rango2_40_2_1_36"/>
    <protectedRange algorithmName="SHA-512" hashValue="D8TacORwT7iz0mF9GEucchnMHfB5er2FFjQsxyeWWyeJkM6Bt3gYQ3LbcHPxZXFpVAYtFOuTrzYOCJrlZDx16g==" saltValue="QtCzIBktdS4NZkOEGcLTRQ==" spinCount="100000" sqref="IW2380" name="Rango2_41_1_34"/>
    <protectedRange algorithmName="SHA-512" hashValue="9+DNppQbWrLYYUMoJ+lyQctV2bX3Vq9kZnegLbpjTLP49It2ovUbcartuoQTeXgP+TGpY//7mDH/UQlFCKDGiA==" saltValue="KUnni6YEm00anzSSvyLqQA==" spinCount="100000" sqref="IX2380 IT2380:IV2380 IZ2380:JM2380 JO2380:JW2380 JY2380:KF2380 KH2380 KJ2380:MP2380" name="Rango2_16_51"/>
    <protectedRange algorithmName="SHA-512" hashValue="Gqwr8n5jYbCESAqCFk8dpOzViQICBV+k0xoqBoQaZ5lHaRlvT9TZDB4yXtm+qC6OhD064ZDBOFWkwo+LHXu1sg==" saltValue="gEL9PCN2ekF2IxW9yqAGYA==" spinCount="100000" sqref="IS2385" name="Rango2_40_2_2_1"/>
    <protectedRange algorithmName="SHA-512" hashValue="D8TacORwT7iz0mF9GEucchnMHfB5er2FFjQsxyeWWyeJkM6Bt3gYQ3LbcHPxZXFpVAYtFOuTrzYOCJrlZDx16g==" saltValue="QtCzIBktdS4NZkOEGcLTRQ==" spinCount="100000" sqref="IW2385" name="Rango2_41_2_1"/>
    <protectedRange algorithmName="SHA-512" hashValue="9+DNppQbWrLYYUMoJ+lyQctV2bX3Vq9kZnegLbpjTLP49It2ovUbcartuoQTeXgP+TGpY//7mDH/UQlFCKDGiA==" saltValue="KUnni6YEm00anzSSvyLqQA==" spinCount="100000" sqref="IX2385 IT2385:IV2385 IZ2385:JM2385 JO2385:JW2385 JY2385:KF2385 KH2385 KJ2385:MP2385" name="Rango2_22_42"/>
    <protectedRange algorithmName="SHA-512" hashValue="EMMPgE8t/az1rHHzaZAQIhz+GQV0k2O/tQGA96sJqEEMzz1efIRa4CcLzC7iY9CCscto3g7dwz41haOE28iXYg==" saltValue="CVzFsG4X4LXUMo7796PiDQ==" spinCount="100000" sqref="J2572" name="Rango2_10_1_46"/>
    <protectedRange algorithmName="SHA-512" hashValue="EMMPgE8t/az1rHHzaZAQIhz+GQV0k2O/tQGA96sJqEEMzz1efIRa4CcLzC7iY9CCscto3g7dwz41haOE28iXYg==" saltValue="CVzFsG4X4LXUMo7796PiDQ==" spinCount="100000" sqref="KP2595" name="Rango2_10_5_2"/>
    <protectedRange algorithmName="SHA-512" hashValue="EMMPgE8t/az1rHHzaZAQIhz+GQV0k2O/tQGA96sJqEEMzz1efIRa4CcLzC7iY9CCscto3g7dwz41haOE28iXYg==" saltValue="CVzFsG4X4LXUMo7796PiDQ==" spinCount="100000" sqref="C3419:C3450" name="Rango2_10_2_4"/>
    <protectedRange algorithmName="SHA-512" hashValue="9+DNppQbWrLYYUMoJ+lyQctV2bX3Vq9kZnegLbpjTLP49It2ovUbcartuoQTeXgP+TGpY//7mDH/UQlFCKDGiA==" saltValue="KUnni6YEm00anzSSvyLqQA==" spinCount="100000" sqref="KT3419:KT3420" name="Rango2_3_14"/>
  </protectedRanges>
  <customSheetViews>
    <customSheetView guid="{87C82D0B-BF3B-4D48-8D40-9A69123EBFA4}" scale="115" showAutoFilter="1" hiddenRows="1" hiddenColumns="1">
      <selection activeCell="B7" sqref="B7:H9"/>
      <pageMargins left="0.7" right="0.7" top="0.75" bottom="0.75" header="0.3" footer="0.3"/>
      <pageSetup orientation="portrait" verticalDpi="300" r:id="rId1"/>
      <autoFilter ref="B13:MJ526" xr:uid="{2DD18E76-8756-4FDA-BE04-F180B8199FB7}"/>
    </customSheetView>
  </customSheetViews>
  <phoneticPr fontId="33" type="noConversion"/>
  <conditionalFormatting sqref="D2:D8">
    <cfRule type="cellIs" dxfId="322" priority="26745" operator="equal">
      <formula>"SIN DATO"</formula>
    </cfRule>
    <cfRule type="cellIs" dxfId="321" priority="26746" operator="equal">
      <formula>"SIN ATENCIÓN"</formula>
    </cfRule>
    <cfRule type="cellIs" dxfId="320" priority="26747" operator="equal">
      <formula>"PROCESO PARCIAL DE ATENCIÓN"</formula>
    </cfRule>
    <cfRule type="cellIs" dxfId="319" priority="26748" operator="equal">
      <formula>"PROCESO COMPLETO DE ATENCIÓN"</formula>
    </cfRule>
  </conditionalFormatting>
  <conditionalFormatting sqref="P2:P8">
    <cfRule type="containsText" dxfId="318" priority="27223" operator="containsText" text="SI">
      <formula>NOT(ISERROR(SEARCH("SI",P2)))</formula>
    </cfRule>
    <cfRule type="containsText" dxfId="317" priority="27224" operator="containsText" text="NO">
      <formula>NOT(ISERROR(SEARCH("NO",P2)))</formula>
    </cfRule>
    <cfRule type="containsText" dxfId="316" priority="27225" operator="containsText" text="NA">
      <formula>NOT(ISERROR(SEARCH("NA",P2)))</formula>
    </cfRule>
  </conditionalFormatting>
  <conditionalFormatting sqref="Q2:Q8">
    <cfRule type="containsText" dxfId="314" priority="26929" operator="containsText" text="SE TRASLADO DE EPS">
      <formula>NOT(ISERROR(SEARCH("SE TRASLADO DE EPS",Q2)))</formula>
    </cfRule>
    <cfRule type="containsText" dxfId="313" priority="26934" operator="containsText" text="INMIGRANTE VENEZOLANA">
      <formula>NOT(ISERROR(SEARCH("INMIGRANTE VENEZOLANA",Q2)))</formula>
    </cfRule>
    <cfRule type="containsText" dxfId="312" priority="26935" operator="containsText" text="SIN AFILIACIÓN A EPS">
      <formula>NOT(ISERROR(SEARCH("SIN AFILIACIÓN A EPS",Q2)))</formula>
    </cfRule>
    <cfRule type="containsText" dxfId="311" priority="27218" operator="containsText" text="NOVEDAD">
      <formula>NOT(ISERROR(SEARCH("NOVEDAD",Q2)))</formula>
    </cfRule>
    <cfRule type="containsText" dxfId="310" priority="27219" operator="containsText" text="IDENTIDAD">
      <formula>NOT(ISERROR(SEARCH("IDENTIDAD",Q2)))</formula>
    </cfRule>
    <cfRule type="containsText" dxfId="309" priority="27220" operator="containsText" text="CPN">
      <formula>NOT(ISERROR(SEARCH("CPN",Q2)))</formula>
    </cfRule>
    <cfRule type="containsText" dxfId="308" priority="27221" operator="containsText" text="VIENE">
      <formula>NOT(ISERROR(SEARCH("VIENE",Q2)))</formula>
    </cfRule>
    <cfRule type="cellIs" dxfId="307" priority="27222" operator="equal">
      <formula>"TRAMITE DE PORTABILIDAD"</formula>
    </cfRule>
  </conditionalFormatting>
  <conditionalFormatting sqref="AC2:AC8">
    <cfRule type="containsText" dxfId="306" priority="27214" operator="containsText" text="SABE">
      <formula>NOT(ISERROR(SEARCH("SABE",AC2)))</formula>
    </cfRule>
    <cfRule type="containsText" dxfId="305" priority="27215" operator="containsText" text="SECUNDARIA">
      <formula>NOT(ISERROR(SEARCH("SECUNDARIA",AC2)))</formula>
    </cfRule>
    <cfRule type="containsText" dxfId="304" priority="27216" operator="containsText" text="PRIMARIA INCOMPLETA">
      <formula>NOT(ISERROR(SEARCH("PRIMARIA INCOMPLETA",AC2)))</formula>
    </cfRule>
    <cfRule type="cellIs" dxfId="303" priority="27217" operator="equal">
      <formula>"ANALFABETA"</formula>
    </cfRule>
  </conditionalFormatting>
  <conditionalFormatting sqref="AE2:AF5">
    <cfRule type="containsText" dxfId="302" priority="26549" operator="containsText" text="NO">
      <formula>NOT(ISERROR(SEARCH("NO",AE2)))</formula>
    </cfRule>
    <cfRule type="containsText" dxfId="301" priority="26550" operator="containsText" text="SI">
      <formula>NOT(ISERROR(SEARCH("SI",AE2)))</formula>
    </cfRule>
  </conditionalFormatting>
  <conditionalFormatting sqref="AE6:AF8">
    <cfRule type="containsText" dxfId="300" priority="1" operator="containsText" text="NO">
      <formula>NOT(ISERROR(SEARCH("NO",AE6)))</formula>
    </cfRule>
    <cfRule type="containsText" dxfId="299" priority="2" operator="containsText" text="SI">
      <formula>NOT(ISERROR(SEARCH("SI",AE6)))</formula>
    </cfRule>
  </conditionalFormatting>
  <conditionalFormatting sqref="AG2:AH8 AJ2:AJ8 AL2:BI8 BV2:BW8 BY2:BY8">
    <cfRule type="cellIs" dxfId="298" priority="27289" operator="equal">
      <formula>"NO"</formula>
    </cfRule>
    <cfRule type="cellIs" dxfId="297" priority="27290" operator="equal">
      <formula>"SI"</formula>
    </cfRule>
  </conditionalFormatting>
  <conditionalFormatting sqref="AI2:AI8">
    <cfRule type="containsText" dxfId="296" priority="26989" operator="containsText" text="NINGUNO">
      <formula>NOT(ISERROR(SEARCH("NINGUNO",AI2)))</formula>
    </cfRule>
    <cfRule type="containsText" dxfId="295" priority="26990" operator="containsText" text="MIGRATORIA">
      <formula>NOT(ISERROR(SEARCH("MIGRATORIA",AI2)))</formula>
    </cfRule>
    <cfRule type="containsText" dxfId="294" priority="26991" operator="containsText" text="DISCAPACIDAD">
      <formula>NOT(ISERROR(SEARCH("DISCAPACIDAD",AI2)))</formula>
    </cfRule>
    <cfRule type="containsText" dxfId="293" priority="26992" operator="containsText" text="DESPLAZADA">
      <formula>NOT(ISERROR(SEARCH("DESPLAZADA",AI2)))</formula>
    </cfRule>
  </conditionalFormatting>
  <conditionalFormatting sqref="AJ2:AJ8 AL2:BI8">
    <cfRule type="cellIs" dxfId="292" priority="27279" operator="equal">
      <formula>"SD"</formula>
    </cfRule>
  </conditionalFormatting>
  <conditionalFormatting sqref="AK2:AK8">
    <cfRule type="containsText" dxfId="291" priority="26993" operator="containsText" text="CON RIESGO">
      <formula>NOT(ISERROR(SEARCH("CON RIESGO",AK2)))</formula>
    </cfRule>
    <cfRule type="containsText" dxfId="290" priority="26994" operator="containsText" text="SIN RIESGO">
      <formula>NOT(ISERROR(SEARCH("SIN RIESGO",AK2)))</formula>
    </cfRule>
  </conditionalFormatting>
  <conditionalFormatting sqref="AV2:AV8">
    <cfRule type="cellIs" dxfId="289" priority="27209" operator="equal">
      <formula>1</formula>
    </cfRule>
    <cfRule type="cellIs" dxfId="288" priority="27210" operator="equal">
      <formula>"3 O MAS"</formula>
    </cfRule>
    <cfRule type="cellIs" dxfId="287" priority="27211" operator="equal">
      <formula>2</formula>
    </cfRule>
  </conditionalFormatting>
  <conditionalFormatting sqref="BL2:BL8">
    <cfRule type="cellIs" dxfId="286" priority="27206" operator="equal">
      <formula>"NO"</formula>
    </cfRule>
    <cfRule type="cellIs" dxfId="285" priority="27207" operator="equal">
      <formula>"SI"</formula>
    </cfRule>
    <cfRule type="cellIs" dxfId="284" priority="27208" operator="equal">
      <formula>"CORREGIDA"</formula>
    </cfRule>
  </conditionalFormatting>
  <conditionalFormatting sqref="BO1:BO1048576">
    <cfRule type="cellIs" dxfId="283" priority="26753" operator="equal">
      <formula>"SIN SEMANAS X ECO"</formula>
    </cfRule>
  </conditionalFormatting>
  <conditionalFormatting sqref="BP2:BP8">
    <cfRule type="cellIs" dxfId="282" priority="27201" operator="equal">
      <formula>"DEFINIR CON ECO"</formula>
    </cfRule>
    <cfRule type="cellIs" dxfId="281" priority="27202" operator="equal">
      <formula>"ERROR FUM O INGRESO O ECO"</formula>
    </cfRule>
    <cfRule type="cellIs" dxfId="280" priority="27203" operator="equal">
      <formula>"III TRIM"</formula>
    </cfRule>
    <cfRule type="cellIs" dxfId="279" priority="27204" operator="equal">
      <formula>"II TRIM"</formula>
    </cfRule>
    <cfRule type="cellIs" dxfId="278" priority="27205" operator="equal">
      <formula>"I TRIM"</formula>
    </cfRule>
  </conditionalFormatting>
  <conditionalFormatting sqref="BV2:BY8">
    <cfRule type="cellIs" dxfId="277" priority="26740" operator="equal">
      <formula>"SD"</formula>
    </cfRule>
  </conditionalFormatting>
  <conditionalFormatting sqref="BX2:BX8">
    <cfRule type="cellIs" dxfId="276" priority="26741" operator="equal">
      <formula>"OBLICUA"</formula>
    </cfRule>
    <cfRule type="cellIs" dxfId="274" priority="26743" operator="equal">
      <formula>"PODÁLICA"</formula>
    </cfRule>
    <cfRule type="cellIs" dxfId="273" priority="26744" operator="equal">
      <formula>"CEFÁLICA"</formula>
    </cfRule>
  </conditionalFormatting>
  <conditionalFormatting sqref="CD2:CD8">
    <cfRule type="containsText" dxfId="272" priority="27195" operator="containsText" text="SOBREPESO">
      <formula>NOT(ISERROR(SEARCH("SOBREPESO",CD2)))</formula>
    </cfRule>
    <cfRule type="containsText" dxfId="271" priority="27196" operator="containsText" text="NORMAL">
      <formula>NOT(ISERROR(SEARCH("NORMAL",CD2)))</formula>
    </cfRule>
    <cfRule type="containsText" dxfId="270" priority="27197" operator="containsText" text="OBESIDAD">
      <formula>NOT(ISERROR(SEARCH("OBESIDAD",CD2)))</formula>
    </cfRule>
    <cfRule type="containsText" dxfId="269" priority="27198" operator="containsText" text="BAJO PESO">
      <formula>NOT(ISERROR(SEARCH("BAJO PESO",CD2)))</formula>
    </cfRule>
    <cfRule type="containsText" dxfId="268" priority="27199" operator="containsText" text="PREGESTACION">
      <formula>NOT(ISERROR(SEARCH("PREGESTACION",CD2)))</formula>
    </cfRule>
    <cfRule type="containsText" dxfId="267" priority="27200" operator="containsText" text="INGRESAR">
      <formula>NOT(ISERROR(SEARCH("INGRESAR",CD2)))</formula>
    </cfRule>
  </conditionalFormatting>
  <conditionalFormatting sqref="CI2:CI8">
    <cfRule type="containsText" dxfId="266" priority="27189" operator="containsText" text="REVISAR">
      <formula>NOT(ISERROR(SEARCH("REVISAR",CI2)))</formula>
    </cfRule>
    <cfRule type="containsText" dxfId="265" priority="27190" operator="containsText" text="SOBREPESO">
      <formula>NOT(ISERROR(SEARCH("SOBREPESO",CI2)))</formula>
    </cfRule>
    <cfRule type="containsText" dxfId="264" priority="27191" operator="containsText" text="OBESIDAD">
      <formula>NOT(ISERROR(SEARCH("OBESIDAD",CI2)))</formula>
    </cfRule>
    <cfRule type="containsText" dxfId="263" priority="27192" operator="containsText" text="BAJO PESO">
      <formula>NOT(ISERROR(SEARCH("BAJO PESO",CI2)))</formula>
    </cfRule>
    <cfRule type="containsText" dxfId="262" priority="27193" operator="containsText" text="NORMAL">
      <formula>NOT(ISERROR(SEARCH("NORMAL",CI2)))</formula>
    </cfRule>
    <cfRule type="containsText" dxfId="261" priority="27194" operator="containsText" text="REGISTRAR">
      <formula>NOT(ISERROR(SEARCH("REGISTRAR",CI2)))</formula>
    </cfRule>
  </conditionalFormatting>
  <conditionalFormatting sqref="CN2:CO5">
    <cfRule type="containsText" dxfId="260" priority="27183" operator="containsText" text="BAJO PESO">
      <formula>NOT(ISERROR(SEARCH("BAJO PESO",CN2)))</formula>
    </cfRule>
    <cfRule type="containsText" dxfId="259" priority="27184" operator="containsText" text="NORMAL">
      <formula>NOT(ISERROR(SEARCH("NORMAL",CN2)))</formula>
    </cfRule>
    <cfRule type="containsText" dxfId="258" priority="27185" operator="containsText" text="OBESIDAD">
      <formula>NOT(ISERROR(SEARCH("OBESIDAD",CN2)))</formula>
    </cfRule>
    <cfRule type="containsText" dxfId="257" priority="27186" operator="containsText" text="SOBREPESO">
      <formula>NOT(ISERROR(SEARCH("SOBREPESO",CN2)))</formula>
    </cfRule>
    <cfRule type="containsText" dxfId="256" priority="27187" operator="containsText" text="REVISAR">
      <formula>NOT(ISERROR(SEARCH("REVISAR",CN2)))</formula>
    </cfRule>
    <cfRule type="containsText" dxfId="255" priority="27188" operator="containsText" text="REGISTRAR">
      <formula>NOT(ISERROR(SEARCH("REGISTRAR",CN2)))</formula>
    </cfRule>
  </conditionalFormatting>
  <conditionalFormatting sqref="CN6:CO8">
    <cfRule type="containsText" dxfId="254" priority="11" operator="containsText" text="BAJO PESO">
      <formula>NOT(ISERROR(SEARCH("BAJO PESO",CN6)))</formula>
    </cfRule>
    <cfRule type="containsText" dxfId="253" priority="12" operator="containsText" text="NORMAL">
      <formula>NOT(ISERROR(SEARCH("NORMAL",CN6)))</formula>
    </cfRule>
    <cfRule type="containsText" dxfId="252" priority="13" operator="containsText" text="OBESIDAD">
      <formula>NOT(ISERROR(SEARCH("OBESIDAD",CN6)))</formula>
    </cfRule>
    <cfRule type="containsText" dxfId="251" priority="14" operator="containsText" text="SOBREPESO">
      <formula>NOT(ISERROR(SEARCH("SOBREPESO",CN6)))</formula>
    </cfRule>
    <cfRule type="containsText" dxfId="250" priority="15" operator="containsText" text="REVISAR">
      <formula>NOT(ISERROR(SEARCH("REVISAR",CN6)))</formula>
    </cfRule>
    <cfRule type="containsText" dxfId="249" priority="16" operator="containsText" text="REGISTRAR">
      <formula>NOT(ISERROR(SEARCH("REGISTRAR",CN6)))</formula>
    </cfRule>
  </conditionalFormatting>
  <conditionalFormatting sqref="CO2:CO8">
    <cfRule type="containsText" dxfId="248" priority="26998" operator="containsText" text="INGRESAR">
      <formula>NOT(ISERROR(SEARCH("INGRESAR",CO2)))</formula>
    </cfRule>
  </conditionalFormatting>
  <conditionalFormatting sqref="CR2:CR8">
    <cfRule type="containsText" dxfId="247" priority="27180" operator="containsText" text="HIPOTENSION">
      <formula>NOT(ISERROR(SEARCH("HIPOTENSION",CR2)))</formula>
    </cfRule>
    <cfRule type="containsText" dxfId="246" priority="27181" operator="containsText" text="NORMAL">
      <formula>NOT(ISERROR(SEARCH("NORMAL",CR2)))</formula>
    </cfRule>
    <cfRule type="containsText" dxfId="245" priority="27182" operator="containsText" text="HTA">
      <formula>NOT(ISERROR(SEARCH("HTA",CR2)))</formula>
    </cfRule>
  </conditionalFormatting>
  <conditionalFormatting sqref="CU2:CU8">
    <cfRule type="containsText" dxfId="244" priority="27176" operator="containsText" text="HIPOTENSION">
      <formula>NOT(ISERROR(SEARCH("HIPOTENSION",CU2)))</formula>
    </cfRule>
    <cfRule type="containsText" dxfId="243" priority="27177" operator="containsText" text="VIGILAR">
      <formula>NOT(ISERROR(SEARCH("VIGILAR",CU2)))</formula>
    </cfRule>
    <cfRule type="containsText" dxfId="242" priority="27178" operator="containsText" text="NORMAL">
      <formula>NOT(ISERROR(SEARCH("NORMAL",CU2)))</formula>
    </cfRule>
    <cfRule type="containsText" dxfId="241" priority="27179" operator="containsText" text="HTA">
      <formula>NOT(ISERROR(SEARCH("HTA",CU2)))</formula>
    </cfRule>
  </conditionalFormatting>
  <conditionalFormatting sqref="CZ2:CZ8 HP2:HP8">
    <cfRule type="containsText" dxfId="240" priority="27173" operator="containsText" text="NORMAL">
      <formula>NOT(ISERROR(SEARCH("NORMAL",CZ2)))</formula>
    </cfRule>
    <cfRule type="containsText" dxfId="239" priority="27174" operator="containsText" text="VIGILAR">
      <formula>NOT(ISERROR(SEARCH("VIGILAR",CZ2)))</formula>
    </cfRule>
    <cfRule type="containsText" dxfId="238" priority="27175" operator="containsText" text="HTA">
      <formula>NOT(ISERROR(SEARCH("HTA",CZ2)))</formula>
    </cfRule>
  </conditionalFormatting>
  <conditionalFormatting sqref="DO2:DO8">
    <cfRule type="containsBlanks" priority="26588" stopIfTrue="1">
      <formula>LEN(TRIM(DO2))=0</formula>
    </cfRule>
    <cfRule type="cellIs" dxfId="237" priority="26589" operator="greaterThanOrEqual">
      <formula>6</formula>
    </cfRule>
    <cfRule type="cellIs" dxfId="236" priority="26590" operator="between">
      <formula>4</formula>
      <formula>5</formula>
    </cfRule>
    <cfRule type="cellIs" dxfId="235" priority="26591" operator="between">
      <formula>0</formula>
      <formula>3</formula>
    </cfRule>
  </conditionalFormatting>
  <conditionalFormatting sqref="DQ2:DQ8">
    <cfRule type="cellIs" dxfId="234" priority="26580" operator="between">
      <formula>28</formula>
      <formula>44</formula>
    </cfRule>
    <cfRule type="cellIs" dxfId="233" priority="26582" operator="equal">
      <formula>"SALE SIN PLAN DE PARTO"</formula>
    </cfRule>
    <cfRule type="cellIs" dxfId="232" priority="26583" operator="equal">
      <formula>"SALE PROGRAMA ANTES SEMANA 35"</formula>
    </cfRule>
    <cfRule type="cellIs" dxfId="231" priority="26584" operator="equal">
      <formula>"EN ESPERA"</formula>
    </cfRule>
    <cfRule type="cellIs" dxfId="230" priority="26585" operator="equal">
      <formula>"CONCERTAR PLAN DE PARTO INMEDIATO"</formula>
    </cfRule>
    <cfRule type="cellIs" dxfId="229" priority="26586" operator="equal">
      <formula>"PLANEAR PLAN DE PARTO"</formula>
    </cfRule>
    <cfRule type="cellIs" dxfId="228" priority="26587" operator="equal">
      <formula>"PLAN REALIZADO ANTES III TRIM"</formula>
    </cfRule>
  </conditionalFormatting>
  <conditionalFormatting sqref="DR2:DR8 HR2:HR8">
    <cfRule type="containsText" dxfId="227" priority="27160" operator="containsText" text="activa sin">
      <formula>NOT(ISERROR(SEARCH("activa sin",DR2)))</formula>
    </cfRule>
    <cfRule type="containsText" dxfId="226" priority="27161" operator="containsText" text="Activa ingreso">
      <formula>NOT(ISERROR(SEARCH("Activa ingreso",DR2)))</formula>
    </cfRule>
    <cfRule type="containsText" dxfId="225" priority="27162" operator="containsText" text="seguimiento">
      <formula>NOT(ISERROR(SEARCH("seguimiento",DR2)))</formula>
    </cfRule>
    <cfRule type="containsText" dxfId="224" priority="27163" operator="containsText" text="salio">
      <formula>NOT(ISERROR(SEARCH("salio",DR2)))</formula>
    </cfRule>
    <cfRule type="containsText" dxfId="223" priority="27164" operator="containsText" text="sale">
      <formula>NOT(ISERROR(SEARCH("sale",DR2)))</formula>
    </cfRule>
  </conditionalFormatting>
  <conditionalFormatting sqref="DT2:DT8 HQ2:HQ8">
    <cfRule type="containsText" dxfId="222" priority="26957" operator="containsText" text="DEFINIR">
      <formula>NOT(ISERROR(SEARCH("DEFINIR",DT2)))</formula>
    </cfRule>
    <cfRule type="containsText" dxfId="221" priority="27154" operator="containsText" text="MES">
      <formula>NOT(ISERROR(SEARCH("MES",DT2)))</formula>
    </cfRule>
    <cfRule type="containsText" dxfId="220" priority="27155" operator="containsText" text="SEMANA">
      <formula>NOT(ISERROR(SEARCH("SEMANA",DT2)))</formula>
    </cfRule>
    <cfRule type="containsText" dxfId="219" priority="27156" operator="containsText" text="DIA">
      <formula>NOT(ISERROR(SEARCH("DIA",DT2)))</formula>
    </cfRule>
    <cfRule type="containsText" dxfId="218" priority="27157" operator="containsText" text="FUERA">
      <formula>NOT(ISERROR(SEARCH("FUERA",DT2)))</formula>
    </cfRule>
    <cfRule type="containsText" dxfId="217" priority="27158" operator="containsText" text="BUSCAR">
      <formula>NOT(ISERROR(SEARCH("BUSCAR",DT2)))</formula>
    </cfRule>
    <cfRule type="containsText" dxfId="216" priority="27159" operator="containsText" text="INASISTENTE">
      <formula>NOT(ISERROR(SEARCH("INASISTENTE",DT2)))</formula>
    </cfRule>
  </conditionalFormatting>
  <conditionalFormatting sqref="DT2:DT8">
    <cfRule type="containsText" dxfId="215" priority="26579" operator="containsText" text="DILIGENCIAR">
      <formula>NOT(ISERROR(SEARCH("DILIGENCIAR",DT2)))</formula>
    </cfRule>
  </conditionalFormatting>
  <conditionalFormatting sqref="EL2:EL8 EQ2:EQ8">
    <cfRule type="containsText" dxfId="214" priority="27170" operator="containsText" text="DAR">
      <formula>NOT(ISERROR(SEARCH("DAR",EL2)))</formula>
    </cfRule>
    <cfRule type="containsText" dxfId="213" priority="27171" operator="containsText" text="NORMAL">
      <formula>NOT(ISERROR(SEARCH("NORMAL",EL2)))</formula>
    </cfRule>
    <cfRule type="containsText" dxfId="212" priority="27172" operator="containsText" text="ANEMIA">
      <formula>NOT(ISERROR(SEARCH("ANEMIA",EL2)))</formula>
    </cfRule>
  </conditionalFormatting>
  <conditionalFormatting sqref="EU2:EU8">
    <cfRule type="containsText" dxfId="211" priority="27165" operator="containsText" text="NO">
      <formula>NOT(ISERROR(SEARCH("NO",EU2)))</formula>
    </cfRule>
    <cfRule type="containsText" dxfId="210" priority="27166" operator="containsText" text="RIESGO">
      <formula>NOT(ISERROR(SEARCH("RIESGO",EU2)))</formula>
    </cfRule>
  </conditionalFormatting>
  <conditionalFormatting sqref="FB2:FB8">
    <cfRule type="containsText" dxfId="209" priority="26864" operator="containsText" text="NORMAL,">
      <formula>NOT(ISERROR(SEARCH("NORMAL,",FB2)))</formula>
    </cfRule>
    <cfRule type="containsText" dxfId="208" priority="26865" operator="containsText" text="PROGRAMAR">
      <formula>NOT(ISERROR(SEARCH("PROGRAMAR",FB2)))</formula>
    </cfRule>
    <cfRule type="containsText" dxfId="207" priority="26866" operator="containsText" text="NORMAL">
      <formula>NOT(ISERROR(SEARCH("NORMAL",FB2)))</formula>
    </cfRule>
    <cfRule type="containsText" dxfId="206" priority="26867" operator="containsText" text="DIABETES">
      <formula>NOT(ISERROR(SEARCH("DIABETES",FB2)))</formula>
    </cfRule>
    <cfRule type="containsText" dxfId="205" priority="26868" operator="containsText" text="TOMAR">
      <formula>NOT(ISERROR(SEARCH("TOMAR",FB2)))</formula>
    </cfRule>
    <cfRule type="containsText" dxfId="204" priority="26907" operator="containsText" text="COMPLETA">
      <formula>NOT(ISERROR(SEARCH("COMPLETA",FB2)))</formula>
    </cfRule>
  </conditionalFormatting>
  <conditionalFormatting sqref="FE2:FE8">
    <cfRule type="containsText" dxfId="203" priority="26691" operator="containsText" text="POSITIVA CICATRIZ">
      <formula>NOT(ISERROR(SEARCH("POSITIVA CICATRIZ",FE2)))</formula>
    </cfRule>
    <cfRule type="containsText" dxfId="202" priority="26692" operator="containsText" text="POSITIVA CASO SIFILIS">
      <formula>NOT(ISERROR(SEARCH("POSITIVA CASO SIFILIS",FE2)))</formula>
    </cfRule>
    <cfRule type="containsText" dxfId="201" priority="26693" operator="containsText" text="NEGATIVA">
      <formula>NOT(ISERROR(SEARCH("NEGATIVA",FE2)))</formula>
    </cfRule>
  </conditionalFormatting>
  <conditionalFormatting sqref="FG2:FG8">
    <cfRule type="containsText" dxfId="200" priority="26656" operator="containsText" text="NO APLICA">
      <formula>NOT(ISERROR(SEARCH("NO APLICA",FG2)))</formula>
    </cfRule>
    <cfRule type="containsText" dxfId="199" priority="26657" operator="containsText" text="PIERDE">
      <formula>NOT(ISERROR(SEARCH("PIERDE",FG2)))</formula>
    </cfRule>
    <cfRule type="containsText" dxfId="198" priority="26658" operator="containsText" text="REGISTRAR">
      <formula>NOT(ISERROR(SEARCH("REGISTRAR",FG2)))</formula>
    </cfRule>
    <cfRule type="cellIs" dxfId="197" priority="26659" operator="between">
      <formula>0</formula>
      <formula>13</formula>
    </cfRule>
    <cfRule type="containsText" dxfId="196" priority="26660" operator="containsText" text="EN ESPERA">
      <formula>NOT(ISERROR(SEARCH("EN ESPERA",FG2)))</formula>
    </cfRule>
    <cfRule type="containsText" dxfId="195" priority="26661" operator="containsText" text="RANGO">
      <formula>NOT(ISERROR(SEARCH("RANGO",FG2)))</formula>
    </cfRule>
    <cfRule type="containsText" dxfId="194" priority="26662" operator="containsText" text="INMEDIATA">
      <formula>NOT(ISERROR(SEARCH("INMEDIATA",FG2)))</formula>
    </cfRule>
  </conditionalFormatting>
  <conditionalFormatting sqref="FH2:FH8 FK2:FK8 FN2:FN8">
    <cfRule type="containsText" dxfId="193" priority="26650" operator="containsText" text="REINFECCIÓN">
      <formula>NOT(ISERROR(SEARCH("REINFECCIÓN",FH2)))</formula>
    </cfRule>
    <cfRule type="containsText" dxfId="192" priority="26651" operator="containsText" text="DILUCIONES DISMINUYEN">
      <formula>NOT(ISERROR(SEARCH("DILUCIONES DISMINUYEN",FH2)))</formula>
    </cfRule>
    <cfRule type="containsText" dxfId="191" priority="26652" operator="containsText" text="DILUCIONES ESTABLES">
      <formula>NOT(ISERROR(SEARCH("DILUCIONES ESTABLES",FH2)))</formula>
    </cfRule>
    <cfRule type="containsText" dxfId="190" priority="26653" operator="containsText" text="POSITIVA CICATRIZ">
      <formula>NOT(ISERROR(SEARCH("POSITIVA CICATRIZ",FH2)))</formula>
    </cfRule>
    <cfRule type="containsText" dxfId="189" priority="26654" operator="containsText" text="POSITIVA CASO SIFILIS">
      <formula>NOT(ISERROR(SEARCH("POSITIVA CASO SIFILIS",FH2)))</formula>
    </cfRule>
    <cfRule type="containsText" dxfId="188" priority="26655" operator="containsText" text="NEGATIVA">
      <formula>NOT(ISERROR(SEARCH("NEGATIVA",FH2)))</formula>
    </cfRule>
  </conditionalFormatting>
  <conditionalFormatting sqref="FJ2:FJ8 FM2:FM8">
    <cfRule type="containsText" dxfId="187" priority="26643" operator="containsText" text="NO APLICA">
      <formula>NOT(ISERROR(SEARCH("NO APLICA",FJ2)))</formula>
    </cfRule>
    <cfRule type="containsText" dxfId="186" priority="26644" operator="containsText" text="PIERDE">
      <formula>NOT(ISERROR(SEARCH("PIERDE",FJ2)))</formula>
    </cfRule>
    <cfRule type="containsText" dxfId="185" priority="26645" operator="containsText" text="REGISTRAR">
      <formula>NOT(ISERROR(SEARCH("REGISTRAR",FJ2)))</formula>
    </cfRule>
    <cfRule type="containsText" dxfId="184" priority="26648" operator="containsText" text="RANGO">
      <formula>NOT(ISERROR(SEARCH("RANGO",FJ2)))</formula>
    </cfRule>
    <cfRule type="containsText" dxfId="183" priority="26649" operator="containsText" text="INMEDIATA">
      <formula>NOT(ISERROR(SEARCH("INMEDIATA",FJ2)))</formula>
    </cfRule>
  </conditionalFormatting>
  <conditionalFormatting sqref="FJ2:FJ8">
    <cfRule type="cellIs" dxfId="182" priority="26577" operator="between">
      <formula>12</formula>
      <formula>28</formula>
    </cfRule>
  </conditionalFormatting>
  <conditionalFormatting sqref="FM2:FM8 FJ2:FJ8">
    <cfRule type="containsText" dxfId="181" priority="26647" operator="containsText" text="EN ESPERA">
      <formula>NOT(ISERROR(SEARCH("EN ESPERA",FJ2)))</formula>
    </cfRule>
  </conditionalFormatting>
  <conditionalFormatting sqref="FM2:FM8">
    <cfRule type="cellIs" dxfId="180" priority="26646" operator="between">
      <formula>28</formula>
      <formula>44</formula>
    </cfRule>
  </conditionalFormatting>
  <conditionalFormatting sqref="FP2:FP8">
    <cfRule type="containsText" dxfId="179" priority="27125" operator="containsText" text="GESTACIONAL">
      <formula>NOT(ISERROR(SEARCH("GESTACIONAL",FP2)))</formula>
    </cfRule>
  </conditionalFormatting>
  <conditionalFormatting sqref="FT2:FT8 GN2:GN8 GQ2:GR8 GW2:GW8">
    <cfRule type="containsText" dxfId="178" priority="27123" operator="containsText" text="POSITIVO">
      <formula>NOT(ISERROR(SEARCH("POSITIVO",FT2)))</formula>
    </cfRule>
    <cfRule type="containsText" dxfId="177" priority="27124" operator="containsText" text="NEGATIVO">
      <formula>NOT(ISERROR(SEARCH("NEGATIVO",FT2)))</formula>
    </cfRule>
  </conditionalFormatting>
  <conditionalFormatting sqref="FY2:FY8 GB2:GB8 GE2:GE8 GH2:GH8 GJ2:GJ8">
    <cfRule type="containsText" dxfId="176" priority="27120" operator="containsText" text="P.R REACTIVA">
      <formula>NOT(ISERROR(SEARCH("P.R REACTIVA",FY2)))</formula>
    </cfRule>
    <cfRule type="containsText" dxfId="175" priority="27121" operator="containsText" text="NO REACTIVA">
      <formula>NOT(ISERROR(SEARCH("NO REACTIVA",FY2)))</formula>
    </cfRule>
    <cfRule type="containsText" dxfId="174" priority="27122" operator="containsText" text="ELISA REACTIVA">
      <formula>NOT(ISERROR(SEARCH("ELISA REACTIVA",FY2)))</formula>
    </cfRule>
  </conditionalFormatting>
  <conditionalFormatting sqref="GA2:GA8">
    <cfRule type="containsText" dxfId="173" priority="26636" operator="containsText" text="NO APLICA">
      <formula>NOT(ISERROR(SEARCH("NO APLICA",GA2)))</formula>
    </cfRule>
    <cfRule type="containsText" dxfId="172" priority="26637" operator="containsText" text="PIERDE">
      <formula>NOT(ISERROR(SEARCH("PIERDE",GA2)))</formula>
    </cfRule>
    <cfRule type="containsText" dxfId="171" priority="26638" operator="containsText" text="REGISTRAR">
      <formula>NOT(ISERROR(SEARCH("REGISTRAR",GA2)))</formula>
    </cfRule>
    <cfRule type="cellIs" dxfId="170" priority="26639" operator="between">
      <formula>0</formula>
      <formula>13</formula>
    </cfRule>
    <cfRule type="containsText" dxfId="169" priority="26640" operator="containsText" text="EN ESPERA">
      <formula>NOT(ISERROR(SEARCH("EN ESPERA",GA2)))</formula>
    </cfRule>
    <cfRule type="containsText" dxfId="168" priority="26641" operator="containsText" text="RANGO">
      <formula>NOT(ISERROR(SEARCH("RANGO",GA2)))</formula>
    </cfRule>
    <cfRule type="containsText" dxfId="167" priority="26642" operator="containsText" text="INMEDIATA">
      <formula>NOT(ISERROR(SEARCH("INMEDIATA",GA2)))</formula>
    </cfRule>
  </conditionalFormatting>
  <conditionalFormatting sqref="GD2:GD8">
    <cfRule type="containsText" dxfId="166" priority="26629" operator="containsText" text="NO APLICA">
      <formula>NOT(ISERROR(SEARCH("NO APLICA",GD2)))</formula>
    </cfRule>
    <cfRule type="containsText" dxfId="165" priority="26630" operator="containsText" text="PIERDE">
      <formula>NOT(ISERROR(SEARCH("PIERDE",GD2)))</formula>
    </cfRule>
    <cfRule type="containsText" dxfId="164" priority="26631" operator="containsText" text="REGISTRAR">
      <formula>NOT(ISERROR(SEARCH("REGISTRAR",GD2)))</formula>
    </cfRule>
    <cfRule type="cellIs" dxfId="163" priority="26632" operator="between">
      <formula>12</formula>
      <formula>28</formula>
    </cfRule>
    <cfRule type="containsText" dxfId="162" priority="26633" operator="containsText" text="EN ESPERA">
      <formula>NOT(ISERROR(SEARCH("EN ESPERA",GD2)))</formula>
    </cfRule>
    <cfRule type="containsText" dxfId="161" priority="26634" operator="containsText" text="RANGO">
      <formula>NOT(ISERROR(SEARCH("RANGO",GD2)))</formula>
    </cfRule>
    <cfRule type="containsText" dxfId="160" priority="26635" operator="containsText" text="INMEDIATA">
      <formula>NOT(ISERROR(SEARCH("INMEDIATA",GD2)))</formula>
    </cfRule>
  </conditionalFormatting>
  <conditionalFormatting sqref="GG2:GG8">
    <cfRule type="containsText" dxfId="159" priority="26622" operator="containsText" text="NO APLICA">
      <formula>NOT(ISERROR(SEARCH("NO APLICA",GG2)))</formula>
    </cfRule>
    <cfRule type="containsText" dxfId="158" priority="26623" operator="containsText" text="PIERDE">
      <formula>NOT(ISERROR(SEARCH("PIERDE",GG2)))</formula>
    </cfRule>
    <cfRule type="containsText" dxfId="157" priority="26624" operator="containsText" text="REGISTRAR">
      <formula>NOT(ISERROR(SEARCH("REGISTRAR",GG2)))</formula>
    </cfRule>
    <cfRule type="cellIs" dxfId="156" priority="26625" operator="between">
      <formula>28</formula>
      <formula>44</formula>
    </cfRule>
    <cfRule type="containsText" dxfId="155" priority="26626" operator="containsText" text="EN ESPERA">
      <formula>NOT(ISERROR(SEARCH("EN ESPERA",GG2)))</formula>
    </cfRule>
    <cfRule type="containsText" dxfId="154" priority="26627" operator="containsText" text="RANGO">
      <formula>NOT(ISERROR(SEARCH("RANGO",GG2)))</formula>
    </cfRule>
    <cfRule type="containsText" dxfId="153" priority="26628" operator="containsText" text="INMEDIATA">
      <formula>NOT(ISERROR(SEARCH("INMEDIATA",GG2)))</formula>
    </cfRule>
  </conditionalFormatting>
  <conditionalFormatting sqref="GL2:GL8">
    <cfRule type="containsText" dxfId="152" priority="27104" operator="containsText" text="NO APLICA">
      <formula>NOT(ISERROR(SEARCH("NO APLICA",GL2)))</formula>
    </cfRule>
    <cfRule type="containsText" dxfId="151" priority="27105" operator="containsText" text="NO CONLUYENTE">
      <formula>NOT(ISERROR(SEARCH("NO CONLUYENTE",GL2)))</formula>
    </cfRule>
    <cfRule type="containsText" dxfId="150" priority="27106" operator="containsText" text="NEGATIVA">
      <formula>NOT(ISERROR(SEARCH("NEGATIVA",GL2)))</formula>
    </cfRule>
    <cfRule type="containsText" dxfId="149" priority="27107" operator="containsText" text="POSITIVA">
      <formula>NOT(ISERROR(SEARCH("POSITIVA",GL2)))</formula>
    </cfRule>
  </conditionalFormatting>
  <conditionalFormatting sqref="GS2:GS8">
    <cfRule type="containsText" dxfId="148" priority="27095" operator="containsText" text="Igm">
      <formula>NOT(ISERROR(SEARCH("Igm",GS2)))</formula>
    </cfRule>
    <cfRule type="containsText" dxfId="147" priority="27096" operator="containsText" text="REMITIR">
      <formula>NOT(ISERROR(SEARCH("REMITIR",GS2)))</formula>
    </cfRule>
    <cfRule type="containsText" dxfId="146" priority="27097" operator="containsText" text="EXCLUYE">
      <formula>NOT(ISERROR(SEARCH("EXCLUYE",GS2)))</formula>
    </cfRule>
  </conditionalFormatting>
  <conditionalFormatting sqref="GY2:GY8">
    <cfRule type="containsText" dxfId="145" priority="27089" operator="containsText" text="CARCINOMA">
      <formula>NOT(ISERROR(SEARCH("CARCINOMA",GY2)))</formula>
    </cfRule>
    <cfRule type="containsText" dxfId="144" priority="27090" operator="containsText" text="VPH">
      <formula>NOT(ISERROR(SEARCH("VPH",GY2)))</formula>
    </cfRule>
    <cfRule type="containsText" dxfId="143" priority="27091" operator="containsText" text="NIC">
      <formula>NOT(ISERROR(SEARCH("NIC",GY2)))</formula>
    </cfRule>
    <cfRule type="containsText" dxfId="142" priority="27092" operator="containsText" text="NEGATIVA">
      <formula>NOT(ISERROR(SEARCH("NEGATIVA",GY2)))</formula>
    </cfRule>
  </conditionalFormatting>
  <conditionalFormatting sqref="HC2:HC8">
    <cfRule type="containsText" dxfId="141" priority="27087" operator="containsText" text="COLPOSCOPIA">
      <formula>NOT(ISERROR(SEARCH("COLPOSCOPIA",HC2)))</formula>
    </cfRule>
    <cfRule type="containsText" dxfId="140" priority="27088" operator="containsText" text="ESQUEMA">
      <formula>NOT(ISERROR(SEARCH("ESQUEMA",HC2)))</formula>
    </cfRule>
  </conditionalFormatting>
  <conditionalFormatting sqref="HD2:HD8">
    <cfRule type="containsText" dxfId="139" priority="26617" operator="containsText" text="INDETERMINADO">
      <formula>NOT(ISERROR(SEARCH("INDETERMINADO",HD2)))</formula>
    </cfRule>
    <cfRule type="containsText" dxfId="138" priority="26618" operator="containsText" text="NO TOMADO">
      <formula>NOT(ISERROR(SEARCH("NO TOMADO",HD2)))</formula>
    </cfRule>
    <cfRule type="cellIs" dxfId="136" priority="26620" operator="equal">
      <formula>"NEGATIVO"</formula>
    </cfRule>
    <cfRule type="cellIs" dxfId="135" priority="26621" operator="equal">
      <formula>"POSITIVO"</formula>
    </cfRule>
  </conditionalFormatting>
  <conditionalFormatting sqref="HF2:HF8">
    <cfRule type="containsText" dxfId="134" priority="26597" operator="containsText" text="INDETERMINADO">
      <formula>NOT(ISERROR(SEARCH("INDETERMINADO",HF2)))</formula>
    </cfRule>
    <cfRule type="containsText" dxfId="133" priority="26598" operator="containsText" text="NO TOMADO">
      <formula>NOT(ISERROR(SEARCH("NO TOMADO",HF2)))</formula>
    </cfRule>
    <cfRule type="cellIs" dxfId="131" priority="26600" operator="equal">
      <formula>"NEGATIVO"</formula>
    </cfRule>
    <cfRule type="cellIs" dxfId="130" priority="26601" operator="equal">
      <formula>"POSITIVO"</formula>
    </cfRule>
  </conditionalFormatting>
  <conditionalFormatting sqref="HH2:HH8">
    <cfRule type="containsText" dxfId="129" priority="26592" operator="containsText" text="INDETERMINADO">
      <formula>NOT(ISERROR(SEARCH("INDETERMINADO",HH2)))</formula>
    </cfRule>
    <cfRule type="containsText" dxfId="128" priority="26593" operator="containsText" text="NO TOMADO">
      <formula>NOT(ISERROR(SEARCH("NO TOMADO",HH2)))</formula>
    </cfRule>
    <cfRule type="cellIs" dxfId="126" priority="26595" operator="equal">
      <formula>"NEGATIVO"</formula>
    </cfRule>
    <cfRule type="cellIs" dxfId="125" priority="26596" operator="equal">
      <formula>"POSITIVO"</formula>
    </cfRule>
  </conditionalFormatting>
  <conditionalFormatting sqref="HJ2:HJ8">
    <cfRule type="containsText" dxfId="124" priority="26754" operator="containsText" text="COVID19 PUERPERIO">
      <formula>NOT(ISERROR(SEARCH("COVID19 PUERPERIO",HJ2)))</formula>
    </cfRule>
    <cfRule type="containsText" dxfId="123" priority="26755" operator="containsText" text="COVID19 TERCER TRIMESTRE">
      <formula>NOT(ISERROR(SEARCH("COVID19 TERCER TRIMESTRE",HJ2)))</formula>
    </cfRule>
    <cfRule type="containsText" dxfId="122" priority="26756" operator="containsText" text="COVID19 SEGUNDO TRIMESTRE">
      <formula>NOT(ISERROR(SEARCH("COVID19 SEGUNDO TRIMESTRE",HJ2)))</formula>
    </cfRule>
    <cfRule type="containsText" dxfId="121" priority="26757" operator="containsText" text="COVID19 PRIMER TRIMESTRE">
      <formula>NOT(ISERROR(SEARCH("COVID19 PRIMER TRIMESTRE",HJ2)))</formula>
    </cfRule>
    <cfRule type="containsText" dxfId="120" priority="26758" operator="containsText" text="FACTOR DE RIESGO">
      <formula>NOT(ISERROR(SEARCH("FACTOR DE RIESGO",HJ2)))</formula>
    </cfRule>
    <cfRule type="containsText" dxfId="119" priority="26759" operator="containsText" text="SIN INFECCIÓN">
      <formula>NOT(ISERROR(SEARCH("SIN INFECCIÓN",HJ2)))</formula>
    </cfRule>
    <cfRule type="containsText" dxfId="118" priority="26760" operator="containsText" text="NO SE EVALUA RIESGO INFECCIÓN COVID19">
      <formula>NOT(ISERROR(SEARCH("NO SE EVALUA RIESGO INFECCIÓN COVID19",HJ2)))</formula>
    </cfRule>
  </conditionalFormatting>
  <conditionalFormatting sqref="HK2:HK8">
    <cfRule type="cellIs" dxfId="117" priority="26948" operator="equal">
      <formula>"******"</formula>
    </cfRule>
  </conditionalFormatting>
  <conditionalFormatting sqref="HK2:HL5">
    <cfRule type="notContainsBlanks" dxfId="116" priority="26954">
      <formula>LEN(TRIM(HK2))&gt;0</formula>
    </cfRule>
  </conditionalFormatting>
  <conditionalFormatting sqref="HK6:HL8">
    <cfRule type="notContainsBlanks" dxfId="115" priority="3">
      <formula>LEN(TRIM(HK6))&gt;0</formula>
    </cfRule>
  </conditionalFormatting>
  <conditionalFormatting sqref="HL2:HL8">
    <cfRule type="cellIs" dxfId="114" priority="26947" operator="equal">
      <formula>"************"</formula>
    </cfRule>
  </conditionalFormatting>
  <conditionalFormatting sqref="HM2:HM8">
    <cfRule type="cellIs" dxfId="113" priority="26949" operator="equal">
      <formula>"CON RIESGO"</formula>
    </cfRule>
    <cfRule type="containsText" dxfId="112" priority="26951" operator="containsText" text="BAJO">
      <formula>NOT(ISERROR(SEARCH("BAJO",HM2)))</formula>
    </cfRule>
    <cfRule type="containsText" dxfId="111" priority="26952" operator="containsText" text="ALTO">
      <formula>NOT(ISERROR(SEARCH("ALTO",HM2)))</formula>
    </cfRule>
  </conditionalFormatting>
  <conditionalFormatting sqref="HN2:HN8">
    <cfRule type="cellIs" dxfId="110" priority="26694" operator="equal">
      <formula>"********************************"</formula>
    </cfRule>
    <cfRule type="notContainsBlanks" dxfId="109" priority="26695">
      <formula>LEN(TRIM(HN2))&gt;0</formula>
    </cfRule>
  </conditionalFormatting>
  <conditionalFormatting sqref="HO2:HO8">
    <cfRule type="cellIs" dxfId="108" priority="26945" operator="equal">
      <formula>"SIN ANTECEDENTES DE RIESGO"</formula>
    </cfRule>
    <cfRule type="containsText" dxfId="107" priority="26953" operator="containsText" text="ASA">
      <formula>NOT(ISERROR(SEARCH("ASA",HO2)))</formula>
    </cfRule>
  </conditionalFormatting>
  <conditionalFormatting sqref="HQ2:HQ8">
    <cfRule type="containsText" dxfId="106" priority="26578" operator="containsText" text="DILIGENCIAR">
      <formula>NOT(ISERROR(SEARCH("DILIGENCIAR",HQ2)))</formula>
    </cfRule>
  </conditionalFormatting>
  <conditionalFormatting sqref="HS2:HT5">
    <cfRule type="cellIs" dxfId="105" priority="27234" operator="equal">
      <formula>"SD"</formula>
    </cfRule>
    <cfRule type="cellIs" dxfId="104" priority="27236" operator="equal">
      <formula>"NO"</formula>
    </cfRule>
    <cfRule type="cellIs" dxfId="103" priority="27237" operator="equal">
      <formula>"SI"</formula>
    </cfRule>
  </conditionalFormatting>
  <conditionalFormatting sqref="HS6:HT8">
    <cfRule type="cellIs" dxfId="102" priority="17" operator="equal">
      <formula>"SD"</formula>
    </cfRule>
    <cfRule type="cellIs" dxfId="101" priority="18" operator="equal">
      <formula>"NO"</formula>
    </cfRule>
    <cfRule type="cellIs" dxfId="100" priority="19" operator="equal">
      <formula>"SI"</formula>
    </cfRule>
  </conditionalFormatting>
  <conditionalFormatting sqref="HV2:HV8 HX2:HX8 HZ2:HZ8">
    <cfRule type="containsText" dxfId="99" priority="26958" operator="containsText" text="NO SE FORMULA">
      <formula>NOT(ISERROR(SEARCH("NO SE FORMULA",HV2)))</formula>
    </cfRule>
    <cfRule type="containsText" dxfId="98" priority="27065" operator="containsText" text="OTRO">
      <formula>NOT(ISERROR(SEARCH("OTRO",HV2)))</formula>
    </cfRule>
    <cfRule type="containsText" dxfId="97" priority="27066" operator="containsText" text="IRREGULAR">
      <formula>NOT(ISERROR(SEARCH("IRREGULAR",HV2)))</formula>
    </cfRule>
    <cfRule type="containsText" dxfId="96" priority="27067" operator="containsText" text="ADECUADO">
      <formula>NOT(ISERROR(SEARCH("ADECUADO",HV2)))</formula>
    </cfRule>
  </conditionalFormatting>
  <conditionalFormatting sqref="IK2:IK8 AE2:AH8 IA2:IA8 ID2:IE8">
    <cfRule type="cellIs" dxfId="95" priority="27262" operator="equal">
      <formula>"SD"</formula>
    </cfRule>
  </conditionalFormatting>
  <conditionalFormatting sqref="IK2:IK8 IA2:IA8 ID2:IE8">
    <cfRule type="cellIs" dxfId="94" priority="27263" operator="equal">
      <formula>"SI"</formula>
    </cfRule>
    <cfRule type="cellIs" dxfId="93" priority="27264" operator="equal">
      <formula>"NO"</formula>
    </cfRule>
  </conditionalFormatting>
  <conditionalFormatting sqref="IK2:IK8">
    <cfRule type="containsText" dxfId="92" priority="26575" operator="containsText" text="PENDIENTE">
      <formula>NOT(ISERROR(SEARCH("PENDIENTE",IK2)))</formula>
    </cfRule>
    <cfRule type="containsText" dxfId="91" priority="26576" operator="containsText" text="PROGRAMAR">
      <formula>NOT(ISERROR(SEARCH("PROGRAMAR",IK2)))</formula>
    </cfRule>
    <cfRule type="cellIs" dxfId="90" priority="26749" operator="equal">
      <formula>"Error en Fecha x No Acepta no Firma"</formula>
    </cfRule>
    <cfRule type="cellIs" dxfId="89" priority="26750" operator="equal">
      <formula>"NO ACEPTA VACUNA Y NO FIRMA DISCENTIMIENTO"</formula>
    </cfRule>
    <cfRule type="cellIs" dxfId="88" priority="26751" operator="equal">
      <formula>"CON REFUERZO"</formula>
    </cfRule>
    <cfRule type="cellIs" dxfId="87" priority="26752" operator="equal">
      <formula>"FIRMA DISENTIMIENTO"</formula>
    </cfRule>
  </conditionalFormatting>
  <conditionalFormatting sqref="IN2:IN8">
    <cfRule type="containsText" dxfId="86" priority="26877" operator="containsText" text="APLICADA ANTES">
      <formula>NOT(ISERROR(SEARCH("APLICADA ANTES",IN2)))</formula>
    </cfRule>
    <cfRule type="containsText" dxfId="85" priority="26878" operator="containsText" text="EDAD">
      <formula>NOT(ISERROR(SEARCH("EDAD",IN2)))</formula>
    </cfRule>
    <cfRule type="containsText" dxfId="84" priority="26879" operator="containsText" text="SALE">
      <formula>NOT(ISERROR(SEARCH("SALE",IN2)))</formula>
    </cfRule>
    <cfRule type="containsText" dxfId="83" priority="26880" operator="containsText" text="SEMANA 26">
      <formula>NOT(ISERROR(SEARCH("SEMANA 26",IN2)))</formula>
    </cfRule>
    <cfRule type="containsText" dxfId="82" priority="26881" operator="containsText" text="SEMANA 27">
      <formula>NOT(ISERROR(SEARCH("SEMANA 27",IN2)))</formula>
    </cfRule>
    <cfRule type="containsText" dxfId="81" priority="26882" operator="containsText" text="INASISTENTE">
      <formula>NOT(ISERROR(SEARCH("INASISTENTE",IN2)))</formula>
    </cfRule>
    <cfRule type="containsText" dxfId="80" priority="26883" operator="containsText" text="COLOCACIÓN">
      <formula>NOT(ISERROR(SEARCH("COLOCACIÓN",IN2)))</formula>
    </cfRule>
    <cfRule type="containsText" dxfId="79" priority="26884" operator="containsText" text="ESPERA">
      <formula>NOT(ISERROR(SEARCH("ESPERA",IN2)))</formula>
    </cfRule>
  </conditionalFormatting>
  <conditionalFormatting sqref="IR2:IR8">
    <cfRule type="containsText" dxfId="78" priority="27057" operator="containsText" text="PENDIENTE">
      <formula>NOT(ISERROR(SEARCH("PENDIENTE",IR2)))</formula>
    </cfRule>
    <cfRule type="containsText" dxfId="77" priority="27058" operator="containsText" text="SEMANA">
      <formula>NOT(ISERROR(SEARCH("SEMANA",IR2)))</formula>
    </cfRule>
    <cfRule type="containsText" dxfId="76" priority="27059" operator="containsText" text="MENOS">
      <formula>NOT(ISERROR(SEARCH("MENOS",IR2)))</formula>
    </cfRule>
    <cfRule type="containsText" dxfId="75" priority="27060" operator="containsText" text="POSIBLEMENTE">
      <formula>NOT(ISERROR(SEARCH("POSIBLEMENTE",IR2)))</formula>
    </cfRule>
  </conditionalFormatting>
  <conditionalFormatting sqref="IT2:IT8">
    <cfRule type="containsText" dxfId="74" priority="27051" operator="containsText" text="CAMBIO">
      <formula>NOT(ISERROR(SEARCH("CAMBIO",IT2)))</formula>
    </cfRule>
    <cfRule type="containsText" dxfId="73" priority="27052" operator="containsText" text="NEGACION">
      <formula>NOT(ISERROR(SEARCH("NEGACION",IT2)))</formula>
    </cfRule>
    <cfRule type="containsText" dxfId="72" priority="27053" operator="containsText" text="IVE">
      <formula>NOT(ISERROR(SEARCH("IVE",IT2)))</formula>
    </cfRule>
    <cfRule type="containsText" dxfId="71" priority="27054" operator="containsText" text="ABORTO">
      <formula>NOT(ISERROR(SEARCH("ABORTO",IT2)))</formula>
    </cfRule>
    <cfRule type="containsText" dxfId="70" priority="27055" operator="containsText" text="CESAREA">
      <formula>NOT(ISERROR(SEARCH("CESAREA",IT2)))</formula>
    </cfRule>
    <cfRule type="containsText" dxfId="69" priority="27056" operator="containsText" text="PARTO">
      <formula>NOT(ISERROR(SEARCH("PARTO",IT2)))</formula>
    </cfRule>
  </conditionalFormatting>
  <conditionalFormatting sqref="IU2:IU8">
    <cfRule type="cellIs" dxfId="68" priority="26564" operator="equal">
      <formula>"MORBILIDAD MATERNA EXTREMA"</formula>
    </cfRule>
    <cfRule type="containsText" dxfId="67" priority="27047" operator="containsText" text="MME">
      <formula>NOT(ISERROR(SEARCH("MME",IU2)))</formula>
    </cfRule>
    <cfRule type="cellIs" dxfId="66" priority="27048" operator="equal">
      <formula>"MUERTE Y MORBILIDAD MATERNA EXTREMA"</formula>
    </cfRule>
    <cfRule type="containsText" dxfId="65" priority="27049" operator="containsText" text="MUERTE">
      <formula>NOT(ISERROR(SEARCH("MUERTE",IU2)))</formula>
    </cfRule>
    <cfRule type="containsText" dxfId="64" priority="27050" operator="containsText" text="SANA">
      <formula>NOT(ISERROR(SEARCH("SANA",IU2)))</formula>
    </cfRule>
  </conditionalFormatting>
  <conditionalFormatting sqref="IV2:IV8">
    <cfRule type="cellIs" dxfId="63" priority="26563" operator="equal">
      <formula>"MUERTE PERINATAL Y MALFORMACIÓN CONGÉNITA"</formula>
    </cfRule>
    <cfRule type="containsText" dxfId="62" priority="27041" operator="containsText" text="SIFILIS">
      <formula>NOT(ISERROR(SEARCH("SIFILIS",IV2)))</formula>
    </cfRule>
    <cfRule type="containsText" dxfId="61" priority="27042" operator="containsText" text="MALFORMACIÓN">
      <formula>NOT(ISERROR(SEARCH("MALFORMACIÓN",IV2)))</formula>
    </cfRule>
    <cfRule type="containsText" dxfId="60" priority="27043" operator="containsText" text="MUERTE">
      <formula>NOT(ISERROR(SEARCH("MUERTE",IV2)))</formula>
    </cfRule>
    <cfRule type="containsText" dxfId="59" priority="27044" operator="containsText" text="UCI">
      <formula>NOT(ISERROR(SEARCH("UCI",IV2)))</formula>
    </cfRule>
    <cfRule type="containsText" dxfId="58" priority="27045" operator="containsText" text="HOSPITALIZACION">
      <formula>NOT(ISERROR(SEARCH("HOSPITALIZACION",IV2)))</formula>
    </cfRule>
    <cfRule type="containsText" dxfId="57" priority="27046" operator="containsText" text="SANO">
      <formula>NOT(ISERROR(SEARCH("SANO",IV2)))</formula>
    </cfRule>
  </conditionalFormatting>
  <conditionalFormatting sqref="IX2:IX8">
    <cfRule type="containsText" dxfId="56" priority="27037" operator="containsText" text="NO APLICA">
      <formula>NOT(ISERROR(SEARCH("NO APLICA",IX2)))</formula>
    </cfRule>
    <cfRule type="containsText" dxfId="55" priority="27038" operator="containsText" text="OTRO">
      <formula>NOT(ISERROR(SEARCH("OTRO",IX2)))</formula>
    </cfRule>
    <cfRule type="containsText" dxfId="54" priority="27039" operator="containsText" text="DOMICILIO">
      <formula>NOT(ISERROR(SEARCH("DOMICILIO",IX2)))</formula>
    </cfRule>
    <cfRule type="containsText" dxfId="53" priority="27040" operator="containsText" text="INSTITUCIONAL">
      <formula>NOT(ISERROR(SEARCH("INSTITUCIONAL",IX2)))</formula>
    </cfRule>
  </conditionalFormatting>
  <conditionalFormatting sqref="IY2:IY8">
    <cfRule type="containsBlanks" priority="26562" stopIfTrue="1">
      <formula>LEN(TRIM(IY2))=0</formula>
    </cfRule>
    <cfRule type="cellIs" dxfId="52" priority="26569" operator="greaterThanOrEqual">
      <formula>43</formula>
    </cfRule>
    <cfRule type="cellIs" dxfId="51" priority="26570" operator="between">
      <formula>37</formula>
      <formula>40.5</formula>
    </cfRule>
    <cfRule type="cellIs" dxfId="50" priority="26571" operator="between">
      <formula>"&gt;40,5"</formula>
      <formula>42</formula>
    </cfRule>
    <cfRule type="cellIs" dxfId="49" priority="26572" operator="between">
      <formula>33</formula>
      <formula>"&lt;37"</formula>
    </cfRule>
    <cfRule type="cellIs" dxfId="48" priority="26573" operator="between">
      <formula>22</formula>
      <formula>"&lt;33"</formula>
    </cfRule>
    <cfRule type="cellIs" dxfId="47" priority="26574" operator="between">
      <formula>1</formula>
      <formula>21</formula>
    </cfRule>
  </conditionalFormatting>
  <conditionalFormatting sqref="JA2:JA8">
    <cfRule type="containsText" dxfId="46" priority="27033" operator="containsText" text="NO APLICA">
      <formula>NOT(ISERROR(SEARCH("NO APLICA",JA2)))</formula>
    </cfRule>
    <cfRule type="containsText" dxfId="45" priority="27034" operator="containsText" text="ALTA">
      <formula>NOT(ISERROR(SEARCH("ALTA",JA2)))</formula>
    </cfRule>
    <cfRule type="containsText" dxfId="44" priority="27035" operator="containsText" text="MEDIANA">
      <formula>NOT(ISERROR(SEARCH("MEDIANA",JA2)))</formula>
    </cfRule>
    <cfRule type="containsText" dxfId="43" priority="27036" operator="containsText" text="BAJA">
      <formula>NOT(ISERROR(SEARCH("BAJA",JA2)))</formula>
    </cfRule>
  </conditionalFormatting>
  <conditionalFormatting sqref="JB2 JB3:JC5">
    <cfRule type="containsText" dxfId="42" priority="27027" operator="containsText" text="SIN">
      <formula>NOT(ISERROR(SEARCH("SIN",JB2)))</formula>
    </cfRule>
    <cfRule type="containsText" dxfId="41" priority="27028" operator="containsText" text="EQUIPO">
      <formula>NOT(ISERROR(SEARCH("EQUIPO",JB2)))</formula>
    </cfRule>
    <cfRule type="containsText" dxfId="40" priority="27029" operator="containsText" text="MEDICO TRADICIONAL">
      <formula>NOT(ISERROR(SEARCH("MEDICO TRADICIONAL",JB2)))</formula>
    </cfRule>
    <cfRule type="containsText" dxfId="39" priority="27030" operator="containsText" text="PARTERA">
      <formula>NOT(ISERROR(SEARCH("PARTERA",JB2)))</formula>
    </cfRule>
    <cfRule type="containsText" dxfId="38" priority="27031" operator="containsText" text="TÉCNICO">
      <formula>NOT(ISERROR(SEARCH("TÉCNICO",JB2)))</formula>
    </cfRule>
    <cfRule type="containsText" dxfId="37" priority="27032" operator="containsText" text="PROFESIONAL">
      <formula>NOT(ISERROR(SEARCH("PROFESIONAL",JB2)))</formula>
    </cfRule>
  </conditionalFormatting>
  <conditionalFormatting sqref="JB3:JC5 JB2">
    <cfRule type="containsText" dxfId="36" priority="27026" operator="containsText" text="NO APLICA">
      <formula>NOT(ISERROR(SEARCH("NO APLICA",JB2)))</formula>
    </cfRule>
  </conditionalFormatting>
  <conditionalFormatting sqref="JB6:JC8">
    <cfRule type="containsText" dxfId="35" priority="4" operator="containsText" text="NO APLICA">
      <formula>NOT(ISERROR(SEARCH("NO APLICA",JB6)))</formula>
    </cfRule>
    <cfRule type="containsText" dxfId="34" priority="5" operator="containsText" text="SIN">
      <formula>NOT(ISERROR(SEARCH("SIN",JB6)))</formula>
    </cfRule>
    <cfRule type="containsText" dxfId="33" priority="6" operator="containsText" text="EQUIPO">
      <formula>NOT(ISERROR(SEARCH("EQUIPO",JB6)))</formula>
    </cfRule>
    <cfRule type="containsText" dxfId="32" priority="7" operator="containsText" text="MEDICO TRADICIONAL">
      <formula>NOT(ISERROR(SEARCH("MEDICO TRADICIONAL",JB6)))</formula>
    </cfRule>
    <cfRule type="containsText" dxfId="31" priority="8" operator="containsText" text="PARTERA">
      <formula>NOT(ISERROR(SEARCH("PARTERA",JB6)))</formula>
    </cfRule>
    <cfRule type="containsText" dxfId="30" priority="9" operator="containsText" text="TÉCNICO">
      <formula>NOT(ISERROR(SEARCH("TÉCNICO",JB6)))</formula>
    </cfRule>
    <cfRule type="containsText" dxfId="29" priority="10" operator="containsText" text="PROFESIONAL">
      <formula>NOT(ISERROR(SEARCH("PROFESIONAL",JB6)))</formula>
    </cfRule>
  </conditionalFormatting>
  <conditionalFormatting sqref="JC2">
    <cfRule type="containsText" dxfId="28" priority="26565" operator="containsText" text="SIN DATO">
      <formula>NOT(ISERROR(SEARCH("SIN DATO",JC2)))</formula>
    </cfRule>
  </conditionalFormatting>
  <conditionalFormatting sqref="JC2:JC8">
    <cfRule type="containsText" dxfId="27" priority="26566" operator="containsText" text="LE HACEN CESÁREA SIN INICIO TRABAJO DE PARTO">
      <formula>NOT(ISERROR(SEARCH("LE HACEN CESÁREA SIN INICIO TRABAJO DE PARTO",JC2)))</formula>
    </cfRule>
    <cfRule type="containsText" dxfId="26" priority="26567" operator="containsText" text="LE HACEN INDUCCIÓN">
      <formula>NOT(ISERROR(SEARCH("LE HACEN INDUCCIÓN",JC2)))</formula>
    </cfRule>
    <cfRule type="containsText" dxfId="25" priority="26568" operator="containsText" text="ESPONTÁNEO">
      <formula>NOT(ISERROR(SEARCH("ESPONTÁNEO",JC2)))</formula>
    </cfRule>
  </conditionalFormatting>
  <conditionalFormatting sqref="JD2:JI5 KJ2:KL5">
    <cfRule type="cellIs" dxfId="24" priority="27252" operator="equal">
      <formula>"SD"</formula>
    </cfRule>
    <cfRule type="cellIs" dxfId="23" priority="27253" operator="equal">
      <formula>"NO APLICA"</formula>
    </cfRule>
    <cfRule type="cellIs" dxfId="22" priority="27254" operator="equal">
      <formula>"NO"</formula>
    </cfRule>
    <cfRule type="cellIs" dxfId="21" priority="27255" operator="equal">
      <formula>"SI"</formula>
    </cfRule>
  </conditionalFormatting>
  <conditionalFormatting sqref="JD6:JI8 KJ6:KL8">
    <cfRule type="cellIs" dxfId="20" priority="20" operator="equal">
      <formula>"SD"</formula>
    </cfRule>
    <cfRule type="cellIs" dxfId="19" priority="21" operator="equal">
      <formula>"NO APLICA"</formula>
    </cfRule>
    <cfRule type="cellIs" dxfId="18" priority="22" operator="equal">
      <formula>"NO"</formula>
    </cfRule>
    <cfRule type="cellIs" dxfId="17" priority="23" operator="equal">
      <formula>"SI"</formula>
    </cfRule>
  </conditionalFormatting>
  <conditionalFormatting sqref="JJ2:JJ8">
    <cfRule type="containsText" dxfId="16" priority="27023" operator="containsText" text="SIN DATO">
      <formula>NOT(ISERROR(SEARCH("SIN DATO",JJ2)))</formula>
    </cfRule>
    <cfRule type="containsText" dxfId="15" priority="27024" operator="containsText" text="SIN COMPLICACION">
      <formula>NOT(ISERROR(SEARCH("SIN COMPLICACION",JJ2)))</formula>
    </cfRule>
    <cfRule type="notContainsBlanks" dxfId="14" priority="27300">
      <formula>LEN(TRIM(JJ2))&gt;0</formula>
    </cfRule>
  </conditionalFormatting>
  <conditionalFormatting sqref="JN2:JN8 JX2:JX8">
    <cfRule type="containsText" dxfId="13" priority="27019" operator="containsText" text="PREMATURO">
      <formula>NOT(ISERROR(SEARCH("PREMATURO",JN2)))</formula>
    </cfRule>
    <cfRule type="containsText" dxfId="12" priority="27020" operator="containsText" text="GRANDE">
      <formula>NOT(ISERROR(SEARCH("GRANDE",JN2)))</formula>
    </cfRule>
    <cfRule type="containsText" dxfId="11" priority="27021" operator="containsText" text="ADECUADO">
      <formula>NOT(ISERROR(SEARCH("ADECUADO",JN2)))</formula>
    </cfRule>
    <cfRule type="containsText" dxfId="10" priority="27022" operator="containsText" text="BAJO">
      <formula>NOT(ISERROR(SEARCH("BAJO",JN2)))</formula>
    </cfRule>
  </conditionalFormatting>
  <conditionalFormatting sqref="JP2:JP8 JZ2:JZ8">
    <cfRule type="containsText" dxfId="9" priority="27012" operator="containsText" text="SIN DATO">
      <formula>NOT(ISERROR(SEARCH("SIN DATO",JP2)))</formula>
    </cfRule>
    <cfRule type="containsText" dxfId="8" priority="27013" operator="containsText" text="ANORMAL">
      <formula>NOT(ISERROR(SEARCH("ANORMAL",JP2)))</formula>
    </cfRule>
    <cfRule type="containsText" dxfId="7" priority="27014" operator="containsText" text="NORMAL">
      <formula>NOT(ISERROR(SEARCH("NORMAL",JP2)))</formula>
    </cfRule>
  </conditionalFormatting>
  <conditionalFormatting sqref="JR2:JR8 KB2:KB8">
    <cfRule type="containsText" dxfId="6" priority="27008" operator="containsText" text="NO APLICA">
      <formula>NOT(ISERROR(SEARCH("NO APLICA",JR2)))</formula>
    </cfRule>
    <cfRule type="containsText" dxfId="5" priority="27009" operator="containsText" text="SIN DATO">
      <formula>NOT(ISERROR(SEARCH("SIN DATO",JR2)))</formula>
    </cfRule>
    <cfRule type="containsText" dxfId="4" priority="27010" operator="containsText" text="NO">
      <formula>NOT(ISERROR(SEARCH("NO",JR2)))</formula>
    </cfRule>
    <cfRule type="containsText" dxfId="3" priority="27011" operator="containsText" text="SI">
      <formula>NOT(ISERROR(SEARCH("SI",JR2)))</formula>
    </cfRule>
  </conditionalFormatting>
  <conditionalFormatting sqref="KG2:KG8 KI2:KI8">
    <cfRule type="containsText" dxfId="2" priority="26928" operator="containsText" text="INASISTENTE">
      <formula>NOT(ISERROR(SEARCH("INASISTENTE",KG2)))</formula>
    </cfRule>
  </conditionalFormatting>
  <conditionalFormatting sqref="KG2:KG8">
    <cfRule type="containsText" dxfId="1" priority="26552" operator="containsText" text="INCONSISTENCIA">
      <formula>NOT(ISERROR(SEARCH("INCONSISTENCIA",KG2)))</formula>
    </cfRule>
  </conditionalFormatting>
  <conditionalFormatting sqref="KI2:KI8">
    <cfRule type="containsText" dxfId="0" priority="26551" operator="containsText" text="INCONSISTENCIA">
      <formula>NOT(ISERROR(SEARCH("INCONSISTENCIA",KI2)))</formula>
    </cfRule>
  </conditionalFormatting>
  <dataValidations xWindow="988" yWindow="739" count="92">
    <dataValidation type="date" operator="greaterThan" allowBlank="1" showInputMessage="1" showErrorMessage="1" error="SOLO FECHA" sqref="DD2:DN8 DA2:DB8 GM2:GM8 GK2:GK8" xr:uid="{00000000-0002-0000-0200-000000000000}">
      <formula1>43191</formula1>
    </dataValidation>
    <dataValidation type="list" showInputMessage="1" showErrorMessage="1" sqref="HT2:HT8" xr:uid="{00000000-0002-0000-0200-000004000000}">
      <formula1>"SI, SUMINISTRO IRREGULAR,NO,SD,NO APLICA"</formula1>
    </dataValidation>
    <dataValidation type="list" allowBlank="1" showInputMessage="1" showErrorMessage="1" sqref="JR2:JR8 KB2:KB8" xr:uid="{00000000-0002-0000-0200-000005000000}">
      <formula1>"SI,NO,SIN DATO,NO APLICA"</formula1>
    </dataValidation>
    <dataValidation type="list" allowBlank="1" showInputMessage="1" showErrorMessage="1" sqref="JS2:JS8 KC2:KC8" xr:uid="{00000000-0002-0000-0200-000006000000}">
      <formula1>"O+,O-,A+,A-,B+,B-,AB+,AB-,SIN DATO,NO APLICA"</formula1>
    </dataValidation>
    <dataValidation type="list" allowBlank="1" showInputMessage="1" showErrorMessage="1" sqref="D2:D8" xr:uid="{00000000-0002-0000-0200-000007000000}">
      <formula1>"PROCESO COMPLETO DE ATENCIÓN,PROCESO PARCIAL DE ATENCIÓN, SIN ATENCIÓN, SIN DATO"</formula1>
    </dataValidation>
    <dataValidation type="list" allowBlank="1" showInputMessage="1" showErrorMessage="1" sqref="HX3:HX8" xr:uid="{00000000-0002-0000-0200-000009000000}">
      <formula1>"ADECUADO SEGÚN GPC,SUMINISTRO IRREGULAR,NO SE FORMULA,SUMINISTRO OTRO COMPLEMENTO NUTRICIONAL, SIN DATO"</formula1>
    </dataValidation>
    <dataValidation type="date" operator="greaterThan" allowBlank="1" showInputMessage="1" showErrorMessage="1" error="VERFICAR FECHA" sqref="O2:O8" xr:uid="{00000000-0002-0000-0200-00000A000000}">
      <formula1>43101</formula1>
    </dataValidation>
    <dataValidation type="date" operator="greaterThan" allowBlank="1" showInputMessage="1" showErrorMessage="1" error="SOLO FECHA" sqref="GT2:GT8 GO2:GO8" xr:uid="{00000000-0002-0000-0200-00000B000000}">
      <formula1>43556</formula1>
    </dataValidation>
    <dataValidation type="list" allowBlank="1" showInputMessage="1" showErrorMessage="1" sqref="LP2:LP8 MN2:MN8 LL2:LL8 LH2:LH8 LX2:LX8 LT2:LT8 LD2:LD8" xr:uid="{00000000-0002-0000-0200-00000C000000}">
      <formula1>"MEDICO (A) TRADICIONAL,PARTERO (A),PULESEADOR (A),SOBANDERO (A),YERBATERO (A),OTRO "</formula1>
    </dataValidation>
    <dataValidation type="date" operator="greaterThan" allowBlank="1" showInputMessage="1" showErrorMessage="1" sqref="IL2:IM8" xr:uid="{00000000-0002-0000-0200-00000D000000}">
      <formula1>43556</formula1>
    </dataValidation>
    <dataValidation type="date" operator="greaterThan" allowBlank="1" showInputMessage="1" showErrorMessage="1" error="SOLO FECHA" sqref="IW2:IW8" xr:uid="{00000000-0002-0000-0200-00000E000000}">
      <formula1>43831</formula1>
    </dataValidation>
    <dataValidation type="date" operator="greaterThan" allowBlank="1" showInputMessage="1" showErrorMessage="1" error="SOLO FECHA" prompt="COLOCAR FECHA SEGUNDO CONTROL, NO REPETIR LA FECHA DE INGRESO" sqref="DC2:DC8" xr:uid="{00000000-0002-0000-0200-00000F000000}">
      <formula1>43191</formula1>
    </dataValidation>
    <dataValidation type="list" allowBlank="1" showInputMessage="1" showErrorMessage="1" sqref="JP2:JP8" xr:uid="{00000000-0002-0000-0200-000010000000}">
      <formula1>"NORMAL,ANORMAL,NO APLICA,SIN DATO"</formula1>
    </dataValidation>
    <dataValidation type="list" allowBlank="1" showInputMessage="1" showErrorMessage="1" sqref="AS2:AS8" xr:uid="{00000000-0002-0000-0200-000011000000}">
      <formula1>"0,1,2,3,4,5,6,7,8,9,10,11,12,13,14,15"</formula1>
    </dataValidation>
    <dataValidation type="list" allowBlank="1" showInputMessage="1" showErrorMessage="1" sqref="AR2:AR8" xr:uid="{00000000-0002-0000-0200-000012000000}">
      <formula1>"0,1,2,3,4,5,6,7,8,9,10,11,12,13,14,15,16"</formula1>
    </dataValidation>
    <dataValidation type="list" allowBlank="1" showInputMessage="1" showErrorMessage="1" sqref="AV2:AV8" xr:uid="{00000000-0002-0000-0200-000013000000}">
      <formula1>"0,1,2,3 o MAS"</formula1>
    </dataValidation>
    <dataValidation type="list" allowBlank="1" showInputMessage="1" showErrorMessage="1" sqref="AT2:AT8" xr:uid="{00000000-0002-0000-0200-000014000000}">
      <formula1>"0,1,2,3,4,5,6"</formula1>
    </dataValidation>
    <dataValidation type="list" allowBlank="1" showInputMessage="1" showErrorMessage="1" sqref="K2:K8" xr:uid="{00000000-0002-0000-0200-000015000000}">
      <formula1>"SOLTERA,UNION LIBRE, CASADA, VIUDA, SEPARADA, "</formula1>
    </dataValidation>
    <dataValidation type="list" allowBlank="1" showInputMessage="1" showErrorMessage="1" sqref="KS2:KS8 KV2:KV8" xr:uid="{00000000-0002-0000-0200-000016000000}">
      <formula1>"0,1,2,3,4,5,6,7,8,9,10,11,12,13,14,15,SD"</formula1>
    </dataValidation>
    <dataValidation type="list" allowBlank="1" showInputMessage="1" showErrorMessage="1" sqref="ER2:ER8" xr:uid="{00000000-0002-0000-0200-000017000000}">
      <formula1>"O+,O-,O--,A+,A-,A--,B+,B-,B--,AB+,AB-,AB--"</formula1>
    </dataValidation>
    <dataValidation type="list" allowBlank="1" showInputMessage="1" showErrorMessage="1" sqref="KJ2:KL8 JD2:JI8" xr:uid="{00000000-0002-0000-0200-000018000000}">
      <formula1>"SI, NO, NO APLICA, SD"</formula1>
    </dataValidation>
    <dataValidation type="list" allowBlank="1" showInputMessage="1" showErrorMessage="1" sqref="JK2:JK8" xr:uid="{00000000-0002-0000-0200-000019000000}">
      <formula1>"0,1,2,3,4,SIN DATO,NO APLICA"</formula1>
    </dataValidation>
    <dataValidation type="list" allowBlank="1" showInputMessage="1" showErrorMessage="1" sqref="AI2:AI8" xr:uid="{00000000-0002-0000-0200-00001A000000}">
      <formula1>"NINGUNO,DESPLAZADA,INDÍGENTE,MIGRATORIA,SIN DATO,DISCAPACIDAD FISICA,DISCAPACIDAD CONDUCTUAL,DISCAPACIDAD VISUAL,DISCAPACIDAD AUDITIVA,DISCAPACIDAD MULTIPLE,DISCAPACIDAD SISTEMICA"</formula1>
    </dataValidation>
    <dataValidation type="list" allowBlank="1" showInputMessage="1" showErrorMessage="1" sqref="HI2:HI8 GX2:GX8" xr:uid="{00000000-0002-0000-0200-00001B000000}">
      <formula1>"0,1,2,3,4,5,6,7,8,9,NO APLICA"</formula1>
    </dataValidation>
    <dataValidation type="list" allowBlank="1" showInputMessage="1" showErrorMessage="1" sqref="BL2:BL8" xr:uid="{00000000-0002-0000-0200-00001C000000}">
      <formula1>"SI,NO,SD,CORREGIDA"</formula1>
    </dataValidation>
    <dataValidation type="list" allowBlank="1" showInputMessage="1" showErrorMessage="1" sqref="AW2:BI8 BV2:BW8 BY2:BY8 ID2:ID8 AE2:AH8 AJ2:AJ8 AL2:AQ8 AU2:AU8 IA2:IA8" xr:uid="{00000000-0002-0000-0200-00001D000000}">
      <formula1>"SI,NO,SD"</formula1>
    </dataValidation>
    <dataValidation type="list" allowBlank="1" showInputMessage="1" showErrorMessage="1" sqref="AD2:AD8" xr:uid="{00000000-0002-0000-0200-00001E000000}">
      <formula1>"SEMILLAS DE VIDA,CERO A SIEMPRE, RED UNIDOS,PROGRAMA ICBF, FAMILIAS ACCIÓN, OTRO, NINGUNO, SIN DATO"</formula1>
    </dataValidation>
    <dataValidation type="list" allowBlank="1" showInputMessage="1" showErrorMessage="1" sqref="I2:I8" xr:uid="{00000000-0002-0000-0200-00001F000000}">
      <formula1>"CEDULA DE CIUDADANIA,TARJETA DE IDENTIDAD,REGISTRO CIVIL,CEDULA DE EXTRANJERIA,MENOR SIN IDENTIFICACION,ADULTO SIN IDENTIFICACION,OTRO,SIN DATO"</formula1>
    </dataValidation>
    <dataValidation type="list" allowBlank="1" showInputMessage="1" showErrorMessage="1" sqref="IX2:IX8" xr:uid="{00000000-0002-0000-0200-000020000000}">
      <formula1>"INSTITUCIONAL,DOMICILIO,OTRO,NO APLICA,SIN DATO"</formula1>
    </dataValidation>
    <dataValidation type="list" allowBlank="1" showInputMessage="1" showErrorMessage="1" sqref="EH2:EH8" xr:uid="{00000000-0002-0000-0200-000021000000}">
      <formula1>"0,1,2,3,4,5,6,7,8,9,SIN DATO"</formula1>
    </dataValidation>
    <dataValidation type="list" allowBlank="1" showInputMessage="1" showErrorMessage="1" sqref="AA2:AA8" xr:uid="{00000000-0002-0000-0200-000022000000}">
      <formula1>"INDIGENA,ROM-GITANO,RAIZAL,PALENQUERO,AFRODESCENDIENTE,MESTIZA,OTRO"</formula1>
    </dataValidation>
    <dataValidation type="list" allowBlank="1" showInputMessage="1" showErrorMessage="1" sqref="V2:V8" xr:uid="{00000000-0002-0000-0200-000023000000}">
      <formula1>"URBANO,RURAL,SIN DATO"</formula1>
    </dataValidation>
    <dataValidation type="list" allowBlank="1" showInputMessage="1" showErrorMessage="1" sqref="S2:S8" xr:uid="{00000000-0002-0000-0200-000024000000}">
      <formula1>"SUBSIDIADO,CONTRIBUTIVO,REGIMEN ESPECIAL,PARTICULAR,NO AFILIADO,SIN DATO"</formula1>
    </dataValidation>
    <dataValidation type="list" allowBlank="1" showInputMessage="1" showErrorMessage="1" sqref="AC2:AC8" xr:uid="{00000000-0002-0000-0200-000025000000}">
      <formula1>"ANALFABETA,PRIMARIA INCOMPLETA,PRIMARIA COMPLETA,SECUNDARIA COMPLETA,SECUNDARIA INCOMPLETA,TECNICO,UNIVERSITARIO,SABE LEER Y ESCRIBIR,SIN DATO"</formula1>
    </dataValidation>
    <dataValidation type="list" allowBlank="1" showInputMessage="1" showErrorMessage="1" sqref="FT2:FT8 GQ2:GR8 GN2:GN8" xr:uid="{00000000-0002-0000-0200-000026000000}">
      <formula1>"NEGATIVO,POSITIVO,SIN DATO"</formula1>
    </dataValidation>
    <dataValidation type="list" allowBlank="1" showInputMessage="1" showErrorMessage="1" sqref="JV2:JV8 JL2:JL8" xr:uid="{00000000-0002-0000-0200-000027000000}">
      <formula1>"FEMENINO,MASCULINO,NO APLICA,SIN DATO"</formula1>
    </dataValidation>
    <dataValidation type="list" allowBlank="1" showInputMessage="1" showErrorMessage="1" sqref="JZ2:JZ8" xr:uid="{00000000-0002-0000-0200-000028000000}">
      <formula1>"NORMAL,ANORMAL,SIN DATO,NO APLICA"</formula1>
    </dataValidation>
    <dataValidation type="list" allowBlank="1" showInputMessage="1" showErrorMessage="1" sqref="AB2:AB8" xr:uid="{00000000-0002-0000-0200-000029000000}">
      <formula1>"NASA/PAEZ, MISAK/GUAMBIANOS,YANACONAS,COCONUCOS,TOTOROES,EPERARA/SIAPIDARA,INGA,POLINDARAS,EMBERA,QUILLACINGAS,JAMBALEÑOS,GUANACAS,PUBENENCES,OTROS,NO APLICA"</formula1>
    </dataValidation>
    <dataValidation type="list" allowBlank="1" showInputMessage="1" showErrorMessage="1" sqref="KN2:KN8" xr:uid="{00000000-0002-0000-0200-00002A000000}">
      <formula1>"NEGACION INICIO METODO,IMPLANTE SUBDERMICO,ACI MENSUAL,ACI TRIMESTRAL,ACO,DIU,BARRERA,LIGADURA TROMPAS,HISTERECTOMIA,SIN DATO"</formula1>
    </dataValidation>
    <dataValidation type="decimal" allowBlank="1" showInputMessage="1" showErrorMessage="1" errorTitle="DIGITAR EN METROS" error="DIGITAR EN METROS" promptTitle="DIGITAR EN METROS" sqref="CA2:CA8" xr:uid="{00000000-0002-0000-0200-00002B000000}">
      <formula1>1</formula1>
      <formula2>3</formula2>
    </dataValidation>
    <dataValidation type="list" allowBlank="1" showInputMessage="1" showErrorMessage="1" sqref="GH2:GH8 FY2:FY8 GJ2:GJ8 GE2:GE8 GB2:GB8" xr:uid="{00000000-0002-0000-0200-00002C000000}">
      <formula1>"P.R REACTIVA,P.R NO REACTIVA,ELISA REACTIVA,ELISA NO REACTIVA,SIN DATO,NO APLICA"</formula1>
    </dataValidation>
    <dataValidation type="list" allowBlank="1" showInputMessage="1" showErrorMessage="1" sqref="GL2:GL8" xr:uid="{00000000-0002-0000-0200-00002D000000}">
      <formula1>"POSITIVA,NEGATIVA,NO CONCLUYENTE, SIN DATO, NO APLICA"</formula1>
    </dataValidation>
    <dataValidation type="list" allowBlank="1" showInputMessage="1" showErrorMessage="1" sqref="HS2:HS8" xr:uid="{00000000-0002-0000-0200-00002E000000}">
      <formula1>"SI, NO,SD"</formula1>
    </dataValidation>
    <dataValidation type="list" allowBlank="1" showInputMessage="1" showErrorMessage="1" sqref="JA2:JA8" xr:uid="{00000000-0002-0000-0200-00002F000000}">
      <formula1>"BAJA,MEDIANA,ALTA,NO APLICA,SIN DATO"</formula1>
    </dataValidation>
    <dataValidation type="list" allowBlank="1" showInputMessage="1" showErrorMessage="1" sqref="JJ2:JJ8" xr:uid="{00000000-0002-0000-0200-000030000000}">
      <formula1>"HEMORRAGIA POSTPARTO,PREECLAMPSIA, ECLAMPSIA POSTARTO,ENDOMETRITIS PUERPERAL,TROMBO EMBOLISMO PUERPERAL,SEPSIS PUERPERAL,MASTITIS,DEPRESION POSTPARTO,OTRA COMPLICACION,SIN COMPLICACION,SIN DATO"</formula1>
    </dataValidation>
    <dataValidation type="list" allowBlank="1" showInputMessage="1" showErrorMessage="1" sqref="JB2:JB8" xr:uid="{00000000-0002-0000-0200-000031000000}">
      <formula1>"PERSONAL DE SALUD PROFESIONAL O ESPECIALISTA,PERSONAL TÉCNICO EN SALUD,PARTERA,MEDICO TRADICIONAL,OTRO,NO APLICA"</formula1>
    </dataValidation>
    <dataValidation type="decimal" allowBlank="1" showInputMessage="1" showErrorMessage="1" error="DIGITE EDAD GESTACIONAL" sqref="BS2:BS8" xr:uid="{00000000-0002-0000-0200-000032000000}">
      <formula1>0.1</formula1>
      <formula2>42</formula2>
    </dataValidation>
    <dataValidation type="whole" allowBlank="1" showInputMessage="1" showErrorMessage="1" error="SOLO NÚMERO ENTERO" sqref="CP2:CQ8 CS2:CT8" xr:uid="{00000000-0002-0000-0200-000033000000}">
      <formula1>40</formula1>
      <formula2>200</formula2>
    </dataValidation>
    <dataValidation type="whole" allowBlank="1" showInputMessage="1" showErrorMessage="1" error="DIGITE NÚMERO ENTERO" sqref="CV2:CY8" xr:uid="{00000000-0002-0000-0200-000034000000}">
      <formula1>40</formula1>
      <formula2>250</formula2>
    </dataValidation>
    <dataValidation type="decimal" allowBlank="1" showInputMessage="1" showErrorMessage="1" error="SOLO NÚMERO" sqref="EI2:EI8" xr:uid="{00000000-0002-0000-0200-000035000000}">
      <formula1>1</formula1>
      <formula2>20</formula2>
    </dataValidation>
    <dataValidation type="list" allowBlank="1" showInputMessage="1" showErrorMessage="1" sqref="GW2:GW8" xr:uid="{00000000-0002-0000-0200-000036000000}">
      <formula1>"NEGATIVO,POSITIVO,NO APLICA,SIN DATO"</formula1>
    </dataValidation>
    <dataValidation type="date" operator="greaterThan" allowBlank="1" showInputMessage="1" showErrorMessage="1" error="SOLO FECHA VIGENTE UN AÑO" sqref="GZ2:GZ8" xr:uid="{00000000-0002-0000-0200-000037000000}">
      <formula1>42370</formula1>
    </dataValidation>
    <dataValidation type="list" allowBlank="1" showInputMessage="1" showErrorMessage="1" sqref="GY2:GY8" xr:uid="{00000000-0002-0000-0200-000038000000}">
      <formula1>"NEGATIVA PARA NEOPLASIA,MUESTRA INADECUADA,INFECCION,CAMBIOS INFLAMATORIOS,ASCUS,ACSI,INFECCION VPH,NIC I,NIC I VPH,NIC II,NIC III,CARCINOMA ESCAMOCELULAR, SIN DATO"</formula1>
    </dataValidation>
    <dataValidation type="date" operator="greaterThan" allowBlank="1" showInputMessage="1" showErrorMessage="1" error="SOLO FECHA" sqref="IO2:IO8" xr:uid="{00000000-0002-0000-0200-000039000000}">
      <formula1>36526</formula1>
    </dataValidation>
    <dataValidation type="date" operator="greaterThan" allowBlank="1" showInputMessage="1" showErrorMessage="1" error="SOLO FECHA" sqref="IS2:IS8" xr:uid="{00000000-0002-0000-0200-00003A000000}">
      <formula1>42736</formula1>
    </dataValidation>
    <dataValidation type="list" allowBlank="1" showInputMessage="1" showErrorMessage="1" sqref="KO2:KP8" xr:uid="{00000000-0002-0000-0200-00003B000000}">
      <formula1>"NO APLICA,CASA DE PASO,TRANSPORTE,ALIMENTACIÓN,ECONÓMICO,CASA DE PASO Y TRANSPORTE,CASA DE PASO,TRANSPORTE Y ALIMENTACIÓN,CASA DE PASO,TRANSPORTE,ALIMENTACIÓN Y ECONÓMICO,TRANSPORTE Y ALIMENTACIÓN,TRANSPORTE,ALIMENTACIÓN Y ECONÓMICO,SIN DATO"</formula1>
    </dataValidation>
    <dataValidation type="date" operator="lessThanOrEqual" allowBlank="1" showInputMessage="1" showErrorMessage="1" sqref="M2:M8" xr:uid="{00000000-0002-0000-0200-00003C000000}">
      <formula1>40909</formula1>
    </dataValidation>
    <dataValidation type="whole" allowBlank="1" showInputMessage="1" showErrorMessage="1" error="SOLO NÚMEROS " promptTitle="ADVERTENCIA" prompt="SOLO ESCRIBIR NÚMEROS " sqref="EY2:EY8" xr:uid="{00000000-0002-0000-0200-00003D000000}">
      <formula1>0</formula1>
      <formula2>700</formula2>
    </dataValidation>
    <dataValidation type="whole" allowBlank="1" showInputMessage="1" showErrorMessage="1" error="SOLO NÚMEROS " promptTitle="ADVERTENCIA" prompt="SI NO HAY RESULTADO COLOCAR EL #: 0 _x000a_(Cuando no se completa el examen)" sqref="EZ2:FA8" xr:uid="{00000000-0002-0000-0200-00003E000000}">
      <formula1>0</formula1>
      <formula2>700</formula2>
    </dataValidation>
    <dataValidation type="list" allowBlank="1" showInputMessage="1" showErrorMessage="1" prompt="REVISAR LISTA DESPLEGABLE, SE AUMENTAN NOVEDADES" sqref="Q2:Q8" xr:uid="{00000000-0002-0000-0200-00003F000000}">
      <formula1>"CPN OTRA IPS,VIENE DE OTRO MUNICIPIO,VIENE DE OTRO DPTO,SE TRASLADO DE EPS,TRAMITE DE PORTABILIDAD,SIN DOCUMENTO IDENTIDAD,SIN AFILIACIÓN A EPS,INMIGRANTE VENEZOLANA,SIN NOVEDAD"</formula1>
    </dataValidation>
    <dataValidation type="date" operator="lessThanOrEqual" allowBlank="1" showInputMessage="1" showErrorMessage="1" error="INGRESE SOLO FECHA" sqref="BJ2:BJ8" xr:uid="{00000000-0002-0000-0200-000040000000}">
      <formula1>44561</formula1>
    </dataValidation>
    <dataValidation type="date" operator="greaterThan" allowBlank="1" showInputMessage="1" showErrorMessage="1" error="VERIFICAR FECHA" sqref="R2:R8" xr:uid="{00000000-0002-0000-0200-000041000000}">
      <formula1>43831</formula1>
    </dataValidation>
    <dataValidation type="date" operator="greaterThan" allowBlank="1" showInputMessage="1" showErrorMessage="1" error="DIGITE FECHA" sqref="BZ2:BZ8" xr:uid="{00000000-0002-0000-0200-000042000000}">
      <formula1>43831</formula1>
    </dataValidation>
    <dataValidation type="date" operator="greaterThan" allowBlank="1" showInputMessage="1" showErrorMessage="1" error="DIGITE FECHA " sqref="CE2:CE8" xr:uid="{00000000-0002-0000-0200-000043000000}">
      <formula1>43831</formula1>
    </dataValidation>
    <dataValidation type="date" operator="greaterThan" allowBlank="1" showInputMessage="1" showErrorMessage="1" error="DIGITE SOLO FECHA" sqref="FC2:FC8" xr:uid="{00000000-0002-0000-0200-000044000000}">
      <formula1>43831</formula1>
    </dataValidation>
    <dataValidation type="date" operator="lessThanOrEqual" allowBlank="1" showInputMessage="1" showErrorMessage="1" error="INGRESE SOLO FECHA" sqref="BR2:BR8 BK2:BK8" xr:uid="{00000000-0002-0000-0200-000045000000}">
      <formula1>45013</formula1>
    </dataValidation>
    <dataValidation type="list" allowBlank="1" showInputMessage="1" showErrorMessage="1" sqref="HJ2:HJ8" xr:uid="{00000000-0002-0000-0200-000046000000}">
      <formula1>"SIN INFECCIÓN POR SARS-CoV2, NO SE EVALUA RIESGO INFECCIÓN COVID19, FACTOR DE RIESGO PARA COVID19, COVID19 PRIMER TRIMESTRE,  COVID19 SEGUNDO TRIMESTRE,  COVID19 TERCER TRIMESTRE,  COVID19 PUERPERIO"</formula1>
    </dataValidation>
    <dataValidation type="date" operator="greaterThan" allowBlank="1" showInputMessage="1" showErrorMessage="1" sqref="IJ2:IJ8 IH2:IH8 IF2:IF8" xr:uid="{00000000-0002-0000-0200-000047000000}">
      <formula1>44255</formula1>
    </dataValidation>
    <dataValidation type="list" allowBlank="1" showInputMessage="1" showErrorMessage="1" sqref="IE2:IE8" xr:uid="{00000000-0002-0000-0200-000048000000}">
      <formula1>"Astrazeneca,Firma Disentimiento,Janssen,Moderna,No Acepta y No Firma Disentimiento,Pfizer,Sinovac"</formula1>
    </dataValidation>
    <dataValidation type="list" operator="greaterThan" allowBlank="1" showInputMessage="1" showErrorMessage="1" sqref="II2:II8 IG2:IG8" xr:uid="{00000000-0002-0000-0200-000049000000}">
      <formula1>"Astrazeneca,Firma Disentimiento,Janssen,Moderna,No Acepta y No Firma Disentimiento,Pfizer,Sinovac"</formula1>
    </dataValidation>
    <dataValidation type="list" allowBlank="1" showInputMessage="1" showErrorMessage="1" sqref="BX3:BX8" xr:uid="{00000000-0002-0000-0200-00004C000000}">
      <formula1>"CEFÁLICA,PODÁLICA,TRANSVERSA,OBLICUA,SD"</formula1>
    </dataValidation>
    <dataValidation type="list" allowBlank="1" showInputMessage="1" showErrorMessage="1" sqref="HH2:HH8" xr:uid="{00000000-0002-0000-0200-00004D000000}">
      <formula1>"NO APLICA (Sin factor de riesgo - no zona endémica),NEGATIVO, POSITIVO,SOLICITADO NO TOMADO"</formula1>
    </dataValidation>
    <dataValidation type="list" allowBlank="1" showInputMessage="1" showErrorMessage="1" sqref="HD2:HD8" xr:uid="{00000000-0002-0000-0200-00004E000000}">
      <formula1>"NO APLICA (Sin factor de riesgo),NEGATIVO,POSITIVO,INDETERMINADO,SOLICITADO Y NO TOMADO"</formula1>
    </dataValidation>
    <dataValidation type="list" allowBlank="1" showInputMessage="1" showErrorMessage="1" sqref="FH2:FH8 FN2:FN8 FK2:FK8" xr:uid="{00000000-0002-0000-0200-00004F000000}">
      <formula1>"P. R NEGATIVA,P. R POSITIVA CASO SIFILIS,P.R POSITIVA CICATRIZ, DILUCIONES ESTABLES, DILUCIONES DISMINUYEN, REINFECCIÓN-DILUCIONES AUMENTAN"</formula1>
    </dataValidation>
    <dataValidation type="list" allowBlank="1" showInputMessage="1" showErrorMessage="1" sqref="JC2:JC8" xr:uid="{00000000-0002-0000-0200-000050000000}">
      <formula1>"INICIO ESPONTÁNEO, LE HACEN INDUCCIÓN, LE HACEN CESÁREA SIN INICIO TRABAJO DE PARTO,SIN DATO"</formula1>
    </dataValidation>
    <dataValidation type="list" allowBlank="1" showInputMessage="1" showErrorMessage="1" sqref="FE2:FE8" xr:uid="{00000000-0002-0000-0200-000051000000}">
      <formula1>"P. R NEGATIVA,P. R POSITIVA CASO SIFILIS,P.R POSITIVA CICATRIZ"</formula1>
    </dataValidation>
    <dataValidation type="list" allowBlank="1" showInputMessage="1" showErrorMessage="1" sqref="HF2:HF8" xr:uid="{00000000-0002-0000-0200-000052000000}">
      <formula1>"NO APLICA (Sin factor de riesgo - No zona endémica),NEGATIVO, POSITIVO,SOLICITADO NO TOMADO"</formula1>
    </dataValidation>
    <dataValidation type="list" allowBlank="1" showInputMessage="1" showErrorMessage="1" sqref="T2:T8" xr:uid="{00000000-0002-0000-0200-000053000000}">
      <formula1>"AIC, ASMET SALUD, CAJA COMPENSACION HUILA, CAPITAL SALUD, COMFENALCO, COMPENSAR, Contrato Particular, COOMEVA, COOSALUD, COSMITET, EJERCITO, EMSSANAR, MALLAMAS, NUEVA EPS, OTRO, POLICIA, PPNA, SANITAS, SOS, SURA, UNIDAD DE SALUD UNICAUCA"</formula1>
    </dataValidation>
    <dataValidation type="list" allowBlank="1" showInputMessage="1" showErrorMessage="1" sqref="BX2" xr:uid="{00000000-0002-0000-0200-000054000000}">
      <formula1>"CEFÁLICA,PODÁLICA,TRANSVERSA O DE FRENTE,OBLICUA,SD"</formula1>
    </dataValidation>
    <dataValidation type="list" allowBlank="1" showInputMessage="1" showErrorMessage="1" sqref="IU2:IU8" xr:uid="{00000000-0002-0000-0200-000055000000}">
      <formula1>"MADRE SANA, MORBILIDAD MATERNA EXTREMA, MUERTE MATERNA, MUERTE Y MORBILIDAD MATERNA EXTREMA, MADRE HOSPITALIZADA SIN MME,SIN DATO"</formula1>
    </dataValidation>
    <dataValidation type="list" allowBlank="1" showInputMessage="1" showErrorMessage="1" sqref="IV2:IV8" xr:uid="{00000000-0002-0000-0200-000056000000}">
      <formula1>"RECIEN NACIDO SANO, SIFILIS CONGÉNITA, MALFORMACIÓN CONGÉNITA, HOSPITALIZACION O UCI NEONATAL,MUERTE PERINATAL O NEONATAL TEMPRANA,MUERTE NEONATAL TARDÍA, MUERTE PERINATAL Y MALFORMACIÓN CONGÉNITA, MUERTE PERINATAL Y SIFILIS CONGÉNITA,NO APLICA,SIN DATO"</formula1>
    </dataValidation>
    <dataValidation type="list" allowBlank="1" showInputMessage="1" showErrorMessage="1" sqref="HX2" xr:uid="{00000000-0002-0000-0200-000057000000}">
      <formula1>"ADECUADO SEGÚN GPC,SUMINISTRO IRREGULAR,NO SE FORMULA,SUMINISTRO OTRO COMPLEMENTO NUTRICIONAL, NO APLICA, SIN DATO"</formula1>
    </dataValidation>
    <dataValidation type="list" allowBlank="1" showInputMessage="1" showErrorMessage="1" sqref="IT2:IT8" xr:uid="{00000000-0002-0000-0200-000058000000}">
      <formula1>"PARTO,CESAREA,ABORTO ESPONTANEO,ABORTO INDUCIDO,EMBARAZO ECTÓPICO,IVE,CAMBIO DE RESIDENCIA,CAMBIO DE EPS,CAMBIO DE IPS"</formula1>
    </dataValidation>
    <dataValidation allowBlank="1" showInputMessage="1" showErrorMessage="1" promptTitle="PARTO EN DOMICILIO COLOCAR" prompt="NO APLICA (No dejar en blanco)" sqref="IZ2:IZ8" xr:uid="{00000000-0002-0000-0200-000059000000}"/>
    <dataValidation type="list" allowBlank="1" showInputMessage="1" showErrorMessage="1" sqref="HV2:HV8" xr:uid="{00000000-0002-0000-0200-00005A000000}">
      <formula1>"ADECUADO SEGÚN GPC, SUMINISTRO IRREGULAR, NO SE FORMULA, SUMINISTRO OTRO COMPLEMENTO NUTRICIONAL, NO APLICA, SIN DATO"</formula1>
    </dataValidation>
    <dataValidation type="list" allowBlank="1" showInputMessage="1" showErrorMessage="1" sqref="HZ2:HZ8" xr:uid="{00000000-0002-0000-0200-00005B000000}">
      <formula1>"ADECUADO SEGÚN GPC,SUMINISTRO IRREGULAR,NO SE FORMULA,SUMINISTRO OTRO COMPLEMENTO NUTRICIONAL, NO APLICA,SIN DATO"</formula1>
    </dataValidation>
    <dataValidation type="date" operator="greaterThan" allowBlank="1" showInputMessage="1" showErrorMessage="1" error="FECHA DEBE SER DE ESTE AÑO" sqref="KH2:KH8 KF2:KF8" xr:uid="{00000000-0002-0000-0200-00005C000000}">
      <formula1>44561</formula1>
    </dataValidation>
    <dataValidation type="list" operator="greaterThan" allowBlank="1" showInputMessage="1" showErrorMessage="1" error="SOLO FECHA" sqref="DO2:DO8" xr:uid="{00000000-0002-0000-0200-00004A000000}">
      <formula1>"0,1,2,3,4,5,6,7"</formula1>
    </dataValidation>
    <dataValidation operator="greaterThan" allowBlank="1" showInputMessage="1" showErrorMessage="1" error="SOLO FECHA" sqref="DP2:DQ8" xr:uid="{00000000-0002-0000-0200-00004B000000}"/>
    <dataValidation type="date" operator="greaterThanOrEqual" allowBlank="1" showInputMessage="1" showErrorMessage="1" error="REVISAR FECHA INGRESO CPN" sqref="HU2:HU8" xr:uid="{00000000-0002-0000-0200-000001000000}">
      <formula1>R2</formula1>
    </dataValidation>
    <dataValidation type="date" operator="greaterThanOrEqual" allowBlank="1" showInputMessage="1" showErrorMessage="1" error="REVISAR FECHA INGRESO CPN" sqref="HW2:HW8" xr:uid="{00000000-0002-0000-0200-000002000000}">
      <formula1>R2</formula1>
    </dataValidation>
    <dataValidation type="date" operator="greaterThanOrEqual" allowBlank="1" showInputMessage="1" showErrorMessage="1" error="REVISAR FECHA INGRESO CPN" sqref="HY2:HY8" xr:uid="{00000000-0002-0000-0200-000003000000}">
      <formula1>R2</formula1>
    </dataValidation>
  </dataValidations>
  <pageMargins left="0.7" right="0.7" top="0.75" bottom="0.75" header="0.3" footer="0.3"/>
  <pageSetup orientation="portrait" verticalDpi="300" r:id="rId2"/>
  <ignoredErrors>
    <ignoredError sqref="HT2" listDataValidation="1"/>
    <ignoredError sqref="CH2:CI2 CM2:CO2 DS2 EL2:EM2 EQ2 EU2 HB2:HC2 DX2:DZ2 DU2:DV2" calculatedColumn="1"/>
    <ignoredError sqref="DW2" formulaRange="1" calculatedColumn="1"/>
  </ignoredErrors>
  <legacyDrawing r:id="rId3"/>
  <tableParts count="1">
    <tablePart r:id="rId4"/>
  </tableParts>
  <extLst>
    <ext xmlns:x14="http://schemas.microsoft.com/office/spreadsheetml/2009/9/main" uri="{78C0D931-6437-407d-A8EE-F0AAD7539E65}">
      <x14:conditionalFormattings>
        <x14:conditionalFormatting xmlns:xm="http://schemas.microsoft.com/office/excel/2006/main">
          <x14:cfRule type="containsText" priority="27226" operator="containsText" id="{4DE79714-8B91-42C0-949C-DB1549BB4613}">
            <xm:f>NOT(ISERROR(SEARCH("ACUDE",P2)))</xm:f>
            <xm:f>"ACUDE"</xm:f>
            <x14:dxf>
              <font>
                <color rgb="FF9C0006"/>
              </font>
              <fill>
                <patternFill>
                  <bgColor rgb="FFFFC7CE"/>
                </patternFill>
              </fill>
            </x14:dxf>
          </x14:cfRule>
          <xm:sqref>P2:P8</xm:sqref>
        </x14:conditionalFormatting>
        <x14:conditionalFormatting xmlns:xm="http://schemas.microsoft.com/office/excel/2006/main">
          <x14:cfRule type="containsText" priority="26742" operator="containsText" id="{11C73A35-E407-43C9-8C7B-7575D55429E3}">
            <xm:f>NOT(ISERROR(SEARCH("TRANSVERSA",BX2)))</xm:f>
            <xm:f>"TRANSVERSA"</xm:f>
            <x14:dxf>
              <font>
                <color theme="0"/>
              </font>
              <fill>
                <patternFill>
                  <bgColor rgb="FFC00000"/>
                </patternFill>
              </fill>
            </x14:dxf>
          </x14:cfRule>
          <xm:sqref>BX2:BX8</xm:sqref>
        </x14:conditionalFormatting>
        <x14:conditionalFormatting xmlns:xm="http://schemas.microsoft.com/office/excel/2006/main">
          <x14:cfRule type="containsText" priority="26619" operator="containsText" id="{1795BAF9-38EF-462D-B98E-83E2E3C0A5F6}">
            <xm:f>NOT(ISERROR(SEARCH("NO APLICA",HD2)))</xm:f>
            <xm:f>"NO APLICA"</xm:f>
            <x14:dxf>
              <fill>
                <patternFill>
                  <bgColor rgb="FF92D050"/>
                </patternFill>
              </fill>
            </x14:dxf>
          </x14:cfRule>
          <xm:sqref>HD2:HD8</xm:sqref>
        </x14:conditionalFormatting>
        <x14:conditionalFormatting xmlns:xm="http://schemas.microsoft.com/office/excel/2006/main">
          <x14:cfRule type="containsText" priority="26599" operator="containsText" id="{60CDA409-A52C-4FD5-9AA2-107BD535D80F}">
            <xm:f>NOT(ISERROR(SEARCH("NO APLICA",HF2)))</xm:f>
            <xm:f>"NO APLICA"</xm:f>
            <x14:dxf>
              <fill>
                <patternFill>
                  <bgColor rgb="FF92D050"/>
                </patternFill>
              </fill>
            </x14:dxf>
          </x14:cfRule>
          <xm:sqref>HF2:HF8</xm:sqref>
        </x14:conditionalFormatting>
        <x14:conditionalFormatting xmlns:xm="http://schemas.microsoft.com/office/excel/2006/main">
          <x14:cfRule type="containsText" priority="26594" operator="containsText" id="{825EA4C6-02DE-4F6E-A31D-2C9A0976588D}">
            <xm:f>NOT(ISERROR(SEARCH("NO APLICA",HH2)))</xm:f>
            <xm:f>"NO APLICA"</xm:f>
            <x14:dxf>
              <fill>
                <patternFill>
                  <bgColor rgb="FF92D050"/>
                </patternFill>
              </fill>
            </x14:dxf>
          </x14:cfRule>
          <xm:sqref>HH2:HH8</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INSTRUCTIVO </vt:lpstr>
      <vt:lpstr>INDICADORES</vt:lpstr>
      <vt:lpstr>CPN 2022</vt:lpstr>
    </vt:vector>
  </TitlesOfParts>
  <Company>Windows XP Colossus Edition 2 Reloaded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Colossus User</dc:creator>
  <cp:lastModifiedBy>ARNOL NARVAEZ HIGON</cp:lastModifiedBy>
  <cp:lastPrinted>2013-06-06T22:13:03Z</cp:lastPrinted>
  <dcterms:created xsi:type="dcterms:W3CDTF">2011-06-21T18:46:29Z</dcterms:created>
  <dcterms:modified xsi:type="dcterms:W3CDTF">2023-10-31T16:01:01Z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Fecha de registro" linkTarget="INDIGENA">
    <vt:lpwstr>#¡REF!</vt:lpwstr>
  </property>
</Properties>
</file>