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CD2B7E05-C975-4D26-A25B-C1A9CC05C8B0}" xr6:coauthVersionLast="47" xr6:coauthVersionMax="47" xr10:uidLastSave="{00000000-0000-0000-0000-000000000000}"/>
  <bookViews>
    <workbookView xWindow="-120" yWindow="-120" windowWidth="29040" windowHeight="157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0" hidden="1">'CPN 2022'!$D$1:$KN$5</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Q8" i="5" l="1"/>
  <c r="PO8" i="5"/>
  <c r="PP8" i="5" s="1"/>
  <c r="PM8" i="5"/>
  <c r="PL8" i="5"/>
  <c r="PN8" i="5" s="1"/>
  <c r="IK8" i="5" s="1"/>
  <c r="OH8" i="5"/>
  <c r="OF8" i="5"/>
  <c r="NZ8" i="5"/>
  <c r="NX8" i="5"/>
  <c r="NW8" i="5"/>
  <c r="NV8" i="5"/>
  <c r="NU8" i="5"/>
  <c r="NT8" i="5"/>
  <c r="NS8" i="5"/>
  <c r="NR8" i="5"/>
  <c r="DT8" i="5" s="1"/>
  <c r="NQ8" i="5"/>
  <c r="NP8" i="5"/>
  <c r="NO8" i="5"/>
  <c r="NN8" i="5"/>
  <c r="HO8" i="5" s="1"/>
  <c r="HM8" i="5" s="1"/>
  <c r="NL8" i="5"/>
  <c r="NK8" i="5"/>
  <c r="NJ8" i="5"/>
  <c r="NI8" i="5"/>
  <c r="NH8" i="5"/>
  <c r="NG8" i="5"/>
  <c r="NF8" i="5"/>
  <c r="NE8" i="5"/>
  <c r="ND8" i="5"/>
  <c r="NC8" i="5"/>
  <c r="MZ8" i="5"/>
  <c r="NB8" i="5" s="1"/>
  <c r="MX8" i="5"/>
  <c r="MW8" i="5"/>
  <c r="MY8" i="5" s="1"/>
  <c r="MV8" i="5"/>
  <c r="MU8" i="5"/>
  <c r="MT8" i="5"/>
  <c r="MR8" i="5"/>
  <c r="MS8" i="5" s="1"/>
  <c r="MQ8" i="5"/>
  <c r="KI8" i="5"/>
  <c r="KG8" i="5"/>
  <c r="IY8" i="5"/>
  <c r="JX8" i="5" s="1"/>
  <c r="IP8" i="5"/>
  <c r="HR8" i="5"/>
  <c r="HK8" i="5"/>
  <c r="HC8" i="5"/>
  <c r="HB8" i="5"/>
  <c r="HA8" i="5"/>
  <c r="GS8" i="5"/>
  <c r="FP8" i="5"/>
  <c r="EU8" i="5"/>
  <c r="EQ8" i="5"/>
  <c r="EL8" i="5"/>
  <c r="DY8" i="5"/>
  <c r="DZ8" i="5" s="1"/>
  <c r="DW8" i="5"/>
  <c r="DX8" i="5" s="1"/>
  <c r="DV8" i="5"/>
  <c r="DU8" i="5"/>
  <c r="DS8" i="5"/>
  <c r="DR8" i="5"/>
  <c r="CZ8" i="5"/>
  <c r="CU8" i="5"/>
  <c r="CR8" i="5"/>
  <c r="HP8" i="5" s="1"/>
  <c r="CM8" i="5"/>
  <c r="PA8" i="5" s="1"/>
  <c r="CL8" i="5"/>
  <c r="CH8" i="5"/>
  <c r="OK8" i="5" s="1"/>
  <c r="CG8" i="5"/>
  <c r="CD8" i="5"/>
  <c r="CC8" i="5"/>
  <c r="BQ8" i="5"/>
  <c r="IN8" i="5" s="1"/>
  <c r="OG8" i="5" s="1"/>
  <c r="BO8" i="5"/>
  <c r="BP8" i="5" s="1"/>
  <c r="BN8" i="5"/>
  <c r="BM8" i="5"/>
  <c r="AK8" i="5"/>
  <c r="P8" i="5"/>
  <c r="N8" i="5"/>
  <c r="PQ7" i="5"/>
  <c r="PP7" i="5"/>
  <c r="PO7" i="5"/>
  <c r="PM7" i="5"/>
  <c r="PL7" i="5"/>
  <c r="PN7" i="5" s="1"/>
  <c r="IK7" i="5" s="1"/>
  <c r="PK7" i="5"/>
  <c r="PC7" i="5"/>
  <c r="OU7" i="5"/>
  <c r="OH7" i="5"/>
  <c r="OF7" i="5"/>
  <c r="NZ7" i="5"/>
  <c r="NX7" i="5"/>
  <c r="NW7" i="5"/>
  <c r="NV7" i="5"/>
  <c r="NU7" i="5"/>
  <c r="NT7" i="5"/>
  <c r="NS7" i="5"/>
  <c r="NR7" i="5"/>
  <c r="DT7" i="5" s="1"/>
  <c r="NQ7" i="5"/>
  <c r="NP7" i="5"/>
  <c r="NO7" i="5"/>
  <c r="NL7" i="5"/>
  <c r="NK7" i="5"/>
  <c r="NJ7" i="5"/>
  <c r="NI7" i="5"/>
  <c r="NH7" i="5"/>
  <c r="NG7" i="5"/>
  <c r="NF7" i="5"/>
  <c r="NE7" i="5"/>
  <c r="ND7" i="5"/>
  <c r="NC7" i="5"/>
  <c r="MZ7" i="5"/>
  <c r="NB7" i="5" s="1"/>
  <c r="MX7" i="5"/>
  <c r="MW7" i="5"/>
  <c r="MY7" i="5" s="1"/>
  <c r="MV7" i="5"/>
  <c r="MU7" i="5"/>
  <c r="MT7" i="5"/>
  <c r="MR7" i="5"/>
  <c r="MQ7" i="5"/>
  <c r="KI7" i="5"/>
  <c r="KG7" i="5"/>
  <c r="JX7" i="5"/>
  <c r="IY7" i="5"/>
  <c r="JN7" i="5" s="1"/>
  <c r="IP7" i="5"/>
  <c r="IN7" i="5"/>
  <c r="OG7" i="5" s="1"/>
  <c r="HR7" i="5"/>
  <c r="HK7" i="5"/>
  <c r="HC7" i="5"/>
  <c r="HA7" i="5"/>
  <c r="HB7" i="5" s="1"/>
  <c r="GS7" i="5"/>
  <c r="FP7" i="5"/>
  <c r="EU7" i="5"/>
  <c r="EQ7" i="5"/>
  <c r="EL7" i="5"/>
  <c r="DY7" i="5"/>
  <c r="DZ7" i="5" s="1"/>
  <c r="DX7" i="5"/>
  <c r="DW7" i="5"/>
  <c r="DV7" i="5"/>
  <c r="DU7" i="5"/>
  <c r="DS7" i="5"/>
  <c r="DR7" i="5"/>
  <c r="CZ7" i="5"/>
  <c r="CU7" i="5"/>
  <c r="CR7" i="5"/>
  <c r="HP7" i="5" s="1"/>
  <c r="CM7" i="5"/>
  <c r="PJ7" i="5" s="1"/>
  <c r="CL7" i="5"/>
  <c r="CH7" i="5"/>
  <c r="OT7" i="5" s="1"/>
  <c r="CG7" i="5"/>
  <c r="CD7" i="5"/>
  <c r="CC7" i="5"/>
  <c r="BQ7" i="5"/>
  <c r="BO7" i="5"/>
  <c r="OA7" i="5" s="1"/>
  <c r="BN7" i="5"/>
  <c r="BM7" i="5"/>
  <c r="NN7" i="5" s="1"/>
  <c r="HO7" i="5" s="1"/>
  <c r="HM7" i="5" s="1"/>
  <c r="AK7" i="5"/>
  <c r="P7" i="5"/>
  <c r="N7" i="5"/>
  <c r="PQ6" i="5"/>
  <c r="PP6" i="5"/>
  <c r="PO6" i="5"/>
  <c r="PN6" i="5"/>
  <c r="PM6" i="5"/>
  <c r="PL6" i="5"/>
  <c r="PD6" i="5"/>
  <c r="PC6" i="5"/>
  <c r="OH6" i="5"/>
  <c r="OF6" i="5"/>
  <c r="NZ6" i="5"/>
  <c r="NY6" i="5"/>
  <c r="NX6" i="5"/>
  <c r="NW6" i="5"/>
  <c r="NV6" i="5"/>
  <c r="NU6" i="5"/>
  <c r="NT6" i="5"/>
  <c r="NS6" i="5"/>
  <c r="NR6" i="5"/>
  <c r="DT6" i="5" s="1"/>
  <c r="NQ6" i="5"/>
  <c r="NP6" i="5"/>
  <c r="NO6" i="5"/>
  <c r="NL6" i="5"/>
  <c r="NK6" i="5"/>
  <c r="NJ6" i="5"/>
  <c r="NI6" i="5"/>
  <c r="NG6" i="5"/>
  <c r="NF6" i="5"/>
  <c r="NE6" i="5"/>
  <c r="ND6" i="5"/>
  <c r="NC6" i="5"/>
  <c r="MZ6" i="5"/>
  <c r="NA6" i="5" s="1"/>
  <c r="MX6" i="5"/>
  <c r="MW6" i="5"/>
  <c r="MY6" i="5" s="1"/>
  <c r="MV6" i="5"/>
  <c r="MU6" i="5"/>
  <c r="MT6" i="5"/>
  <c r="MR6" i="5"/>
  <c r="MQ6" i="5"/>
  <c r="KI6" i="5"/>
  <c r="KG6" i="5"/>
  <c r="JX6" i="5"/>
  <c r="IY6" i="5"/>
  <c r="JN6" i="5" s="1"/>
  <c r="IP6" i="5"/>
  <c r="IK6" i="5"/>
  <c r="HR6" i="5"/>
  <c r="HK6" i="5"/>
  <c r="HC6" i="5"/>
  <c r="HA6" i="5"/>
  <c r="HB6" i="5" s="1"/>
  <c r="GS6" i="5"/>
  <c r="FP6" i="5"/>
  <c r="EU6" i="5"/>
  <c r="EQ6" i="5"/>
  <c r="EL6" i="5"/>
  <c r="DY6" i="5"/>
  <c r="DZ6" i="5" s="1"/>
  <c r="DX6" i="5"/>
  <c r="DW6" i="5"/>
  <c r="DU6" i="5"/>
  <c r="DV6" i="5" s="1"/>
  <c r="DS6" i="5"/>
  <c r="DR6" i="5"/>
  <c r="CZ6" i="5"/>
  <c r="CU6" i="5"/>
  <c r="CR6" i="5"/>
  <c r="HP6" i="5" s="1"/>
  <c r="CM6" i="5"/>
  <c r="PB6" i="5" s="1"/>
  <c r="CL6" i="5"/>
  <c r="PK6" i="5" s="1"/>
  <c r="CH6" i="5"/>
  <c r="OL6" i="5" s="1"/>
  <c r="CG6" i="5"/>
  <c r="CC6" i="5"/>
  <c r="CD6" i="5" s="1"/>
  <c r="BQ6" i="5"/>
  <c r="NH6" i="5" s="1"/>
  <c r="BO6" i="5"/>
  <c r="BP6" i="5" s="1"/>
  <c r="BN6" i="5"/>
  <c r="BM6" i="5"/>
  <c r="AK6" i="5"/>
  <c r="P6" i="5"/>
  <c r="N6" i="5"/>
  <c r="KI3" i="5"/>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HQ8" i="5" l="1"/>
  <c r="HQ7" i="5"/>
  <c r="HQ6" i="5"/>
  <c r="MS6" i="5"/>
  <c r="FG8" i="5"/>
  <c r="FD8" i="5"/>
  <c r="FB8" i="5" s="1"/>
  <c r="NM8" i="5" s="1"/>
  <c r="DQ8" i="5"/>
  <c r="EX8" i="5"/>
  <c r="IQ8" i="5"/>
  <c r="IR8" i="5" s="1"/>
  <c r="GU8" i="5"/>
  <c r="GV8" i="5" s="1"/>
  <c r="ET8" i="5"/>
  <c r="GP8" i="5"/>
  <c r="EP8" i="5"/>
  <c r="IC8" i="5"/>
  <c r="GG8" i="5"/>
  <c r="GD8" i="5"/>
  <c r="GA8" i="5"/>
  <c r="EK8" i="5"/>
  <c r="EM8" i="5" s="1"/>
  <c r="FV8" i="5"/>
  <c r="FS8" i="5"/>
  <c r="FM8" i="5"/>
  <c r="FJ8" i="5"/>
  <c r="FM6" i="5"/>
  <c r="FG6" i="5"/>
  <c r="EX6" i="5"/>
  <c r="ET6" i="5"/>
  <c r="FS6" i="5"/>
  <c r="FJ6" i="5"/>
  <c r="GU6" i="5"/>
  <c r="GV6" i="5" s="1"/>
  <c r="FD6" i="5"/>
  <c r="FB6" i="5" s="1"/>
  <c r="DQ6" i="5"/>
  <c r="GP6" i="5"/>
  <c r="EP6" i="5"/>
  <c r="IC6" i="5"/>
  <c r="GG6" i="5"/>
  <c r="GD6" i="5"/>
  <c r="GA6" i="5"/>
  <c r="EK6" i="5"/>
  <c r="EM6" i="5" s="1"/>
  <c r="FV6" i="5"/>
  <c r="IQ6" i="5"/>
  <c r="IR6" i="5" s="1"/>
  <c r="IN6" i="5" s="1"/>
  <c r="OG6" i="5" s="1"/>
  <c r="OV7" i="5"/>
  <c r="OL8" i="5"/>
  <c r="PB8" i="5"/>
  <c r="OO6" i="5"/>
  <c r="PE6" i="5"/>
  <c r="OP6" i="5"/>
  <c r="PF6" i="5"/>
  <c r="OA6" i="5"/>
  <c r="OQ6" i="5"/>
  <c r="PG6" i="5"/>
  <c r="NA7" i="5"/>
  <c r="OM8" i="5"/>
  <c r="PC8" i="5"/>
  <c r="CN6" i="5"/>
  <c r="OW7" i="5"/>
  <c r="OR6" i="5"/>
  <c r="PH6" i="5"/>
  <c r="BP7" i="5"/>
  <c r="MS7" i="5" s="1"/>
  <c r="OX7" i="5"/>
  <c r="CI8" i="5"/>
  <c r="CO8" i="5" s="1"/>
  <c r="HL8" i="5" s="1"/>
  <c r="ON8" i="5"/>
  <c r="PD8" i="5"/>
  <c r="OS6" i="5"/>
  <c r="PI6" i="5"/>
  <c r="OI7" i="5"/>
  <c r="OY7" i="5"/>
  <c r="NY8" i="5"/>
  <c r="OO8" i="5"/>
  <c r="PE8" i="5"/>
  <c r="NN6" i="5"/>
  <c r="HO6" i="5" s="1"/>
  <c r="HM6" i="5" s="1"/>
  <c r="OT6" i="5"/>
  <c r="PJ6" i="5"/>
  <c r="OJ7" i="5"/>
  <c r="OZ7" i="5"/>
  <c r="OP8" i="5"/>
  <c r="PF8" i="5"/>
  <c r="OK7" i="5"/>
  <c r="PA7" i="5"/>
  <c r="CN8" i="5"/>
  <c r="OA8" i="5"/>
  <c r="OQ8" i="5"/>
  <c r="PG8" i="5"/>
  <c r="OV6" i="5"/>
  <c r="OL7" i="5"/>
  <c r="PB7" i="5"/>
  <c r="OR8" i="5"/>
  <c r="PH8" i="5"/>
  <c r="OS8" i="5"/>
  <c r="PI8" i="5"/>
  <c r="OM7" i="5"/>
  <c r="NB6" i="5"/>
  <c r="OX6" i="5"/>
  <c r="CI7" i="5"/>
  <c r="CO7" i="5" s="1"/>
  <c r="HL7" i="5" s="1"/>
  <c r="ON7" i="5"/>
  <c r="PD7" i="5"/>
  <c r="OT8" i="5"/>
  <c r="PJ8" i="5"/>
  <c r="OI6" i="5"/>
  <c r="OY6" i="5"/>
  <c r="NY7" i="5"/>
  <c r="OO7" i="5"/>
  <c r="PE7" i="5"/>
  <c r="OU8" i="5"/>
  <c r="PK8" i="5"/>
  <c r="OM6" i="5"/>
  <c r="CI6" i="5"/>
  <c r="CO6" i="5" s="1"/>
  <c r="HL6" i="5" s="1"/>
  <c r="OZ6" i="5"/>
  <c r="OV8" i="5"/>
  <c r="OK6" i="5"/>
  <c r="PA6" i="5"/>
  <c r="CN7" i="5"/>
  <c r="OQ7" i="5"/>
  <c r="PG7" i="5"/>
  <c r="NA8" i="5"/>
  <c r="OW8" i="5"/>
  <c r="ON6" i="5"/>
  <c r="OU6" i="5"/>
  <c r="OW6" i="5"/>
  <c r="OJ6" i="5"/>
  <c r="OP7" i="5"/>
  <c r="PF7" i="5"/>
  <c r="OR7" i="5"/>
  <c r="PH7" i="5"/>
  <c r="OX8" i="5"/>
  <c r="OS7" i="5"/>
  <c r="PI7" i="5"/>
  <c r="JN8" i="5"/>
  <c r="OI8" i="5"/>
  <c r="OY8" i="5"/>
  <c r="OJ8" i="5"/>
  <c r="OZ8" i="5"/>
  <c r="HP4" i="5"/>
  <c r="HP3" i="5"/>
  <c r="DZ4" i="5"/>
  <c r="DZ3" i="5"/>
  <c r="JN5" i="5"/>
  <c r="JX5" i="5"/>
  <c r="JN4" i="5"/>
  <c r="JX4" i="5"/>
  <c r="JN3" i="5"/>
  <c r="JX3" i="5"/>
  <c r="DZ5" i="5"/>
  <c r="CO3" i="5"/>
  <c r="HL3" i="5" s="1"/>
  <c r="OC6" i="5" l="1"/>
  <c r="OB6" i="5"/>
  <c r="OB8" i="5"/>
  <c r="OD8" i="5" s="1"/>
  <c r="OE6" i="5"/>
  <c r="OD6" i="5"/>
  <c r="IQ7" i="5"/>
  <c r="IR7" i="5" s="1"/>
  <c r="OC8" i="5"/>
  <c r="OE8" i="5" s="1"/>
  <c r="HN8" i="5"/>
  <c r="IC7" i="5"/>
  <c r="GG7" i="5"/>
  <c r="GD7" i="5"/>
  <c r="GA7" i="5"/>
  <c r="OC7" i="5" s="1"/>
  <c r="OE7" i="5" s="1"/>
  <c r="EK7" i="5"/>
  <c r="EM7" i="5" s="1"/>
  <c r="FJ7" i="5"/>
  <c r="EP7" i="5"/>
  <c r="FV7" i="5"/>
  <c r="FS7" i="5"/>
  <c r="GP7" i="5"/>
  <c r="FM7" i="5"/>
  <c r="FG7" i="5"/>
  <c r="FD7" i="5"/>
  <c r="FB7" i="5" s="1"/>
  <c r="EX7" i="5"/>
  <c r="DQ7" i="5"/>
  <c r="GU7" i="5"/>
  <c r="GV7" i="5" s="1"/>
  <c r="ET7" i="5"/>
  <c r="HN6" i="5"/>
  <c r="NM6" i="5"/>
  <c r="HM2" i="5"/>
  <c r="KG2" i="5"/>
  <c r="KI2" i="5"/>
  <c r="BP3" i="5"/>
  <c r="BP4" i="5"/>
  <c r="BP5" i="5"/>
  <c r="NM7" i="5" l="1"/>
  <c r="HN7" i="5"/>
  <c r="OB7" i="5"/>
  <c r="OD7" i="5" s="1"/>
  <c r="IQ5" i="5"/>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<sst xmlns="http://schemas.openxmlformats.org/spreadsheetml/2006/main" count="1798" uniqueCount="922">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</sst>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33">
    <dxf>
      <font>
        <b/>
        <i val="0"/>
      </font>
      <fill>
        <patternFill>
          <bgColor rgb="FF92D050"/>
        </patternFill>
      </fill>
    </dxf>
    <dxf>
      <font>
        <b/>
        <i val="0"/>
        <color theme="1"/>
      </font>
      <fill>
        <patternFill>
          <bgColor rgb="FFFFC000"/>
        </patternFill>
      </fill>
    </dxf>
    <dxf>
      <font>
        <color rgb="FF9C0006"/>
      </font>
      <fill>
        <patternFill>
          <bgColor rgb="FFFFC7CE"/>
        </patternFill>
      </fill>
    </dxf>
    <dxf>
      <font>
        <b/>
        <i val="0"/>
        <color theme="0"/>
      </font>
      <fill>
        <patternFill>
          <bgColor rgb="FFFF0000"/>
        </patternFill>
      </fill>
    </dxf>
    <dxf>
      <fill>
        <patternFill>
          <bgColor theme="3" tint="0.59996337778862885"/>
        </patternFill>
      </fill>
    </dxf>
    <dxf>
      <fill>
        <patternFill>
          <bgColor theme="7" tint="0.59996337778862885"/>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2" tint="-0.24994659260841701"/>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C00000"/>
      </font>
      <fill>
        <patternFill>
          <bgColor rgb="FFFFCCCC"/>
        </patternFill>
      </fill>
    </dxf>
    <dxf>
      <fill>
        <patternFill>
          <bgColor rgb="FFFF0000"/>
        </patternFill>
      </fill>
    </dxf>
    <dxf>
      <fill>
        <patternFill>
          <bgColor rgb="FF92D05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ont>
        <b/>
        <i val="0"/>
      </font>
      <fill>
        <patternFill>
          <bgColor rgb="FFFF0000"/>
        </patternFill>
      </fill>
    </dxf>
    <dxf>
      <font>
        <b/>
        <i val="0"/>
      </font>
      <fill>
        <patternFill>
          <bgColor rgb="FF92D050"/>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patternFill>
          <bgColor theme="7"/>
        </patternFill>
      </fill>
    </dxf>
    <dxf>
      <fill>
        <patternFill>
          <bgColor theme="7"/>
        </patternFill>
      </fill>
    </dxf>
    <dxf>
      <font>
        <b/>
        <i val="0"/>
        <color theme="0"/>
      </font>
      <fill>
        <patternFill>
          <bgColor rgb="FFFF0000"/>
        </patternFill>
      </fill>
    </dxf>
    <dxf>
      <fill>
        <patternFill>
          <bgColor rgb="FFFF0000"/>
        </patternFill>
      </fill>
    </dxf>
    <dxf>
      <fill>
        <patternFill>
          <bgColor rgb="FF92D050"/>
        </patternFill>
      </fill>
    </dxf>
    <dxf>
      <fill>
        <patternFill>
          <bgColor theme="3" tint="0.59996337778862885"/>
        </patternFill>
      </fill>
    </dxf>
    <dxf>
      <fill>
        <patternFill>
          <bgColor theme="9" tint="0.39994506668294322"/>
        </patternFill>
      </fill>
    </dxf>
    <dxf>
      <fill>
        <patternFill>
          <bgColor rgb="FFFF0000"/>
        </patternFill>
      </fill>
    </dxf>
    <dxf>
      <fill>
        <patternFill>
          <bgColor rgb="FF92D050"/>
        </patternFill>
      </fill>
    </dxf>
    <dxf>
      <fill>
        <patternFill>
          <bgColor theme="3" tint="0.59996337778862885"/>
        </patternFill>
      </fill>
    </dxf>
    <dxf>
      <fill>
        <patternFill>
          <bgColor rgb="FFFF0000"/>
        </patternFill>
      </fill>
    </dxf>
    <dxf>
      <fill>
        <patternFill>
          <bgColor rgb="FFFFFF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1"/>
      </font>
      <fill>
        <patternFill>
          <bgColor rgb="FFFFC000"/>
        </patternFill>
      </fill>
    </dxf>
    <dxf>
      <font>
        <color rgb="FF9C0006"/>
      </font>
      <fill>
        <patternFill>
          <bgColor rgb="FFFFC7CE"/>
        </patternFill>
      </fill>
    </dxf>
    <dxf>
      <font>
        <b/>
        <i val="0"/>
        <color theme="0"/>
      </font>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theme="3" tint="0.59996337778862885"/>
        </patternFill>
      </fill>
    </dxf>
    <dxf>
      <fill>
        <patternFill>
          <bgColor theme="7" tint="0.59996337778862885"/>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2" tint="-0.24994659260841701"/>
        </patternFill>
      </fill>
    </dxf>
    <dxf>
      <fill>
        <patternFill>
          <bgColor theme="6" tint="-0.499984740745262"/>
        </patternFill>
      </fill>
    </dxf>
    <dxf>
      <fill>
        <patternFill>
          <bgColor theme="6" tint="0.79998168889431442"/>
        </patternFill>
      </fill>
    </dxf>
    <dxf>
      <fill>
        <patternFill>
          <bgColor theme="9" tint="-0.24994659260841701"/>
        </patternFill>
      </fill>
    </dxf>
    <dxf>
      <fill>
        <patternFill>
          <bgColor theme="3" tint="0.59996337778862885"/>
        </patternFill>
      </fill>
    </dxf>
    <dxf>
      <font>
        <b/>
        <i val="0"/>
        <color theme="0"/>
      </font>
      <fill>
        <patternFill>
          <bgColor theme="1"/>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9" tint="0.59996337778862885"/>
        </patternFill>
      </fill>
    </dxf>
    <dxf>
      <fill>
        <patternFill>
          <bgColor theme="3" tint="0.59996337778862885"/>
        </patternFill>
      </fill>
    </dxf>
    <dxf>
      <fill>
        <patternFill>
          <bgColor theme="5" tint="0.59996337778862885"/>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FFFF00"/>
        </patternFill>
      </fill>
    </dxf>
    <dxf>
      <fill>
        <patternFill>
          <bgColor theme="9" tint="0.39994506668294322"/>
        </patternFill>
      </fill>
    </dxf>
    <dxf>
      <fill>
        <patternFill>
          <bgColor rgb="FF92D050"/>
        </patternFill>
      </fill>
    </dxf>
    <dxf>
      <fill>
        <patternFill>
          <bgColor rgb="FF92D050"/>
        </patternFill>
      </fill>
    </dxf>
    <dxf>
      <font>
        <color theme="0"/>
      </font>
      <fill>
        <patternFill>
          <bgColor rgb="FFFF0000"/>
        </patternFill>
      </fill>
    </dxf>
    <dxf>
      <font>
        <b/>
        <i val="0"/>
        <color theme="0"/>
      </font>
      <fill>
        <patternFill>
          <bgColor rgb="FFC00000"/>
        </patternFill>
      </fill>
    </dxf>
    <dxf>
      <fill>
        <patternFill>
          <bgColor rgb="FFFFFF00"/>
        </patternFill>
      </fill>
    </dxf>
    <dxf>
      <font>
        <b/>
        <i val="0"/>
        <color theme="0"/>
      </font>
      <fill>
        <patternFill>
          <bgColor rgb="FFC00000"/>
        </patternFill>
      </fill>
    </dxf>
    <dxf>
      <fill>
        <patternFill>
          <bgColor rgb="FFFFFF00"/>
        </patternFill>
      </fill>
    </dxf>
    <dxf>
      <fill>
        <patternFill>
          <bgColor rgb="FFFF0000"/>
        </patternFill>
      </fill>
    </dxf>
    <dxf>
      <fill>
        <patternFill>
          <bgColor theme="8" tint="0.39994506668294322"/>
        </patternFill>
      </fill>
    </dxf>
    <dxf>
      <fill>
        <patternFill>
          <bgColor theme="7" tint="0.39994506668294322"/>
        </patternFill>
      </fill>
    </dxf>
    <dxf>
      <fill>
        <patternFill>
          <bgColor rgb="FFFFC000"/>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FFFF00"/>
        </patternFill>
      </fill>
    </dxf>
    <dxf>
      <fill>
        <patternFill>
          <bgColor rgb="FF92D050"/>
        </patternFill>
      </fill>
    </dxf>
    <dxf>
      <font>
        <b/>
        <i val="0"/>
        <color theme="0"/>
      </font>
      <fill>
        <patternFill>
          <bgColor theme="3" tint="-0.499984740745262"/>
        </patternFill>
      </fill>
    </dxf>
    <dxf>
      <font>
        <b/>
        <i val="0"/>
        <color theme="0"/>
      </font>
      <fill>
        <patternFill>
          <bgColor rgb="FFC00000"/>
        </patternFill>
      </fill>
    </dxf>
    <dxf>
      <font>
        <b/>
        <i val="0"/>
        <color theme="1"/>
      </font>
      <fill>
        <patternFill>
          <bgColor rgb="FF00B05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theme="2"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FF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theme="0"/>
      </font>
      <fill>
        <patternFill>
          <bgColor rgb="FFC00000"/>
        </patternFill>
      </fill>
    </dxf>
    <dxf>
      <fill>
        <patternFill>
          <bgColor theme="7" tint="0.39994506668294322"/>
        </patternFill>
      </fill>
    </dxf>
    <dxf>
      <fill>
        <patternFill>
          <bgColor rgb="FF92D050"/>
        </patternFill>
      </fill>
    </dxf>
    <dxf>
      <fill>
        <patternFill>
          <bgColor rgb="FFFFFF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val="0"/>
        <i val="0"/>
        <color rgb="FFC00000"/>
      </font>
      <fill>
        <patternFill patternType="solid">
          <fgColor auto="1"/>
          <bgColor rgb="FFFFCCCC"/>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rgb="FF9C0006"/>
      </font>
      <fill>
        <patternFill>
          <bgColor rgb="FFFFC7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theme="6" tint="0.79998168889431442"/>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ont>
        <b/>
        <i val="0"/>
        <color theme="0"/>
      </font>
      <fill>
        <patternFill>
          <bgColor rgb="FFFF0066"/>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theme="6" tint="0.79998168889431442"/>
        </patternFill>
      </fill>
    </dxf>
    <dxf>
      <fill>
        <patternFill>
          <bgColor rgb="FFFFFF00"/>
        </patternFill>
      </fill>
    </dxf>
    <dxf>
      <font>
        <b/>
        <i val="0"/>
        <color theme="0"/>
      </font>
      <fill>
        <patternFill>
          <bgColor rgb="FFA50021"/>
        </patternFill>
      </fill>
    </dxf>
    <dxf>
      <fill>
        <patternFill>
          <bgColor theme="7"/>
        </patternFill>
      </fill>
    </dxf>
    <dxf>
      <font>
        <b/>
        <i val="0"/>
        <color theme="0"/>
      </font>
      <fill>
        <patternFill>
          <bgColor rgb="FFFF0066"/>
        </patternFill>
      </fill>
    </dxf>
    <dxf>
      <font>
        <b/>
        <i val="0"/>
        <color theme="0"/>
      </font>
      <fill>
        <patternFill>
          <bgColor rgb="FFC00000"/>
        </patternFill>
      </fill>
    </dxf>
    <dxf>
      <fill>
        <patternFill>
          <bgColor theme="6" tint="0.39994506668294322"/>
        </patternFill>
      </fill>
    </dxf>
    <dxf>
      <fill>
        <patternFill>
          <bgColor theme="9" tint="-0.24994659260841701"/>
        </patternFill>
      </fill>
    </dxf>
    <dxf>
      <fill>
        <patternFill>
          <bgColor rgb="FFFFFF00"/>
        </patternFill>
      </fill>
    </dxf>
    <dxf>
      <fill>
        <patternFill>
          <bgColor rgb="FF92D050"/>
        </patternFill>
      </fill>
    </dxf>
    <dxf>
      <fill>
        <patternFill>
          <bgColor rgb="FFFF0000"/>
        </patternFill>
      </fill>
    </dxf>
    <dxf>
      <font>
        <b val="0"/>
        <i/>
      </font>
      <fill>
        <patternFill>
          <bgColor theme="6" tint="0.39994506668294322"/>
        </patternFill>
      </fill>
    </dxf>
    <dxf>
      <fill>
        <patternFill>
          <bgColor theme="9" tint="0.39994506668294322"/>
        </patternFill>
      </fill>
    </dxf>
    <dxf>
      <font>
        <b/>
        <i val="0"/>
        <color theme="0"/>
      </font>
      <fill>
        <patternFill>
          <bgColor rgb="FFFF0066"/>
        </patternFill>
      </fill>
    </dxf>
    <dxf>
      <fill>
        <patternFill>
          <bgColor theme="7"/>
        </patternFill>
      </fill>
    </dxf>
    <dxf>
      <fill>
        <patternFill>
          <bgColor rgb="FF92D050"/>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ont>
        <b/>
        <i val="0"/>
        <color theme="0"/>
      </font>
      <fill>
        <patternFill>
          <bgColor rgb="FF7030A0"/>
        </patternFill>
      </fill>
    </dxf>
    <dxf>
      <fill>
        <patternFill>
          <bgColor rgb="FF92D050"/>
        </patternFill>
      </fill>
    </dxf>
    <dxf>
      <font>
        <b/>
        <i val="0"/>
        <color theme="0"/>
      </font>
      <fill>
        <patternFill>
          <bgColor rgb="FFFF0000"/>
        </patternFill>
      </fill>
    </dxf>
    <dxf>
      <font>
        <b/>
        <i val="0"/>
        <color theme="0"/>
      </font>
      <fill>
        <patternFill>
          <bgColor theme="5" tint="-0.24994659260841701"/>
        </patternFill>
      </fill>
    </dxf>
    <dxf>
      <font>
        <color theme="0"/>
      </font>
      <fill>
        <patternFill>
          <bgColor theme="7" tint="0.39994506668294322"/>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ont>
        <color theme="0"/>
      </font>
      <fill>
        <patternFill>
          <bgColor rgb="FFC00000"/>
        </patternFill>
      </fill>
    </dxf>
    <dxf>
      <fill>
        <patternFill>
          <bgColor rgb="FF92D050"/>
        </patternFill>
      </fill>
    </dxf>
    <dxf>
      <fill>
        <patternFill>
          <bgColor theme="8" tint="0.39994506668294322"/>
        </patternFill>
      </fill>
    </dxf>
    <dxf>
      <fill>
        <patternFill>
          <bgColor rgb="FFFFFF00"/>
        </patternFill>
      </fill>
    </dxf>
    <dxf>
      <fill>
        <patternFill>
          <bgColor rgb="FF92D050"/>
        </patternFill>
      </fill>
    </dxf>
    <dxf>
      <font>
        <color theme="0"/>
      </font>
      <fill>
        <patternFill>
          <bgColor rgb="FFC00000"/>
        </patternFill>
      </fill>
    </dxf>
    <dxf>
      <fill>
        <patternFill>
          <bgColor theme="8" tint="0.59996337778862885"/>
        </patternFill>
      </fill>
    </dxf>
    <dxf>
      <fill>
        <patternFill>
          <bgColor rgb="FF92D050"/>
        </patternFill>
      </fill>
    </dxf>
    <dxf>
      <font>
        <color theme="0"/>
      </font>
      <fill>
        <patternFill>
          <bgColor rgb="FFC00000"/>
        </patternFill>
      </fill>
    </dxf>
    <dxf>
      <fill>
        <patternFill>
          <bgColor rgb="FFFFC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ont>
        <color theme="0"/>
      </font>
      <fill>
        <patternFill>
          <bgColor rgb="FFC00000"/>
        </patternFill>
      </fill>
    </dxf>
    <dxf>
      <fill>
        <patternFill>
          <bgColor theme="7" tint="0.39994506668294322"/>
        </patternFill>
      </fill>
    </dxf>
    <dxf>
      <fill>
        <patternFill>
          <bgColor rgb="FFFFFF00"/>
        </patternFill>
      </fill>
    </dxf>
    <dxf>
      <fill>
        <patternFill>
          <bgColor rgb="FFFF0000"/>
        </patternFill>
      </fill>
    </dxf>
    <dxf>
      <fill>
        <patternFill>
          <bgColor rgb="FF92D050"/>
        </patternFill>
      </fill>
    </dxf>
    <dxf>
      <font>
        <color theme="0"/>
      </font>
      <fill>
        <patternFill>
          <bgColor theme="7" tint="-0.24994659260841701"/>
        </patternFill>
      </fill>
    </dxf>
    <dxf>
      <font>
        <color theme="0"/>
      </font>
      <fill>
        <patternFill>
          <bgColor rgb="FFC00000"/>
        </patternFill>
      </fill>
    </dxf>
    <dxf>
      <fill>
        <patternFill>
          <bgColor rgb="FFFF0000"/>
        </patternFill>
      </fill>
    </dxf>
    <dxf>
      <font>
        <color theme="0"/>
      </font>
      <fill>
        <patternFill>
          <bgColor theme="5" tint="-0.24994659260841701"/>
        </patternFill>
      </fill>
    </dxf>
    <dxf>
      <fill>
        <patternFill>
          <bgColor rgb="FFFFC000"/>
        </patternFill>
      </fill>
    </dxf>
    <dxf>
      <fill>
        <patternFill>
          <bgColor rgb="FFFFFF00"/>
        </patternFill>
      </fill>
    </dxf>
    <dxf>
      <fill>
        <patternFill>
          <bgColor rgb="FF92D050"/>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006100"/>
      </font>
      <fill>
        <patternFill>
          <bgColor rgb="FFC6EFCE"/>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0000"/>
        </patternFill>
      </fill>
    </dxf>
    <dxf>
      <fill>
        <patternFill>
          <bgColor rgb="FF92D050"/>
        </patternFill>
      </fill>
    </dxf>
    <dxf>
      <fill>
        <patternFill>
          <bgColor rgb="FFFFC000"/>
        </patternFill>
      </fill>
    </dxf>
    <dxf>
      <font>
        <b/>
        <i val="0"/>
        <color theme="0"/>
      </font>
      <fill>
        <patternFill>
          <bgColor rgb="FFFF0000"/>
        </patternFill>
      </fill>
    </dxf>
    <dxf>
      <font>
        <color rgb="FF9C0006"/>
      </font>
      <fill>
        <patternFill>
          <bgColor rgb="FFFFC7CE"/>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0006"/>
      </font>
      <fill>
        <patternFill>
          <bgColor rgb="FFFFC7CE"/>
        </patternFill>
      </fill>
    </dxf>
    <dxf>
      <fill>
        <patternFill>
          <bgColor rgb="FFFFC000"/>
        </patternFill>
      </fill>
    </dxf>
    <dxf>
      <fill>
        <patternFill>
          <bgColor rgb="FFFFFF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32"/>
      <tableStyleElement type="firstRowStripe" dxfId="731"/>
      <tableStyleElement type="secondRowStripe" dxfId="730"/>
      <tableStyleElement type="firstColumnStripe" dxfId="729"/>
    </tableStyle>
    <tableStyle name="Estilo de tabla 2" pivot="0" count="3" xr9:uid="{00000000-0011-0000-FFFF-FFFF01000000}">
      <tableStyleElement type="headerRow" dxfId="728"/>
      <tableStyleElement type="firstRowStripe" dxfId="727"/>
      <tableStyleElement type="secondRowStripe" dxfId="726"/>
    </tableStyle>
    <tableStyle name="Estilo de tabla 3" pivot="0" count="2" xr9:uid="{00000000-0011-0000-FFFF-FFFF02000000}">
      <tableStyleElement type="headerRow" dxfId="725"/>
      <tableStyleElement type="firstRowStripe" dxfId="724"/>
    </tableStyle>
    <tableStyle name="Estilo de tabla 4" pivot="0" count="0" xr9:uid="{00000000-0011-0000-FFFF-FFFF03000000}"/>
    <tableStyle name="Estilo de tabla 5" pivot="0" count="2" xr9:uid="{00000000-0011-0000-FFFF-FFFF04000000}">
      <tableStyleElement type="wholeTable" dxfId="723"/>
      <tableStyleElement type="headerRow" dxfId="722"/>
    </tableStyle>
    <tableStyle name="Estilo de tabla 6" pivot="0" count="3" xr9:uid="{00000000-0011-0000-FFFF-FFFF05000000}">
      <tableStyleElement type="headerRow" dxfId="721"/>
      <tableStyleElement type="firstRowStripe" dxfId="720"/>
      <tableStyleElement type="secondRowStripe" dxfId="719"/>
    </tableStyle>
    <tableStyle name="Estilo de tabla 7" pivot="0" count="3" xr9:uid="{00000000-0011-0000-FFFF-FFFF06000000}">
      <tableStyleElement type="headerRow" dxfId="718"/>
      <tableStyleElement type="firstRowStripe" dxfId="717"/>
      <tableStyleElement type="secondRowStripe" dxfId="71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15" dataDxfId="714" headerRowCellStyle="Énfasis5" dataCellStyle="Normal 2">
  <autoFilter ref="A1:OG5" xr:uid="{00000000-0009-0000-0100-000001000000}"/>
  <tableColumns count="397">
    <tableColumn id="101" xr3:uid="{00000000-0010-0000-0000-000065000000}" name="OBSERVACIONES PARA SEGUIMIENTO" dataDxfId="713"/>
    <tableColumn id="1" xr3:uid="{00000000-0010-0000-0000-000001000000}" name="RESPONSABLE DE LA ZONA" dataDxfId="712"/>
    <tableColumn id="77" xr3:uid="{00000000-0010-0000-0000-00004D000000}" name="PUNTO O CENTRO DE ATENCION" dataDxfId="711"/>
    <tableColumn id="2" xr3:uid="{00000000-0010-0000-0000-000002000000}" name="ATENCIÓN PRECONCEPCIONAL" dataDxfId="710"/>
    <tableColumn id="3" xr3:uid="{00000000-0010-0000-0000-000003000000}" name="APELLIDO" dataDxfId="709"/>
    <tableColumn id="4" xr3:uid="{00000000-0010-0000-0000-000004000000}" name="APELLIDO 2" dataDxfId="708"/>
    <tableColumn id="5" xr3:uid="{00000000-0010-0000-0000-000005000000}" name="NOMBRE 1" dataDxfId="707"/>
    <tableColumn id="6" xr3:uid="{00000000-0010-0000-0000-000006000000}" name="NOMBRE 2" dataDxfId="706"/>
    <tableColumn id="7" xr3:uid="{00000000-0010-0000-0000-000007000000}" name="TIPO DE DOCUMENTO" dataDxfId="705"/>
    <tableColumn id="8" xr3:uid="{00000000-0010-0000-0000-000008000000}" name="No DE IDENTIFICACION" dataDxfId="704"/>
    <tableColumn id="9" xr3:uid="{00000000-0010-0000-0000-000009000000}" name="ESTADO CIVIL" dataDxfId="703"/>
    <tableColumn id="10" xr3:uid="{00000000-0010-0000-0000-00000A000000}" name="OCUPACION" dataDxfId="702"/>
    <tableColumn id="11" xr3:uid="{00000000-0010-0000-0000-00000B000000}" name="FECHA DE NACIMIENTO" dataDxfId="701" dataCellStyle="Normal 2"/>
    <tableColumn id="12" xr3:uid="{00000000-0010-0000-0000-00000C000000}" name="EDAD ACTUAL" dataDxfId="700" dataCellStyle="Normal 2">
      <calculatedColumnFormula>IF(M2&gt;0,SUM(TODAY()-M2)/365,"")</calculatedColumnFormula>
    </tableColumn>
    <tableColumn id="13" xr3:uid="{00000000-0010-0000-0000-00000D000000}" name="FECHA DE IDENTIFICACION DE LA GESTANTE" dataDxfId="699" dataCellStyle="Normal 2"/>
    <tableColumn id="14" xr3:uid="{00000000-0010-0000-0000-00000E000000}" name="EFECTIVIDAD DEMANDA" dataDxfId="698"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97" dataCellStyle="Normal 2"/>
    <tableColumn id="16" xr3:uid="{00000000-0010-0000-0000-000010000000}" name="FECHA CONSULTA PRIMERA VEZ PROGRAMA CPN " dataDxfId="696" dataCellStyle="Normal 2"/>
    <tableColumn id="24" xr3:uid="{00000000-0010-0000-0000-000018000000}" name="REGIMEN" dataDxfId="695" dataCellStyle="Normal 2"/>
    <tableColumn id="25" xr3:uid="{00000000-0010-0000-0000-000019000000}" name="ASEGURADORA" dataDxfId="694" dataCellStyle="Normal 2"/>
    <tableColumn id="26" xr3:uid="{00000000-0010-0000-0000-00001A000000}" name="MUNICIPIO DE RESIDENCIA" dataDxfId="693" dataCellStyle="Normal 2"/>
    <tableColumn id="27" xr3:uid="{00000000-0010-0000-0000-00001B000000}" name="ZONA DE RESIDENCIA" dataDxfId="692" dataCellStyle="Normal 2"/>
    <tableColumn id="28" xr3:uid="{00000000-0010-0000-0000-00001C000000}" name="VEREDA/BARRIO" dataDxfId="691" dataCellStyle="Normal 2"/>
    <tableColumn id="29" xr3:uid="{00000000-0010-0000-0000-00001D000000}" name="DIRECCION - (ESPECIFICAR UBICACIÓN EN VEREDA)" dataDxfId="690" dataCellStyle="Normal 2"/>
    <tableColumn id="30" xr3:uid="{00000000-0010-0000-0000-00001E000000}" name="RESGUARDO / CORREGIMIENTO / COMUNA / LOCALIDAD" dataDxfId="689" dataCellStyle="Normal 2"/>
    <tableColumn id="31" xr3:uid="{00000000-0010-0000-0000-00001F000000}" name="TELEFONO FIJO O CELULAR" dataDxfId="688" dataCellStyle="Normal 2"/>
    <tableColumn id="32" xr3:uid="{00000000-0010-0000-0000-000020000000}" name="TIPO DE ETNIA" dataDxfId="687" dataCellStyle="Normal 2"/>
    <tableColumn id="33" xr3:uid="{00000000-0010-0000-0000-000021000000}" name="PUEBLO INDIGENA ESPECIFICO" dataDxfId="686" dataCellStyle="Normal 2"/>
    <tableColumn id="34" xr3:uid="{00000000-0010-0000-0000-000022000000}" name="ESTUDIOS" dataDxfId="685" dataCellStyle="Normal 2"/>
    <tableColumn id="68" xr3:uid="{00000000-0010-0000-0000-000044000000}" name="PROGRAMAS DE APOYO SOCIAL " dataDxfId="684" dataCellStyle="Normal 2"/>
    <tableColumn id="35" xr3:uid="{00000000-0010-0000-0000-000023000000}" name="EMBARAZO ACEPTADO Y/O  DESEADO" dataDxfId="683" dataCellStyle="Normal 2"/>
    <tableColumn id="36" xr3:uid="{00000000-0010-0000-0000-000024000000}" name="APOYO FAMILIAR" dataDxfId="682" dataCellStyle="Normal 2"/>
    <tableColumn id="37" xr3:uid="{00000000-0010-0000-0000-000025000000}" name="MUJER CABEZA DE FAMILIA" dataDxfId="681" dataCellStyle="Normal 2"/>
    <tableColumn id="38" xr3:uid="{00000000-0010-0000-0000-000026000000}" name="ANSIEDAD (Tensión emocional, Humor depresivo y sx angustia)." dataDxfId="680" dataCellStyle="Normal 2"/>
    <tableColumn id="39" xr3:uid="{00000000-0010-0000-0000-000027000000}" name="GRUPO DE POBLACION ESPECIAL" dataDxfId="679" dataCellStyle="Normal 2"/>
    <tableColumn id="40" xr3:uid="{00000000-0010-0000-0000-000028000000}" name="HA SIDO VICTIMA DE VIOLENCIA BASADA EN GENERO" dataDxfId="678" dataCellStyle="Normal 2"/>
    <tableColumn id="41" xr3:uid="{00000000-0010-0000-0000-000029000000}" name="RIESGO PSICOSOCIAL" dataDxfId="677">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76" dataCellStyle="Normal 2"/>
    <tableColumn id="44" xr3:uid="{00000000-0010-0000-0000-00002C000000}" name="ANTECEDENTE. RETENCION PLACENTARIA O HEMORRAGIA POSTPARTO" dataDxfId="675" dataCellStyle="Normal 2"/>
    <tableColumn id="45" xr3:uid="{00000000-0010-0000-0000-00002D000000}" name="ANTECEDENTE. PESO BEBE MAYOR A 4000 o MENOR A  2500" dataDxfId="674" dataCellStyle="Normal 2"/>
    <tableColumn id="47" xr3:uid="{00000000-0010-0000-0000-00002F000000}" name="ANTECEDENTE. EMBARAZO GEMELAR" dataDxfId="673" dataCellStyle="Normal 2"/>
    <tableColumn id="48" xr3:uid="{00000000-0010-0000-0000-000030000000}" name="ANTECEDENTE. Trabajo de Parto PROLONGADO/PARTO DIFICIL" dataDxfId="672" dataCellStyle="Normal 2"/>
    <tableColumn id="49" xr3:uid="{00000000-0010-0000-0000-000031000000}" name="ANTECEDENTE. FLIAR PREECLAMPSIA" dataDxfId="671" dataCellStyle="Normal 2"/>
    <tableColumn id="51" xr3:uid="{00000000-0010-0000-0000-000033000000}" name="ANTECEDENTE GRAVIDA" dataDxfId="670" dataCellStyle="Normal 2"/>
    <tableColumn id="52" xr3:uid="{00000000-0010-0000-0000-000034000000}" name="ANTECEDENTE PARTOS" dataDxfId="669" dataCellStyle="Normal 2"/>
    <tableColumn id="53" xr3:uid="{00000000-0010-0000-0000-000035000000}" name="ANTECEDENTE ABORTOS" dataDxfId="668" dataCellStyle="Normal 2"/>
    <tableColumn id="54" xr3:uid="{00000000-0010-0000-0000-000036000000}" name="ANTE. 3 ABORTOS SEGUIDOS O INFERTILIDAD" dataDxfId="667" dataCellStyle="Normal 2"/>
    <tableColumn id="55" xr3:uid="{00000000-0010-0000-0000-000037000000}" name="ANTECEDENTE CESAREAS" dataDxfId="666" dataCellStyle="Normal 2"/>
    <tableColumn id="56" xr3:uid="{00000000-0010-0000-0000-000038000000}" name="ANTECEDENTE OBITO FETAL Y/O MUERTE PERINATAL NEONATAL TEMPRANA" dataDxfId="665" dataCellStyle="Normal 2"/>
    <tableColumn id="57" xr3:uid="{00000000-0010-0000-0000-000039000000}" name="ANTECEDENTE EMBARAZO ECTOPICO O CX UTERINA (MIOMECTOMIA)" dataDxfId="664" dataCellStyle="Normal 2"/>
    <tableColumn id="58" xr3:uid="{00000000-0010-0000-0000-00003A000000}" name="ANTECEDENTE EMBARAZO MOLAR" dataDxfId="663" dataCellStyle="Normal 2"/>
    <tableColumn id="59" xr3:uid="{00000000-0010-0000-0000-00003B000000}" name="ANTECEDENTE MUERTE NEONATAL TARDIA" dataDxfId="662" dataCellStyle="Normal 2"/>
    <tableColumn id="64" xr3:uid="{00000000-0010-0000-0000-000040000000}" name="TIENE ENFERMEDADES AUTOINMUNES" dataDxfId="661" dataCellStyle="Normal 2"/>
    <tableColumn id="65" xr3:uid="{00000000-0010-0000-0000-000041000000}" name="TIENE DIABETES MELLITUS" dataDxfId="660" dataCellStyle="Normal 2"/>
    <tableColumn id="66" xr3:uid="{00000000-0010-0000-0000-000042000000}" name="TIENE ENFERMEDAD CARDIACA" dataDxfId="659" dataCellStyle="Normal 2"/>
    <tableColumn id="315" xr3:uid="{00000000-0010-0000-0000-00003B010000}" name="TIENE HTA CRONICA" dataDxfId="658" dataCellStyle="Normal 2"/>
    <tableColumn id="305" xr3:uid="{00000000-0010-0000-0000-000031010000}" name="TIENE ENF RENAL CRONICA" dataDxfId="657" dataCellStyle="Normal 2"/>
    <tableColumn id="74" xr3:uid="{00000000-0010-0000-0000-00004A000000}" name="EN EMB ACTUAL ENFERMEDADES INFECCIOSAS AGUDAS(BACTERIANAS)" dataDxfId="656" dataCellStyle="Normal 2"/>
    <tableColumn id="76" xr3:uid="{00000000-0010-0000-0000-00004C000000}" name="EN EMB ACTUAL RPM" dataDxfId="655" dataCellStyle="Normal 2"/>
    <tableColumn id="79" xr3:uid="{00000000-0010-0000-0000-00004F000000}" name=" EN EMB ACTUAL HEMORRAGIA VAGINAL &gt; 20 SEM22" dataDxfId="654" dataCellStyle="Normal 2"/>
    <tableColumn id="81" xr3:uid="{00000000-0010-0000-0000-000051000000}" name="EN EMB ACTUAL HEMORRAGIA VAGINAL &lt; 20 SEM" dataDxfId="653" dataCellStyle="Normal 2"/>
    <tableColumn id="87" xr3:uid="{00000000-0010-0000-0000-000057000000}" name="FECHA TERMINACIÓN ÚLTIMO EMBARAZO" dataDxfId="652" dataCellStyle="Normal 2"/>
    <tableColumn id="89" xr3:uid="{00000000-0010-0000-0000-000059000000}" name="FUM" dataDxfId="651" dataCellStyle="Normal 2"/>
    <tableColumn id="90" xr3:uid="{00000000-0010-0000-0000-00005A000000}" name="FUM FORMULA CONFIABLE" dataDxfId="650" dataCellStyle="Normal 2"/>
    <tableColumn id="20" xr3:uid="{00000000-0010-0000-0000-000014000000}" name="PERIODO INTERGENESICO (MESES)" dataDxfId="649" dataCellStyle="Normal 2">
      <calculatedColumnFormula>IF(OR(BJ2="SD",BK2=""),"",IF(BJ2="",0,SUM(BK2-BJ2)/30))</calculatedColumnFormula>
    </tableColumn>
    <tableColumn id="19" xr3:uid="{00000000-0010-0000-0000-000013000000}" name="FUM X ECO 1" dataDxfId="648" dataCellStyle="Normal 2">
      <calculatedColumnFormula>IF(BS2&gt;0,SUM(BR2-NQ2),"")</calculatedColumnFormula>
    </tableColumn>
    <tableColumn id="94" xr3:uid="{00000000-0010-0000-0000-00005E000000}" name="SEMANAS DE GESTACION AL INGRESO" dataDxfId="647"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46"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45" dataCellStyle="Normal 2">
      <calculatedColumnFormula>IF(SUM((TODAY()-BK2)/7)&gt;43.1,"",IF(AND(BK2&gt;0,OR(BL2="si",BL2="Corregida",BL2="NO")),SUM((TODAY()-BK2)/7),""))</calculatedColumnFormula>
    </tableColumn>
    <tableColumn id="99" xr3:uid="{00000000-0010-0000-0000-000063000000}" name="FECHA ECO 1" dataDxfId="644" dataCellStyle="Normal 2"/>
    <tableColumn id="100" xr3:uid="{00000000-0010-0000-0000-000064000000}" name="SEMANAS GESTACION ECO 1" dataDxfId="643" dataCellStyle="Normal 2"/>
    <tableColumn id="104" xr3:uid="{00000000-0010-0000-0000-000068000000}" name="FECHA ECO 2" dataDxfId="642" dataCellStyle="Normal 2"/>
    <tableColumn id="105" xr3:uid="{00000000-0010-0000-0000-000069000000}" name="SEMANAS GESTACION ECO 2" dataDxfId="641" dataCellStyle="Normal 2"/>
    <tableColumn id="279" xr3:uid="{00000000-0010-0000-0000-000017010000}" name="EN EMB. ACTUAL  RCIU" dataDxfId="640" dataCellStyle="Normal 2"/>
    <tableColumn id="280" xr3:uid="{00000000-0010-0000-0000-000018010000}" name="TIENE EMB. MUTIPLE ACTUAL " dataDxfId="639" dataCellStyle="Normal 2"/>
    <tableColumn id="287" xr3:uid="{00000000-0010-0000-0000-00001F010000}" name="PRESENTACION DEL FETO - ACTUALIZAR DESPUÉS DE LA SEMANA 32" dataDxfId="638" dataCellStyle="Normal 2"/>
    <tableColumn id="293" xr3:uid="{00000000-0010-0000-0000-000025010000}" name="TIENE POLIHIDRAMNIOS" dataDxfId="637" dataCellStyle="Normal 2"/>
    <tableColumn id="110" xr3:uid="{00000000-0010-0000-0000-00006E000000}" name="FECHA DE REGISTRO DE PESO Y/O TALLA PREGESTACIONAL O I TRIM GESTACION" dataDxfId="636" dataCellStyle="Normal 2"/>
    <tableColumn id="111" xr3:uid="{00000000-0010-0000-0000-00006F000000}" name="TALLA EN Mts     " dataDxfId="635" dataCellStyle="Normal 2"/>
    <tableColumn id="112" xr3:uid="{00000000-0010-0000-0000-000070000000}" name="PESO EN Kg INGRESO I TRIM O PRE GESTACION" dataDxfId="634" dataCellStyle="Normal 2"/>
    <tableColumn id="113" xr3:uid="{00000000-0010-0000-0000-000071000000}" name="IMC" dataDxfId="633" dataCellStyle="Normal 2">
      <calculatedColumnFormula>IF(AND(OR(O2&gt;0,R2&gt;0),CA2=""),"SD",IF(AND(OR(O2="",R2=""),CA2=""),"",IF(AND(OR(O2&gt;0,R2&gt;0),CA2&gt;0,CB2&gt;0),SUM(CB2)/(CA2*CA2),"X")))</calculatedColumnFormula>
    </tableColumn>
    <tableColumn id="114" xr3:uid="{00000000-0010-0000-0000-000072000000}" name="CLASIFICACION NUTRICIONAL 1" dataDxfId="632"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31" dataCellStyle="Normal 2"/>
    <tableColumn id="117" xr3:uid="{00000000-0010-0000-0000-000075000000}" name="IMC5 II TRIM" dataDxfId="630" dataCellStyle="Normal 2">
      <calculatedColumnFormula>IF(AND(OR(O2&gt;0,R2&gt;0),CA2=""),"SD",IF(AND(OR(O2="",R2=""),CA2=""),"",IF(AND(OR(O2&gt;0,R2&gt;0),CA2&gt;0),SUM(CF2)/(CA2*CA2),"X")))</calculatedColumnFormula>
    </tableColumn>
    <tableColumn id="118" xr3:uid="{00000000-0010-0000-0000-000076000000}" name="SEMANAS DE GESTACION II TRIM" dataDxfId="629" dataCellStyle="Normal 2">
      <calculatedColumnFormula>IF(AND(CE2="",BK2=""),"",IF(AND(BK2&gt;0,CE2=""),"NA",IF(CE2&lt;BK2,"REVISAR FUM O FECHA PESO",IF(CE2&gt;0,INT(SUM(CE2-BK2)/7)))))</calculatedColumnFormula>
    </tableColumn>
    <tableColumn id="119" xr3:uid="{00000000-0010-0000-0000-000077000000}" name="CLASIFICACION SEGÚN CURVA ATALAH - II TRIM" dataDxfId="628"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27" dataCellStyle="Normal 2"/>
    <tableColumn id="121" xr3:uid="{00000000-0010-0000-0000-000079000000}" name="PESO EN Kg (29 A 42 SEMANAS)" dataDxfId="626" dataCellStyle="Normal 2"/>
    <tableColumn id="123" xr3:uid="{00000000-0010-0000-0000-00007B000000}" name="IMC8 III TRIM" dataDxfId="625" dataCellStyle="Normal 2">
      <calculatedColumnFormula>IF(AND(OR(O2&gt;0,R2&gt;0),CA2=""),"SD",IF(AND(OR(O2="",R2=""),CA2=""),"",IF(AND(OR(O2&gt;0,R2&gt;0),CA2&gt;0),SUM(CK2)/(CA2*CA2),"X")))</calculatedColumnFormula>
    </tableColumn>
    <tableColumn id="124" xr3:uid="{00000000-0010-0000-0000-00007C000000}" name="SEMANAS DE GESTACION9 III TRIM" dataDxfId="624" dataCellStyle="Normal 2">
      <calculatedColumnFormula>IF(AND(CJ2="",BK2=""),"",IF(AND(BK2&gt;0,CJ2=""),"NA",IF(CJ2&lt;BK2,"REVISAR FUM O FECHA PESO",IF(CJ2&gt;0,INT(SUM(CJ2-BK2)/7)))))</calculatedColumnFormula>
    </tableColumn>
    <tableColumn id="125" xr3:uid="{00000000-0010-0000-0000-00007D000000}" name="CLASIFICACION SEGÚN CURVA ATALAH - III TRIM" dataDxfId="623"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22"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21" dataCellStyle="Normal 2"/>
    <tableColumn id="127" xr3:uid="{00000000-0010-0000-0000-00007F000000}" name="T.A. DIASTOLICA - ANTES DE SEMANA 12" dataDxfId="620" dataCellStyle="Normal 2"/>
    <tableColumn id="128" xr3:uid="{00000000-0010-0000-0000-000080000000}" name="ALARMA 1 T.A.  ANTES 12 SEMANAS" dataDxfId="619"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18" dataCellStyle="Normal 2"/>
    <tableColumn id="130" xr3:uid="{00000000-0010-0000-0000-000082000000}" name="T.A. DIATOLICA (Entre semana 20 y 26)" dataDxfId="617" dataCellStyle="Normal 2"/>
    <tableColumn id="131" xr3:uid="{00000000-0010-0000-0000-000083000000}" name="ALARMA 2 T.A.  ENTRE SEMANA 20 Y 26 " dataDxfId="616"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15"/>
    <tableColumn id="133" xr3:uid="{00000000-0010-0000-0000-000085000000}" name="TA. DIASTOLICA SEM 30 A 34" dataDxfId="614" dataCellStyle="Normal 2"/>
    <tableColumn id="134" xr3:uid="{00000000-0010-0000-0000-000086000000}" name="TA SISTOLICA SEM 35 A 37 ULTIMO CONTROL" dataDxfId="613" dataCellStyle="Normal 2"/>
    <tableColumn id="135" xr3:uid="{00000000-0010-0000-0000-000087000000}" name="TA DIASTOLICA SEM 35 A 37 ULTIMO CONTROL" dataDxfId="612" dataCellStyle="Normal 2"/>
    <tableColumn id="136" xr3:uid="{00000000-0010-0000-0000-000088000000}" name="ALARMA 3 T.A.  III TRIMESTRE" dataDxfId="611"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10" dataCellStyle="Normal 2"/>
    <tableColumn id="138" xr3:uid="{00000000-0010-0000-0000-00008A000000}" name="FECHA ASESORIA EN ANTICONCEPCION DURANTE CPN" dataDxfId="609" dataCellStyle="Normal 2"/>
    <tableColumn id="139" xr3:uid="{00000000-0010-0000-0000-00008B000000}" name="FECHA C2" dataDxfId="608" dataCellStyle="Normal 2"/>
    <tableColumn id="144" xr3:uid="{00000000-0010-0000-0000-000090000000}" name="FECHA C3" dataDxfId="607" dataCellStyle="Normal 2"/>
    <tableColumn id="145" xr3:uid="{00000000-0010-0000-0000-000091000000}" name="FECHA C4" dataDxfId="606" dataCellStyle="Normal 2"/>
    <tableColumn id="146" xr3:uid="{00000000-0010-0000-0000-000092000000}" name="FECHA C5" dataDxfId="605" dataCellStyle="Normal 2"/>
    <tableColumn id="147" xr3:uid="{00000000-0010-0000-0000-000093000000}" name="FECHA C6" dataDxfId="604" dataCellStyle="Normal 2"/>
    <tableColumn id="148" xr3:uid="{00000000-0010-0000-0000-000094000000}" name="FECHA C7" dataDxfId="603" dataCellStyle="Normal 2"/>
    <tableColumn id="149" xr3:uid="{00000000-0010-0000-0000-000095000000}" name="FECHA C8" dataDxfId="602" dataCellStyle="Normal 2"/>
    <tableColumn id="150" xr3:uid="{00000000-0010-0000-0000-000096000000}" name="FECHA C9" dataDxfId="601" dataCellStyle="Normal 2"/>
    <tableColumn id="151" xr3:uid="{00000000-0010-0000-0000-000097000000}" name="FECHA C10" dataDxfId="600" dataCellStyle="Normal 2"/>
    <tableColumn id="152" xr3:uid="{00000000-0010-0000-0000-000098000000}" name="FECHA C11" dataDxfId="599" dataCellStyle="Normal 2"/>
    <tableColumn id="153" xr3:uid="{00000000-0010-0000-0000-000099000000}" name="FECHA C12" dataDxfId="598" dataCellStyle="Normal 2"/>
    <tableColumn id="83" xr3:uid="{00000000-0010-0000-0000-000053000000}" name="FECHA C13" dataDxfId="597" dataCellStyle="Normal 2"/>
    <tableColumn id="341" xr3:uid="{00000000-0010-0000-0000-000055010000}" name="CURSO DE MATERNIDAD Y PATERNIDAD" dataDxfId="596" dataCellStyle="Normal 2"/>
    <tableColumn id="342" xr3:uid="{00000000-0010-0000-0000-000056010000}" name="FECHA DE CONCERTACIÓN PLAN DE PARTO (Soporte HC)" dataDxfId="595" dataCellStyle="Normal 2"/>
    <tableColumn id="343" xr3:uid="{00000000-0010-0000-0000-000057010000}" name="ALERTA DE PLAN DE PARTO" dataDxfId="594"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9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92"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91"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90"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89"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88" dataCellStyle="Normal 2">
      <calculatedColumnFormula>IF(R2&gt;0,SUM(COUNTA(DC2:DN2)+COUNTA(Tabla1[[#This Row],[FECHA CONSULTA PRIMERA VEZ PROGRAMA CPN ]])),"")</calculatedColumnFormula>
    </tableColumn>
    <tableColumn id="155" xr3:uid="{00000000-0010-0000-0000-00009B000000}" name="ADHERENCIA AL CPN" dataDxfId="587" dataCellStyle="Normal 2">
      <calculatedColumnFormula>IF(AND(DW2&gt;=0,DW2&lt;4),"NO",IF(AND(DW2&gt;=4,DW2&lt;12),"SI",""))</calculatedColumnFormula>
    </tableColumn>
    <tableColumn id="156" xr3:uid="{00000000-0010-0000-0000-00009C000000}" name="CONTROLES PROGRAMADOS " dataDxfId="586" dataCellStyle="Normal 2">
      <calculatedColumnFormula>IF(BO2="","",IF(BO2&gt;0,INT(SUM(((40-BO2)/4)+2)),"X"))</calculatedColumnFormula>
    </tableColumn>
    <tableColumn id="157" xr3:uid="{00000000-0010-0000-0000-00009D000000}" name="% CUMPLIM INDIVIDUAL" dataDxfId="585" dataCellStyle="Normal 2">
      <calculatedColumnFormula>IF(DY2="","",IF(DW2&gt;0,SUM(DW2/DY2),"X"))</calculatedColumnFormula>
    </tableColumn>
    <tableColumn id="158" xr3:uid="{00000000-0010-0000-0000-00009E000000}" name="FECHA  REMISION PSICOLOGIA" dataDxfId="584" dataCellStyle="Normal 2"/>
    <tableColumn id="159" xr3:uid="{00000000-0010-0000-0000-00009F000000}" name="FECHA ASISTENCIA A CONSULTA PSICOLOGIA" dataDxfId="583" dataCellStyle="Normal 2"/>
    <tableColumn id="160" xr3:uid="{00000000-0010-0000-0000-0000A0000000}" name="FECHA  REMISION NUTRICION" dataDxfId="582" dataCellStyle="Normal 2"/>
    <tableColumn id="161" xr3:uid="{00000000-0010-0000-0000-0000A1000000}" name="FECHA ASISTENCIA A CONSULTA NUTRICION" dataDxfId="581" dataCellStyle="Normal 2"/>
    <tableColumn id="162" xr3:uid="{00000000-0010-0000-0000-0000A2000000}" name="FECHA  REMISION GINECOLOGO" dataDxfId="580" dataCellStyle="Normal 2"/>
    <tableColumn id="163" xr3:uid="{00000000-0010-0000-0000-0000A3000000}" name="FECHA ASISTENCIA PRIMERA VEZ CON GINECOLOGÍA" dataDxfId="579" dataCellStyle="Normal 2"/>
    <tableColumn id="250" xr3:uid="{00000000-0010-0000-0000-0000FA000000}" name="FECHA ULTIMA ASISTENCIA A CONSULTA GINECO" dataDxfId="578" dataCellStyle="Normal 2"/>
    <tableColumn id="164" xr3:uid="{00000000-0010-0000-0000-0000A4000000}" name="No CONSULTAS GINECOLOGO" dataDxfId="577" dataCellStyle="Normal 2"/>
    <tableColumn id="165" xr3:uid="{00000000-0010-0000-0000-0000A5000000}" name="RESULTADO HEMOGLOBINA INGRESO" dataDxfId="576" dataCellStyle="Normal 2"/>
    <tableColumn id="167" xr3:uid="{00000000-0010-0000-0000-0000A7000000}" name="FECHA RESULTADO HB" dataDxfId="575" dataCellStyle="Normal 2"/>
    <tableColumn id="168" xr3:uid="{00000000-0010-0000-0000-0000A8000000}" name="EDAD GESTACIONAL HB" dataDxfId="574"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73"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72"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71" dataCellStyle="Normal 2"/>
    <tableColumn id="171" xr3:uid="{00000000-0010-0000-0000-0000AB000000}" name="FECHA RESULTADO HB SEM 28" dataDxfId="570" dataCellStyle="Normal 2"/>
    <tableColumn id="172" xr3:uid="{00000000-0010-0000-0000-0000AC000000}" name="EDAD GESTACIONAL HB - SEM 28" dataDxfId="569"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68"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67" dataCellStyle="Normal 2"/>
    <tableColumn id="175" xr3:uid="{00000000-0010-0000-0000-0000AF000000}" name="FECHA RESULTADO GRUPO SANGUINEO" dataDxfId="566" dataCellStyle="Normal 2"/>
    <tableColumn id="176" xr3:uid="{00000000-0010-0000-0000-0000B0000000}" name="EDAD GESTACIONAL GRUPO SANGUINEO" dataDxfId="565"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64"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63" dataCellStyle="Normal 2"/>
    <tableColumn id="179" xr3:uid="{00000000-0010-0000-0000-0000B3000000}" name="FECHA GLICEMIA" dataDxfId="562" dataCellStyle="Normal 2"/>
    <tableColumn id="180" xr3:uid="{00000000-0010-0000-0000-0000B4000000}" name="EDAD GESTACIONAL GLICEMIA" dataDxfId="561"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60" dataCellStyle="Normal 2"/>
    <tableColumn id="185" xr3:uid="{00000000-0010-0000-0000-0000B9000000}" name="PTOG. carga 75 gr 1 HORA - VALOR" dataDxfId="559" dataCellStyle="Normal 2"/>
    <tableColumn id="186" xr3:uid="{00000000-0010-0000-0000-0000BA000000}" name="PTOG. carga 75 gr 2 HORA - VALOR" dataDxfId="558" dataCellStyle="Normal 2"/>
    <tableColumn id="187" xr3:uid="{00000000-0010-0000-0000-0000BB000000}" name="PTOG. carga 75 gr - RESULTADO" dataDxfId="557"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56" dataCellStyle="Normal 2"/>
    <tableColumn id="189" xr3:uid="{00000000-0010-0000-0000-0000BD000000}" name="EDAD GESTACIONAL P.T.O.G" dataDxfId="555"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54" dataCellStyle="Normal 2"/>
    <tableColumn id="200" xr3:uid="{00000000-0010-0000-0000-0000C8000000}" name="FECHA RESULTADO I TRIM" dataDxfId="553" dataCellStyle="Normal 2"/>
    <tableColumn id="201" xr3:uid="{00000000-0010-0000-0000-0000C9000000}" name="ALARMA TAMIZAJE SIFILIS I TRIMESTRE" dataDxfId="552"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51" dataCellStyle="Normal 2"/>
    <tableColumn id="203" xr3:uid="{00000000-0010-0000-0000-0000CB000000}" name="FECHA RESULTADO PR-  II TRIM" dataDxfId="550" dataCellStyle="Normal 2"/>
    <tableColumn id="204" xr3:uid="{00000000-0010-0000-0000-0000CC000000}" name="ALARMA TAMIZAJE SIFILIS II TRIMESTRE2" dataDxfId="549"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48" dataCellStyle="Normal 2"/>
    <tableColumn id="206" xr3:uid="{00000000-0010-0000-0000-0000CE000000}" name="FECHA RESULTADO PR-  III TRIM" dataDxfId="547" dataCellStyle="Normal 2"/>
    <tableColumn id="207" xr3:uid="{00000000-0010-0000-0000-0000CF000000}" name="ALARMA TAMIZAJE SIFILIS III TRIMESTRE22" dataDxfId="546"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45" dataCellStyle="Normal 2"/>
    <tableColumn id="209" xr3:uid="{00000000-0010-0000-0000-0000D1000000}" name="FECHA RESULTADO PR INTRAPARTO" dataDxfId="544" dataCellStyle="Normal 2"/>
    <tableColumn id="210" xr3:uid="{00000000-0010-0000-0000-0000D2000000}" name="ALARMA CONSOLIDADA CASOS SIFILIS GESTACIONAL" dataDxfId="543"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42" dataCellStyle="Normal 2"/>
    <tableColumn id="216" xr3:uid="{00000000-0010-0000-0000-0000D8000000}" name="FECHA RESULTADO UROANALISIS ULTIMO" dataDxfId="541" dataCellStyle="Normal 2"/>
    <tableColumn id="217" xr3:uid="{00000000-0010-0000-0000-0000D9000000}" name="EDAD GESTACIONAL UROANALSIS ULTIMO" dataDxfId="540"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39" dataCellStyle="Normal 2"/>
    <tableColumn id="219" xr3:uid="{00000000-0010-0000-0000-0000DB000000}" name="FECHA RESULTADO UROCULTIVO" dataDxfId="538" dataCellStyle="Normal 2"/>
    <tableColumn id="220" xr3:uid="{00000000-0010-0000-0000-0000DC000000}" name="EDAD GESTACIONAL UROCULTIVO" dataDxfId="537"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36"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35" dataCellStyle="Normal 2"/>
    <tableColumn id="223" xr3:uid="{00000000-0010-0000-0000-0000DF000000}" name="TAMIZAJE  PARA VIH I TRIM" dataDxfId="534" dataCellStyle="Normal 2"/>
    <tableColumn id="224" xr3:uid="{00000000-0010-0000-0000-0000E0000000}" name="FECHA RESULTADO TAMIZAJE VIH I TRIMESTRE" dataDxfId="533" dataCellStyle="Normal 2"/>
    <tableColumn id="225" xr3:uid="{00000000-0010-0000-0000-0000E1000000}" name="ALARMA TAMIZAJE VIH - I TRIM" dataDxfId="532"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31" dataCellStyle="Normal 2"/>
    <tableColumn id="103" xr3:uid="{00000000-0010-0000-0000-000067000000}" name="FECHA RESULTADO TAMIZAJE VIH II TRIM" dataDxfId="530" dataCellStyle="Normal 2"/>
    <tableColumn id="345" xr3:uid="{00000000-0010-0000-0000-000059010000}" name="ALARMA TAMIZAJE VIH - II TRIM" dataDxfId="529"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28" dataCellStyle="Normal 2"/>
    <tableColumn id="228" xr3:uid="{00000000-0010-0000-0000-0000E4000000}" name="FECHA RESULTADO TAMIZAJE VIH III TRIM" dataDxfId="527" dataCellStyle="Normal 2"/>
    <tableColumn id="229" xr3:uid="{00000000-0010-0000-0000-0000E5000000}" name="ALARMA TAMIZAJE VIH - III TRIM" dataDxfId="526"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25" dataCellStyle="Normal 2"/>
    <tableColumn id="91" xr3:uid="{00000000-0010-0000-0000-00005B000000}" name="FECHA RESULTADO TAMIZAJE INTRAPARTO" dataDxfId="524" dataCellStyle="Normal 2"/>
    <tableColumn id="84" xr3:uid="{00000000-0010-0000-0000-000054000000}" name="SEGUNDA PRUEBA ELISA O PR PARA DEFINIR DIAGNOSTICO VIH SEGÚN PROTOCOLO INS" dataDxfId="523" dataCellStyle="Normal 2"/>
    <tableColumn id="140" xr3:uid="{00000000-0010-0000-0000-00008C000000}" name="FECHA RESULTADO SEGUNDA PRUEBA ELISA O PR PARA DEFINIR DIAGNOSTICO VIH SEGÚN PROTOCOLO INS" dataDxfId="522" dataCellStyle="Normal 2"/>
    <tableColumn id="141" xr3:uid="{00000000-0010-0000-0000-00008D000000}" name="RESULTADO CARGA VIRAL SEGÚN PROTOCOLO INS" dataDxfId="521" dataCellStyle="Normal 2"/>
    <tableColumn id="142" xr3:uid="{00000000-0010-0000-0000-00008E000000}" name="FECHA RESULTADO CARGA VIRAL SEGÚN PROTOCOLO INS" dataDxfId="520" dataCellStyle="Normal 2"/>
    <tableColumn id="143" xr3:uid="{00000000-0010-0000-0000-00008F000000}" name="RESULTADO HEP B ANTIGENO SUPERFICIE" dataDxfId="519" dataCellStyle="Normal 2"/>
    <tableColumn id="232" xr3:uid="{00000000-0010-0000-0000-0000E8000000}" name="FECHA RESULTADO H ASB" dataDxfId="518" dataCellStyle="Normal 2"/>
    <tableColumn id="233" xr3:uid="{00000000-0010-0000-0000-0000E9000000}" name="EDAD GESTACIONAL18" dataDxfId="517"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16" dataCellStyle="Normal 2"/>
    <tableColumn id="236" xr3:uid="{00000000-0010-0000-0000-0000EC000000}" name="RESULTADO CONFIRM. TOXO. IgM" dataDxfId="515" dataCellStyle="Normal 2"/>
    <tableColumn id="237" xr3:uid="{00000000-0010-0000-0000-0000ED000000}" name="ALARMA TOXOPLASMOSIS" dataDxfId="514"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13" dataCellStyle="Normal 2"/>
    <tableColumn id="239" xr3:uid="{00000000-0010-0000-0000-0000EF000000}" name="EDAD GESTACIONAL21" dataDxfId="512"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11"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10" dataCellStyle="Normal 2"/>
    <tableColumn id="243" xr3:uid="{00000000-0010-0000-0000-0000F3000000}" name="NUMERO VECES TOMA TOXOPLASMA IgM - Control" dataDxfId="509" dataCellStyle="Normal 2"/>
    <tableColumn id="244" xr3:uid="{00000000-0010-0000-0000-0000F4000000}" name="RESULTADO ULTIMA CITOLOGIA (SEGÚN NORMA Y VIGENTE)" dataDxfId="508" dataCellStyle="Normal 2"/>
    <tableColumn id="245" xr3:uid="{00000000-0010-0000-0000-0000F5000000}" name="FECHA RESULTADO2" dataDxfId="507" dataCellStyle="Normal 2"/>
    <tableColumn id="246" xr3:uid="{00000000-0010-0000-0000-0000F6000000}" name="TIEMPO DE LA TOMA" dataDxfId="506" dataCellStyle="Normal 2">
      <calculatedColumnFormula>IF(GZ2&gt;0,SUM(GZ2-BK2)/7,"")</calculatedColumnFormula>
    </tableColumn>
    <tableColumn id="247" xr3:uid="{00000000-0010-0000-0000-0000F7000000}" name="CLASIFICACION TIEMPO TOMA" dataDxfId="505"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04"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03" dataCellStyle="Normal 2"/>
    <tableColumn id="368" xr3:uid="{00000000-0010-0000-0000-000070010000}" name="FECHA RESULTADO TAMIZAJE CHAGAS" dataDxfId="502" dataCellStyle="Normal 2"/>
    <tableColumn id="356" xr3:uid="{00000000-0010-0000-0000-000064010000}" name="TAMIZAJE INICIAL DE GOTA GRUESA PARA MALARIA (En zonas endémicas)" dataDxfId="501" dataCellStyle="Normal 2"/>
    <tableColumn id="352" xr3:uid="{00000000-0010-0000-0000-000060010000}" name="FECHA RESULTADO TAMIZAJE INICIAL GOTA GRUESA PARA MALARIA" dataDxfId="500" dataCellStyle="Normal 2"/>
    <tableColumn id="351" xr3:uid="{00000000-0010-0000-0000-00005F010000}" name="RESULTADO ULTIMO TAMIZAJE GOTA GRUESA (Para Zonas endémicas)" dataDxfId="499" dataCellStyle="Normal 2"/>
    <tableColumn id="346" xr3:uid="{00000000-0010-0000-0000-00005A010000}" name="NUMERO TAMIZAJES TOMADOS DE GOTA GRUESA PARA MALARIA (Debe ser mensual para zonas endémicas)" dataDxfId="498" dataCellStyle="Normal 2"/>
    <tableColumn id="249" xr3:uid="{00000000-0010-0000-0000-0000F9000000}" name="DIAGNOSTICO POSITIVO COVID19 - INFECCIÓN POR SARS CoV2" dataDxfId="497" dataCellStyle="Normal 2"/>
    <tableColumn id="252" xr3:uid="{00000000-0010-0000-0000-0000FC000000}" name="ENFERMEDADES PROPIAS O CULTURALES" dataDxfId="496"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95"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94"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93"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92"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91"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90"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8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88" dataCellStyle="Normal 2"/>
    <tableColumn id="102" xr3:uid="{00000000-0010-0000-0000-000066000000}" name="SUMINISTRO DE ASA SEGÚN GPC" dataDxfId="487" dataCellStyle="Normal 2"/>
    <tableColumn id="23" xr3:uid="{00000000-0010-0000-0000-000017000000}" name="FECHA INICIO SUMINISTRO CALCIO" dataDxfId="486" dataCellStyle="Normal 2"/>
    <tableColumn id="181" xr3:uid="{00000000-0010-0000-0000-0000B5000000}" name="SUMINISTRO CALCIO " dataDxfId="485" dataCellStyle="Normal 2"/>
    <tableColumn id="60" xr3:uid="{00000000-0010-0000-0000-00003C000000}" name="FECHA INICIO SUMINISTRO ACIDO FOLICO " dataDxfId="484" dataCellStyle="Normal 2"/>
    <tableColumn id="241" xr3:uid="{00000000-0010-0000-0000-0000F1000000}" name="SUMINISTRO DE ACIDO FOLICO " dataDxfId="483" dataCellStyle="Normal 2"/>
    <tableColumn id="256" xr3:uid="{00000000-0010-0000-0000-000000010000}" name="FECHA INICIO SUMINISTRO SULFATO FERROSO " dataDxfId="482" dataCellStyle="Normal 2"/>
    <tableColumn id="254" xr3:uid="{00000000-0010-0000-0000-0000FE000000}" name="SUMINISTRO DE SULFATO FERROSO " dataDxfId="481" dataCellStyle="Normal 2"/>
    <tableColumn id="257" xr3:uid="{00000000-0010-0000-0000-000001010000}" name="SUPLEMENTACION ALIMENTARIA  O DIRECCIONAMIENTO A AUTONOMIA ALIMENTARIA" dataDxfId="480" dataCellStyle="Normal 2"/>
    <tableColumn id="63" xr3:uid="{00000000-0010-0000-0000-00003F000000}" name="FECHA CONSULTA DE 1RA VEZ POR ODONTOLOGIA" dataDxfId="479" dataCellStyle="Normal 2"/>
    <tableColumn id="258" xr3:uid="{00000000-0010-0000-0000-000002010000}" name="SEMANAS DE GESTACION A LA CONSULTA ODONTOLOGICA" dataDxfId="478"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77" dataCellStyle="Normal 2"/>
    <tableColumn id="388" xr3:uid="{00000000-0010-0000-0000-000084010000}" name="Tipo Biológico Vacuna anti COVID-19 (Disentimiento)" dataDxfId="476"/>
    <tableColumn id="386" xr3:uid="{00000000-0010-0000-0000-000082010000}" name="Fecha 1ra Dosis Anti COVID-19" dataDxfId="475"/>
    <tableColumn id="336" xr3:uid="{00000000-0010-0000-0000-000050010000}" name="Tipo Biológico Vacuna anti COVID-19 (2da Dosis)" dataDxfId="474"/>
    <tableColumn id="382" xr3:uid="{00000000-0010-0000-0000-00007E010000}" name="Fecha 2da Dosis Anti COVID-19" dataDxfId="473"/>
    <tableColumn id="339" xr3:uid="{00000000-0010-0000-0000-000053010000}" name="Tipo Biológico Vacuna anti COVID-19 (Refuerzo)" dataDxfId="472"/>
    <tableColumn id="335" xr3:uid="{00000000-0010-0000-0000-00004F010000}" name="Fecha Refuerzo Anti COVID-20" dataDxfId="471"/>
    <tableColumn id="381" xr3:uid="{00000000-0010-0000-0000-00007D010000}" name="Alarma Vacunación Anti COVID-19" dataDxfId="470">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69" dataCellStyle="Normal 2"/>
    <tableColumn id="268" xr3:uid="{00000000-0010-0000-0000-00000C010000}" name="FECHA VACUNA DPT ACELULAR" dataDxfId="468" dataCellStyle="Normal 2"/>
    <tableColumn id="269" xr3:uid="{00000000-0010-0000-0000-00000D010000}" name="ALARMA DPT ACELULAR" dataDxfId="467"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66" dataCellStyle="Normal 2"/>
    <tableColumn id="271" xr3:uid="{00000000-0010-0000-0000-00000F010000}" name="FPP2" dataDxfId="465" dataCellStyle="Normal 2">
      <calculatedColumnFormula>IF(OR(BL2="SI",BL2="Corregida",BL2="NO"),(BK2+280),IF(BL2="Sin Dato","DEFINIR FPP POR ECO",""))</calculatedColumnFormula>
    </tableColumn>
    <tableColumn id="72" xr3:uid="{00000000-0010-0000-0000-000048000000}" name="DIAS PARA EL PARTO2" dataDxfId="464" dataCellStyle="Normal 2">
      <calculatedColumnFormula>IF(OR(IP2="DEFINIR FPP POR ECO",BP2="ERROR FUM O INGRESO"),"SIN DEFINIR",IF(IP2="","",IF(IP2&gt;0,SUM(IP2-TODAY()),"X")))</calculatedColumnFormula>
    </tableColumn>
    <tableColumn id="70" xr3:uid="{00000000-0010-0000-0000-000046000000}" name="ALERTA PARA PARTO3" dataDxfId="463"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62" dataCellStyle="Normal 2"/>
    <tableColumn id="273" xr3:uid="{00000000-0010-0000-0000-000011010000}" name="SALE DEL PROGRAMA POR" dataDxfId="461" dataCellStyle="Normal 2"/>
    <tableColumn id="275" xr3:uid="{00000000-0010-0000-0000-000013010000}" name=" EVENTO DE INTERES EN SALUD PÚBLICA DE LA MADRE" dataDxfId="460" dataCellStyle="Normal 2"/>
    <tableColumn id="276" xr3:uid="{00000000-0010-0000-0000-000014010000}" name=" EVENTO DE INTERES EN SALUD PÚBLICA DEL RECIÉN NACIDO2" dataDxfId="459" dataCellStyle="Normal 2"/>
    <tableColumn id="277" xr3:uid="{00000000-0010-0000-0000-000015010000}" name="FECHA DE SALIDA  DEL PROGRAMA" dataDxfId="458" dataCellStyle="Normal 2"/>
    <tableColumn id="278" xr3:uid="{00000000-0010-0000-0000-000016010000}" name="LUGAR DE ATENCION DEL PARTO" dataDxfId="457" dataCellStyle="Normal 2"/>
    <tableColumn id="281" xr3:uid="{00000000-0010-0000-0000-000019010000}" name="EDAD GESTACIONAL SALIDA PROGRAMA" dataDxfId="456" dataCellStyle="Normal 2">
      <calculatedColumnFormula>IF(AND(IW2&gt;0,IT2&lt;&gt;""),SUM(IW2-BK2)/7,"")</calculatedColumnFormula>
    </tableColumn>
    <tableColumn id="282" xr3:uid="{00000000-0010-0000-0000-00001A010000}" name="NOMBRE DE LA INSTITUCION DONDE SE ATENDIO EL PARTO O LUGAR ESPECIFICO DEL PARTO SI APLICA" dataDxfId="455" dataCellStyle="Normal 2"/>
    <tableColumn id="283" xr3:uid="{00000000-0010-0000-0000-00001B010000}" name="NIVEL DE COMPLEJIDAD DE LA ATENCION DE LA INSTITUCION DONDE SE ATENDIO EL PARTO" dataDxfId="454" dataCellStyle="Normal 2"/>
    <tableColumn id="284" xr3:uid="{00000000-0010-0000-0000-00001C010000}" name="PROFESIONAL O PERSONA QUE ATIENDE EL PARTO" dataDxfId="453" dataCellStyle="Normal 2"/>
    <tableColumn id="373" xr3:uid="{00000000-0010-0000-0000-000075010000}" name="INICIO TRABAJO DE PARTO" dataDxfId="452" dataCellStyle="Normal 2"/>
    <tableColumn id="285" xr3:uid="{00000000-0010-0000-0000-00001D010000}" name="ACOMPAÑAMIENTO POR PERSONA DE CONFIANZA DURANTE TRABAJO DE PARTO Y PARTO" dataDxfId="451" dataCellStyle="Normal 2"/>
    <tableColumn id="251" xr3:uid="{00000000-0010-0000-0000-0000FB000000}" name="DILIGENCIAMIENTO DE PARTOGRAMA (NO APLICA EN EXPULSIVO)" dataDxfId="450" dataCellStyle="Normal 2"/>
    <tableColumn id="261" xr3:uid="{00000000-0010-0000-0000-000005010000}" name="MANEJO ACTIVO DEL TERCER PERIODO DEL PARTO (USO OXITOCINA,MASAJE UTERINO Y TRACCIÓN SOSTENIDA DE CORDÓN)2" dataDxfId="449" dataCellStyle="Normal 2"/>
    <tableColumn id="262" xr3:uid="{00000000-0010-0000-0000-000006010000}" name="CONTACTO PIEL A PIEL DURANTE MÍNIMO 30 MINUTOS " dataDxfId="448" dataCellStyle="Normal 2"/>
    <tableColumn id="263" xr3:uid="{00000000-0010-0000-0000-000007010000}" name="INICIO DE LACTANCIA MATERNA DURANTE EL CONTACTO PIEL A PIEL O EN LA PRIMERA HORA DE VIDA" dataDxfId="447" dataCellStyle="Normal 2"/>
    <tableColumn id="92" xr3:uid="{00000000-0010-0000-0000-00005C000000}" name="MONITORIA CADA 15 MINUTOS DE SIGNOS VITALES DURANTES LAS PRIMERAS DOS HORAS POSTPARTO (SOPORTE EN HC - 8 VALORACIONES EN LAS PRIMERAS 2 HORAS)" dataDxfId="446" dataCellStyle="Normal 2"/>
    <tableColumn id="264" xr3:uid="{00000000-0010-0000-0000-000008010000}" name="COMPLICACIONES POSTPARTO - HASTA 42 DÍAS" dataDxfId="445" dataCellStyle="Normal 2"/>
    <tableColumn id="286" xr3:uid="{00000000-0010-0000-0000-00001E010000}" name="NUMERO NACIDOS VIVOS" dataDxfId="444" dataCellStyle="Normal 2"/>
    <tableColumn id="288" xr3:uid="{00000000-0010-0000-0000-000020010000}" name="SEXO RN" dataDxfId="443" dataCellStyle="Normal 2"/>
    <tableColumn id="289" xr3:uid="{00000000-0010-0000-0000-000021010000}" name="PESO RN  EN GRAMOS" dataDxfId="442" dataCellStyle="Normal 2"/>
    <tableColumn id="290" xr3:uid="{00000000-0010-0000-0000-000022010000}" name="PESO AL NACER POR EDAD GESTACIONAL" dataDxfId="441"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40" dataCellStyle="Normal 2"/>
    <tableColumn id="294" xr3:uid="{00000000-0010-0000-0000-000026010000}" name="RESULTADO TSH" dataDxfId="439" dataCellStyle="Normal 2"/>
    <tableColumn id="295" xr3:uid="{00000000-0010-0000-0000-000027010000}" name=" FECHA RESULTADO TSH" dataDxfId="438" dataCellStyle="Normal 2"/>
    <tableColumn id="296" xr3:uid="{00000000-0010-0000-0000-000028010000}" name="APLICACIÓN DE VIT K" dataDxfId="437" dataCellStyle="Normal 2"/>
    <tableColumn id="297" xr3:uid="{00000000-0010-0000-0000-000029010000}" name="GRUPO SANGUINEO RN" dataDxfId="436" dataCellStyle="Normal 2"/>
    <tableColumn id="298" xr3:uid="{00000000-0010-0000-0000-00002A010000}" name="FECHA APLICACIÓN VACUNA HEPATITIS B" dataDxfId="435" dataCellStyle="Normal 2"/>
    <tableColumn id="299" xr3:uid="{00000000-0010-0000-0000-00002B010000}" name="FECHA APLICACIÓN VACUNA BCG" dataDxfId="434" dataCellStyle="Normal 2"/>
    <tableColumn id="300" xr3:uid="{00000000-0010-0000-0000-00002C010000}" name="SEXO RN 2" dataDxfId="433" dataCellStyle="Normal 2"/>
    <tableColumn id="301" xr3:uid="{00000000-0010-0000-0000-00002D010000}" name="PESO RN 2 EN GRAMOS2" dataDxfId="432" dataCellStyle="Normal 2"/>
    <tableColumn id="302" xr3:uid="{00000000-0010-0000-0000-00002E010000}" name="PESO AL NACER POR EDAD GESTACIONAL RN 2" dataDxfId="431"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30" dataCellStyle="Normal 2"/>
    <tableColumn id="306" xr3:uid="{00000000-0010-0000-0000-000032010000}" name="RESULTADO TSH 2" dataDxfId="429" dataCellStyle="Normal 2"/>
    <tableColumn id="307" xr3:uid="{00000000-0010-0000-0000-000033010000}" name=" FECHA RESULTADO TSH 2" dataDxfId="428" dataCellStyle="Normal 2"/>
    <tableColumn id="308" xr3:uid="{00000000-0010-0000-0000-000034010000}" name="APLICACIÓN DE VIT K 2" dataDxfId="427" dataCellStyle="Normal 2"/>
    <tableColumn id="309" xr3:uid="{00000000-0010-0000-0000-000035010000}" name="GRUPO SANGUINEO RN 2" dataDxfId="426" dataCellStyle="Normal 2"/>
    <tableColumn id="310" xr3:uid="{00000000-0010-0000-0000-000036010000}" name="FECHA APLICACIÓN VACUNA HEPATITIS B 2" dataDxfId="425" dataCellStyle="Normal 2"/>
    <tableColumn id="311" xr3:uid="{00000000-0010-0000-0000-000037010000}" name="FECHA APLICACIÓN VACUNA BCG 2" dataDxfId="424" dataCellStyle="Normal 2"/>
    <tableColumn id="312" xr3:uid="{00000000-0010-0000-0000-000038010000}" name="CONTROL RN FECHA ASISTIO " dataDxfId="423" dataCellStyle="Normal 2"/>
    <tableColumn id="313" xr3:uid="{00000000-0010-0000-0000-000039010000}" name="ALARMA 1 CONTROL RN" dataDxfId="422"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21" dataCellStyle="Normal 2"/>
    <tableColumn id="316" xr3:uid="{00000000-0010-0000-0000-00003C010000}" name="ALARMA CONTROL PUERPERIO" dataDxfId="420"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19" dataCellStyle="Normal 2"/>
    <tableColumn id="265" xr3:uid="{00000000-0010-0000-0000-000009010000}" name="ASESORIA EN PLANIFICACIÓN FAMILIAR POST EVENTO OBSTETRICO EN AMBITO HOSPITALARIO" dataDxfId="418" dataCellStyle="Normal 2"/>
    <tableColumn id="240" xr3:uid="{00000000-0010-0000-0000-0000F0000000}" name="PUERPERA SALE CON PLANIFICACIÓN FAMILIAR POST EVENTO OBSTETRICO " dataDxfId="417" dataCellStyle="Normal 2"/>
    <tableColumn id="97" xr3:uid="{00000000-0010-0000-0000-000061000000}" name="FECHA INSCRIPCION A PLANIFICACION FAMILIAR2" dataDxfId="416" dataCellStyle="Normal 2"/>
    <tableColumn id="319" xr3:uid="{00000000-0010-0000-0000-00003F010000}" name="METODO DE ANTICONCEPCION INICIADO POSTPARTO" dataDxfId="415" dataCellStyle="Normal 2"/>
    <tableColumn id="320" xr3:uid="{00000000-0010-0000-0000-000040010000}" name="TIPO DE APOYO REALIZADO POR LA EPS" dataDxfId="414" dataCellStyle="Normal 2"/>
    <tableColumn id="321" xr3:uid="{00000000-0010-0000-0000-000041010000}" name="TIPO DE APOYO REALIZADO POR LA IPS PRIMARIA" dataDxfId="413" dataCellStyle="Normal 2"/>
    <tableColumn id="322" xr3:uid="{00000000-0010-0000-0000-000042010000}" name="FECHA SEGUIMIENTO INICIAL POR PERSONAL DE SALUD EN TERRENO" dataDxfId="412" dataCellStyle="Normal 2"/>
    <tableColumn id="304" xr3:uid="{00000000-0010-0000-0000-000030010000}" name="FECHA ÚLTIMO SEGUIMIENTO" dataDxfId="411" dataCellStyle="Normal 2"/>
    <tableColumn id="318" xr3:uid="{00000000-0010-0000-0000-00003E010000}" name="NÚMERO DE SEGUIMIENTOS CPN" dataDxfId="410" dataCellStyle="Normal 2"/>
    <tableColumn id="183" xr3:uid="{00000000-0010-0000-0000-0000B7000000}" name="HALLAZGO GESTACIÓN SEGUIMIENTO POR VISITA DOMICILIARIA" dataDxfId="409" dataCellStyle="Normal 2"/>
    <tableColumn id="332" xr3:uid="{00000000-0010-0000-0000-00004C010000}" name="FECHA SEGUIMIENTOS TELÉFONICOS" dataDxfId="408" dataCellStyle="Normal 2"/>
    <tableColumn id="266" xr3:uid="{00000000-0010-0000-0000-00000A010000}" name="NÚMERO SEGUIMIENTOS TELÉFONCOS" dataDxfId="407" dataCellStyle="Normal 2"/>
    <tableColumn id="267" xr3:uid="{00000000-0010-0000-0000-00000B010000}" name="OBSERVACIÓN SEGUIMIENTO TELÉFONCO" dataDxfId="406" dataCellStyle="Normal 2"/>
    <tableColumn id="272" xr3:uid="{00000000-0010-0000-0000-000010010000}" name="FECHA SEGUIMIENTO POR PERSONAL DE SALUD EN TERRENO  EN PUERPERIO" dataDxfId="405" dataCellStyle="Normal 2"/>
    <tableColumn id="344" xr3:uid="{00000000-0010-0000-0000-000058010000}" name="HALLAZGOS ACOMPAÑAMIENTO PERSONAL DE SALUD PUERPERA" dataDxfId="404" dataCellStyle="Normal 2"/>
    <tableColumn id="347" xr3:uid="{00000000-0010-0000-0000-00005B010000}" name="HALLAZGOS ACOMPAÑAMIENTO PERSONAL DE SALUD RECIEN NACIDO" dataDxfId="403" dataCellStyle="Normal 2"/>
    <tableColumn id="348" xr3:uid="{00000000-0010-0000-0000-00005C010000}" name="FECHA ULTIMO SEGUIMIENTO POR PERSONAL DE SALUD EN TERRENO  EN PUERPERIO" dataDxfId="402" dataCellStyle="Normal 2"/>
    <tableColumn id="349" xr3:uid="{00000000-0010-0000-0000-00005D010000}" name="NÚMERO DE SEGUIMIENTOS EN PUERPERIO" dataDxfId="401" dataCellStyle="Normal 2"/>
    <tableColumn id="350" xr3:uid="{00000000-0010-0000-0000-00005E010000}" name="FECHA PRIMER ACOMPAÑAMIENTO SABEDOR ANCESTRAL" dataDxfId="400" dataCellStyle="Normal 2"/>
    <tableColumn id="22" xr3:uid="{00000000-0010-0000-0000-000016000000}" name="TIPO DE SABEDOR" dataDxfId="399" dataCellStyle="Normal 2"/>
    <tableColumn id="191" xr3:uid="{00000000-0010-0000-0000-0000BF000000}" name="NECESIDAD O DESARMONIA DESDE LO PROPIO 1" dataDxfId="398" dataCellStyle="Normal 2"/>
    <tableColumn id="353" xr3:uid="{00000000-0010-0000-0000-000061010000}" name="ACTIVIDAD O RITUALIDAD REALIZADA1" dataDxfId="397" dataCellStyle="Normal 2"/>
    <tableColumn id="93" xr3:uid="{00000000-0010-0000-0000-00005D000000}" name="FECHA  ACOMPAÑAMIENTO SABEDOR ANCESTRAL2" dataDxfId="396" dataCellStyle="Normal 2"/>
    <tableColumn id="354" xr3:uid="{00000000-0010-0000-0000-000062010000}" name="TIPO DE SABEDOR2" dataDxfId="395" dataCellStyle="Normal 2"/>
    <tableColumn id="355" xr3:uid="{00000000-0010-0000-0000-000063010000}" name="NECESIDAD O DESARMONIA DESDE LO PROPIO 12" dataDxfId="394" dataCellStyle="Normal 2"/>
    <tableColumn id="107" xr3:uid="{00000000-0010-0000-0000-00006B000000}" name="ACTIVIDAD O RITUALIDAD REALIZADA13" dataDxfId="393" dataCellStyle="Normal 2"/>
    <tableColumn id="357" xr3:uid="{00000000-0010-0000-0000-000065010000}" name="FECHA ACOMPAÑAMIENTO SABEDOR ANCESTRAL3" dataDxfId="392" dataCellStyle="Normal 2"/>
    <tableColumn id="358" xr3:uid="{00000000-0010-0000-0000-000066010000}" name="TIPO DE SABEDOR3" dataDxfId="391" dataCellStyle="Normal 2"/>
    <tableColumn id="359" xr3:uid="{00000000-0010-0000-0000-000067010000}" name="NECESIDAD O DESARMONIA DESDE LO PROPIO 13" dataDxfId="390" dataCellStyle="Normal 2"/>
    <tableColumn id="360" xr3:uid="{00000000-0010-0000-0000-000068010000}" name="ACTIVIDAD O RITUALIDAD REALIZADA14" dataDxfId="389" dataCellStyle="Normal 2"/>
    <tableColumn id="361" xr3:uid="{00000000-0010-0000-0000-000069010000}" name="FECHA ACOMPAÑAMIENTO SABEDOR ANCESTRAL4" dataDxfId="388" dataCellStyle="Normal 2"/>
    <tableColumn id="109" xr3:uid="{00000000-0010-0000-0000-00006D000000}" name="TIPO DE SABEDOR4" dataDxfId="387" dataCellStyle="Normal 2"/>
    <tableColumn id="362" xr3:uid="{00000000-0010-0000-0000-00006A010000}" name="NECESIDAD O DESARMONIA DESDE LO PROPIO 14" dataDxfId="386" dataCellStyle="Normal 2"/>
    <tableColumn id="364" xr3:uid="{00000000-0010-0000-0000-00006C010000}" name="ACTIVIDAD O RITUALIDAD REALIZADA15" dataDxfId="385" dataCellStyle="Normal 2"/>
    <tableColumn id="365" xr3:uid="{00000000-0010-0000-0000-00006D010000}" name="FECHA ACOMPAÑAMIENTO SABEDOR ANCESTRAL5" dataDxfId="384" dataCellStyle="Normal 2"/>
    <tableColumn id="366" xr3:uid="{00000000-0010-0000-0000-00006E010000}" name="TIPO DE SABEDOR5" dataDxfId="383" dataCellStyle="Normal 2"/>
    <tableColumn id="367" xr3:uid="{00000000-0010-0000-0000-00006F010000}" name="NECESIDAD O DESARMONIA DESDE LO PROPIO 15" dataDxfId="382" dataCellStyle="Normal 2"/>
    <tableColumn id="369" xr3:uid="{00000000-0010-0000-0000-000071010000}" name="ACTIVIDAD O RITUALIDAD REALIZADA16" dataDxfId="381" dataCellStyle="Normal 2"/>
    <tableColumn id="370" xr3:uid="{00000000-0010-0000-0000-000072010000}" name="FECHA ACOMPAÑAMIENTO SABEDOR ANCESTRAL PUERPERIO Y RECIEN NACIDO" dataDxfId="380" dataCellStyle="Normal 2"/>
    <tableColumn id="371" xr3:uid="{00000000-0010-0000-0000-000073010000}" name="TIPO DE SABEDOR6" dataDxfId="379" dataCellStyle="Normal 2"/>
    <tableColumn id="372" xr3:uid="{00000000-0010-0000-0000-000074010000}" name="NECESIDAD O DESARMONIA DESDE LO PROPIO 16" dataDxfId="378" dataCellStyle="Normal 2"/>
    <tableColumn id="69" xr3:uid="{00000000-0010-0000-0000-000045000000}" name="ACTIVIDAD O RITUALIDAD REALIZADA 6" dataDxfId="377" dataCellStyle="Normal 2"/>
    <tableColumn id="374" xr3:uid="{00000000-0010-0000-0000-000076010000}" name="FECHA ACOMPAÑAMIENTO SABEDOR ANCESTRAL PUERPERIO Y RECIEN NACIDO2" dataDxfId="376" dataCellStyle="Normal 2"/>
    <tableColumn id="182" xr3:uid="{00000000-0010-0000-0000-0000B6000000}" name="TIPO DE SABEDOR7" dataDxfId="375" dataCellStyle="Normal 2"/>
    <tableColumn id="274" xr3:uid="{00000000-0010-0000-0000-000012010000}" name="NECESIDAD O DESARMONIA DESDE LO PROPIO 17" dataDxfId="374" dataCellStyle="Normal 2"/>
    <tableColumn id="292" xr3:uid="{00000000-0010-0000-0000-000024010000}" name="ACTIVIDAD O RITUALIDAD REALIZADA18" dataDxfId="373" dataCellStyle="Normal 2"/>
    <tableColumn id="323" xr3:uid="{00000000-0010-0000-0000-000043010000}" name="FECHA ACOMPAÑAMIENTO SABEDOR ANCESTRAL PUERPERIO Y RECIEN NACIDO22" dataDxfId="372" dataCellStyle="Normal 2"/>
    <tableColumn id="324" xr3:uid="{00000000-0010-0000-0000-000044010000}" name="TIPO DE SABEDOR73" dataDxfId="371" dataCellStyle="Normal 2"/>
    <tableColumn id="325" xr3:uid="{00000000-0010-0000-0000-000045010000}" name="NECESIDAD O DESARMONIA DESDE LO PROPIO 174" dataDxfId="370" dataCellStyle="Normal 2"/>
    <tableColumn id="326" xr3:uid="{00000000-0010-0000-0000-000046010000}" name="ACTIVIDAD O RITUALIDAD REALIZADA185" dataDxfId="369" dataCellStyle="Normal 2"/>
    <tableColumn id="327" xr3:uid="{00000000-0010-0000-0000-000047010000}" name="FECHA ACOMPAÑAMIENTO SABEDOR ANCESTRAL PUERPERIO Y RECIEN NACIDO222" dataDxfId="368" dataCellStyle="Normal 2"/>
    <tableColumn id="328" xr3:uid="{00000000-0010-0000-0000-000048010000}" name="TIPO DE SABEDOR733" dataDxfId="367" dataCellStyle="Normal 2"/>
    <tableColumn id="329" xr3:uid="{00000000-0010-0000-0000-000049010000}" name="NECESIDAD O DESARMONIA DESDE LO PROPIO 1744" dataDxfId="366" dataCellStyle="Normal 2"/>
    <tableColumn id="330" xr3:uid="{00000000-0010-0000-0000-00004A010000}" name="ACTIVIDAD O RITUALIDAD REALIZADA1855" dataDxfId="365" dataCellStyle="Normal 2"/>
    <tableColumn id="331" xr3:uid="{00000000-0010-0000-0000-00004B010000}" name="FECHA ACOMPAÑAMIENTO SABEDOR ANCESTRAL PUERPERIO Y RECIEN NACIDO2222" dataDxfId="364" dataCellStyle="Normal 2"/>
    <tableColumn id="375" xr3:uid="{00000000-0010-0000-0000-000077010000}" name="TIPO DE SABEDOR7333" dataDxfId="363" dataCellStyle="Normal 2"/>
    <tableColumn id="376" xr3:uid="{00000000-0010-0000-0000-000078010000}" name="NECESIDAD O DESARMONIA DESDE LO PROPIO 17444" dataDxfId="362" dataCellStyle="Normal 2"/>
    <tableColumn id="377" xr3:uid="{00000000-0010-0000-0000-000079010000}" name="ACTIVIDAD O RITUALIDAD REALIZADA18555" dataDxfId="361" dataCellStyle="Normal 2"/>
    <tableColumn id="383" xr3:uid="{00000000-0010-0000-0000-00007F010000}" name="TOTAL SEGUIMIENTOS POR PARTERA" dataDxfId="360">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59">
      <calculatedColumnFormula>IF(BX2="","",IF(OR(BX2="CEFÁLICA",BX2="SD"),0,IF(OR(BX2="PODÁLICA",BX2="TRANSVERSA O DE FRENTE",BX2="OBLICUA"),3,"")))</calculatedColumnFormula>
    </tableColumn>
    <tableColumn id="379" xr3:uid="{00000000-0010-0000-0000-00007B010000}" name="PUNTAJE TAMIZAJE CHAGAS RBPS5" dataDxfId="358">
      <calculatedColumnFormula>IF(HD2="","",IF(HD2="POSITIVO",2,"0"))</calculatedColumnFormula>
    </tableColumn>
    <tableColumn id="380" xr3:uid="{00000000-0010-0000-0000-00007C010000}" name="PUNTAJE TAMIZAJE MALARIA RBPS6" dataDxfId="357">
      <calculatedColumnFormula>IF(AND(HF2="",HH2=""),"",IF(OR(HF2="POSITIVO",HH2="POSITIVO"),3,0))</calculatedColumnFormula>
    </tableColumn>
    <tableColumn id="231" xr3:uid="{00000000-0010-0000-0000-0000E7000000}" name="PUNTAJE TOTAL ERBPS2" dataDxfId="356">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55">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54">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53">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52"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51"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50"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49" dataCellStyle="Normal 2">
      <calculatedColumnFormula>COUNT(FG2,FJ2,FM2,FO2)</calculatedColumnFormula>
    </tableColumn>
    <tableColumn id="392" xr3:uid="{00000000-0010-0000-0000-000088010000}" name="# DE TAMIZAJES VIH TOMADOS " dataDxfId="348" dataCellStyle="Normal 2">
      <calculatedColumnFormula>COUNT(GA2,GD2,GG2,GI2)</calculatedColumnFormula>
    </tableColumn>
    <tableColumn id="396" xr3:uid="{00000000-0010-0000-0000-00008C010000}" name="Alarma de apoyo Tamizaje Sífilis" dataDxfId="347"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46"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45"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44"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tabSelected="1" zoomScale="70" zoomScaleNormal="70" zoomScaleSheetLayoutView="76" workbookViewId="0">
      <pane ySplit="1" topLeftCell="A2" activePane="bottomLeft" state="frozen"/>
      <selection pane="bottomLeft" activeCell="G19" sqref="G19"/>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ca="1">IF(M2&gt;0,SUM(TODAY()-M2)/365,"")</f>
        <v/>
      </c>
      <c r="O2" s="35"/>
      <c r="P2" s="39" t="str">
        <f>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IF(OR(BJ2="SD",BK2=""),"",IF(BJ2="",0,SUM(BK2-BJ2)/30))</f>
        <v/>
      </c>
      <c r="BN2" s="57" t="str">
        <f>IF(BS2&gt;0,SUM(BR2-NQ2),"")</f>
        <v/>
      </c>
      <c r="BO2" s="44" t="str">
        <f>IF(AND(BL2="Corregida",BK2&gt;0,R2&gt;0,ISBLANK(BS2)),"SIN SEMANAS X ECO",IF(AND(BL2="Corregida",BK2&gt;0,R2&gt;0),SUM(R2-BN2)/7,IF(AND(OR(BL2="SI",BL2="NO"),BK2&gt;0,R2&gt;0),SUM(R2-BK2)/7,"")))</f>
        <v/>
      </c>
      <c r="BP2" s="31" t="str">
        <f>IF(AND(BO2="",IP2=""),"",IF(AND(BO2="",IP2="DEFINIR FPP POR ECO"),"SIN DATO",IF(BO2&lt;0,"ERROR FUM O INGRESO O ECO",IF(BL2="NO","DEFINIR CON ECO",IF(BO2&lt;12,"I TRIM",IF(BO2&lt;27,"II TRIM",IF(AND(BO2&gt;26,BO2&lt;45),"III TRIM","ERROR FUM O INGRESO O ECO")))))))</f>
        <v/>
      </c>
      <c r="BQ2" s="39" t="str">
        <f ca="1">IF(SUM((TODAY()-BK2)/7)&gt;43.1,"",IF(AND(BK2&gt;0,OR(BL2="si",BL2="Corregida",BL2="NO")),SUM((TODAY()-BK2)/7),""))</f>
        <v/>
      </c>
      <c r="BR2" s="35"/>
      <c r="BS2" s="43"/>
      <c r="BT2" s="35"/>
      <c r="BU2" s="31"/>
      <c r="BV2" s="40"/>
      <c r="BW2" s="40"/>
      <c r="BX2" s="40"/>
      <c r="BY2" s="40"/>
      <c r="BZ2" s="35"/>
      <c r="CA2" s="31"/>
      <c r="CB2" s="31"/>
      <c r="CC2" s="39" t="str">
        <f>IF(AND(OR(O2&gt;0,R2&gt;0),CA2=""),"SD",IF(AND(OR(O2="",R2=""),CA2=""),"",IF(AND(OR(O2&gt;0,R2&gt;0),CA2&gt;0,CB2&gt;0),SUM(CB2)/(CA2*CA2),"X")))</f>
        <v/>
      </c>
      <c r="CD2" s="45" t="str">
        <f>IF(AND(CC2&lt;10,CB2="SD"),"SIN DATO PESO PREGESTACION O I TRIM",IF(AND(OR(R2&gt;0,O2&gt;0),CC2="X"),"INGRESAR DATO DE PESO",IF(CC2="SD","INGRESAR DATO DE TALLA Y PESO",IF(CC2&lt;18.5,"BAJO PESO",IF(CC2&lt;25,"NORMAL",IF(CC2&lt;30,"SOBREPESO",IF(AND(CC2&gt;=30,CC2&lt;50),"OBESIDAD","")))))))</f>
        <v/>
      </c>
      <c r="CE2" s="35"/>
      <c r="CF2" s="31"/>
      <c r="CG2" s="39" t="str">
        <f>IF(AND(OR(O2&gt;0,R2&gt;0),CA2=""),"SD",IF(AND(OR(O2="",R2=""),CA2=""),"",IF(AND(OR(O2&gt;0,R2&gt;0),CA2&gt;0),SUM(CF2)/(CA2*CA2),"X")))</f>
        <v/>
      </c>
      <c r="CH2" s="31" t="str">
        <f>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IF(AND(OR(O2&gt;0,R2&gt;0),CA2=""),"SD",IF(AND(OR(O2="",R2=""),CA2=""),"",IF(AND(OR(O2&gt;0,R2&gt;0),CA2&gt;0),SUM(CK2)/(CA2*CA2),"X")))</f>
        <v/>
      </c>
      <c r="CM2" s="31" t="str">
        <f>IF(AND(CJ2="",BK2=""),"",IF(AND(BK2&gt;0,CJ2=""),"NA",IF(CJ2&lt;BK2,"REVISAR FUM O FECHA PESO",IF(CJ2&gt;0,INT(SUM(CJ2-BK2)/7)))))</f>
        <v/>
      </c>
      <c r="CN2" s="31" t="str">
        <f>IF(OR(CM2="",CM2="NA"),"",IF(AND(CM2&gt;0,CM2&lt;=28),"REGISTRAR EN  TRIM RESPECTIVO",IF(CM2&gt;0,HLOOKUP(CM2,$OI$1:PK2,OH2),"")))</f>
        <v/>
      </c>
      <c r="CO2" s="31" t="str">
        <f>IF(AND(OR(O2&gt;0,R2&gt;0),CD2&lt;&gt;"",CI2&lt;&gt;"",CN2&lt;&gt;""),CN2,IF(AND(OR(O2&gt;0,R2&gt;0),CD2&lt;&gt;"",CI2&lt;&gt;"",CN2=""),CI2,IF(AND(OR(O2&gt;0,R2&gt;0),CD2&lt;&gt;"",CI2="",CN2=""),CD2,IF(AND(OR(O2&gt;0,R2&gt;0),CD2&lt;&gt;"",CI2="",CN2&lt;&gt;""),CN2,""))))</f>
        <v/>
      </c>
      <c r="CP2" s="31"/>
      <c r="CQ2" s="31"/>
      <c r="CR2" s="37" t="str">
        <f>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IF(AND(DU2="",BK2="",R2=""),"",IF(AND(R2="",BK2&gt;0,DU2=""),"",IF(AND(R2&gt;0,DU2&lt;BK2),"REVISAR FUM O FECHA PESO",IF(AND(R2&gt;0,DU2&gt;0,BK2=""),"SD",IF(AND(R2&gt;0,DU2&gt;0,BK2&gt;0),INT(SUM(DU2-BK2)/7))))))</f>
        <v/>
      </c>
      <c r="DW2" s="43" t="str">
        <f>IF(R2&gt;0,SUM(COUNTA(DC2:DN2)+COUNTA(Tabla1[[#This Row],[FECHA CONSULTA PRIMERA VEZ PROGRAMA CPN ]])),"")</f>
        <v/>
      </c>
      <c r="DX2" s="43" t="str">
        <f>IF(AND(DW2&gt;=0,DW2&lt;4),"NO",IF(AND(DW2&gt;=4,DW2&lt;12),"SI",""))</f>
        <v/>
      </c>
      <c r="DY2" s="39" t="str">
        <f>IF(BO2="","",IF(BO2&gt;0,INT(SUM(((40-BO2)/4)+2)),"X"))</f>
        <v/>
      </c>
      <c r="DZ2" s="47" t="str">
        <f>IF(DY2="","",IF(DW2&gt;0,SUM(DW2/DY2),"X"))</f>
        <v/>
      </c>
      <c r="EA2" s="35"/>
      <c r="EB2" s="35"/>
      <c r="EC2" s="35"/>
      <c r="ED2" s="35"/>
      <c r="EE2" s="35"/>
      <c r="EF2" s="35"/>
      <c r="EG2" s="35"/>
      <c r="EH2" s="31"/>
      <c r="EI2" s="31"/>
      <c r="EJ2" s="35"/>
      <c r="EK2" s="43" t="str">
        <f>IF(AND(BP2="ERROR FUM O INGRESO",EJ2&gt;0),"ERROR FUM O INGRESO",IF(AND(EJ2="",R2="",O2=""),"",IF(OR(AND(EJ2&lt;&gt;"",EJ2&lt;BK2),AND(EJ2&lt;&gt;"",SUM((EJ2-BK2)/7)&gt;40)),"CORREGIR FECHA RESULTADO",IF(AND(EJ2="",OR(O2&gt;0,R2&gt;0)),"TOMAR EXAMEN",IF(EJ2&gt;0,SUM(EJ2-BK2)/7,"")))))</f>
        <v/>
      </c>
      <c r="EL2" s="39" t="str">
        <f>IF(AND(OR(O2&gt;0,R2&gt;0),EI2=""),"",IF(AND(OR(O2&gt;0,R2&gt;0),EI2&gt;0,EI2&lt;11),"MANEJO MD POR ANEMIA FERROPENICA",IF(AND(OR(O2&gt;0,R2&gt;0),EI2&lt;=14),"NORMAL- SUMINISTRAR SULFATO FERROSO",IF(AND(OR(O2&gt;0,R2&gt;0),EI2&lt;20),"NO DAR SULFATO FERROSO",""))))</f>
        <v/>
      </c>
      <c r="EM2" s="31" t="str">
        <f>IF(AND(EK2="",BP2=""),"",IF(AND(EK2&lt;&gt;"",BP2="SIN DATO"),"SIN DATO",IF(AND(EK2="",BP2&lt;&gt;""),"",IF(AND(EK2&lt;0,BP2&gt;0),"ERROR FUM O INGRESO",IF(EK2&lt;=13,"I TRIM",IF(EK2&lt;28,"II TRIM",IF(AND(EK2&gt;27,EK2&lt;45),"III TRIM","POR DEFINIR")))))))</f>
        <v/>
      </c>
      <c r="EN2" s="37"/>
      <c r="EO2" s="35"/>
      <c r="EP2" s="44" t="str">
        <f>IF(AND(BP2="ERROR FUM O INGRESO",EO2&gt;0),"ERROR FUM O INGRESO",IF(AND(EO2="",R2="",O2=""),"",IF(OR(AND(EO2&lt;&gt;"",EO2&lt;BK2),AND(EO2&lt;&gt;"",SUM((EO2-BK2)/7)&gt;40)),"CORREGIR FECHA RESULTADO",IF(AND(EO2="",OR(O2&gt;0,R2&gt;0)),"TOMAR EXAMEN",IF(EO2&gt;0,SUM(EO2-BK2)/7,"")))))</f>
        <v/>
      </c>
      <c r="EQ2" s="39" t="str">
        <f>IF(AND(OR(O2&gt;0,R2&gt;0),EN2=""),"",IF(AND(OR(O2&gt;0,R2&gt;0),EN2&gt;0,EN2&lt;10.5),"MANEJO MD POR ANEMIA FERROPENICA",IF(AND(OR(O2&gt;0,R2&gt;0),EN2&lt;14),"NORMAL- SUMINISTRAR SULFATO FERROSO",IF(AND(OR(O2&gt;0,R2&gt;0),EN2&lt;20),"NO DAR SULFATO FERROSO",""))))</f>
        <v/>
      </c>
      <c r="ER2" s="37"/>
      <c r="ES2" s="35"/>
      <c r="ET2" s="44" t="str">
        <f>IF(AND(BP2="ERROR FUM O INGRESO",ES2&gt;0),"ERROR FUM O INGRESO",IF(AND(ES2="",R2="",O2=""),"",IF(OR(AND(ES2&lt;&gt;"",ES2&lt;BK2),AND(ES2&lt;&gt;"",SUM((ES2-BK2)/7)&gt;40)),"CORREGIR FECHA RESULTADO",IF(AND(ES2="",OR(O2&gt;0,R2&gt;0)),"TOMAR EXAMEN",IF(ES2&gt;0,SUM(ES2-BK2)/7,"")))))</f>
        <v/>
      </c>
      <c r="EU2" s="39" t="str">
        <f>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IF(AND(BP2="ERROR FUM O INGRESO",EW2&gt;0),"ERROR FUM O INGRESO",IF(AND(EW2="",R2="",O2=""),"",IF(OR(AND(EW2&lt;&gt;"",EW2&lt;BK2),AND(EW2&lt;&gt;"",SUM((EW2-BK2)/7)&gt;40)),"CORREGIR FECHA RESULTADO",IF(AND(EW2="",OR(O2&gt;0,R2&gt;0)),"TOMAR EXAMEN",IF(EW2&gt;0,SUM(EW2-BK2)/7,"")))))</f>
        <v/>
      </c>
      <c r="EY2" s="44"/>
      <c r="EZ2" s="44"/>
      <c r="FA2" s="44"/>
      <c r="FB2" s="31" t="str">
        <f ca="1">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IF(AND(BP2="ERROR FUM O INGRESO",FC2&gt;0),"ERROR FUM O INGRESO",IF(AND(FC2="",R2="",O2=""),"",IF(OR(AND(FC2&lt;&gt;"",FC2&lt;BK2),AND(FC2&lt;&gt;"",SUM((FC2-BK2)/7)&gt;40)),"CORREGIR FECHA RESULTADO",IF(AND(FC2="",OR(O2&gt;0,R2&gt;0)),"TOMAR EXAMEN",IF(FC2&gt;0,SUM(FC2-BK2)/7,"")))))</f>
        <v/>
      </c>
      <c r="FE2" s="35"/>
      <c r="FF2" s="35"/>
      <c r="FG2" s="44" t="str">
        <f>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IF(AND(BP2="ERROR FUM O INGRESO",FR2&gt;0),"ERROR FUM O INGRESO",IF(AND(FR2="",R2="",O2=""),"",IF(OR(AND(FR2&lt;&gt;"",FR2&lt;BK2),AND(FR2&lt;&gt;"",SUM((FR2-BK2)/7)&gt;40)),"CORREGIR FECHA RESULTADO",IF(AND(FR2="",OR(O2&gt;0,R2&gt;0)),"TOMAR EXAMEN",IF(FR2&gt;0,SUM(FR2-BK2)/7,"")))))</f>
        <v/>
      </c>
      <c r="FT2" s="43"/>
      <c r="FU2" s="35"/>
      <c r="FV2" s="44" t="str">
        <f>IF(AND(BP2="ERROR FUM O INGRESO",FU2&gt;0),"ERROR FUM O INGRESO",IF(AND(FU2="",R2="",O2=""),"",IF(OR(AND(FU2&lt;&gt;"",FU2&lt;BK2),AND(FU2&lt;&gt;"",SUM((FU2-BK2)/7)&gt;40)),"CORREGIR FECHA RESULTADO",IF(AND(FU2="",OR(O2&gt;0,R2&gt;0)),"TOMAR EXAMEN",IF(FU2&gt;0,SUM(FU2-BK2)/7,"")))))</f>
        <v/>
      </c>
      <c r="FW2" s="35"/>
      <c r="FX2" s="35"/>
      <c r="FY2" s="35"/>
      <c r="FZ2" s="35"/>
      <c r="GA2" s="44" t="str">
        <f>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IF(AND(BP2="ERROR FUM O INGRESO",GO2&gt;0),"ERROR FUM O INGRESO",IF(AND(GO2="",R2="",O2=""),"",IF(OR(AND(GO2&lt;&gt;"",GO2&lt;BK2),AND(GO2&lt;&gt;"",SUM((GO2-BK2)/7)&gt;40)),"CORREGIR FECHA RESULTADO",IF(AND(GO2="",OR(O2&gt;0,R2&gt;0)),"TOMAR EXAMEN",IF(GO2&gt;0,SUM(GO2-BK2)/7,"")))))</f>
        <v/>
      </c>
      <c r="GQ2" s="43"/>
      <c r="GR2" s="43"/>
      <c r="GS2" s="35" t="str">
        <f>IF(GQ2="NEGATIVO","CONTROL Igm",IF(AND(GQ2="POSITIVO",GR2="NEGATIVO"),"SE EXCLUYE INFECCION",IF(AND(GQ2="POSITIVO",GR2="POSITIVO"),"TOXOPLASMOSIS, REMITIR PARA MANEJO","")))</f>
        <v/>
      </c>
      <c r="GT2" s="35"/>
      <c r="GU2" s="44" t="str">
        <f>IF(AND(BP2="ERROR FUM O INGRESO",GT2&gt;0),"ERROR FUM O INGRESO",IF(AND(GT2="",R2="",O2=""),"",IF(OR(AND(GT2&lt;&gt;"",GT2&lt;BK2),AND(GT2&lt;&gt;"",SUM((GT2-BK2)/7)&gt;40)),"CORREGIR FECHA RESULTADO",IF(AND(GT2="",OR(O2&gt;0,R2&gt;0)),"TOMAR EXAMEN",IF(GT2&gt;0,SUM(GT2-BK2)/7,"")))))</f>
        <v/>
      </c>
      <c r="GV2" s="31" t="str">
        <f>IF(AND(GU2="",BP2=""),"",IF(AND(GU2&lt;&gt;"",BP2="SIN DATO"),"SIN DATO",IF(AND(GU2="",BP2&lt;&gt;""),"",IF(AND(GU2&lt;0,BP2&gt;0),"ERROR FUM O INGRESO",IF(GU2&lt;=13,"I TRIM",IF(GU2&lt;28,"II TRIM",IF(AND(GU2&gt;27,GU2&lt;45),"III TRIM","POR DEFINIR")))))))</f>
        <v/>
      </c>
      <c r="GW2" s="43"/>
      <c r="GX2" s="46"/>
      <c r="GY2" s="31"/>
      <c r="GZ2" s="35"/>
      <c r="HA2" s="43" t="str">
        <f>IF(GZ2&gt;0,SUM(GZ2-BK2)/7,"")</f>
        <v/>
      </c>
      <c r="HB2" s="31" t="str">
        <f>IF(HA2&lt;0,"ANTES DEL EMBARAZO",IF(AND(HA2&gt;0,HA2&lt;13),"I TRIM",IF(AND(HA2&gt;12,HA2&lt;28),"II TRIM",IF(AND(HA2&gt;27,HA2&lt;41),"III TRIM",""))))</f>
        <v/>
      </c>
      <c r="HC2" s="31" t="str">
        <f>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IF(OR(BL2="SI",BL2="Corregida",BL2="NO"),(BK2+280),IF(BL2="Sin Dato","DEFINIR FPP POR ECO",""))</f>
        <v/>
      </c>
      <c r="IQ2" s="44" t="str">
        <f ca="1">IF(OR(IP2="DEFINIR FPP POR ECO",BP2="ERROR FUM O INGRESO"),"SIN DEFINIR",IF(IP2="","",IF(IP2&gt;0,SUM(IP2-TODAY()),"X")))</f>
        <v/>
      </c>
      <c r="IR2" s="35" t="str">
        <f ca="1">IF(IQ2&lt;0,"POSIBLEMENTE NACIO",IF(IQ2="SIN DEFINIR","SIN DATO",IF(AND(IQ2&gt;=0,IQ2&lt;=7),"SEMANA DE PARTO",IF(AND(IQ2&gt;=8,IQ2&lt;=28),"MENOS DE 4 SEMANAS",IF(AND(IQ2&gt;=29,IQ2&lt;=280),"PENDIENTE","")))))</f>
        <v/>
      </c>
      <c r="IS2" s="35"/>
      <c r="IT2" s="31"/>
      <c r="IU2" s="31"/>
      <c r="IV2" s="51"/>
      <c r="IW2" s="35"/>
      <c r="IX2" s="31"/>
      <c r="IY2" s="44" t="str">
        <f>IF(AND(IW2&gt;0,IT2&lt;&gt;""),SUM(IW2-BK2)/7,"")</f>
        <v/>
      </c>
      <c r="IZ2" s="52"/>
      <c r="JA2" s="31"/>
      <c r="JB2" s="31"/>
      <c r="JC2" s="31"/>
      <c r="JD2" s="31"/>
      <c r="JE2" s="31"/>
      <c r="JF2" s="31"/>
      <c r="JG2" s="31"/>
      <c r="JH2" s="31"/>
      <c r="JI2" s="31"/>
      <c r="JJ2" s="31"/>
      <c r="JK2" s="46"/>
      <c r="JL2" s="31"/>
      <c r="JM2" s="53"/>
      <c r="JN2" s="31" t="str">
        <f>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IF(AND(KF2&lt;&gt;"",KF2&lt;IW2),"INCONSISTENCIA FECHA CONTROL",IF(AND(OR(IT2="Parto",IT2="Cesarea"),KF2&gt;0,IW2&gt;0),SUM(KF2-IW2),IF(AND(OR(IT2="Parto",IT2="Cesarea"),KF2="",IW2&gt;0),"INASISTENTE","")))</f>
        <v/>
      </c>
      <c r="KH2" s="50"/>
      <c r="KI2" s="43" t="str">
        <f>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SUM(COUNTIF(LD2,"PARTERO (A)"),COUNTIF(LH2,"PARTERO (A)"),COUNTIF(LL2,"PARTERO (A)"),COUNTIF(LP2,"PARTERO (A)"),COUNTIF(LT2,"PARTERO (A)"),COUNTIF(LX2,"PARTERO (A)"),COUNTIF(MN2,"PARTERO (A)"))</f>
        <v>0</v>
      </c>
      <c r="MR2" t="str">
        <f>IF(AND(R2="",O2=""),"",IF(AND(OR(O2&gt;0,R2&gt;0),LC2&gt;0),SUM(LC2-BK2)/7,""))</f>
        <v/>
      </c>
      <c r="MS2" t="str">
        <f>IF(AND(MR2="",BP2=""),"",IF(AND(MR2&lt;&gt;"",BP2="SIN DATO"),"SIN DATO",IF(AND(MR2="",BP2&lt;&gt;""),"",IF(AND(MR2&lt;0,BP2&gt;0),"ERROR FUM O INGRESO",IF(MR2&lt;=13,"I TRIM",IF(MR2&lt;28,"II TRIM",IF(AND(MR2&gt;27,MR2&lt;45),"III TRIM","POR DEFINIR")))))))</f>
        <v/>
      </c>
      <c r="MT2">
        <f>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IF(AND(O2&gt;0,BK2&gt;0),SUM(O2-BK2)/7,"")</f>
        <v/>
      </c>
      <c r="MW2" t="str">
        <f>IF(R2&gt;0,MONTH(R2),"")</f>
        <v/>
      </c>
      <c r="MX2" t="str">
        <f>IF(R2&gt;0,YEAR(R2),"")</f>
        <v/>
      </c>
      <c r="MY2" t="str">
        <f>IF(AND(MW2&gt;=1,MW2&lt;=3),"I TRIMESTRE AÑO",IF(AND(MW2&gt;=4,MW2&lt;=6),"II TRIMESTRE AÑO",IF(AND(MW2&gt;=7,MW2&lt;=9),"III TRIMESTRE AÑO",IF(AND(MW2&gt;=10,MW2&lt;=12),"IV TRIMESTRE AÑO",""))))</f>
        <v/>
      </c>
      <c r="MZ2" t="str">
        <f>IF(AND(M2&gt;0,R2&gt;0),DAYS360(M2,R2)/30.44/12,IF(AND(M2&gt;0,O2&gt;0,R2=""),DAYS360(M2,O2)/30.44/12,""))</f>
        <v/>
      </c>
      <c r="NA2" t="str">
        <f>IF(AND(MZ2&gt;7,MZ2&lt;14),2,IF(MZ2&lt;16,1,IF(MZ2&lt;=35,0,IF(AND(MZ2&gt;35,MZ2&lt;50),2,""))))</f>
        <v/>
      </c>
      <c r="NB2" t="str">
        <f>+IF(MZ2="","",IF(MZ2&lt;14,"MENOR 14 AÑOS",IF(MZ2&lt;20,"DE 14 A 19AÑOS",IF(MZ2&lt;25," DE 20 A 24 AÑOS",IF(MZ2&lt;30," DE 25 A 29 AÑOS",IF(MZ2&lt;35," DE 30 A 34 AÑOS",IF(MZ2&lt;40," DE 35 A 39 AÑOS"," DE 40 Y MAS")))))))</f>
        <v/>
      </c>
      <c r="NC2" t="str">
        <f>IF(AW2="SI",1,IF(AW2="NO",0,""))</f>
        <v/>
      </c>
      <c r="ND2" t="str">
        <f>IF(AS2="","",IF(AS2=0,1,IF(AND(AS2&gt;=1,AS2&lt;=4),0,IF(AS2&gt;=5,2,"X"))))</f>
        <v/>
      </c>
      <c r="NE2" t="str">
        <f>IF(AV2="","",IF(AV2=0,0,IF(AV2=1,1,IF(OR(AV2=2,AV2="3 O MAS"),2,"X"))))</f>
        <v/>
      </c>
      <c r="NF2" t="str">
        <f>IF(AX2="SI",1,IF(AX2="NO",0,""))</f>
        <v/>
      </c>
      <c r="NG2" t="str">
        <f>IF(OR(AND(EI2&gt;0,EI2&lt;11),AND(EN2&gt;0,EN2&lt;10.5)),1,"")</f>
        <v/>
      </c>
      <c r="NH2" t="str">
        <f ca="1">IF(AND(AND(BQ2&gt;40.9,BQ2&lt;43),IW2=""),1,"")</f>
        <v/>
      </c>
      <c r="NI2" t="str">
        <f>IF(AND(FY2="",GB2="",GE2="",GH2=""),"",IF(OR(OR(FY2="P.R REACTIVA",FY2="ELISA REACTIVA"),OR(GB2="P.R REACTIVA",GB2="ELISA REACTIVA"),OR(GE2="P.R REACTIVA",GE2="ELISA REACTIVA"),OR(GH2="P.R REACTIVA",GH2="ELISA REACTIVA")),3,""))</f>
        <v/>
      </c>
      <c r="NJ2" t="str">
        <f>IF(BX2="","",IF(OR(BX2="CEFÁLICA",BX2="SD"),0,IF(OR(BX2="PODÁLICA",BX2="TRANSVERSA O DE FRENTE",BX2="OBLICUA"),3,"")))</f>
        <v/>
      </c>
      <c r="NK2" t="str">
        <f>IF(HD2="","",IF(HD2="POSITIVO",2,"0"))</f>
        <v/>
      </c>
      <c r="NL2" t="str">
        <f>IF(AND(HF2="",HH2=""),"",IF(OR(HF2="POSITIVO",HH2="POSITIVO"),3,0))</f>
        <v/>
      </c>
      <c r="NM2" t="str">
        <f>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IF(AND(R2="",O2=""),"",IF(AND(OR(O2&gt;0,R2&gt;0),BK2=""),"SD",IF(AND(OR(O2&gt;0,R2&gt;0),IM2&gt;0),SUM(IM2-BK2)/7,"")))</f>
        <v/>
      </c>
      <c r="NP2" t="str">
        <f>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IF(AND(O2&gt;0,R2=""),"NO CPN",IF(AND(O2="",R2=""),"",IF(AND(R2&gt;0,EF2&gt;0,EE2&gt;0),_xlfn.DAYS(EF2,EE2),IF(AND(R2&gt;0,EF2&gt;0,EE2=""),"NO CITA","X"))))</f>
        <v/>
      </c>
      <c r="NV2" t="str">
        <f>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COUNT(FG2,FJ2,FM2,FO2)</f>
        <v>0</v>
      </c>
      <c r="OC2" s="1">
        <f>COUNT(GA2,GD2,GG2,GI2)</f>
        <v>0</v>
      </c>
      <c r="OD2" s="1" t="str">
        <f>IF(OA2="","",IF(OA2="REVISAR FUM O FECHA SALIDA PROGRAMA","POR DEFINIR",IF(OR(OA2=OB2,OB2&gt;OA2),"COMPLETO",IF(OB2&lt;OA2,"INCOMPLETO",""))))</f>
        <v/>
      </c>
      <c r="OE2" s="1" t="str">
        <f>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IF(AND(O2="",R2=""),"",IF(OR(IN2="VACUNA APLICADA ENTRE SEMANA 20 Y SEMANA 26",IN2="VACUNA APLICADA ENTRE SEMANA 27 Y EL PARTO",IN2="VACUNA APLICADA ANTES SEMANA 20"),"VACUNADA","SIN VACUNAR"))</f>
        <v/>
      </c>
      <c r="OH2" s="148">
        <f>ROW(Tabla1[[#This Row],[SEMANAS DE GESTACION II TRIM]])</f>
        <v>2</v>
      </c>
      <c r="OI2" t="str">
        <f t="shared" ref="OI2:OI5" si="0">IF(AND(CH2=$OI$1,CG2&gt;10,CG2&lt;20.8),"BAJO PESO",IF(AND(CH2=$OI$1,CG2&gt;20.7,CG2&lt;25.8),"NORMAL",IF(AND(CH2=$OI$1,CG2&gt;25.7,CG2&lt;30.6),"SOBREPESO",IF(AND(CH2=$OI$1,CG2&gt;30.5,CG2&lt;50),"OBESIDAD",""))))</f>
        <v/>
      </c>
      <c r="OJ2" t="str">
        <f t="shared" ref="OJ2:OJ5" si="1">IF(AND(CH2=$OJ$1,CG2&gt;10,CG2&lt;20.9),"BAJO PESO",IF(AND(CH2=$OJ$1,CG2&gt;20.8,CG2&lt;25.9),"NORMAL",IF(AND(CH2=$OJ$1,CG2&gt;25.8,CG2&lt;30.7),"SOBREPESO",IF(AND(CH2=$OJ$1,CG2&gt;30.6,CG2&lt;50),"OBESIDAD",""))))</f>
        <v/>
      </c>
      <c r="OK2" t="str">
        <f t="shared" ref="OK2:OK5" si="2">IF(AND(CH2=$OK$1,CG2&gt;10,CG2&lt;21.1),"BAJO PESO",IF(AND(CH2=$OK$1,CG2&gt;21,CG2&lt;26),"NORMAL",IF(AND(CH2=$OK$1,CG2&gt;25.9,CG2&lt;30.8),"SOBREPESO",IF(AND(CH2=$OK$1,CG2&gt;30.7,CG2&lt;50),"OBESIDAD",""))))</f>
        <v/>
      </c>
      <c r="OL2" t="str">
        <f t="shared" ref="OL2:OL5" si="3">IF(AND(CH2=$OL$1,CG2&gt;10,CG2&lt;21.2),"BAJO PESO",IF(AND(CH2=$OL$1,CG2&gt;21.1,CG2&lt;26.1),"NORMAL",IF(AND(CH2=$OL$1,CG2&gt;26,CG2&lt;31.9),"SOBREPESO",IF(AND(CH2=$OL$1,CG2&gt;30.8,CG2&lt;50),"OBESIDAD",""))))</f>
        <v/>
      </c>
      <c r="OM2" t="str">
        <f t="shared" ref="OM2:OM5" si="4">IF(AND(CH2=$OM$1,CG2&gt;10,CG2&lt;21.3),"BAJO PESO",IF(AND(CH2=$OM$1,CG2&gt;21.2,CG2&lt;26.2),"NORMAL",IF(AND(CH2=$OM$1,CG2&gt;26.1,CG2&lt;31),"SOBREPESO",IF(AND(CH2=$OM$1,CG2&gt;30.9,CG2&lt;50),"OBESIDAD",""))))</f>
        <v/>
      </c>
      <c r="ON2" t="str">
        <f t="shared" ref="ON2:ON5" si="5">IF(AND(CH2=$ON$1,CG2&gt;10,CG2&lt;21.5),"BAJO PESO",IF(AND(CH2=$ON$1,CG2&gt;21.4,CG2&lt;26.3),"NORMAL",IF(AND(CH2=$ON$1,CG2&gt;26.2,CG2&lt;31),"SOBREPESO",IF(AND(CH2=$ON$1,CG2&gt;30.9,CG2&lt;50),"OBESIDAD",""))))</f>
        <v/>
      </c>
      <c r="OO2" t="str">
        <f t="shared" ref="OO2:OO5" si="6">IF(AND(CH2=$OO$1,CG2&gt;10,CG2&lt;21.6),"BAJO PESO",IF(AND(CH2=$OO$1,CG2&gt;21.5,CG2&lt;26.4),"NORMAL",IF(AND(CH2=$OO$1,CG2&gt;26.3,CG2&lt;31.1),"SOBREPESO",IF(AND(CH2=$OO$1,CG2&gt;31,CG2&lt;50),"OBESIDAD",""))))</f>
        <v/>
      </c>
      <c r="OP2" t="str">
        <f t="shared" ref="OP2:OP5" si="7">IF(AND(CH2=$OP$1,CG2&gt;10,CG2&lt;21.8),"BAJO PESO",IF(AND(CH2=$OP$1,CG2&gt;21.7,CG2&lt;26.5),"NORMAL",IF(AND(CH2=$OP$1,CG2&gt;26.4,CG2&lt;31.2),"SOBREPESO",IF(AND(CH2=$OP$1,CG2&gt;31.1,CG2&lt;50),"OBESIDAD",""))))</f>
        <v/>
      </c>
      <c r="OQ2" t="str">
        <f t="shared" ref="OQ2:OQ5" si="8">IF(AND(CH2=$OQ$1,CG2&gt;10,CG2&lt;21.9),"BAJO PESO",IF(AND(CH2=$OQ$1,CG2&gt;21.8,CG2&lt;26.7),"NORMAL",IF(AND(CH2=$OQ$1,CG2&gt;26.6,CG2&lt;31.3),"SOBREPESO",IF(AND(CH2=$OQ$1,CG2&gt;31.2,CG2&lt;50),"OBESIDAD",""))))</f>
        <v/>
      </c>
      <c r="OR2" t="str">
        <f t="shared" ref="OR2:OR5" si="9">IF(AND(CH2=$OR$1,CG2&gt;10,CG2&lt;22.1),"BAJO PESO",IF(AND(CH2=$OR$1,CG2&gt;22,CG2&lt;26.8),"NORMAL",IF(AND(CH2=$OR$1,CG2&gt;26.7,CG2&lt;31.4),"SOBREPESO",IF(AND(CH2=$OR$1,CG2&gt;31.3,CG2&lt;50),"OBESIDAD",""))))</f>
        <v/>
      </c>
      <c r="OS2" t="str">
        <f t="shared" ref="OS2:OS5" si="10">IF(AND(CH2=$OS$1,CG2&gt;10,CG2&lt;22.3),"BAJO PESO",IF(AND(CH2=$OS$1,CG2&gt;22.2,CG2&lt;27),"NORMAL",IF(AND(CH2=$OS$1,CG2&gt;26.9,CG2&lt;31.6),"SOBREPESO",IF(AND(CH2=$OS$1,CG2&gt;31.5,CG2&lt;50),"OBESIDAD",""))))</f>
        <v/>
      </c>
      <c r="OT2" t="str">
        <f t="shared" ref="OT2:OT5" si="11">IF(AND(CH2=$OT$1,$CG2&gt;10,CG2&lt;22.5),"BAJO PESO",IF(AND(CH2=$OT$1,CG2&gt;22.4,CG2&lt;27.1),"NORMAL",IF(AND(CH2=$OT$1,CG2&gt;27,CG2&lt;31.7),"SOBREPESO",IF(AND(CH2=$OT$1,CG2&gt;31.6,CG2&lt;50),"OBESIDAD",""))))</f>
        <v/>
      </c>
      <c r="OU2" t="str">
        <f t="shared" ref="OU2:OU5" si="12">IF(AND(CH2=$OU$1,CG2&gt;10,CG2&lt;22.7),"BAJO PESO",IF(AND(CH2=$OU$1,CG2&gt;22.6,CG2&lt;27.3),"NORMAL",IF(AND(CH2=$OU$1,CG2&gt;27.1,CG2&lt;31.8),"SOBREPESO",IF(AND(CH2=$OU$1,CG2&gt;31.7,CG2&lt;50),"OBESIDAD",""))))</f>
        <v/>
      </c>
      <c r="OV2" t="str">
        <f t="shared" ref="OV2:OV5" si="13">IF(AND(CH2=$OV$1,CG2&gt;10,CG2&lt;22.8),"BAJO PESO",IF(AND(CH2=$OV$1,CG2&gt;22.7,CG2&lt;27.4),"NORMAL",IF(AND(CH2=$OV$1,CG2&gt;27.3,CG2&lt;31.9),"SOBREPESO",IF(AND(CH2=$OV$1,CG2&gt;31.8,CG2&lt;50),"OBESIDAD",""))))</f>
        <v/>
      </c>
      <c r="OW2" t="str">
        <f t="shared" ref="OW2:OW5" si="14">IF(AND(CH2=$OW$1,CG2&gt;10,CG2&lt;23),"BAJO PESO",IF(AND(CH2=$OW$1,CG2&gt;22.9,CG2&lt;27.6),"NORMAL",IF(AND(CH2=$OW$1,CG2&gt;27.5,CG2&lt;32),"SOBREPESO",IF(AND(CH2=$OW$1,CG2&gt;31.9,CG2&lt;50),"OBESIDAD",""))))</f>
        <v/>
      </c>
      <c r="OX2" t="str">
        <f t="shared" ref="OX2:OX5" si="15">IF(AND(CM2=$OX$1,CL2&gt;10,CL2&lt;23.2),"BAJO PESO",IF(AND(CM2=$OX$1,CL2&gt;23.1,CL2&lt;27.7),"NORMAL",IF(AND(CM2=$OX$1,CL2&gt;27.6,CL2&lt;32.1),"SOBREPESO",IF(AND(CM2=$OX$1,CL2&gt;32,CL2&lt;50),"OBESIDAD",""))))</f>
        <v/>
      </c>
      <c r="OY2" t="str">
        <f t="shared" ref="OY2:OY5" si="16">IF(AND(CM2=$OY$1,CL2&gt;10,CL2&lt;23.4),"BAJO PESO",IF(AND(CM2=$OY$1,CL2&gt;23.3,CL2&lt;27.9),"NORMAL",IF(AND(CM2=$OY$1,CL2&gt;27.8,CL2&lt;32.2),"SOBREPESO",IF(AND(CM2=$OY$1,CL2&gt;32.1,CL2&lt;50),"OBESIDAD",""))))</f>
        <v/>
      </c>
      <c r="OZ2" t="str">
        <f t="shared" ref="OZ2:OZ5" si="17">IF(AND(CM2=$OZ$1,CL2&gt;10,CL2&lt;23.5),"BAJO PESO",IF(AND(CM2=$OZ$1,CL2&gt;23.4,CL2&lt;28),"NORMAL",IF(AND(CM2=$OZ$1,CL2&gt;27.9,CL2&lt;32.1),"SOBREPESO",IF(AND(CM2=$OZ$1,CL2&gt;32.2,CL2&lt;50),"OBESIDAD",""))))</f>
        <v/>
      </c>
      <c r="PA2" t="str">
        <f t="shared" ref="PA2:PA5" si="18">IF(AND(CM2=$PA$1,CL2&gt;10,CL2&lt;23.7),"BAJO PESO",IF(AND(CM2=$PA$1,CL2&gt;23.6,CL2&lt;28.1),"NORMAL",IF(AND(CM2=$PA$1,CL2&gt;28,CL2&lt;33.4),"SOBREPESO",IF(AND(CM2=$PA$1,CL2&gt;33.3,CL2&lt;50),"OBESIDAD",""))))</f>
        <v/>
      </c>
      <c r="PB2" t="str">
        <f t="shared" ref="PB2:PB5" si="19">IF(AND(CM2=$PB$1,CL2&gt;10,CL2&lt;23.9),"BAJO PESO",IF(AND(CM2=$PB$1,CL2&gt;23.8,CL2&lt;28.2),"NORMAL",IF(AND(CM2=$PB$1,CL2&gt;28.1,CL2&lt;33.5),"SOBREPESO",IF(AND(CM2=$PB$1,CL2&gt;33.4,CL2&lt;50),"OBESIDAD",""))))</f>
        <v/>
      </c>
      <c r="PC2" t="str">
        <f t="shared" ref="PC2:PC5" si="20">IF(AND(CM2=$PC$1,CL2&gt;10,CL2&lt;24),"BAJO PESO",IF(AND(CM2=$PC$1,CL2&gt;23.9,CL2&lt;28.4),"NORMAL",IF(AND(CM2=$PC$1,CL2&gt;28.3,CL2&lt;33.6),"SOBREPESO",IF(AND(CM2=$PC$1,CL2&gt;33.5,CL2&lt;50),"OBESIDAD",""))))</f>
        <v/>
      </c>
      <c r="PD2" t="str">
        <f t="shared" ref="PD2:PD5" si="21">IF(AND(CM2=$PD$1,CL2&gt;10,CL2&lt;24.2),"BAJO PESO",IF(AND(CM2=$PD$1,CL2&gt;24.1,CL2&lt;28.5),"NORMAL",IF(AND(CM2=$PD$1,CL2&gt;28.4,CL2&lt;33.7),"SOBREPESO",IF(AND(CM2=$PD$1,CL2&gt;33.6,CL2&lt;50),"OBESIDAD",""))))</f>
        <v/>
      </c>
      <c r="PE2" t="str">
        <f t="shared" ref="PE2:PE5" si="22">IF(AND(CM2=$PE$1,CL2&gt;10,CL2&lt;24.3),"BAJO PESO",IF(AND(CM2=$PE$1,CL2&gt;24.2,CL2&lt;28.6),"NORMAL",IF(AND(CM2=$PE$1,CL2&gt;28.5,CL2&lt;33.8),"SOBREPESO",IF(AND(CM2=$PE$1,CL2&gt;33.7,CL2&lt;50),"OBESIDAD",""))))</f>
        <v/>
      </c>
      <c r="PF2" t="str">
        <f t="shared" ref="PF2:PF5" si="23">IF(AND(CM2=$PF$1,CL2&gt;10,CL2&lt;24.5),"BAJO PESO",IF(AND(CM2=$PF$1,CL2&gt;24.4,CL2&lt;28.8),"NORMAL",IF(AND(CM2=$PF$1,CL2&gt;28.7,CL2&lt;32.9),"SOBREPESO",IF(AND(CM2=$PF$1,CL2&gt;32.8,CL2&lt;50),"OBESIDAD",""))))</f>
        <v/>
      </c>
      <c r="PG2" t="str">
        <f t="shared" ref="PG2:PG5" si="24">IF(AND(CM2=$PG$1,CL2&gt;10,CL2&lt;24.6),"BAJO PESO",IF(AND(CM2=$PG$1,CL2&gt;24.5,CL2&lt;28.9),"NORMAL",IF(AND(CM2=$PG$1,CL2&gt;28.8,CL2&lt;33),"SOBREPESO",IF(AND(CM2=$PG$1,CL2&gt;32.9,CL2&lt;50),"OBESIDAD",""))))</f>
        <v/>
      </c>
      <c r="PH2" t="str">
        <f t="shared" ref="PH2:PH5" si="25">IF(AND(CM2=$PH$1,CL2&gt;10,CL2&lt;24.8),"BAJO PESO",IF(AND(CM2=$PH$1,CL2&gt;24.7,CL2&lt;29),"NORMAL",IF(AND(CM2=$PH$1,CL2&gt;28.9,CL2&lt;33.1),"SOBREPESO",IF(AND(CM2=$PH$1,CL2&gt;33,CL2&lt;50),"OBESIDAD",""))))</f>
        <v/>
      </c>
      <c r="PI2" t="str">
        <f t="shared" ref="PI2:PI5" si="26">IF(AND(CM2=$PI$1,CL2&gt;10,CL2&lt;25),"BAJO PESO",IF(AND(CM2=$PI$1,CL2&gt;24.9,CL2&lt;29.2),"NORMAL",IF(AND(CM2=$PI$1,CL2&gt;29.1,CL2&lt;33.2),"SOBREPESO",IF(AND(CM2=$PI$1,CL2&gt;33.1,CL2&lt;50),"OBESIDAD",""))))</f>
        <v/>
      </c>
      <c r="PJ2" t="str">
        <f t="shared" ref="PJ2:PJ5" si="27">IF(AND(CM2=$PJ$1,CL2&gt;10,CL2&lt;25.1),"BAJO PESO",IF(AND(CM2=$PJ$1,CL2&gt;25,CL2&lt;29.3),"NORMAL",IF(AND(CM2=$PJ$1,CL2&gt;29.2,CL2&lt;33.3),"SOBREPESO",IF(AND(CM2=$PJ$1,CL2&gt;33.2,CL2&lt;50),"OBESIDAD",""))))</f>
        <v/>
      </c>
      <c r="PK2" t="str">
        <f t="shared" ref="PK2:PK5" si="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921</v>
      </c>
      <c r="C3" s="68" t="s">
        <v>855</v>
      </c>
      <c r="D3" s="187" t="s">
        <v>856</v>
      </c>
      <c r="E3" s="68" t="s">
        <v>857</v>
      </c>
      <c r="F3" s="68" t="s">
        <v>858</v>
      </c>
      <c r="G3" s="68" t="s">
        <v>859</v>
      </c>
      <c r="H3" s="68"/>
      <c r="I3" s="145" t="s">
        <v>860</v>
      </c>
      <c r="J3" s="146">
        <v>1002952263</v>
      </c>
      <c r="K3" s="68" t="s">
        <v>861</v>
      </c>
      <c r="L3" s="68" t="s">
        <v>862</v>
      </c>
      <c r="M3" s="35">
        <v>37247</v>
      </c>
      <c r="N3" s="38">
        <f ca="1">IF(M3&gt;0,SUM(TODAY()-M3)/365,"")</f>
        <v>21.857534246575341</v>
      </c>
      <c r="O3" s="35">
        <v>44662</v>
      </c>
      <c r="P3" s="39" t="str">
        <f>IF(AND(O3="",R3&gt;0),"ACUDE ESPONTANEAMENTE",IF(AND(AND(O3&gt;0,R3=""),OR(IW3&gt;0,IT3&lt;&gt;"")),"NA",IF(AND(O3&gt;0,IW3="",R3=""),"NO",IF(AND(O3&gt;0,R3&gt;0),"SI",""))))</f>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IF(OR(BJ3="SD",BK3=""),"",IF(BJ3="",0,SUM(BK3-BJ3)/30))</f>
        <v>20.133333333333333</v>
      </c>
      <c r="BN3" s="57" t="str">
        <f>IF(BS3&gt;0,SUM(BR3-NQ3),"")</f>
        <v/>
      </c>
      <c r="BO3" s="44">
        <f>IF(AND(BL3="Corregida",BK3&gt;0,R3&gt;0,ISBLANK(BS3)),"SIN SEMANAS X ECO",IF(AND(BL3="Corregida",BK3&gt;0,R3&gt;0),SUM(R3-BN3)/7,IF(AND(OR(BL3="SI",BL3="NO"),BK3&gt;0,R3&gt;0),SUM(R3-BK3)/7,"")))</f>
        <v>0.7142857142857143</v>
      </c>
      <c r="BP3" s="31" t="str">
        <f>IF(AND(BO3="",IP3=""),"",IF(AND(BO3="",IP3="DEFINIR FPP POR ECO"),"SIN DATO",IF(BO3&lt;0,"ERROR FUM O INGRESO O ECO",IF(BL3="NO","DEFINIR CON ECO",IF(BO3&lt;12,"I TRIM",IF(BO3&lt;27,"II TRIM",IF(AND(BO3&gt;26,BO3&lt;45),"III TRIM","ERROR FUM O INGRESO O ECO")))))))</f>
        <v>I TRIM</v>
      </c>
      <c r="BQ3" s="39" t="str">
        <f ca="1">IF(SUM((TODAY()-BK3)/7)&gt;43.1,"",IF(AND(BK3&gt;0,OR(BL3="si",BL3="Corregida",BL3="NO")),SUM((TODAY()-BK3)/7),""))</f>
        <v/>
      </c>
      <c r="BR3" s="35"/>
      <c r="BS3" s="43"/>
      <c r="BT3" s="35"/>
      <c r="BU3" s="31"/>
      <c r="BV3" s="40" t="s">
        <v>886</v>
      </c>
      <c r="BW3" s="40" t="s">
        <v>886</v>
      </c>
      <c r="BX3" s="40" t="s">
        <v>887</v>
      </c>
      <c r="BY3" s="40" t="s">
        <v>887</v>
      </c>
      <c r="BZ3" s="35">
        <v>44662</v>
      </c>
      <c r="CA3" s="31">
        <v>1.6</v>
      </c>
      <c r="CB3" s="31">
        <v>65</v>
      </c>
      <c r="CC3" s="39">
        <f>IF(AND(OR(O3&gt;0,R3&gt;0),CA3=""),"SD",IF(AND(OR(O3="",R3=""),CA3=""),"",IF(AND(OR(O3&gt;0,R3&gt;0),CA3&gt;0,CB3&gt;0),SUM(CB3)/(CA3*CA3),"X")))</f>
        <v>25.390624999999996</v>
      </c>
      <c r="CD3" s="45" t="str">
        <f>IF(AND(CC3&lt;10,CB3="SD"),"SIN DATO PESO PREGESTACION O I TRIM",IF(AND(OR(R3&gt;0,O3&gt;0),CC3="X"),"INGRESAR DATO DE PESO",IF(CC3="SD","INGRESAR DATO DE TALLA Y PESO",IF(CC3&lt;18.5,"BAJO PESO",IF(CC3&lt;25,"NORMAL",IF(CC3&lt;30,"SOBREPESO",IF(AND(CC3&gt;=30,CC3&lt;50),"OBESIDAD","")))))))</f>
        <v>SOBREPESO</v>
      </c>
      <c r="CE3" s="35"/>
      <c r="CF3" s="31"/>
      <c r="CG3" s="39">
        <f>IF(AND(OR(O3&gt;0,R3&gt;0),CA3=""),"SD",IF(AND(OR(O3="",R3=""),CA3=""),"",IF(AND(OR(O3&gt;0,R3&gt;0),CA3&gt;0),SUM(CF3)/(CA3*CA3),"X")))</f>
        <v>0</v>
      </c>
      <c r="CH3" s="31" t="str">
        <f>IF(AND(CE3="",BK3=""),"",IF(AND(BK3&gt;0,CE3=""),"NA",IF(CE3&lt;BK3,"REVISAR FUM O FECHA PESO",IF(CE3&gt;0,INT(SUM(CE3-BK3)/7)))))</f>
        <v>NA</v>
      </c>
      <c r="CI3" s="31" t="str">
        <f>IF(OR(CH3="",CH3="NA"),"",IF(AND(CH3&gt;=29,CH3&lt;=42),"REGISTRAR EN III TRIM",IF(AND(CH3&gt;0,CH3&lt;=13),"REGISTRAR EN I TRIM",IF(CH3="REVISAR FUM O FECHA PESO","REVISAR",IF(CH3&gt;0,HLOOKUP(CH3,$OI$1:PK3,OH3),"")))))</f>
        <v/>
      </c>
      <c r="CJ3" s="35"/>
      <c r="CK3" s="31"/>
      <c r="CL3" s="39">
        <f>IF(AND(OR(O3&gt;0,R3&gt;0),CA3=""),"SD",IF(AND(OR(O3="",R3=""),CA3=""),"",IF(AND(OR(O3&gt;0,R3&gt;0),CA3&gt;0),SUM(CK3)/(CA3*CA3),"X")))</f>
        <v>0</v>
      </c>
      <c r="CM3" s="31" t="str">
        <f>IF(AND(CJ3="",BK3=""),"",IF(AND(BK3&gt;0,CJ3=""),"NA",IF(CJ3&lt;BK3,"REVISAR FUM O FECHA PESO",IF(CJ3&gt;0,INT(SUM(CJ3-BK3)/7)))))</f>
        <v>NA</v>
      </c>
      <c r="CN3" s="31" t="str">
        <f>IF(OR(CM3="",CM3="NA"),"",IF(AND(CM3&gt;0,CM3&lt;=28),"REGISTRAR EN  TRIM RESPECTIVO",IF(CM3&gt;0,HLOOKUP(CM3,$OI$1:PK3,OH3),"")))</f>
        <v/>
      </c>
      <c r="CO3" s="31" t="str">
        <f>IF(AND(OR(O3&gt;0,R3&gt;0),CD3&lt;&gt;"",CI3&lt;&gt;"",CN3&lt;&gt;""),CN3,IF(AND(OR(O3&gt;0,R3&gt;0),CD3&lt;&gt;"",CI3&lt;&gt;"",CN3=""),CI3,IF(AND(OR(O3&gt;0,R3&gt;0),CD3&lt;&gt;"",CI3="",CN3=""),CD3,IF(AND(OR(O3&gt;0,R3&gt;0),CD3&lt;&gt;"",CI3="",CN3&lt;&gt;""),CN3,""))))</f>
        <v>SOBREPESO</v>
      </c>
      <c r="CP3" s="31">
        <v>110</v>
      </c>
      <c r="CQ3" s="31">
        <v>70</v>
      </c>
      <c r="CR3" s="37" t="str">
        <f>IF(AND(OR(R3="",R3&lt;&gt;""),CQ3="",CP3=""),"",IF(AND(OR(O3&gt;0,R3&gt;0),OR(CP3&gt;=140,CQ3&gt;=90)),"DEFINIR ESTADIO HTA",IF(AND(OR(O3&gt;0,R3&gt;0),AND(CP3&gt;120,CP3&lt;=139)),"PRE HTA SEGUIMIENTO",IF(AND(OR(O3&gt;0,R3&gt;0),AND(CQ3&gt;80,CQ3&lt;=89)),"PRE HTA SEGUIMIENTO",IF(AND(OR(O3&gt;0,R3&gt;0),AND(CP3&gt;=80,CP3&lt;=120)),"APARENTEMENTE NORMAL",IF(AND(OR(O3&gt;0,R3&gt;0),AND(CQ3&gt;=50,CQ3&lt;=80)),"APARENTEMENTE NORMAL",IF(AND(OR(O3&gt;0,R3&gt;0),OR(CP3&lt;=70,CQ3&lt;=40)),"HIPOTENSIÓN","")))))))</f>
        <v>APARENTEMENTE NORMAL</v>
      </c>
      <c r="CS3" s="31"/>
      <c r="CT3" s="31"/>
      <c r="CU3" s="37" t="str">
        <f>IF(AND(OR(R3="",R3&lt;&gt;""),CS3="",CT3=""),"",IF(AND(OR(O3&gt;0,R3&gt;0),OR(CS3&gt;=140,CT3&gt;=90)),"ALTO RIESGO PREECLAMPSIA,DEFINIR ESTADIO HTA",IF(AND(OR(O3&gt;0,R3&gt;0),AND(CS3&gt;120,CS3&lt;=139)),"PRE HTA SEGUIMIENTO,RIESGO HIPERTENSION INDUCIDA POR EL EMBARAZO",IF(AND(OR(O3&gt;0,R3&gt;0),AND(CT3&gt;80,CT3&lt;=89)),"PRE HTA SEGUIMIENTO, RIESGO HIPERTENSION INDUCIDA POR EL EMBARAZO",IF(AND(OR(O3&lt;&gt;"",R3&lt;&gt;""),CQ3&lt;&gt;"",CT3&lt;&gt;"",CQ3&lt;=CT3),"VIGILAR CIFRAS PRESION ARTERIAL",IF(AND(OR(O3&gt;0,R3&gt;0),AND(CS3&gt;120,CS3&lt;=139)),"PRE HTA SEGUIMIENTO",IF(AND(OR(O3&gt;0,R3&gt;0),OR(CS3&lt;=60,CT3&lt;40)),"HIPOTENSIÓN",IF(AND(OR(O3&lt;&gt;"",R3&lt;&gt;""),CQ3&lt;&gt;"",CT3&lt;&gt;"",CQ3&gt;CT3),"APARENTEMENTE NORMAL",IF(AND(OR(O3&gt;0,R3&gt;0),AND(CS3&gt;=80,CS3&lt;=120)),"APARENTEMENTE NORMAL",IF(AND(OR(O3&gt;0,R3&gt;0),AND(CT3&gt;=50,CT3&lt;=80)),"APARENTEMENTE NORMAL",""))))))))))</f>
        <v/>
      </c>
      <c r="CV3" s="31"/>
      <c r="CW3" s="31"/>
      <c r="CX3" s="31"/>
      <c r="CY3" s="31"/>
      <c r="CZ3" s="37" t="str">
        <f>IF(AND(OR(R3="",R3&lt;&gt;""),CV3="",CW3="",CX3="",CY3=""),"",IF(AND(OR(O3&gt;0,R3&gt;0),OR(CV3&gt;=140,CW3&gt;=90,CX3&gt;=140,CY3&gt;=90)),"ESTUDIO INMEDIATO HTA PARA DESCARTAR PREECLAMSIA",IF(AND(OR(O3&gt;0,R3&gt;0),OR(AND(CX3&gt;=130,CX3&lt;=139),AND(CV3&gt;=130,CV3&lt;=139))),"PRE HTA,RIESGO ALTO PREECLAMPSIA",IF(AND(OR(O3&gt;0,R3&gt;0),OR(AND(CY3&gt;=80,CY3&lt;=89),AND(CW3&gt;=80,CW3&lt;=89))),"PRE HTA,RIESGO ALTO PREECLAMPSIA",IF(AND(OR(O3&gt;0,R3&gt;0),OR(AND(CX3&gt;120,CX3&lt;=129),AND(CV3&gt;120,CV3&lt;=129))),"RANGO PREHIPERTENSIVO SEGUIMIENTO HTA",IF(AND(OR(O3&lt;&gt;"",R3&lt;&gt;""),CQ3&lt;&gt;"",CW3&lt;&gt;"",CY3&lt;&gt;"",OR(CQ3&lt;CY3,CQ3&lt;CW3)),"VIGILAR CIFRAS PRESION ARTERIAL",IF(AND(OR(O3&lt;&gt;"",R3&lt;&gt;""),CP3="",CQ3="",OR(CW3&lt;CY3,CV3&lt;CX3)),"VIGILAR CIFRAS PRESION ARTERIAL",IF(AND(OR(O3&lt;&gt;"",R3&lt;&gt;""),CQ3&lt;&gt;"",CW3&lt;&gt;"",CY3&lt;&gt;"",OR(CQ3=CY3,CQ3=CW3)),"APARENTEMENTE NORMAL",IF(AND(OR(O3&gt;0,R3&gt;0),OR(AND(CX3&gt;=80,CX3&lt;=120),AND(CV3&gt;=80,CV3&lt;=120))),"APARENTEMENTE NORMAL",IF(AND(OR(O3&gt;0,R3&gt;0),OR(AND(CY3&gt;=50,CY3&lt;80),AND(CW3&gt;=50,CW3&lt;80))),"APARENTEMENTE NORMAL",""))))))))))</f>
        <v/>
      </c>
      <c r="DA3" s="35">
        <v>44662</v>
      </c>
      <c r="DB3" s="35">
        <v>44662</v>
      </c>
      <c r="DC3" s="35"/>
      <c r="DD3" s="35"/>
      <c r="DE3" s="35"/>
      <c r="DF3" s="35"/>
      <c r="DG3" s="35"/>
      <c r="DH3" s="35"/>
      <c r="DI3" s="35"/>
      <c r="DJ3" s="35"/>
      <c r="DK3" s="35"/>
      <c r="DL3" s="35"/>
      <c r="DM3" s="35"/>
      <c r="DN3" s="35"/>
      <c r="DO3" s="43"/>
      <c r="DP3" s="35"/>
      <c r="DQ3" s="31" t="str">
        <f ca="1">IF(AND(BP3="ERROR FUM O INGRESO",DP3&gt;0),"ERROR FUM O INGRESO",IF(AND(DP3="",R3="",O3=""),"",IF(OR(AND(DP3&lt;&gt;"",DP3&lt;BK3),AND(DP3&lt;&gt;"",AND(SUM((DP3-BK3)/7)&gt;0,SUM((DP3-BK3)/7)&lt;28))),"PLAN REALIZADO ANTES III TRIM", IF(AND(DP3="",OR(O3&gt;0,R3&gt;0),AND(BQ3&gt;=28, BQ3&lt;35,DR3="ACTIVA INGRESO A CPN")),"PLANEAR PLAN DE PARTO", IF(AND(DP3="",OR(O3&gt;0,R3&gt;0),BQ3&gt;=35,DR3="ACTIVA INGRESO A CPN"),"CONCERTAR PLAN DE PARTO INMEDIATO", IF(AND(DP3="",OR(O3&gt;0,R3&gt;0),AND(BQ3&gt;0, BQ3&lt;28),OR(DR3="ACTIVA INGRESO A CPN", DR3=" ACTIVA SIN INGRESO CPN")),"EN ESPERA", IF(AND(DP3="",OR(O3&gt;0,R3&gt;0),AND(IY3&gt;0, IY3&lt;28)),"NO APLICA SALE PROGRAMA ANTES III TRIM", IF(AND(DP3="",OR(O3&gt;0,R3&gt;0),AND(IY3&gt;=28, IY3&lt;35)),"SALE PROGRAMA ANTES SEMANA 35", IF(AND(DP3="",OR(O3&gt;0,R3&gt;0),IY3&gt;35),"SALE SIN PLAN DE PARTO",IF(DP3&gt;0,SUM(DP3-BK3)/7,""))))))))))</f>
        <v>SALE SIN PLAN DE PARTO</v>
      </c>
      <c r="DR3" s="46" t="str">
        <f>IF(AND(R3&lt;&gt;"",IT3="CAMBIO DE RESIDENCIA"),"SEGUIMIENTO REPORTE EPS",IF(AND(R3&lt;&gt;"",OR(IT3&lt;&gt;"",IW3&lt;&gt;"")),"SALIO PROGRAMA",IF(AND(AND(R3="",O3&gt;0),OR(IT3&lt;&gt;"",IW3&lt;&gt;"")),"SALE SIN INGRESO CPN",IF(AND(R3="",O3&gt;0,IT3="",IW3=""),"ACTIVA SIN INGRESO CPN",IF(AND(R3&lt;&gt;"",OR(IT3="",IW3="")),"ACTIVA INGRESO A CPN","")))))</f>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DU3" s="35">
        <f>IF(R3="","",IF(R3&gt;0,MAX(Tabla1[[#This Row],[FECHA C2]:[FECHA C13]],Tabla1[[#This Row],[FECHA CONSULTA PRIMERA VEZ PROGRAMA CPN ]])))</f>
        <v>44662</v>
      </c>
      <c r="DV3" s="31">
        <f>IF(AND(DU3="",BK3="",R3=""),"",IF(AND(R3="",BK3&gt;0,DU3=""),"",IF(AND(R3&gt;0,DU3&lt;BK3),"REVISAR FUM O FECHA PESO",IF(AND(R3&gt;0,DU3&gt;0,BK3=""),"SD",IF(AND(R3&gt;0,DU3&gt;0,BK3&gt;0),INT(SUM(DU3-BK3)/7))))))</f>
        <v>0</v>
      </c>
      <c r="DW3" s="43">
        <f>IF(R3&gt;0,SUM(COUNTA(DC3:DN3)+COUNTA(Tabla1[[#This Row],[FECHA CONSULTA PRIMERA VEZ PROGRAMA CPN ]])),"")</f>
        <v>1</v>
      </c>
      <c r="DX3" s="43" t="str">
        <f>IF(AND(DW3&gt;=0,DW3&lt;4),"NO",IF(AND(DW3&gt;=4,DW3&lt;12),"SI",""))</f>
        <v>NO</v>
      </c>
      <c r="DY3" s="39">
        <f>IF(BO3="","",IF(BO3&gt;0,INT(SUM(((40-BO3)/4)+2)),"X"))</f>
        <v>11</v>
      </c>
      <c r="DZ3" s="47">
        <f>IF(DY3="","",IF(DW3&gt;0,SUM(DW3/DY3),"X"))</f>
        <v>9.0909090909090912E-2</v>
      </c>
      <c r="EA3" s="35">
        <v>44662</v>
      </c>
      <c r="EB3" s="35">
        <v>44662</v>
      </c>
      <c r="EC3" s="35">
        <v>44662</v>
      </c>
      <c r="ED3" s="35"/>
      <c r="EE3" s="35">
        <v>44662</v>
      </c>
      <c r="EF3" s="35"/>
      <c r="EG3" s="35"/>
      <c r="EH3" s="31"/>
      <c r="EI3" s="31">
        <v>14</v>
      </c>
      <c r="EJ3" s="35">
        <v>44662</v>
      </c>
      <c r="EK3" s="43">
        <f>IF(AND(BP3="ERROR FUM O INGRESO",EJ3&gt;0),"ERROR FUM O INGRESO",IF(AND(EJ3="",R3="",O3=""),"",IF(OR(AND(EJ3&lt;&gt;"",EJ3&lt;BK3),AND(EJ3&lt;&gt;"",SUM((EJ3-BK3)/7)&gt;40)),"CORREGIR FECHA RESULTADO",IF(AND(EJ3="",OR(O3&gt;0,R3&gt;0)),"TOMAR EXAMEN",IF(EJ3&gt;0,SUM(EJ3-BK3)/7,"")))))</f>
        <v>0.7142857142857143</v>
      </c>
      <c r="EL3" s="39" t="str">
        <f>IF(AND(OR(O3&gt;0,R3&gt;0),EI3=""),"",IF(AND(OR(O3&gt;0,R3&gt;0),EI3&gt;0,EI3&lt;11),"MANEJO MD POR ANEMIA FERROPENICA",IF(AND(OR(O3&gt;0,R3&gt;0),EI3&lt;=14),"NORMAL- SUMINISTRAR SULFATO FERROSO",IF(AND(OR(O3&gt;0,R3&gt;0),EI3&lt;20),"NO DAR SULFATO FERROSO",""))))</f>
        <v>NORMAL- SUMINISTRAR SULFATO FERROSO</v>
      </c>
      <c r="EM3" s="31" t="str">
        <f>IF(AND(EK3="",BP3=""),"",IF(AND(EK3&lt;&gt;"",BP3="SIN DATO"),"SIN DATO",IF(AND(EK3="",BP3&lt;&gt;""),"",IF(AND(EK3&lt;0,BP3&gt;0),"ERROR FUM O INGRESO",IF(EK3&lt;=13,"I TRIM",IF(EK3&lt;28,"II TRIM",IF(AND(EK3&gt;27,EK3&lt;45),"III TRIM","POR DEFINIR")))))))</f>
        <v>I TRIM</v>
      </c>
      <c r="EN3" s="37"/>
      <c r="EO3" s="35"/>
      <c r="EP3" s="44" t="str">
        <f>IF(AND(BP3="ERROR FUM O INGRESO",EO3&gt;0),"ERROR FUM O INGRESO",IF(AND(EO3="",R3="",O3=""),"",IF(OR(AND(EO3&lt;&gt;"",EO3&lt;BK3),AND(EO3&lt;&gt;"",SUM((EO3-BK3)/7)&gt;40)),"CORREGIR FECHA RESULTADO",IF(AND(EO3="",OR(O3&gt;0,R3&gt;0)),"TOMAR EXAMEN",IF(EO3&gt;0,SUM(EO3-BK3)/7,"")))))</f>
        <v>TOMAR EXAMEN</v>
      </c>
      <c r="EQ3" s="39" t="str">
        <f>IF(AND(OR(O3&gt;0,R3&gt;0),EN3=""),"",IF(AND(OR(O3&gt;0,R3&gt;0),EN3&gt;0,EN3&lt;10.5),"MANEJO MD POR ANEMIA FERROPENICA",IF(AND(OR(O3&gt;0,R3&gt;0),EN3&lt;14),"NORMAL- SUMINISTRAR SULFATO FERROSO",IF(AND(OR(O3&gt;0,R3&gt;0),EN3&lt;20),"NO DAR SULFATO FERROSO",""))))</f>
        <v/>
      </c>
      <c r="ER3" s="37" t="s">
        <v>893</v>
      </c>
      <c r="ES3" s="35">
        <v>44662</v>
      </c>
      <c r="ET3" s="44">
        <f>IF(AND(BP3="ERROR FUM O INGRESO",ES3&gt;0),"ERROR FUM O INGRESO",IF(AND(ES3="",R3="",O3=""),"",IF(OR(AND(ES3&lt;&gt;"",ES3&lt;BK3),AND(ES3&lt;&gt;"",SUM((ES3-BK3)/7)&gt;40)),"CORREGIR FECHA RESULTADO",IF(AND(ES3="",OR(O3&gt;0,R3&gt;0)),"TOMAR EXAMEN",IF(ES3&gt;0,SUM(ES3-BK3)/7,"")))))</f>
        <v>0.7142857142857143</v>
      </c>
      <c r="EU3" s="39" t="str">
        <f>IF(ER3="A-","RIESGO DE INCOMPATIBILIDAD RH",IF(ER3="B-","RIESGO DE INCOMPATIBILIDAD RH",IF(ER3="O-","RIESGO DE INCOMPATIBILIDAD RH",IF(ER3="AB-","RIESGO DE INCOMPATIBILIDAD RH",IF(OR(ER3="A+",ER3="A--"),"NO HAY RIESGO POR RH",IF(OR(ER3="B+",ER3="B--"),"NO HAY RIESGO POR RH",IF(OR(ER3="O+",ER3="O--"),"NO HAY RIESGO POR RH",IF(OR(ER3="AB+",ER3="AB--"),"NO HAY RIESGO POR RH",IF(ER3=0,"")))))))))</f>
        <v>NO HAY RIESGO POR RH</v>
      </c>
      <c r="EV3" s="31">
        <v>95</v>
      </c>
      <c r="EW3" s="35">
        <v>44662</v>
      </c>
      <c r="EX3" s="44">
        <f>IF(AND(BP3="ERROR FUM O INGRESO",EW3&gt;0),"ERROR FUM O INGRESO",IF(AND(EW3="",R3="",O3=""),"",IF(OR(AND(EW3&lt;&gt;"",EW3&lt;BK3),AND(EW3&lt;&gt;"",SUM((EW3-BK3)/7)&gt;40)),"CORREGIR FECHA RESULTADO",IF(AND(EW3="",OR(O3&gt;0,R3&gt;0)),"TOMAR EXAMEN",IF(EW3&gt;0,SUM(EW3-BK3)/7,"")))))</f>
        <v>0.7142857142857143</v>
      </c>
      <c r="EY3" s="44"/>
      <c r="EZ3" s="44"/>
      <c r="FA3" s="44"/>
      <c r="FB3" s="31" t="str">
        <f ca="1">IF(AND(OR(EY3&gt;0,EZ3&gt;0,FA3&gt;0),FD3&gt;0,FD3&lt;24,AND(EY3&gt;1,EY3&lt;92),AND(EZ3&gt;1,EZ3&lt;180),AND(FA3&gt;1,FA3&lt;153)),"NORMAL, NO DESCARTA DIABETES POR REALIZARLO ANTES DE  SEMANA 24, ",IF(AND(OR(EY3&gt;0,EZ3&gt;0,FA3&gt;0),FD3&gt;0,FD3&lt;24,OR(EY3&gt;=92,EZ3&gt;=180,FA3&gt;=153)),"DIABETES, REMITIR",IF(AND(BQ3="",FC3="",EY3="",EZ3="",FA3=""),"",IF(AND(BQ3&gt;=19,BQ3&lt;24,FC3="",EY3="",EZ3="",FA3=""),"PROGRAMAR TOMA PTOG SIGUIENTE CONTROL",IF(AND(BQ3&gt;=24,FC3="",EY3="",EZ3="",FA3=""),"TOMAR PTOG",IF(OR(EY3&gt;=92,EZ3&gt;=180,FA3&gt;=153),"DIABETES, REMITIR",IF(AND(AND(EY3&gt;1,EY3&lt;92),AND(EZ3&gt;1,EZ3&lt;180),AND(FA3&gt;1,FA3&lt;153)),"NORMAL",IF(AND(EY3&gt;0,OR(EZ3=0,FA3=0)),"NO COMPLETA EXAMEN",""))))))))</f>
        <v/>
      </c>
      <c r="FC3" s="48"/>
      <c r="FD3" s="44" t="str">
        <f>IF(AND(BP3="ERROR FUM O INGRESO",FC3&gt;0),"ERROR FUM O INGRESO",IF(AND(FC3="",R3="",O3=""),"",IF(OR(AND(FC3&lt;&gt;"",FC3&lt;BK3),AND(FC3&lt;&gt;"",SUM((FC3-BK3)/7)&gt;40)),"CORREGIR FECHA RESULTADO",IF(AND(FC3="",OR(O3&gt;0,R3&gt;0)),"TOMAR EXAMEN",IF(FC3&gt;0,SUM(FC3-BK3)/7,"")))))</f>
        <v>TOMAR EXAMEN</v>
      </c>
      <c r="FE3" s="35" t="s">
        <v>894</v>
      </c>
      <c r="FF3" s="35">
        <v>44662</v>
      </c>
      <c r="FG3" s="44">
        <f ca="1">IF(AND(BP3="ERROR FUM O INGRESO",FF3&gt;0),"ERROR FUM O INGRESO",IF(AND(FF3="",R3="",O3=""),"",IF(OR(AND(FF3&lt;&gt;"",FF3&lt;BK3),AND(FF3&lt;&gt;"",AND(SUM((FF3-BK3)/7)&gt;=13,SUM((FF3-BK3)/7)&lt;27))),"REGISTRAR EN II TRIMESTRE",IF(OR(AND(FF3&lt;&gt;"",FF3&lt;BK3),AND(FF3&lt;&gt;"",AND(SUM((FF3-BK3)/7)&gt;=27,SUM((FF3-BK3)/7)&lt;44))),"REGISTRAR EN III TRIMESTRE",IF(AND(FF3="",OR(O3&gt;0,R3&gt;0),AND(BQ3&gt;1,BQ3&lt;10)),"EN RANGO PARA TOMAR EXAMEN",IF(AND(FF3="",OR(O3&gt;0,R3&gt;0),AND(BQ3&gt;=10,BQ3&lt;13)),"TOMA INMEDIATA DE TAMIZAJE",IF(AND(FF3="",BO3&lt;13,OR(O3&gt;0,R3&gt;0)),"PIERDE TOMA DE TAMIZAJE",IF(AND(FF3="",OR(O3&gt;0,R3&gt;0),AND(BO3&gt;=13,BO3&lt;43)),"NO APLICA-INGRESO TARDIO",IF(FF3&gt;0,SUM(FF3-BK3)/7,"")))))))))</f>
        <v>0.7142857142857143</v>
      </c>
      <c r="FH3" s="35"/>
      <c r="FI3" s="49"/>
      <c r="FJ3" s="44" t="str">
        <f ca="1">IF(AND(BP3="ERROR FUM O INGRESO",FI3&gt;0),"ERROR FUM O INGRESO",IF(AND(FI3="",R3="",O3=""),"",IF(AND(FI3&lt;&gt;"",FI3&lt;BK3), "INCOHERENCIA FUM Y FECHA TAMIZAJE",IF(AND(FI3="",DR3="ACTIVA INGRESO A CPN",AND(BQ3&gt;0,BQ3&lt;13)),"EN ESPERA-ESTÁ I TRIM", IF(AND(FI3="",AND(BO3&gt;0, BO3&lt;13),OR(O3&gt;0,R3&gt;0),AND(IY3&gt;0,IY3&lt;13)),"NO APLICA-SALIO DEL PROGRAMA I TRIM",IF(AND(FI3&lt;&gt;"",AND(SUM((FI3-BK3)/7)&gt;0,SUM((FI3-BK3)/7)&lt;13)),"REGISTRAR EN I TRIMESTRE",IF(AND(FI3&lt;&gt;"",AND(SUM((FI3-BK3)/7)&gt;=27,SUM((FI3-BK3)/7)&lt;44)),"REGISTRAR EN III TRIMESTRE",IF(AND(FI3="",OR(O3&gt;0,R3&gt;0),AND(BQ3&gt;=13,BQ3&lt;24),DR3="ACTIVA INGRESO A CPN"),"EN RANGO PARA TOMAR EXAMEN",IF(AND(FI3="",OR(O3&gt;0,R3&gt;0),AND(BQ3&gt;=25,BQ3&lt;27),DR3="ACTIVA INGRESO A CPN"),"TOMA INMEDIATA DE TAMIZAJE",IF(AND(FI3="",OR(O3&gt;0,R3&gt;0),AND(BO3&gt;=27,BO3&lt;44)),"NO APLICA-INGRESO TARDIO",IF(AND(FI3="",BO3&lt;27),"PIERDE TOMA DE TAMIZAJE",IF(FI3&gt;0,SUM(FI3-BK3)/7,""))))))))))))</f>
        <v>PIERDE TOMA DE TAMIZAJE</v>
      </c>
      <c r="FK3" s="35"/>
      <c r="FL3" s="49"/>
      <c r="FM3" s="44" t="str">
        <f ca="1">IF(AND(BP3="ERROR FUM O INGRESO",FL3&gt;0),"ERROR FUM O INGRESO",IF(AND(FL3="",R3="",O3=""),"",IF(AND(FL3&lt;&gt;"",FL3&lt;BK3), "INCOHERENCIA FUM Y FECHA TAMIZAJE",IF(AND(FL3="",DR3="ACTIVA INGRESO A CPN",AND(BQ3&gt;0,BQ3&lt;27)),"EN ESPERA-ESTÁ I TRIM O II TRIM", IF(AND(FL3="",AND(BO3&gt;0, BO3&lt;27),OR(O3&gt;0,R3&gt;0),AND(IY3&gt;0,IY3&lt;27)),"NO APLICA-SALIO DEL PROGRAMA I O II TRIM",IF(AND(FL3&lt;&gt;"",AND(SUM((FL3-BK3)/7)&gt;0,SUM((FL3-BK3)/7)&lt;13)),"REGISTAR EN I TRIMESTRE",IF(AND(FL3&lt;&gt;"",AND(SUM((FL3-BK3)/7)&gt;=13,SUM((FL3-BK3)/7)&lt;27)),"REGISTRAR EN II TRIMESTRE",IF(AND(FL3="",OR(O3&gt;0,R3&gt;0),AND(BQ3&gt;=28,BQ3&lt;35),DR3="ACTIVA INGRESO A CPN"),"EN RANGO PARA TOMAR EXAMEN",IF(AND(FL3="",OR(O3&gt;0,R3&gt;0),BQ3&gt;=35, DR3="ACTIVA INGRESO A CPN"),"TOMA INMEDIATA DE TAMIZAJE",IF(AND(FL3="",DR3= "SALE SIN INGRESO CPN"),"NO APLICA-SIN CPN",IF(AND(FL3="",BO3&lt;44),"PIERDE TOMA DE TAMIZAJE",IF(FL3&gt;0,SUM(FL3-BK3)/7,""))))))))))))</f>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IF(AND(BP3="ERROR FUM O INGRESO",FR3&gt;0),"ERROR FUM O INGRESO",IF(AND(FR3="",R3="",O3=""),"",IF(OR(AND(FR3&lt;&gt;"",FR3&lt;BK3),AND(FR3&lt;&gt;"",SUM((FR3-BK3)/7)&gt;40)),"CORREGIR FECHA RESULTADO",IF(AND(FR3="",OR(O3&gt;0,R3&gt;0)),"TOMAR EXAMEN",IF(FR3&gt;0,SUM(FR3-BK3)/7,"")))))</f>
        <v>0.7142857142857143</v>
      </c>
      <c r="FT3" s="43" t="s">
        <v>895</v>
      </c>
      <c r="FU3" s="35">
        <v>44662</v>
      </c>
      <c r="FV3" s="44">
        <f>IF(AND(BP3="ERROR FUM O INGRESO",FU3&gt;0),"ERROR FUM O INGRESO",IF(AND(FU3="",R3="",O3=""),"",IF(OR(AND(FU3&lt;&gt;"",FU3&lt;BK3),AND(FU3&lt;&gt;"",SUM((FU3-BK3)/7)&gt;40)),"CORREGIR FECHA RESULTADO",IF(AND(FU3="",OR(O3&gt;0,R3&gt;0)),"TOMAR EXAMEN",IF(FU3&gt;0,SUM(FU3-BK3)/7,"")))))</f>
        <v>0.7142857142857143</v>
      </c>
      <c r="FW3" s="35">
        <v>44662</v>
      </c>
      <c r="FX3" s="35">
        <v>44662</v>
      </c>
      <c r="FY3" s="35" t="s">
        <v>896</v>
      </c>
      <c r="FZ3" s="35">
        <v>44662</v>
      </c>
      <c r="GA3" s="44">
        <f ca="1">IF(AND(BP3="ERROR FUM O INGRESO",FZ3&gt;0),"ERROR FUM O INGRESO",IF(AND(FZ3="",R3="",O3=""),"",IF(OR(AND(FZ3&lt;&gt;"",FZ3&lt;BK3),AND(FZ3&lt;&gt;"",AND(SUM((FZ3-BK3)/7)&gt;=13,SUM((FZ3-BK3)/7)&lt;27))),"REGISTRAR EN II TRIMESTRE",IF(OR(AND(FZ3&lt;&gt;"",FZ3&lt;BK3),AND(FZ3&lt;&gt;"",AND(SUM((FZ3-BK3)/7)&gt;=27,SUM((FZ3-BK3)/7)&lt;44))),"REGISTRAR EN III TRIMESTRE",IF(AND(FZ3="",OR(O3&gt;0,R3&gt;0),AND(BQ3&gt;1,BQ3&lt;10)),"EN RANGO PARA TOMAR EXAMEN",IF(AND(FZ3="",OR(O3&gt;0,R3&gt;0),AND(BQ3&gt;=10,BQ3&lt;12)),"TOMA INMEDIATA DE TAMIZAJE",IF(AND(FZ3="",BO3&lt;12,OR(O3&gt;0,R3&gt;0)),"PIERDE TOMA DE TAMIZAJE",IF(AND(FZ3="",OR(O3&gt;0,R3&gt;0),AND(BO3&gt;=13,BO3&lt;44)),"NO APLICA-INGRESO TARDIO",IF(FZ3&gt;0,SUM(FZ3-BK3)/7,"")))))))))</f>
        <v>0.7142857142857143</v>
      </c>
      <c r="GB3" s="35"/>
      <c r="GC3" s="35"/>
      <c r="GD3" s="44" t="str">
        <f ca="1">IF(AND(BP3="ERROR FUM O INGRESO",GC3&gt;0),"ERROR FUM O INGRESO",IF(AND(GC3="",R3="",O3=""),"",IF(AND(GC3&lt;&gt;"",GC3&lt;BK3), "INCOHERENCIA FUM Y FECHA TAMIZAJE",IF(AND(GC3="",DR3="ACTIVA INGRESO A CPN",AND(BQ3&gt;0,BQ3&lt;13)),"EN ESPERA-ESTÁ I TRIM", IF(AND(GC3="",AND(BO3&gt;0, BO3&lt;12),OR(O3&gt;0,R3&gt;0),AND(IY3&gt;0,IY3&lt;13)),"NO APLICA-SALIO DEL PROGRAMA I TRIM",IF(AND(GC3&lt;&gt;"",AND(SUM((GC3-BK3)/7)&gt;0,SUM((GC3-BK3)/7)&lt;13)),"REGISTRAR EN I TRIMESTRE",IF(AND(GC3&lt;&gt;"",AND(SUM((GC3-BK3)/7)&gt;=27,SUM((GC3-BK3)/7)&lt;44)),"REGISTRAR EN III TRIMESTRE",IF(AND(GC3="",OR(O3&gt;0,R3&gt;0),AND(BQ3&gt;=12,BQ3&lt;25),DR3="ACTIVA INGRESO A CPN"),"EN RANGO PARA TOMAR EXAMEN",IF(AND(GC3="",OR(O3&gt;0,R3&gt;0),AND(BQ3&gt;=25,BQ3&lt;27),DR3="ACTIVA INGRESO A CPN"),"TOMA INMEDIATA DE TAMIZAJE",IF(AND(GC3="",OR(O3&gt;0,R3&gt;0),AND(BO3&gt;=27,BO3&lt;43)),"NO APLICA-INGRESO TARDIO",IF(AND(GC3="",BO3&lt;27),"PIERDE TOMA DE TAMIZAJE",IF(GC3&gt;0,SUM(GC3-BK3)/7,""))))))))))))</f>
        <v>PIERDE TOMA DE TAMIZAJE</v>
      </c>
      <c r="GE3" s="35"/>
      <c r="GF3" s="35"/>
      <c r="GG3" s="44" t="str">
        <f ca="1">IF(AND(BP3="ERROR FUM O INGRESO",GF3&gt;0),"ERROR FUM O INGRESO",IF(AND(GF3="",R3="",O3=""),"",IF(AND(GF3&lt;&gt;"",GF3&lt;BK3), "INCOHERENCIA FUM Y FECHA TAMIZAJE",IF(AND(GF3="",DR3="ACTIVA INGRESO A CPN",AND(BQ3&gt;0,BQ3&lt;27)),"EN ESPERA-ESTÁ I TRIM O II TRIM", IF(AND(GF3="",AND(BO3&gt;0, BO3&lt;28),OR(O3&gt;0,R3&gt;0),AND(IY3&gt;0,IY3&lt;28)),"NO APLICA-SALIO DEL PROGRAMA I O II TRIM",IF(AND(GF3&lt;&gt;"",AND(SUM((GF3-BK3)/7)&gt;0,SUM((GF3-BK3)/7)&lt;13)),"REGISTAR EN I TRIMESTRE",IF(AND(GF3&lt;&gt;"",AND(SUM((GF3-BK3)/7)&gt;=13,SUM((GF3-BK3)/7)&lt;27)),"REGISTRAR EN II TRIMESTRE",IF(AND(GF3="",OR(O3&gt;0,R3&gt;0),AND(BQ3&gt;=28,BQ3&lt;35),DR3="ACTIVA INGRESO A CPN"),"EN RANGO PARA TOMAR EXAMEN",IF(AND(GF3="",OR(O3&gt;0,R3&gt;0),BQ3&gt;=35, DR3="ACTIVA INGRESO A CPN"),"TOMA INMEDIATA DE TAMIZAJE",IF(AND(GF3="",DR3= "SALE SIN INGRESO CPN"),"NO APLICA-SIN CPN",IF(AND(GF3="",BO3&lt;44),"PIERDE TOMA DE TAMIZAJE",IF(GF3&gt;0,SUM(GF3-BK3)/7,""))))))))))))</f>
        <v>PIERDE TOMA DE TAMIZAJE</v>
      </c>
      <c r="GH3" s="35"/>
      <c r="GI3" s="44"/>
      <c r="GJ3" s="35" t="s">
        <v>883</v>
      </c>
      <c r="GK3" s="35"/>
      <c r="GL3" s="35" t="s">
        <v>883</v>
      </c>
      <c r="GM3" s="35"/>
      <c r="GN3" s="43" t="s">
        <v>895</v>
      </c>
      <c r="GO3" s="35">
        <v>44662</v>
      </c>
      <c r="GP3" s="44">
        <f>IF(AND(BP3="ERROR FUM O INGRESO",GO3&gt;0),"ERROR FUM O INGRESO",IF(AND(GO3="",R3="",O3=""),"",IF(OR(AND(GO3&lt;&gt;"",GO3&lt;BK3),AND(GO3&lt;&gt;"",SUM((GO3-BK3)/7)&gt;40)),"CORREGIR FECHA RESULTADO",IF(AND(GO3="",OR(O3&gt;0,R3&gt;0)),"TOMAR EXAMEN",IF(GO3&gt;0,SUM(GO3-BK3)/7,"")))))</f>
        <v>0.7142857142857143</v>
      </c>
      <c r="GQ3" s="43" t="s">
        <v>895</v>
      </c>
      <c r="GR3" s="43" t="s">
        <v>895</v>
      </c>
      <c r="GS3" s="35" t="str">
        <f>IF(GQ3="NEGATIVO","CONTROL Igm",IF(AND(GQ3="POSITIVO",GR3="NEGATIVO"),"SE EXCLUYE INFECCION",IF(AND(GQ3="POSITIVO",GR3="POSITIVO"),"TOXOPLASMOSIS, REMITIR PARA MANEJO","")))</f>
        <v>CONTROL Igm</v>
      </c>
      <c r="GT3" s="35">
        <v>44662</v>
      </c>
      <c r="GU3" s="44">
        <f>IF(AND(BP3="ERROR FUM O INGRESO",GT3&gt;0),"ERROR FUM O INGRESO",IF(AND(GT3="",R3="",O3=""),"",IF(OR(AND(GT3&lt;&gt;"",GT3&lt;BK3),AND(GT3&lt;&gt;"",SUM((GT3-BK3)/7)&gt;40)),"CORREGIR FECHA RESULTADO",IF(AND(GT3="",OR(O3&gt;0,R3&gt;0)),"TOMAR EXAMEN",IF(GT3&gt;0,SUM(GT3-BK3)/7,"")))))</f>
        <v>0.7142857142857143</v>
      </c>
      <c r="GV3" s="31" t="str">
        <f>IF(AND(GU3="",BP3=""),"",IF(AND(GU3&lt;&gt;"",BP3="SIN DATO"),"SIN DATO",IF(AND(GU3="",BP3&lt;&gt;""),"",IF(AND(GU3&lt;0,BP3&gt;0),"ERROR FUM O INGRESO",IF(GU3&lt;=13,"I TRIM",IF(GU3&lt;28,"II TRIM",IF(AND(GU3&gt;27,GU3&lt;45),"III TRIM","POR DEFINIR")))))))</f>
        <v>I TRIM</v>
      </c>
      <c r="GW3" s="43"/>
      <c r="GX3" s="46"/>
      <c r="GY3" s="31"/>
      <c r="GZ3" s="35"/>
      <c r="HA3" s="43" t="str">
        <f>IF(GZ3&gt;0,SUM(GZ3-BK3)/7,"")</f>
        <v/>
      </c>
      <c r="HB3" s="31" t="str">
        <f>IF(HA3&lt;0,"ANTES DEL EMBARAZO",IF(AND(HA3&gt;0,HA3&lt;13),"I TRIM",IF(AND(HA3&gt;12,HA3&lt;28),"II TRIM",IF(AND(HA3&gt;27,HA3&lt;41),"III TRIM",""))))</f>
        <v/>
      </c>
      <c r="HC3" s="31" t="str">
        <f>IF(GY3="","",IF(GY3="CARCINOMA ESCAMOCELULAR","CITAR PARA COLPOSCOPIA Y PATOLOGIA",IF(GY3="ASCUS","CITAR PARA COLPOSCOPIA",IF(GY3="ACSI","CITAR PARA COLPOSCOPIA",IF(GY3="INFECCION VPH","CITAR PARA COLPOSCOPIA",IF(GY3="NIC I","CITAR PARA COLPOSCOPIA",IF(GY3="NIC I VPH","CITAR PARA COLPOSCOPIA",IF(GY3="NIC II","CITAR PARA COLPOSCOPIA",IF(GY3="NIC III","CITAR PARA COLPOSCOPIA",IF(GY3="CAMBIOS INFLAMATORIOS","CONSULTA CON MÉDICO GENERAL",IF(GY3="INFECCION","CONSULTA CON MÉDICO GENERAL",IF(GY3="NEGATIVA PARA NEOPLASIA","CITA PARA CITOLOGIA SEGÚN ESQUEMA1-1-3",IF(GY3="MUESTRA INADECUADA","REPETIR CITOLOGIA",IF(GY3=0,"SD"))))))))))))))</f>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IF(OR(O3&gt;0,R3&gt;0),CONCATENATE(IF(AY3="SI","ANTECEDENTE EMBARAZO MOLAR",""),"*",CONCATENATE(IF(AZ3="SI","ANTECEDENTE MUERTE NEONATAL",""),"*",CONCATENATE(IF(AND(BM3&gt;0,BM3&lt;13),"PERIODO INTERGENESICO CORTO",""),"*",CONCATENATE(IF(AND(BO3&gt;13,BO3&lt;42),"INGRESO TARDIO A CPN",""),"*",CONCATENATE(IF(CO3="BAJO PESO","BAJO PESO",""),"*",CONCATENATE(IF(CO3="SOBREPESO","SOBREPESO",""),"*",CONCATENATE(IF(CO3="OBESIDAD","OBESIDAD",""),"*",CONCATENATE(IF(GN3="POSITIVO","SEGUIMIENTO INFECCIÓN HEP B",""),"*",CONCATENATE(IF(GS3="TOXOPLASMOSIS, REMITIR PARA MANEJO","INFECCIÓN TOXOPLASMOSIS",""),"*",CONCATENATE(IF(GS3="CONTROL Igm","PREVENCIÓN CONTAGIO TOXOPLASMOSIS",""),"*",CONCATENATE(IF(OR(HJ3="COVID19 PRIMER TRIMESTRE",HJ3="COVID19 SEGUNDO TRIMESTRE",HJ3="COVID19 TERCER TRIMESTRE",HJ3="COVID19 PUERPERIO"),"INFECCIÓN SARS-CoV2 CONFIRMADA",""),"*",CONCATENATE(IF(OR(HC3="CITAR PARA COLPOSCOPIA",HC3="CITAR PARA COLPOSCOPIA Y PATOLOGIA"),"DESCARTAR CANCER DE UTERO",""),"*",)))))))))))),"")</f>
        <v>*****SOBREPESO****PREVENCIÓN CONTAGIO TOXOPLASMOSIS***</v>
      </c>
      <c r="HM3" s="35" t="str">
        <f ca="1">IF(AND(O3="",R3=""),"",IF(AND(OR(O3&lt;&gt;"",R3&lt;&gt;""),OR(HO3="RIESGO ALTO DE COMPLICACIONES HIPERTENSIVAS VER MANEJO GUIA SUMINISTRO ASA Y CALCIO",HO3="RIESGO MODERADO (2 O MAS CRITERIOS) VER MANEJO GUIA SUMINISTRO ASA Y CALCIO")),"ALTO RIESGO",IF(AND(HL3="************",OR(O3&lt;&gt;"",R3&lt;&gt;""),AND(NM3&gt;=0,NM3&lt;3)),"BAJO RIESGO",IF(AND(OR(O3&lt;&gt;"",R3&lt;&gt;""),OR(HJ3="COVID19 PRIMER TRIMESTRE",HJ3="COVID19 SEGUNDO TRIMESTRE",HJ3="COVID19 TERCER TRIMESTRE",HJ3="COVID19 PUERPERIO")),"ALTO RIESGO",IF(AND(HL3&lt;&gt;"",OR(O3&lt;&gt;"",R3&lt;&gt;""),AND(NM3&gt;=0,NM3&lt;3)),"CON RIESGO",IF(AND(OR(O3&lt;&gt;"",R3&lt;&gt;""),NM3&gt;2),"ALTO RIESGO",""))))))</f>
        <v>CON RIESGO</v>
      </c>
      <c r="HN3" s="31" t="str">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GEMELAR",""),"*",CONCATENATE(IF(NJ3=3,"PRESENTACIÓN FETAL PODALICA O TRANSVERSA",""),"*",CONCATENATE(IF(BY3="SI","POLIHIDRAMNIOS",""),"*",CONCATENATE(IF(FB3="DIABETES, REMITIR","DIABETES GESTACIONAL",""),"*",CONCATENATE(IF(FP3&lt;&gt;"","SEGUIMIENTO PARA SIFILIS GESTACIONAL",""),"*",CONCATENATE(IF(NI3=3,"SEGUIMIENTO PARA VIH",""),"*",CONCATENATE(IF(NG3=1,"SEGUIMIENTO PARA ANEMIA",""),"*",CONCATENATE(IF(ND3=2,"MULTIPARIDAD",""),"*",CONCATENATE(IF(ND3=1,"MULTIPARIDAD",""),"*",CONCATENATE(IF(NC3=1,"ANTECEDENTE MUERTE PERINATAL",""),"*",CONCATENATE(IF(OR(NA3=2,NA3=1),"RIESGO POR EDAD",""),"*",CONCATENATE(IF(OR(NE3=1,NE3=2),"CESAREAS PREVIAS",""),"*",CONCATENATE(IF(NF3=1,"ANTECEDENTE ECTOPICO O CX UTERINA",""),"*",CONCATENATE(IF(NH3=1,"EMBARAZO PROLONGADO",""),"*",CONCATENATE(IF(NK3=2,"SEGUIMIENTO PARA CHAGAS",""),"*",CONCATENATE(IF(NL3=3,"SEGUIMIENTO PARA MALARIA",""),"*",CONCATENATE(IF(OR(HJ3="COVID19 PRIMER TRIMESTRE",HJ3="COVID19 SEGUNDO TRIMESTRE", HJ3="COVID19 TERCER TRIMESTRE",HJ3="COVID19 PUERPERIO"),"SEGUIMIENTO PARA COVID19",""),"*",CONCATENATE(IF(EU3="RIESGO DE INCOMPATIBILIDAD RH","SEGUIMIENTO PARA INCOMPATIBILIDAD RH",""),"*")))))))))))))))))))))))))))))))),"")</f>
        <v>**********************MULTIPARIDAD**********</v>
      </c>
      <c r="HO3" s="31" t="str">
        <f>IF(AND(O3="",R3=""),"",IF(AND(OR(O3&gt;0,R3&gt;0),OR(AL3="SI",BD3="SI",BA3="SI",BB3="SI",BE3="SI")),"RIESGO ALTO DE COMPLICACIONES HIPERTENSIVAS VER MANEJO GUIA SUMINISTRO ASA Y CALCIO",IF(AND(OR(O3&gt;0,R3&gt;0),NN3&gt;1),"RIESGO MODERADO (2 O MAS CRITERIOS) VER MANEJO GUIA SUMINISTRO ASA Y CALCIO","SIN ANTECEDENTES DE RIESGO")))</f>
        <v>SIN ANTECEDENTES DE RIESGO</v>
      </c>
      <c r="HP3" s="37" t="str">
        <f>IF(AND(O3="",R3=""),"",IF(AND(OR(O3&gt;0,R3&gt;0),CR3&lt;&gt;"",CU3&lt;&gt;"",CZ3&lt;&gt;""),CZ3,IF(AND(OR(O3&gt;0,R3&gt;0),CR3&lt;&gt;"",CU3&lt;&gt;"",CZ3=""),CU3,IF(AND(OR(O3&gt;0,R3&gt;0),CR3&lt;&gt;"",CU3="",CZ3=""),CR3,IF(AND(OR(O3&gt;0,R3&gt;0),CR3="",CU3="",CZ3&lt;&gt;""),CZ3,IF(AND(OR(O3&gt;0,R3&gt;0),CR3="",CU3&lt;&gt;"",CZ3&lt;&gt;""),CZ3,IF(AND(OR(O3&gt;0,R3&gt;0),CR3&lt;&gt;"",CU3="",CZ3&lt;&gt;""),CZ3,IF(AND(OR(O3&gt;0,R3&gt;0),CR3="",CU3&lt;&gt;"",CZ3=""),CU3,""))))))))</f>
        <v>APARENTEMENTE NORMAL</v>
      </c>
      <c r="HQ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HR3" s="46" t="str">
        <f>IF(AND(R3&lt;&gt;"",IT3="CAMBIO DE RESIDENCIA"),"SEGUIMIENTO REPORTE EPS",IF(AND(R3&lt;&gt;"",OR(IT3&lt;&gt;"",IW3&lt;&gt;"")),"SALIO PROGRAMA",IF(AND(AND(R3="",O3&gt;0),OR(IT3&lt;&gt;"",IW3&lt;&gt;"")),"SALE SIN INGRESO CPN",IF(AND(R3="",O3&gt;0,IT3="",IW3=""),"ACTIVA SIN INGRESO CPN",IF(AND(R3&lt;&gt;"",OR(IT3="",IW3="")),"ACTIVA INGRESO A CPN","")))))</f>
        <v>SEGUIMIENTO REPORTE EPS</v>
      </c>
      <c r="HS3" s="31" t="s">
        <v>875</v>
      </c>
      <c r="HT3" s="31" t="s">
        <v>883</v>
      </c>
      <c r="HU3" s="35"/>
      <c r="HV3" s="35"/>
      <c r="HW3" s="35">
        <v>44662</v>
      </c>
      <c r="HX3" s="35" t="s">
        <v>901</v>
      </c>
      <c r="HY3" s="35">
        <v>44662</v>
      </c>
      <c r="HZ3" s="35" t="s">
        <v>901</v>
      </c>
      <c r="IA3" s="40" t="s">
        <v>887</v>
      </c>
      <c r="IB3" s="35">
        <v>44662</v>
      </c>
      <c r="IC3" s="43">
        <f>IF(AND(BP3="ERROR FUM O INGRESO",IB3&gt;0),"ERROR FUM O INGRESO",IF(AND(IB3="",R3=""),"",IF(OR(AND(IB3&lt;&gt;"",IB3&lt;BK3),AND(IB3&lt;&gt;"",SUM((IB3-BK3)/7)&gt;40)),"CORREGIR FECHA CONSULTA",IF(AND(IB3="",R3&gt;0),"PENDIENTE CONSULTA",IF(IB3&gt;0,SUM(IB3-BK3)/7,"")))))</f>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ca="1">IF(AND(BK3="",NO3="SD"),"SIN DATO EDAD GESTACIONAL",IF(AND(BK3="",IM3=""),"",IF(AND(AND(BQ3&gt;0,BQ3&lt;20),IM3=""),"EN ESPERA PARA VACUNAR",IF(AND(AND(BQ3&gt;19,BQ3&lt;27),IM3=""),"PROGRAMAR APLICACION DE VACUNA",IF(AND(AND(BQ3&gt;26,BQ3&lt;43),IM3=""),"INASISTENTE",IF(AND(AND(NO3&gt;19,NO3&lt;27),IM3&gt;0),"VACUNA APLICADA ENTRE SEMANA 20 Y SEMANA 26",IF(AND(NO3&lt;20,IM3&gt;0),"VACUNA APLICADA ANTES SEMANA 20",IF(AND(NO3&gt;26,IM3&gt;0),"VACUNA APLICADA ENTRE SEMANA 27 Y EL PARTO",IF(AND(OR(IT3="CESAREA",IT3="PARTO"),IR3="POSIBLEMENTE NACIO",IM3=""),"SALE SIN VACUNA","")))))))))</f>
        <v/>
      </c>
      <c r="IO3" s="35"/>
      <c r="IP3" s="35">
        <f>IF(OR(BL3="SI",BL3="Corregida",BL3="NO"),(BK3+280),IF(BL3="Sin Dato","DEFINIR FPP POR ECO",""))</f>
        <v>44937</v>
      </c>
      <c r="IQ3" s="44">
        <f ca="1">IF(OR(IP3="DEFINIR FPP POR ECO",BP3="ERROR FUM O INGRESO"),"SIN DEFINIR",IF(IP3="","",IF(IP3&gt;0,SUM(IP3-TODAY()),"X")))</f>
        <v>-288</v>
      </c>
      <c r="IR3" s="35" t="str">
        <f ca="1">IF(IQ3&lt;0,"POSIBLEMENTE NACIO",IF(IQ3="SIN DEFINIR","SIN DATO",IF(AND(IQ3&gt;=0,IQ3&lt;=7),"SEMANA DE PARTO",IF(AND(IQ3&gt;=8,IQ3&lt;=28),"MENOS DE 4 SEMANAS",IF(AND(IQ3&gt;=29,IQ3&lt;=280),"PENDIENTE","")))))</f>
        <v>POSIBLEMENTE NACIO</v>
      </c>
      <c r="IS3" s="35"/>
      <c r="IT3" s="31" t="s">
        <v>903</v>
      </c>
      <c r="IU3" s="31"/>
      <c r="IV3" s="51"/>
      <c r="IW3" s="35"/>
      <c r="IX3" s="31"/>
      <c r="IY3" s="44" t="str">
        <f>IF(AND(IW3&gt;0,IT3&lt;&gt;""),SUM(IW3-BK3)/7,"")</f>
        <v/>
      </c>
      <c r="IZ3" s="52"/>
      <c r="JA3" s="31"/>
      <c r="JB3" s="31"/>
      <c r="JC3" s="31"/>
      <c r="JD3" s="31"/>
      <c r="JE3" s="31"/>
      <c r="JF3" s="31"/>
      <c r="JG3" s="31"/>
      <c r="JH3" s="31"/>
      <c r="JI3" s="31"/>
      <c r="JJ3" s="31"/>
      <c r="JK3" s="46"/>
      <c r="JL3" s="31"/>
      <c r="JM3" s="53"/>
      <c r="JN3" s="31" t="str">
        <f>IF(AND(JM3&gt;700,JM3&lt;2500,IY3&gt;36),"BAJO PESO AL NACER",IF(AND(JM3&gt;500,JM3&lt;2500,IY3&lt;37),"PREMATURO",IF(AND(JM3&gt;2499,JM3&lt;4000,IY3&gt;36),"PESO ADECUADO EDAD GESTACIONAL",IF(AND(JM3&gt;3999,JM3&lt;6000,IY3&gt;36),"PESO GRANDE EDAD GESTACIONAL",""))))</f>
        <v/>
      </c>
      <c r="JO3" s="46"/>
      <c r="JP3" s="31"/>
      <c r="JQ3" s="31"/>
      <c r="JR3" s="31"/>
      <c r="JS3" s="46"/>
      <c r="JT3" s="35"/>
      <c r="JU3" s="35"/>
      <c r="JV3" s="31"/>
      <c r="JW3" s="53"/>
      <c r="JX3" s="31" t="str">
        <f>IF(AND(JW3&gt;700,JW3&lt;2500,IY3&gt;36,IY3&lt;43),"BAJO PESO AL NACER",IF(AND(JW3&gt;700,JW3&lt;2500,IY3&lt;37),"PREMATURO",IF(AND(JW3&gt;2499,JW3&lt;4000,IY3&gt;36,IY3&lt;43),"PESO ADECUADO EDAD GESTACIONAL",IF(AND(JW3&gt;3999,JW3&lt;6000,IY3&gt;36,IY3&lt;43),"PESO GRANDE EDAD GESTACIONAL",""))))</f>
        <v/>
      </c>
      <c r="JY3" s="35"/>
      <c r="JZ3" s="31"/>
      <c r="KA3" s="31"/>
      <c r="KB3" s="31"/>
      <c r="KC3" s="46"/>
      <c r="KD3" s="35"/>
      <c r="KE3" s="35"/>
      <c r="KF3" s="50"/>
      <c r="KG3" s="43" t="str">
        <f>IF(AND(KF3&lt;&gt;"",KF3&lt;IW3),"INCONSISTENCIA FECHA CONTROL",IF(AND(OR(IT3="Parto",IT3="Cesarea"),KF3&gt;0,IW3&gt;0),SUM(KF3-IW3),IF(AND(OR(IT3="Parto",IT3="Cesarea"),KF3="",IW3&gt;0),"INASISTENTE","")))</f>
        <v/>
      </c>
      <c r="KH3" s="50"/>
      <c r="KI3" s="43" t="str">
        <f>IF(AND(KH3&lt;&gt;"",KH3&lt;IW3),"INCONSISTENCIA FECHA CONTROL",IF(AND(OR(IT3="Parto",IT3="Cesarea",IT3="Aborto Espontaneo",IT3="Aborto Inducido",IT3="IVE"),KH3&gt;0,IW3&gt;0),SUM(KH3-IW3),IF(AND(KH3&lt;&gt;"",KH3&lt;IW3),"INCONSISTENCIA FECHA CONTROL",IF(AND(OR(IT3="Parto",IT3="Cesarea",IT3="Aborto Espontaneo",IT3="Aborto Inducido",IT3="IVE"),KH3="",IW3&gt;0),"INASISTENTE",""))))</f>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SUM(COUNTIF(LD3,"PARTERO (A)"),COUNTIF(LH3,"PARTERO (A)"),COUNTIF(LL3,"PARTERO (A)"),COUNTIF(LP3,"PARTERO (A)"),COUNTIF(LT3,"PARTERO (A)"),COUNTIF(LX3,"PARTERO (A)"),COUNTIF(MN3,"PARTERO (A)"))</f>
        <v>0</v>
      </c>
      <c r="MR3" t="str">
        <f>IF(AND(R3="",O3=""),"",IF(AND(OR(O3&gt;0,R3&gt;0),LC3&gt;0),SUM(LC3-BK3)/7,""))</f>
        <v/>
      </c>
      <c r="MS3" t="str">
        <f>IF(AND(MR3="",BP3=""),"",IF(AND(MR3&lt;&gt;"",BP3="SIN DATO"),"SIN DATO",IF(AND(MR3="",BP3&lt;&gt;""),"",IF(AND(MR3&lt;0,BP3&gt;0),"ERROR FUM O INGRESO",IF(MR3&lt;=13,"I TRIM",IF(MR3&lt;28,"II TRIM",IF(AND(MR3&gt;27,MR3&lt;45),"III TRIM","POR DEFINIR")))))))</f>
        <v/>
      </c>
      <c r="MT3">
        <f>SUM(COUNTIF(LD3,"MEDICO (A) TRADICIONAL"),COUNTIF(LH3,"MEDICO (A) TRADICIONAL"),COUNTIF(LL3,"MEDICO (A) TRADICIONAL"),COUNTIF(LP3,"MEDICO (A) TRADICIONAL"),COUNTIF(LT3,"MEDICO (A) TRADICIONAL"),COUNTIF(LX3,"MEDICO (A) TRADICIONAL"),COUNTIF(MN3,"MEDICO (A) TRADICIONAL"))</f>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IF(AND(O3&gt;0,BK3&gt;0),SUM(O3-BK3)/7,"")</f>
        <v>0.7142857142857143</v>
      </c>
      <c r="MW3">
        <f>IF(R3&gt;0,MONTH(R3),"")</f>
        <v>4</v>
      </c>
      <c r="MX3">
        <f>IF(R3&gt;0,YEAR(R3),"")</f>
        <v>2022</v>
      </c>
      <c r="MY3" t="str">
        <f>IF(AND(MW3&gt;=1,MW3&lt;=3),"I TRIMESTRE AÑO",IF(AND(MW3&gt;=4,MW3&lt;=6),"II TRIMESTRE AÑO",IF(AND(MW3&gt;=7,MW3&lt;=9),"III TRIMESTRE AÑO",IF(AND(MW3&gt;=10,MW3&lt;=12),"IV TRIMESTRE AÑO",""))))</f>
        <v>II TRIMESTRE AÑO</v>
      </c>
      <c r="MZ3">
        <f>IF(AND(M3&gt;0,R3&gt;0),DAYS360(M3,R3)/30.44/12,IF(AND(M3&gt;0,O3&gt;0,R3=""),DAYS360(M3,O3)/30.44/12,""))</f>
        <v>20.009307928164695</v>
      </c>
      <c r="NA3">
        <f>IF(AND(MZ3&gt;7,MZ3&lt;14),2,IF(MZ3&lt;16,1,IF(MZ3&lt;=35,0,IF(AND(MZ3&gt;35,MZ3&lt;50),2,""))))</f>
        <v>0</v>
      </c>
      <c r="NB3" t="str">
        <f>+IF(MZ3="","",IF(MZ3&lt;14,"MENOR 14 AÑOS",IF(MZ3&lt;20,"DE 14 A 19AÑOS",IF(MZ3&lt;25," DE 20 A 24 AÑOS",IF(MZ3&lt;30," DE 25 A 29 AÑOS",IF(MZ3&lt;35," DE 30 A 34 AÑOS",IF(MZ3&lt;40," DE 35 A 39 AÑOS"," DE 40 Y MAS")))))))</f>
        <v xml:space="preserve"> DE 20 A 24 AÑOS</v>
      </c>
      <c r="NC3">
        <f>IF(AW3="SI",1,IF(AW3="NO",0,""))</f>
        <v>0</v>
      </c>
      <c r="ND3">
        <f>IF(AS3="","",IF(AS3=0,1,IF(AND(AS3&gt;=1,AS3&lt;=4),0,IF(AS3&gt;=5,2,"X"))))</f>
        <v>1</v>
      </c>
      <c r="NE3">
        <f>IF(AV3="","",IF(AV3=0,0,IF(AV3=1,1,IF(OR(AV3=2,AV3="3 O MAS"),2,"X"))))</f>
        <v>0</v>
      </c>
      <c r="NF3">
        <f>IF(AX3="SI",1,IF(AX3="NO",0,""))</f>
        <v>0</v>
      </c>
      <c r="NG3" t="str">
        <f>IF(OR(AND(EI3&gt;0,EI3&lt;11),AND(EN3&gt;0,EN3&lt;10.5)),1,"")</f>
        <v/>
      </c>
      <c r="NH3" t="str">
        <f ca="1">IF(AND(AND(BQ3&gt;40.9,BQ3&lt;43),IW3=""),1,"")</f>
        <v/>
      </c>
      <c r="NI3" t="str">
        <f>IF(AND(FY3="",GB3="",GE3="",GH3=""),"",IF(OR(OR(FY3="P.R REACTIVA",FY3="ELISA REACTIVA"),OR(GB3="P.R REACTIVA",GB3="ELISA REACTIVA"),OR(GE3="P.R REACTIVA",GE3="ELISA REACTIVA"),OR(GH3="P.R REACTIVA",GH3="ELISA REACTIVA")),3,""))</f>
        <v/>
      </c>
      <c r="NJ3">
        <f>IF(BX3="","",IF(OR(BX3="CEFÁLICA",BX3="SD"),0,IF(OR(BX3="PODÁLICA",BX3="TRANSVERSA O DE FRENTE",BX3="OBLICUA"),3,"")))</f>
        <v>0</v>
      </c>
      <c r="NK3" t="str">
        <f>IF(HD3="","",IF(HD3="POSITIVO",2,"0"))</f>
        <v>0</v>
      </c>
      <c r="NL3">
        <f>IF(AND(HF3="",HH3=""),"",IF(OR(HF3="POSITIVO",HH3="POSITIVO"),3,0))</f>
        <v>0</v>
      </c>
      <c r="NM3">
        <f ca="1">IF(AND(O3="",R3=""),"",IF(OR(O3&lt;&gt;"",R3&lt;&gt;""),SUM(COUNTIF(AL3:AP3,"SI"),COUNTIF(AU3,"SI"),COUNTIF(BF3,"SI"),COUNTIF(BI3,"SI"),SUM(COUNTIF(BA3:BC3,"SI")*3),SUM(COUNTIF(BV3:BW3,"SI")*3),SUM(COUNTIF(BH3,"SI")*3),SUM(COUNTIF(BG3,"SI")*2),SUM(COUNTIF(BY3,"SI")*2),SUM(COUNTIF(BE3,"SI")*2),SUM(COUNTIF(FB3,"DIABETES, REMITIR")*2),SUM(NC3:NL3),SUM(NA3),SUM(NP3),SUM(COUNTIF(EU3,"RIESGO DE INCOMPATIBILIDAD RH")*3),SUM(COUNTIF(FP3,"SIFILIS GESTACIONAL")*3)),""))</f>
        <v>1</v>
      </c>
      <c r="NN3">
        <f>IF(OR(O3&gt;0,R3&gt;0),SUM(COUNTIF(Tabla1[[#This Row],[AÑOS AL INICIO5 CPN]],"&gt;=40"),COUNTIF(AR3,"0"),COUNTIF(AQ3,"SI"),COUNTIF(BW3,"SI"),COUNTIF(BM3,"&gt;119"),COUNTIF(CC3,"&gt;=35")),"")</f>
        <v>0</v>
      </c>
      <c r="NO3" t="str">
        <f>IF(AND(R3="",O3=""),"",IF(AND(OR(O3&gt;0,R3&gt;0),BK3=""),"SD",IF(AND(OR(O3&gt;0,R3&gt;0),IM3&gt;0),SUM(IM3-BK3)/7,"")))</f>
        <v/>
      </c>
      <c r="NP3">
        <f>IF(AND(AE3="",AF3="",AG3="",AH3="",AI3="",AJ3=""),"",SUM(SUM(COUNTIF(AE3,"NO")/2),COUNTIF(AF3,"NO"),SUM(COUNTIF(AG3,"SI")/2),COUNTIF(AH3,"SI"),SUM(COUNTIF(AJ3,"SI")*2),COUNTIF(AI3,"DESPLAZADA"),COUNTIF(AI3,"MIGRATORIA"),COUNTIF(AI3,"DISCAPACIDAD FISICA"),COUNTIF(AI3,"DISCAPACIDAD CONDUCTUAL"),COUNTIF(AI3,"DISCAPACIDAD VISUAL"),COUNTIF(AI3,"DISCAPACIDAD AUDITIVA"),COUNTIF(AI3,"DISCAPACIDAD MULTIPLE"),COUNTIF(AI3,"DISCAPACIDAD SISTEMICA")))</f>
        <v>0</v>
      </c>
      <c r="NQ3" t="str">
        <f>IF(BS3&gt;0,BS3*7,"")</f>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IF(AND(O3&gt;0,R3=""),"NO CPN",IF(AND(O3="",R3=""),"",IF(AND(R3&gt;0,EF3&gt;0,EE3&gt;0),_xlfn.DAYS(EF3,EE3),IF(AND(R3&gt;0,EF3&gt;0,EE3=""),"NO CITA","X"))))</f>
        <v>X</v>
      </c>
      <c r="NV3" t="str">
        <f>IF(AND(O3&gt;0,R3=""),"NO CPN",IF(AND(O3="",R3=""),"",IF(AND(EJ3&lt;&gt;"",ES3&lt;&gt;"",EW3&lt;&gt;"",FF3&lt;&gt;"",FU3&lt;&gt;"",FZ3&lt;&gt;"",GO3&lt;&gt;"",GQ3&lt;&gt;"",GR3&lt;&gt;""),"SI","NO")))</f>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IF(AND(BO3="",IP3=""),"",IF(AND(BO3="",IP3="DEFINIR FPP POR ECO"),"SIN DATO",IF(BO3&lt;0,"ERROR FUM O INGRESO",IF(BL3="NO","DEFINIR CON ECO",IF(BO3&lt;10,"I TRIM",IF(BO3&lt;27,"II TRIM",IF(AND(BO3&gt;26,BO3&lt;45),"III TRIM","ERROR FUM O INGRESO")))))))</f>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ca="1">IF(AND(O3="",R3=""),"",IF(AND(BO3&gt;0,BO3&lt;12,IY3&gt;28,IY3&lt;44),3, IF(OR(AND(BO3&gt;=12,BO3&lt;28,IY3&gt;=28,IY3&lt;44),AND(BO3&gt;0,BO3&lt;12,IY3&gt;=12,IY3&lt;29)),2,IF(OR(AND(BO3&gt;=28,BO3&lt;44),AND(BO3&gt;0,BO3&lt;12,IY3&gt;0,IY3&lt;12),AND(BO3&gt;=12,BO3&lt;28,IY3&gt;=12,IY3&lt;28)),1,IF(AND(BO3&gt;0,BO3&lt;12,BQ3&gt;=28,BQ3&lt;44,DR3="ACTIVA INGRESO A CPN"),3,IF(OR(AND(BO3&gt;0,BO3&lt;12,BQ3&gt;=12,BQ3&lt;28,DR3="ACTIVA INGRESO A CPN"),AND(BO3&gt;=12,BO3&lt;28,BQ3&gt;=28,BQ3&lt;44,DR3="ACTIVA INGRESO A CPN")),2,IF(OR(AND(BO3&gt;0,BO3&lt;12,BQ3&gt;0,BQ3&lt;12,DR3="ACTIVA INGRESO A CPN"),AND(BO3&gt;=12,BO3&lt;28,BQ3&gt;=12,BQ3&lt;28,DR3="ACTIVA INGRESO A CPN")),1,"REVISAR FUM O FECHA SALIDA PROGRAMA")))))))</f>
        <v>REVISAR FUM O FECHA SALIDA PROGRAMA</v>
      </c>
      <c r="OB3" s="213">
        <f ca="1">COUNT(FG3,FJ3,FM3,FO3)</f>
        <v>1</v>
      </c>
      <c r="OC3" s="1">
        <f ca="1">COUNT(GA3,GD3,GG3,GI3)</f>
        <v>1</v>
      </c>
      <c r="OD3" s="1" t="str">
        <f ca="1">IF(OA3="","",IF(OA3="REVISAR FUM O FECHA SALIDA PROGRAMA","POR DEFINIR",IF(OR(OA3=OB3,OB3&gt;OA3),"COMPLETO",IF(OB3&lt;OA3,"INCOMPLETO",""))))</f>
        <v>POR DEFINIR</v>
      </c>
      <c r="OE3" s="1" t="str">
        <f ca="1">IF(OA3="","",IF(OA3="REVISAR FUM O FECHA SALIDA PROGRAMA","POR DEFINIR",IF(OR(OA3=OC3,OC3&gt;OA3),"COMPLETO",IF(OC3&lt;OA3,"INCOMPLETO",""))))</f>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ca="1">IF(AND(O3="",R3=""),"",IF(OR(IN3="VACUNA APLICADA ENTRE SEMANA 20 Y SEMANA 26",IN3="VACUNA APLICADA ENTRE SEMANA 27 Y EL PARTO",IN3="VACUNA APLICADA ANTES SEMANA 20"),"VACUNADA","SIN VACUNAR"))</f>
        <v>SIN VACUNAR</v>
      </c>
      <c r="OH3" s="148">
        <f>ROW(Tabla1[[#This Row],[SEMANAS DE GESTACION II TRIM]])</f>
        <v>3</v>
      </c>
      <c r="OI3" t="str">
        <f t="shared" si="0"/>
        <v/>
      </c>
      <c r="OJ3" t="str">
        <f t="shared" si="1"/>
        <v/>
      </c>
      <c r="OK3" t="str">
        <f t="shared" si="2"/>
        <v/>
      </c>
      <c r="OL3" t="str">
        <f t="shared" si="3"/>
        <v/>
      </c>
      <c r="OM3" t="str">
        <f t="shared" si="4"/>
        <v/>
      </c>
      <c r="ON3" t="str">
        <f t="shared" si="5"/>
        <v/>
      </c>
      <c r="OO3" t="str">
        <f t="shared" si="6"/>
        <v/>
      </c>
      <c r="OP3" t="str">
        <f t="shared" si="7"/>
        <v/>
      </c>
      <c r="OQ3" t="str">
        <f t="shared" si="8"/>
        <v/>
      </c>
      <c r="OR3" t="str">
        <f t="shared" si="9"/>
        <v/>
      </c>
      <c r="OS3" t="str">
        <f t="shared" si="10"/>
        <v/>
      </c>
      <c r="OT3" t="str">
        <f t="shared" si="11"/>
        <v/>
      </c>
      <c r="OU3" t="str">
        <f t="shared" si="12"/>
        <v/>
      </c>
      <c r="OV3" t="str">
        <f t="shared" si="13"/>
        <v/>
      </c>
      <c r="OW3" t="str">
        <f t="shared" si="14"/>
        <v/>
      </c>
      <c r="OX3" t="str">
        <f t="shared" si="15"/>
        <v/>
      </c>
      <c r="OY3" t="str">
        <f t="shared" si="16"/>
        <v/>
      </c>
      <c r="OZ3" t="str">
        <f t="shared" si="17"/>
        <v/>
      </c>
      <c r="PA3" t="str">
        <f t="shared" si="18"/>
        <v/>
      </c>
      <c r="PB3" t="str">
        <f t="shared" si="19"/>
        <v/>
      </c>
      <c r="PC3" t="str">
        <f t="shared" si="20"/>
        <v/>
      </c>
      <c r="PD3" t="str">
        <f t="shared" si="21"/>
        <v/>
      </c>
      <c r="PE3" t="str">
        <f t="shared" si="22"/>
        <v/>
      </c>
      <c r="PF3" t="str">
        <f t="shared" si="23"/>
        <v/>
      </c>
      <c r="PG3" t="str">
        <f t="shared" si="24"/>
        <v/>
      </c>
      <c r="PH3" t="str">
        <f t="shared" si="25"/>
        <v/>
      </c>
      <c r="PI3" t="str">
        <f t="shared" si="26"/>
        <v/>
      </c>
      <c r="PJ3" t="str">
        <f t="shared" si="27"/>
        <v/>
      </c>
      <c r="PK3" t="str">
        <f t="shared" si="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29"/>
        <v/>
      </c>
      <c r="PN3" s="161" t="str">
        <f t="shared" ref="PN3:PN5" si="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ca="1">IF(M4&gt;0,SUM(TODAY()-M4)/365,"")</f>
        <v>19.452054794520549</v>
      </c>
      <c r="O4" s="35">
        <v>44734</v>
      </c>
      <c r="P4" s="39" t="str">
        <f>IF(AND(O4="",R4&gt;0),"ACUDE ESPONTANEAMENTE",IF(AND(AND(O4&gt;0,R4=""),OR(IW4&gt;0,IT4&lt;&gt;"")),"NA",IF(AND(O4&gt;0,IW4="",R4=""),"NO",IF(AND(O4&gt;0,R4&gt;0),"SI",""))))</f>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IF(OR(BJ4="SD",BK4=""),"",IF(BJ4="",0,SUM(BK4-BJ4)/30))</f>
        <v>0</v>
      </c>
      <c r="BN4" s="57">
        <f>IF(BS4&gt;0,SUM(BR4-NQ4),"")</f>
        <v>44669</v>
      </c>
      <c r="BO4" s="44">
        <f>IF(AND(BL4="Corregida",BK4&gt;0,R4&gt;0,ISBLANK(BS4)),"SIN SEMANAS X ECO",IF(AND(BL4="Corregida",BK4&gt;0,R4&gt;0),SUM(R4-BN4)/7,IF(AND(OR(BL4="SI",BL4="NO"),BK4&gt;0,R4&gt;0),SUM(R4-BK4)/7,"")))</f>
        <v>10</v>
      </c>
      <c r="BP4" s="31" t="str">
        <f>IF(AND(BO4="",IP4=""),"",IF(AND(BO4="",IP4="DEFINIR FPP POR ECO"),"SIN DATO",IF(BO4&lt;0,"ERROR FUM O INGRESO O ECO",IF(BL4="NO","DEFINIR CON ECO",IF(BO4&lt;12,"I TRIM",IF(BO4&lt;27,"II TRIM",IF(AND(BO4&gt;26,BO4&lt;45),"III TRIM","ERROR FUM O INGRESO O ECO")))))))</f>
        <v>I TRIM</v>
      </c>
      <c r="BQ4" s="39" t="str">
        <f ca="1">IF(SUM((TODAY()-BK4)/7)&gt;43.1,"",IF(AND(BK4&gt;0,OR(BL4="si",BL4="Corregida",BL4="NO")),SUM((TODAY()-BK4)/7),""))</f>
        <v/>
      </c>
      <c r="BR4" s="35">
        <v>44767</v>
      </c>
      <c r="BS4" s="43">
        <v>14</v>
      </c>
      <c r="BT4" s="35">
        <v>44823</v>
      </c>
      <c r="BU4" s="31">
        <v>22</v>
      </c>
      <c r="BV4" s="40" t="s">
        <v>886</v>
      </c>
      <c r="BW4" s="40" t="s">
        <v>886</v>
      </c>
      <c r="BX4" s="40" t="s">
        <v>891</v>
      </c>
      <c r="BY4" s="40" t="s">
        <v>886</v>
      </c>
      <c r="BZ4" s="35">
        <v>44734</v>
      </c>
      <c r="CA4" s="31">
        <v>1.6</v>
      </c>
      <c r="CB4" s="31">
        <v>59</v>
      </c>
      <c r="CC4" s="39">
        <f>IF(AND(OR(O4&gt;0,R4&gt;0),CA4=""),"SD",IF(AND(OR(O4="",R4=""),CA4=""),"",IF(AND(OR(O4&gt;0,R4&gt;0),CA4&gt;0,CB4&gt;0),SUM(CB4)/(CA4*CA4),"X")))</f>
        <v>23.046874999999996</v>
      </c>
      <c r="CD4" s="45" t="str">
        <f>IF(AND(CC4&lt;10,CB4="SD"),"SIN DATO PESO PREGESTACION O I TRIM",IF(AND(OR(R4&gt;0,O4&gt;0),CC4="X"),"INGRESAR DATO DE PESO",IF(CC4="SD","INGRESAR DATO DE TALLA Y PESO",IF(CC4&lt;18.5,"BAJO PESO",IF(CC4&lt;25,"NORMAL",IF(CC4&lt;30,"SOBREPESO",IF(AND(CC4&gt;=30,CC4&lt;50),"OBESIDAD","")))))))</f>
        <v>NORMAL</v>
      </c>
      <c r="CE4" s="35">
        <v>44792</v>
      </c>
      <c r="CF4" s="31">
        <v>54</v>
      </c>
      <c r="CG4" s="39">
        <f>IF(AND(OR(O4&gt;0,R4&gt;0),CA4=""),"SD",IF(AND(OR(O4="",R4=""),CA4=""),"",IF(AND(OR(O4&gt;0,R4&gt;0),CA4&gt;0),SUM(CF4)/(CA4*CA4),"X")))</f>
        <v>21.093749999999996</v>
      </c>
      <c r="CH4" s="31">
        <f>IF(AND(CE4="",BK4=""),"",IF(AND(BK4&gt;0,CE4=""),"NA",IF(CE4&lt;BK4,"REVISAR FUM O FECHA PESO",IF(CE4&gt;0,INT(SUM(CE4-BK4)/7)))))</f>
        <v>18</v>
      </c>
      <c r="CI4" s="31" t="str">
        <f>IF(OR(CH4="",CH4="NA"),"",IF(AND(CH4&gt;=29,CH4&lt;=42),"REGISTRAR EN III TRIM",IF(AND(CH4&gt;0,CH4&lt;=13),"REGISTRAR EN I TRIM",IF(CH4="REVISAR FUM O FECHA PESO","REVISAR",IF(CH4&gt;0,HLOOKUP(CH4,$OI$1:PK4,OH4),"")))))</f>
        <v>BAJO PESO</v>
      </c>
      <c r="CJ4" s="35">
        <v>44883</v>
      </c>
      <c r="CK4" s="31">
        <v>60</v>
      </c>
      <c r="CL4" s="39">
        <f>IF(AND(OR(O4&gt;0,R4&gt;0),CA4=""),"SD",IF(AND(OR(O4="",R4=""),CA4=""),"",IF(AND(OR(O4&gt;0,R4&gt;0),CA4&gt;0),SUM(CK4)/(CA4*CA4),"X")))</f>
        <v>23.437499999999996</v>
      </c>
      <c r="CM4" s="31">
        <f>IF(AND(CJ4="",BK4=""),"",IF(AND(BK4&gt;0,CJ4=""),"NA",IF(CJ4&lt;BK4,"REVISAR FUM O FECHA PESO",IF(CJ4&gt;0,INT(SUM(CJ4-BK4)/7)))))</f>
        <v>31</v>
      </c>
      <c r="CN4" s="31" t="str">
        <f>IF(OR(CM4="",CM4="NA"),"",IF(AND(CM4&gt;0,CM4&lt;=28),"REGISTRAR EN  TRIM RESPECTIVO",IF(CM4&gt;0,HLOOKUP(CM4,$OI$1:PK4,OH4),"")))</f>
        <v>BAJO PESO</v>
      </c>
      <c r="CO4" s="31" t="str">
        <f>IF(AND(OR(O4&gt;0,R4&gt;0),CD4&lt;&gt;"",CI4&lt;&gt;"",CN4&lt;&gt;""),CN4,IF(AND(OR(O4&gt;0,R4&gt;0),CD4&lt;&gt;"",CI4&lt;&gt;"",CN4=""),CI4,IF(AND(OR(O4&gt;0,R4&gt;0),CD4&lt;&gt;"",CI4="",CN4=""),CD4,IF(AND(OR(O4&gt;0,R4&gt;0),CD4&lt;&gt;"",CI4="",CN4&lt;&gt;""),CN4,""))))</f>
        <v>BAJO PESO</v>
      </c>
      <c r="CP4" s="31">
        <v>110</v>
      </c>
      <c r="CQ4" s="31">
        <v>70</v>
      </c>
      <c r="CR4" s="37" t="str">
        <f>IF(AND(OR(R4="",R4&lt;&gt;""),CQ4="",CP4=""),"",IF(AND(OR(O4&gt;0,R4&gt;0),OR(CP4&gt;=140,CQ4&gt;=90)),"DEFINIR ESTADIO HTA",IF(AND(OR(O4&gt;0,R4&gt;0),AND(CP4&gt;120,CP4&lt;=139)),"PRE HTA SEGUIMIENTO",IF(AND(OR(O4&gt;0,R4&gt;0),AND(CQ4&gt;80,CQ4&lt;=89)),"PRE HTA SEGUIMIENTO",IF(AND(OR(O4&gt;0,R4&gt;0),AND(CP4&gt;=80,CP4&lt;=120)),"APARENTEMENTE NORMAL",IF(AND(OR(O4&gt;0,R4&gt;0),AND(CQ4&gt;=50,CQ4&lt;=80)),"APARENTEMENTE NORMAL",IF(AND(OR(O4&gt;0,R4&gt;0),OR(CP4&lt;=70,CQ4&lt;=40)),"HIPOTENSIÓN","")))))))</f>
        <v>APARENTEMENTE NORMAL</v>
      </c>
      <c r="CS4" s="31">
        <v>100</v>
      </c>
      <c r="CT4" s="31">
        <v>70</v>
      </c>
      <c r="CU4" s="37" t="str">
        <f>IF(AND(OR(R4="",R4&lt;&gt;""),CS4="",CT4=""),"",IF(AND(OR(O4&gt;0,R4&gt;0),OR(CS4&gt;=140,CT4&gt;=90)),"ALTO RIESGO PREECLAMPSIA,DEFINIR ESTADIO HTA",IF(AND(OR(O4&gt;0,R4&gt;0),AND(CS4&gt;120,CS4&lt;=139)),"PRE HTA SEGUIMIENTO,RIESGO HIPERTENSION INDUCIDA POR EL EMBARAZO",IF(AND(OR(O4&gt;0,R4&gt;0),AND(CT4&gt;80,CT4&lt;=89)),"PRE HTA SEGUIMIENTO, RIESGO HIPERTENSION INDUCIDA POR EL EMBARAZO",IF(AND(OR(O4&lt;&gt;"",R4&lt;&gt;""),CQ4&lt;&gt;"",CT4&lt;&gt;"",CQ4&lt;=CT4),"VIGILAR CIFRAS PRESION ARTERIAL",IF(AND(OR(O4&gt;0,R4&gt;0),AND(CS4&gt;120,CS4&lt;=139)),"PRE HTA SEGUIMIENTO",IF(AND(OR(O4&gt;0,R4&gt;0),OR(CS4&lt;=60,CT4&lt;40)),"HIPOTENSIÓN",IF(AND(OR(O4&lt;&gt;"",R4&lt;&gt;""),CQ4&lt;&gt;"",CT4&lt;&gt;"",CQ4&gt;CT4),"APARENTEMENTE NORMAL",IF(AND(OR(O4&gt;0,R4&gt;0),AND(CS4&gt;=80,CS4&lt;=120)),"APARENTEMENTE NORMAL",IF(AND(OR(O4&gt;0,R4&gt;0),AND(CT4&gt;=50,CT4&lt;=80)),"APARENTEMENTE NORMAL",""))))))))))</f>
        <v>VIGILAR CIFRAS PRESION ARTERIAL</v>
      </c>
      <c r="CV4" s="31">
        <v>100</v>
      </c>
      <c r="CW4" s="31">
        <v>70</v>
      </c>
      <c r="CX4" s="31">
        <v>110</v>
      </c>
      <c r="CY4" s="31">
        <v>70</v>
      </c>
      <c r="CZ4" s="37" t="str">
        <f>IF(AND(OR(R4="",R4&lt;&gt;""),CV4="",CW4="",CX4="",CY4=""),"",IF(AND(OR(O4&gt;0,R4&gt;0),OR(CV4&gt;=140,CW4&gt;=90,CX4&gt;=140,CY4&gt;=90)),"ESTUDIO INMEDIATO HTA PARA DESCARTAR PREECLAMSIA",IF(AND(OR(O4&gt;0,R4&gt;0),OR(AND(CX4&gt;=130,CX4&lt;=139),AND(CV4&gt;=130,CV4&lt;=139))),"PRE HTA,RIESGO ALTO PREECLAMPSIA",IF(AND(OR(O4&gt;0,R4&gt;0),OR(AND(CY4&gt;=80,CY4&lt;=89),AND(CW4&gt;=80,CW4&lt;=89))),"PRE HTA,RIESGO ALTO PREECLAMPSIA",IF(AND(OR(O4&gt;0,R4&gt;0),OR(AND(CX4&gt;120,CX4&lt;=129),AND(CV4&gt;120,CV4&lt;=129))),"RANGO PREHIPERTENSIVO SEGUIMIENTO HTA",IF(AND(OR(O4&lt;&gt;"",R4&lt;&gt;""),CQ4&lt;&gt;"",CW4&lt;&gt;"",CY4&lt;&gt;"",OR(CQ4&lt;CY4,CQ4&lt;CW4)),"VIGILAR CIFRAS PRESION ARTERIAL",IF(AND(OR(O4&lt;&gt;"",R4&lt;&gt;""),CP4="",CQ4="",OR(CW4&lt;CY4,CV4&lt;CX4)),"VIGILAR CIFRAS PRESION ARTERIAL",IF(AND(OR(O4&lt;&gt;"",R4&lt;&gt;""),CQ4&lt;&gt;"",CW4&lt;&gt;"",CY4&lt;&gt;"",OR(CQ4=CY4,CQ4=CW4)),"APARENTEMENTE NORMAL",IF(AND(OR(O4&gt;0,R4&gt;0),OR(AND(CX4&gt;=80,CX4&lt;=120),AND(CV4&gt;=80,CV4&lt;=120))),"APARENTEMENTE NORMAL",IF(AND(OR(O4&gt;0,R4&gt;0),OR(AND(CY4&gt;=50,CY4&lt;80),AND(CW4&gt;=50,CW4&lt;80))),"APARENTEMENTE NORMAL",""))))))))))</f>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ca="1">IF(AND(BP4="ERROR FUM O INGRESO",DP4&gt;0),"ERROR FUM O INGRESO",IF(AND(DP4="",R4="",O4=""),"",IF(OR(AND(DP4&lt;&gt;"",DP4&lt;BK4),AND(DP4&lt;&gt;"",AND(SUM((DP4-BK4)/7)&gt;0,SUM((DP4-BK4)/7)&lt;28))),"PLAN REALIZADO ANTES III TRIM", IF(AND(DP4="",OR(O4&gt;0,R4&gt;0),AND(BQ4&gt;=28, BQ4&lt;35,DR4="ACTIVA INGRESO A CPN")),"PLANEAR PLAN DE PARTO", IF(AND(DP4="",OR(O4&gt;0,R4&gt;0),BQ4&gt;=35,DR4="ACTIVA INGRESO A CPN"),"CONCERTAR PLAN DE PARTO INMEDIATO", IF(AND(DP4="",OR(O4&gt;0,R4&gt;0),AND(BQ4&gt;0, BQ4&lt;28),OR(DR4="ACTIVA INGRESO A CPN", DR4=" ACTIVA SIN INGRESO CPN")),"EN ESPERA", IF(AND(DP4="",OR(O4&gt;0,R4&gt;0),AND(IY4&gt;0, IY4&lt;28)),"NO APLICA SALE PROGRAMA ANTES III TRIM", IF(AND(DP4="",OR(O4&gt;0,R4&gt;0),AND(IY4&gt;=28, IY4&lt;35)),"SALE PROGRAMA ANTES SEMANA 35", IF(AND(DP4="",OR(O4&gt;0,R4&gt;0),IY4&gt;35),"SALE SIN PLAN DE PARTO",IF(DP4&gt;0,SUM(DP4-BK4)/7,""))))))))))</f>
        <v>SALE SIN PLAN DE PARTO</v>
      </c>
      <c r="DR4" s="46" t="str">
        <f>IF(AND(R4&lt;&gt;"",IT4="CAMBIO DE RESIDENCIA"),"SEGUIMIENTO REPORTE EPS",IF(AND(R4&lt;&gt;"",OR(IT4&lt;&gt;"",IW4&lt;&gt;"")),"SALIO PROGRAMA",IF(AND(AND(R4="",O4&gt;0),OR(IT4&lt;&gt;"",IW4&lt;&gt;"")),"SALE SIN INGRESO CPN",IF(AND(R4="",O4&gt;0,IT4="",IW4=""),"ACTIVA SIN INGRESO CPN",IF(AND(R4&lt;&gt;"",OR(IT4="",IW4="")),"ACTIVA INGRESO A CPN","")))))</f>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DU4" s="35">
        <f>IF(R4="","",IF(R4&gt;0,MAX(Tabla1[[#This Row],[FECHA C2]:[FECHA C13]],Tabla1[[#This Row],[FECHA CONSULTA PRIMERA VEZ PROGRAMA CPN ]])))</f>
        <v>44923</v>
      </c>
      <c r="DV4" s="31">
        <f>IF(AND(DU4="",BK4="",R4=""),"",IF(AND(R4="",BK4&gt;0,DU4=""),"",IF(AND(R4&gt;0,DU4&lt;BK4),"REVISAR FUM O FECHA PESO",IF(AND(R4&gt;0,DU4&gt;0,BK4=""),"SD",IF(AND(R4&gt;0,DU4&gt;0,BK4&gt;0),INT(SUM(DU4-BK4)/7))))))</f>
        <v>37</v>
      </c>
      <c r="DW4" s="43">
        <f>IF(R4&gt;0,SUM(COUNTA(DC4:DN4)+COUNTA(Tabla1[[#This Row],[FECHA CONSULTA PRIMERA VEZ PROGRAMA CPN ]])),"")</f>
        <v>6</v>
      </c>
      <c r="DX4" s="43" t="str">
        <f>IF(AND(DW4&gt;=0,DW4&lt;4),"NO",IF(AND(DW4&gt;=4,DW4&lt;12),"SI",""))</f>
        <v>SI</v>
      </c>
      <c r="DY4" s="39">
        <f>IF(BO4="","",IF(BO4&gt;0,INT(SUM(((40-BO4)/4)+2)),"X"))</f>
        <v>9</v>
      </c>
      <c r="DZ4" s="47">
        <f>IF(DY4="","",IF(DW4&gt;0,SUM(DW4/DY4),"X"))</f>
        <v>0.66666666666666663</v>
      </c>
      <c r="EA4" s="35">
        <v>44734</v>
      </c>
      <c r="EB4" s="35">
        <v>44734</v>
      </c>
      <c r="EC4" s="35">
        <v>44734</v>
      </c>
      <c r="ED4" s="35">
        <v>44761</v>
      </c>
      <c r="EE4" s="35">
        <v>44734</v>
      </c>
      <c r="EF4" s="35">
        <v>44767</v>
      </c>
      <c r="EG4" s="35">
        <v>44823</v>
      </c>
      <c r="EH4" s="31">
        <v>2</v>
      </c>
      <c r="EI4" s="31">
        <v>13</v>
      </c>
      <c r="EJ4" s="35">
        <v>44734</v>
      </c>
      <c r="EK4" s="43">
        <f>IF(AND(BP4="ERROR FUM O INGRESO",EJ4&gt;0),"ERROR FUM O INGRESO",IF(AND(EJ4="",R4="",O4=""),"",IF(OR(AND(EJ4&lt;&gt;"",EJ4&lt;BK4),AND(EJ4&lt;&gt;"",SUM((EJ4-BK4)/7)&gt;40)),"CORREGIR FECHA RESULTADO",IF(AND(EJ4="",OR(O4&gt;0,R4&gt;0)),"TOMAR EXAMEN",IF(EJ4&gt;0,SUM(EJ4-BK4)/7,"")))))</f>
        <v>10</v>
      </c>
      <c r="EL4" s="39" t="str">
        <f>IF(AND(OR(O4&gt;0,R4&gt;0),EI4=""),"",IF(AND(OR(O4&gt;0,R4&gt;0),EI4&gt;0,EI4&lt;11),"MANEJO MD POR ANEMIA FERROPENICA",IF(AND(OR(O4&gt;0,R4&gt;0),EI4&lt;=14),"NORMAL- SUMINISTRAR SULFATO FERROSO",IF(AND(OR(O4&gt;0,R4&gt;0),EI4&lt;20),"NO DAR SULFATO FERROSO",""))))</f>
        <v>NORMAL- SUMINISTRAR SULFATO FERROSO</v>
      </c>
      <c r="EM4" s="31" t="str">
        <f>IF(AND(EK4="",BP4=""),"",IF(AND(EK4&lt;&gt;"",BP4="SIN DATO"),"SIN DATO",IF(AND(EK4="",BP4&lt;&gt;""),"",IF(AND(EK4&lt;0,BP4&gt;0),"ERROR FUM O INGRESO",IF(EK4&lt;=13,"I TRIM",IF(EK4&lt;28,"II TRIM",IF(AND(EK4&gt;27,EK4&lt;45),"III TRIM","POR DEFINIR")))))))</f>
        <v>I TRIM</v>
      </c>
      <c r="EN4" s="37">
        <v>15</v>
      </c>
      <c r="EO4" s="35">
        <v>44883</v>
      </c>
      <c r="EP4" s="44">
        <f>IF(AND(BP4="ERROR FUM O INGRESO",EO4&gt;0),"ERROR FUM O INGRESO",IF(AND(EO4="",R4="",O4=""),"",IF(OR(AND(EO4&lt;&gt;"",EO4&lt;BK4),AND(EO4&lt;&gt;"",SUM((EO4-BK4)/7)&gt;40)),"CORREGIR FECHA RESULTADO",IF(AND(EO4="",OR(O4&gt;0,R4&gt;0)),"TOMAR EXAMEN",IF(EO4&gt;0,SUM(EO4-BK4)/7,"")))))</f>
        <v>31.285714285714285</v>
      </c>
      <c r="EQ4" s="39" t="str">
        <f>IF(AND(OR(O4&gt;0,R4&gt;0),EN4=""),"",IF(AND(OR(O4&gt;0,R4&gt;0),EN4&gt;0,EN4&lt;10.5),"MANEJO MD POR ANEMIA FERROPENICA",IF(AND(OR(O4&gt;0,R4&gt;0),EN4&lt;14),"NORMAL- SUMINISTRAR SULFATO FERROSO",IF(AND(OR(O4&gt;0,R4&gt;0),EN4&lt;20),"NO DAR SULFATO FERROSO",""))))</f>
        <v>NO DAR SULFATO FERROSO</v>
      </c>
      <c r="ER4" s="37" t="s">
        <v>893</v>
      </c>
      <c r="ES4" s="35">
        <v>44734</v>
      </c>
      <c r="ET4" s="44">
        <f>IF(AND(BP4="ERROR FUM O INGRESO",ES4&gt;0),"ERROR FUM O INGRESO",IF(AND(ES4="",R4="",O4=""),"",IF(OR(AND(ES4&lt;&gt;"",ES4&lt;BK4),AND(ES4&lt;&gt;"",SUM((ES4-BK4)/7)&gt;40)),"CORREGIR FECHA RESULTADO",IF(AND(ES4="",OR(O4&gt;0,R4&gt;0)),"TOMAR EXAMEN",IF(ES4&gt;0,SUM(ES4-BK4)/7,"")))))</f>
        <v>10</v>
      </c>
      <c r="EU4" s="39" t="str">
        <f>IF(ER4="A-","RIESGO DE INCOMPATIBILIDAD RH",IF(ER4="B-","RIESGO DE INCOMPATIBILIDAD RH",IF(ER4="O-","RIESGO DE INCOMPATIBILIDAD RH",IF(ER4="AB-","RIESGO DE INCOMPATIBILIDAD RH",IF(OR(ER4="A+",ER4="A--"),"NO HAY RIESGO POR RH",IF(OR(ER4="B+",ER4="B--"),"NO HAY RIESGO POR RH",IF(OR(ER4="O+",ER4="O--"),"NO HAY RIESGO POR RH",IF(OR(ER4="AB+",ER4="AB--"),"NO HAY RIESGO POR RH",IF(ER4=0,"")))))))))</f>
        <v>NO HAY RIESGO POR RH</v>
      </c>
      <c r="EV4" s="31">
        <v>95</v>
      </c>
      <c r="EW4" s="35">
        <v>44734</v>
      </c>
      <c r="EX4" s="44">
        <f>IF(AND(BP4="ERROR FUM O INGRESO",EW4&gt;0),"ERROR FUM O INGRESO",IF(AND(EW4="",R4="",O4=""),"",IF(OR(AND(EW4&lt;&gt;"",EW4&lt;BK4),AND(EW4&lt;&gt;"",SUM((EW4-BK4)/7)&gt;40)),"CORREGIR FECHA RESULTADO",IF(AND(EW4="",OR(O4&gt;0,R4&gt;0)),"TOMAR EXAMEN",IF(EW4&gt;0,SUM(EW4-BK4)/7,"")))))</f>
        <v>10</v>
      </c>
      <c r="EY4" s="44">
        <v>75</v>
      </c>
      <c r="EZ4" s="44">
        <v>85</v>
      </c>
      <c r="FA4" s="44">
        <v>110</v>
      </c>
      <c r="FB4" s="31" t="str">
        <f ca="1">IF(AND(OR(EY4&gt;0,EZ4&gt;0,FA4&gt;0),FD4&gt;0,FD4&lt;24,AND(EY4&gt;1,EY4&lt;92),AND(EZ4&gt;1,EZ4&lt;180),AND(FA4&gt;1,FA4&lt;153)),"NORMAL, NO DESCARTA DIABETES POR REALIZARLO ANTES DE  SEMANA 24, ",IF(AND(OR(EY4&gt;0,EZ4&gt;0,FA4&gt;0),FD4&gt;0,FD4&lt;24,OR(EY4&gt;=92,EZ4&gt;=180,FA4&gt;=153)),"DIABETES, REMITIR",IF(AND(BQ4="",FC4="",EY4="",EZ4="",FA4=""),"",IF(AND(BQ4&gt;=19,BQ4&lt;24,FC4="",EY4="",EZ4="",FA4=""),"PROGRAMAR TOMA PTOG SIGUIENTE CONTROL",IF(AND(BQ4&gt;=24,FC4="",EY4="",EZ4="",FA4=""),"TOMAR PTOG",IF(OR(EY4&gt;=92,EZ4&gt;=180,FA4&gt;=153),"DIABETES, REMITIR",IF(AND(AND(EY4&gt;1,EY4&lt;92),AND(EZ4&gt;1,EZ4&lt;180),AND(FA4&gt;1,FA4&lt;153)),"NORMAL",IF(AND(EY4&gt;0,OR(EZ4=0,FA4=0)),"NO COMPLETA EXAMEN",""))))))))</f>
        <v>NORMAL</v>
      </c>
      <c r="FC4" s="48">
        <v>44848</v>
      </c>
      <c r="FD4" s="44">
        <f>IF(AND(BP4="ERROR FUM O INGRESO",FC4&gt;0),"ERROR FUM O INGRESO",IF(AND(FC4="",R4="",O4=""),"",IF(OR(AND(FC4&lt;&gt;"",FC4&lt;BK4),AND(FC4&lt;&gt;"",SUM((FC4-BK4)/7)&gt;40)),"CORREGIR FECHA RESULTADO",IF(AND(FC4="",OR(O4&gt;0,R4&gt;0)),"TOMAR EXAMEN",IF(FC4&gt;0,SUM(FC4-BK4)/7,"")))))</f>
        <v>26.285714285714285</v>
      </c>
      <c r="FE4" s="35" t="s">
        <v>894</v>
      </c>
      <c r="FF4" s="35">
        <v>44734</v>
      </c>
      <c r="FG4" s="44">
        <f ca="1">IF(AND(BP4="ERROR FUM O INGRESO",FF4&gt;0),"ERROR FUM O INGRESO",IF(AND(FF4="",R4="",O4=""),"",IF(OR(AND(FF4&lt;&gt;"",FF4&lt;BK4),AND(FF4&lt;&gt;"",AND(SUM((FF4-BK4)/7)&gt;=13,SUM((FF4-BK4)/7)&lt;27))),"REGISTRAR EN II TRIMESTRE",IF(OR(AND(FF4&lt;&gt;"",FF4&lt;BK4),AND(FF4&lt;&gt;"",AND(SUM((FF4-BK4)/7)&gt;=27,SUM((FF4-BK4)/7)&lt;44))),"REGISTRAR EN III TRIMESTRE",IF(AND(FF4="",OR(O4&gt;0,R4&gt;0),AND(BQ4&gt;1,BQ4&lt;10)),"EN RANGO PARA TOMAR EXAMEN",IF(AND(FF4="",OR(O4&gt;0,R4&gt;0),AND(BQ4&gt;=10,BQ4&lt;13)),"TOMA INMEDIATA DE TAMIZAJE",IF(AND(FF4="",BO4&lt;13,OR(O4&gt;0,R4&gt;0)),"PIERDE TOMA DE TAMIZAJE",IF(AND(FF4="",OR(O4&gt;0,R4&gt;0),AND(BO4&gt;=13,BO4&lt;43)),"NO APLICA-INGRESO TARDIO",IF(FF4&gt;0,SUM(FF4-BK4)/7,"")))))))))</f>
        <v>10</v>
      </c>
      <c r="FH4" s="35" t="s">
        <v>894</v>
      </c>
      <c r="FI4" s="49">
        <v>44820</v>
      </c>
      <c r="FJ4" s="44">
        <f ca="1">IF(AND(BP4="ERROR FUM O INGRESO",FI4&gt;0),"ERROR FUM O INGRESO",IF(AND(FI4="",R4="",O4=""),"",IF(AND(FI4&lt;&gt;"",FI4&lt;BK4), "INCOHERENCIA FUM Y FECHA TAMIZAJE",IF(AND(FI4="",DR4="ACTIVA INGRESO A CPN",AND(BQ4&gt;0,BQ4&lt;13)),"EN ESPERA-ESTÁ I TRIM", IF(AND(FI4="",AND(BO4&gt;0, BO4&lt;13),OR(O4&gt;0,R4&gt;0),AND(IY4&gt;0,IY4&lt;13)),"NO APLICA-SALIO DEL PROGRAMA I TRIM",IF(AND(FI4&lt;&gt;"",AND(SUM((FI4-BK4)/7)&gt;0,SUM((FI4-BK4)/7)&lt;13)),"REGISTRAR EN I TRIMESTRE",IF(AND(FI4&lt;&gt;"",AND(SUM((FI4-BK4)/7)&gt;=27,SUM((FI4-BK4)/7)&lt;44)),"REGISTRAR EN III TRIMESTRE",IF(AND(FI4="",OR(O4&gt;0,R4&gt;0),AND(BQ4&gt;=13,BQ4&lt;24),DR4="ACTIVA INGRESO A CPN"),"EN RANGO PARA TOMAR EXAMEN",IF(AND(FI4="",OR(O4&gt;0,R4&gt;0),AND(BQ4&gt;=25,BQ4&lt;27),DR4="ACTIVA INGRESO A CPN"),"TOMA INMEDIATA DE TAMIZAJE",IF(AND(FI4="",OR(O4&gt;0,R4&gt;0),AND(BO4&gt;=27,BO4&lt;44)),"NO APLICA-INGRESO TARDIO",IF(AND(FI4="",BO4&lt;27),"PIERDE TOMA DE TAMIZAJE",IF(FI4&gt;0,SUM(FI4-BK4)/7,""))))))))))))</f>
        <v>22.285714285714285</v>
      </c>
      <c r="FK4" s="35" t="s">
        <v>894</v>
      </c>
      <c r="FL4" s="49">
        <v>44883</v>
      </c>
      <c r="FM4" s="44">
        <f ca="1">IF(AND(BP4="ERROR FUM O INGRESO",FL4&gt;0),"ERROR FUM O INGRESO",IF(AND(FL4="",R4="",O4=""),"",IF(AND(FL4&lt;&gt;"",FL4&lt;BK4), "INCOHERENCIA FUM Y FECHA TAMIZAJE",IF(AND(FL4="",DR4="ACTIVA INGRESO A CPN",AND(BQ4&gt;0,BQ4&lt;27)),"EN ESPERA-ESTÁ I TRIM O II TRIM", IF(AND(FL4="",AND(BO4&gt;0, BO4&lt;27),OR(O4&gt;0,R4&gt;0),AND(IY4&gt;0,IY4&lt;27)),"NO APLICA-SALIO DEL PROGRAMA I O II TRIM",IF(AND(FL4&lt;&gt;"",AND(SUM((FL4-BK4)/7)&gt;0,SUM((FL4-BK4)/7)&lt;13)),"REGISTAR EN I TRIMESTRE",IF(AND(FL4&lt;&gt;"",AND(SUM((FL4-BK4)/7)&gt;=13,SUM((FL4-BK4)/7)&lt;27)),"REGISTRAR EN II TRIMESTRE",IF(AND(FL4="",OR(O4&gt;0,R4&gt;0),AND(BQ4&gt;=28,BQ4&lt;35),DR4="ACTIVA INGRESO A CPN"),"EN RANGO PARA TOMAR EXAMEN",IF(AND(FL4="",OR(O4&gt;0,R4&gt;0),BQ4&gt;=35, DR4="ACTIVA INGRESO A CPN"),"TOMA INMEDIATA DE TAMIZAJE",IF(AND(FL4="",DR4= "SALE SIN INGRESO CPN"),"NO APLICA-SIN CPN",IF(AND(FL4="",BO4&lt;44),"PIERDE TOMA DE TAMIZAJE",IF(FL4&gt;0,SUM(FL4-BK4)/7,""))))))))))))</f>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IF(AND(BP4="ERROR FUM O INGRESO",FR4&gt;0),"ERROR FUM O INGRESO",IF(AND(FR4="",R4="",O4=""),"",IF(OR(AND(FR4&lt;&gt;"",FR4&lt;BK4),AND(FR4&lt;&gt;"",SUM((FR4-BK4)/7)&gt;40)),"CORREGIR FECHA RESULTADO",IF(AND(FR4="",OR(O4&gt;0,R4&gt;0)),"TOMAR EXAMEN",IF(FR4&gt;0,SUM(FR4-BK4)/7,"")))))</f>
        <v>10</v>
      </c>
      <c r="FT4" s="43" t="s">
        <v>895</v>
      </c>
      <c r="FU4" s="35">
        <v>44734</v>
      </c>
      <c r="FV4" s="44">
        <f>IF(AND(BP4="ERROR FUM O INGRESO",FU4&gt;0),"ERROR FUM O INGRESO",IF(AND(FU4="",R4="",O4=""),"",IF(OR(AND(FU4&lt;&gt;"",FU4&lt;BK4),AND(FU4&lt;&gt;"",SUM((FU4-BK4)/7)&gt;40)),"CORREGIR FECHA RESULTADO",IF(AND(FU4="",OR(O4&gt;0,R4&gt;0)),"TOMAR EXAMEN",IF(FU4&gt;0,SUM(FU4-BK4)/7,"")))))</f>
        <v>10</v>
      </c>
      <c r="FW4" s="35">
        <v>44734</v>
      </c>
      <c r="FX4" s="35">
        <v>44734</v>
      </c>
      <c r="FY4" s="35" t="s">
        <v>896</v>
      </c>
      <c r="FZ4" s="35">
        <v>44734</v>
      </c>
      <c r="GA4" s="44">
        <f ca="1">IF(AND(BP4="ERROR FUM O INGRESO",FZ4&gt;0),"ERROR FUM O INGRESO",IF(AND(FZ4="",R4="",O4=""),"",IF(OR(AND(FZ4&lt;&gt;"",FZ4&lt;BK4),AND(FZ4&lt;&gt;"",AND(SUM((FZ4-BK4)/7)&gt;=13,SUM((FZ4-BK4)/7)&lt;27))),"REGISTRAR EN II TRIMESTRE",IF(OR(AND(FZ4&lt;&gt;"",FZ4&lt;BK4),AND(FZ4&lt;&gt;"",AND(SUM((FZ4-BK4)/7)&gt;=27,SUM((FZ4-BK4)/7)&lt;44))),"REGISTRAR EN III TRIMESTRE",IF(AND(FZ4="",OR(O4&gt;0,R4&gt;0),AND(BQ4&gt;1,BQ4&lt;10)),"EN RANGO PARA TOMAR EXAMEN",IF(AND(FZ4="",OR(O4&gt;0,R4&gt;0),AND(BQ4&gt;=10,BQ4&lt;12)),"TOMA INMEDIATA DE TAMIZAJE",IF(AND(FZ4="",BO4&lt;12,OR(O4&gt;0,R4&gt;0)),"PIERDE TOMA DE TAMIZAJE",IF(AND(FZ4="",OR(O4&gt;0,R4&gt;0),AND(BO4&gt;=13,BO4&lt;44)),"NO APLICA-INGRESO TARDIO",IF(FZ4&gt;0,SUM(FZ4-BK4)/7,"")))))))))</f>
        <v>10</v>
      </c>
      <c r="GB4" s="35" t="s">
        <v>896</v>
      </c>
      <c r="GC4" s="35">
        <v>44820</v>
      </c>
      <c r="GD4" s="44">
        <f ca="1">IF(AND(BP4="ERROR FUM O INGRESO",GC4&gt;0),"ERROR FUM O INGRESO",IF(AND(GC4="",R4="",O4=""),"",IF(AND(GC4&lt;&gt;"",GC4&lt;BK4), "INCOHERENCIA FUM Y FECHA TAMIZAJE",IF(AND(GC4="",DR4="ACTIVA INGRESO A CPN",AND(BQ4&gt;0,BQ4&lt;13)),"EN ESPERA-ESTÁ I TRIM", IF(AND(GC4="",AND(BO4&gt;0, BO4&lt;12),OR(O4&gt;0,R4&gt;0),AND(IY4&gt;0,IY4&lt;13)),"NO APLICA-SALIO DEL PROGRAMA I TRIM",IF(AND(GC4&lt;&gt;"",AND(SUM((GC4-BK4)/7)&gt;0,SUM((GC4-BK4)/7)&lt;13)),"REGISTRAR EN I TRIMESTRE",IF(AND(GC4&lt;&gt;"",AND(SUM((GC4-BK4)/7)&gt;=27,SUM((GC4-BK4)/7)&lt;44)),"REGISTRAR EN III TRIMESTRE",IF(AND(GC4="",OR(O4&gt;0,R4&gt;0),AND(BQ4&gt;=12,BQ4&lt;25),DR4="ACTIVA INGRESO A CPN"),"EN RANGO PARA TOMAR EXAMEN",IF(AND(GC4="",OR(O4&gt;0,R4&gt;0),AND(BQ4&gt;=25,BQ4&lt;27),DR4="ACTIVA INGRESO A CPN"),"TOMA INMEDIATA DE TAMIZAJE",IF(AND(GC4="",OR(O4&gt;0,R4&gt;0),AND(BO4&gt;=27,BO4&lt;43)),"NO APLICA-INGRESO TARDIO",IF(AND(GC4="",BO4&lt;27),"PIERDE TOMA DE TAMIZAJE",IF(GC4&gt;0,SUM(GC4-BK4)/7,""))))))))))))</f>
        <v>22.285714285714285</v>
      </c>
      <c r="GE4" s="35" t="s">
        <v>896</v>
      </c>
      <c r="GF4" s="35">
        <v>44883</v>
      </c>
      <c r="GG4" s="44">
        <f ca="1">IF(AND(BP4="ERROR FUM O INGRESO",GF4&gt;0),"ERROR FUM O INGRESO",IF(AND(GF4="",R4="",O4=""),"",IF(AND(GF4&lt;&gt;"",GF4&lt;BK4), "INCOHERENCIA FUM Y FECHA TAMIZAJE",IF(AND(GF4="",DR4="ACTIVA INGRESO A CPN",AND(BQ4&gt;0,BQ4&lt;27)),"EN ESPERA-ESTÁ I TRIM O II TRIM", IF(AND(GF4="",AND(BO4&gt;0, BO4&lt;28),OR(O4&gt;0,R4&gt;0),AND(IY4&gt;0,IY4&lt;28)),"NO APLICA-SALIO DEL PROGRAMA I O II TRIM",IF(AND(GF4&lt;&gt;"",AND(SUM((GF4-BK4)/7)&gt;0,SUM((GF4-BK4)/7)&lt;13)),"REGISTAR EN I TRIMESTRE",IF(AND(GF4&lt;&gt;"",AND(SUM((GF4-BK4)/7)&gt;=13,SUM((GF4-BK4)/7)&lt;27)),"REGISTRAR EN II TRIMESTRE",IF(AND(GF4="",OR(O4&gt;0,R4&gt;0),AND(BQ4&gt;=28,BQ4&lt;35),DR4="ACTIVA INGRESO A CPN"),"EN RANGO PARA TOMAR EXAMEN",IF(AND(GF4="",OR(O4&gt;0,R4&gt;0),BQ4&gt;=35, DR4="ACTIVA INGRESO A CPN"),"TOMA INMEDIATA DE TAMIZAJE",IF(AND(GF4="",DR4= "SALE SIN INGRESO CPN"),"NO APLICA-SIN CPN",IF(AND(GF4="",BO4&lt;44),"PIERDE TOMA DE TAMIZAJE",IF(GF4&gt;0,SUM(GF4-BK4)/7,""))))))))))))</f>
        <v>31.285714285714285</v>
      </c>
      <c r="GH4" s="35"/>
      <c r="GI4" s="44"/>
      <c r="GJ4" s="35" t="s">
        <v>883</v>
      </c>
      <c r="GK4" s="35"/>
      <c r="GL4" s="35" t="s">
        <v>883</v>
      </c>
      <c r="GM4" s="35"/>
      <c r="GN4" s="43" t="s">
        <v>895</v>
      </c>
      <c r="GO4" s="35">
        <v>44734</v>
      </c>
      <c r="GP4" s="44">
        <f>IF(AND(BP4="ERROR FUM O INGRESO",GO4&gt;0),"ERROR FUM O INGRESO",IF(AND(GO4="",R4="",O4=""),"",IF(OR(AND(GO4&lt;&gt;"",GO4&lt;BK4),AND(GO4&lt;&gt;"",SUM((GO4-BK4)/7)&gt;40)),"CORREGIR FECHA RESULTADO",IF(AND(GO4="",OR(O4&gt;0,R4&gt;0)),"TOMAR EXAMEN",IF(GO4&gt;0,SUM(GO4-BK4)/7,"")))))</f>
        <v>10</v>
      </c>
      <c r="GQ4" s="43" t="s">
        <v>895</v>
      </c>
      <c r="GR4" s="43" t="s">
        <v>895</v>
      </c>
      <c r="GS4" s="35" t="str">
        <f>IF(GQ4="NEGATIVO","CONTROL Igm",IF(AND(GQ4="POSITIVO",GR4="NEGATIVO"),"SE EXCLUYE INFECCION",IF(AND(GQ4="POSITIVO",GR4="POSITIVO"),"TOXOPLASMOSIS, REMITIR PARA MANEJO","")))</f>
        <v>CONTROL Igm</v>
      </c>
      <c r="GT4" s="35">
        <v>44734</v>
      </c>
      <c r="GU4" s="44">
        <f>IF(AND(BP4="ERROR FUM O INGRESO",GT4&gt;0),"ERROR FUM O INGRESO",IF(AND(GT4="",R4="",O4=""),"",IF(OR(AND(GT4&lt;&gt;"",GT4&lt;BK4),AND(GT4&lt;&gt;"",SUM((GT4-BK4)/7)&gt;40)),"CORREGIR FECHA RESULTADO",IF(AND(GT4="",OR(O4&gt;0,R4&gt;0)),"TOMAR EXAMEN",IF(GT4&gt;0,SUM(GT4-BK4)/7,"")))))</f>
        <v>10</v>
      </c>
      <c r="GV4" s="31" t="str">
        <f>IF(AND(GU4="",BP4=""),"",IF(AND(GU4&lt;&gt;"",BP4="SIN DATO"),"SIN DATO",IF(AND(GU4="",BP4&lt;&gt;""),"",IF(AND(GU4&lt;0,BP4&gt;0),"ERROR FUM O INGRESO",IF(GU4&lt;=13,"I TRIM",IF(GU4&lt;28,"II TRIM",IF(AND(GU4&gt;27,GU4&lt;45),"III TRIM","POR DEFINIR")))))))</f>
        <v>I TRIM</v>
      </c>
      <c r="GW4" s="43" t="s">
        <v>895</v>
      </c>
      <c r="GX4" s="46">
        <v>5</v>
      </c>
      <c r="GY4" s="31"/>
      <c r="GZ4" s="35"/>
      <c r="HA4" s="43" t="str">
        <f>IF(GZ4&gt;0,SUM(GZ4-BK4)/7,"")</f>
        <v/>
      </c>
      <c r="HB4" s="31" t="str">
        <f>IF(HA4&lt;0,"ANTES DEL EMBARAZO",IF(AND(HA4&gt;0,HA4&lt;13),"I TRIM",IF(AND(HA4&gt;12,HA4&lt;28),"II TRIM",IF(AND(HA4&gt;27,HA4&lt;41),"III TRIM",""))))</f>
        <v/>
      </c>
      <c r="HC4" s="31" t="str">
        <f>IF(GY4="","",IF(GY4="CARCINOMA ESCAMOCELULAR","CITAR PARA COLPOSCOPIA Y PATOLOGIA",IF(GY4="ASCUS","CITAR PARA COLPOSCOPIA",IF(GY4="ACSI","CITAR PARA COLPOSCOPIA",IF(GY4="INFECCION VPH","CITAR PARA COLPOSCOPIA",IF(GY4="NIC I","CITAR PARA COLPOSCOPIA",IF(GY4="NIC I VPH","CITAR PARA COLPOSCOPIA",IF(GY4="NIC II","CITAR PARA COLPOSCOPIA",IF(GY4="NIC III","CITAR PARA COLPOSCOPIA",IF(GY4="CAMBIOS INFLAMATORIOS","CONSULTA CON MÉDICO GENERAL",IF(GY4="INFECCION","CONSULTA CON MÉDICO GENERAL",IF(GY4="NEGATIVA PARA NEOPLASIA","CITA PARA CITOLOGIA SEGÚN ESQUEMA1-1-3",IF(GY4="MUESTRA INADECUADA","REPETIR CITOLOGIA",IF(GY4=0,"SD"))))))))))))))</f>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IF(OR(O4&gt;0,R4&gt;0),CONCATENATE(IF(AY4="SI","ANTECEDENTE EMBARAZO MOLAR",""),"*",CONCATENATE(IF(AZ4="SI","ANTECEDENTE MUERTE NEONATAL",""),"*",CONCATENATE(IF(AND(BM4&gt;0,BM4&lt;13),"PERIODO INTERGENESICO CORTO",""),"*",CONCATENATE(IF(AND(BO4&gt;13,BO4&lt;42),"INGRESO TARDIO A CPN",""),"*",CONCATENATE(IF(CO4="BAJO PESO","BAJO PESO",""),"*",CONCATENATE(IF(CO4="SOBREPESO","SOBREPESO",""),"*",CONCATENATE(IF(CO4="OBESIDAD","OBESIDAD",""),"*",CONCATENATE(IF(GN4="POSITIVO","SEGUIMIENTO INFECCIÓN HEP B",""),"*",CONCATENATE(IF(GS4="TOXOPLASMOSIS, REMITIR PARA MANEJO","INFECCIÓN TOXOPLASMOSIS",""),"*",CONCATENATE(IF(GS4="CONTROL Igm","PREVENCIÓN CONTAGIO TOXOPLASMOSIS",""),"*",CONCATENATE(IF(OR(HJ4="COVID19 PRIMER TRIMESTRE",HJ4="COVID19 SEGUNDO TRIMESTRE",HJ4="COVID19 TERCER TRIMESTRE",HJ4="COVID19 PUERPERIO"),"INFECCIÓN SARS-CoV2 CONFIRMADA",""),"*",CONCATENATE(IF(OR(HC4="CITAR PARA COLPOSCOPIA",HC4="CITAR PARA COLPOSCOPIA Y PATOLOGIA"),"DESCARTAR CANCER DE UTERO",""),"*",)))))))))))),"")</f>
        <v>****BAJO PESO*****PREVENCIÓN CONTAGIO TOXOPLASMOSIS***</v>
      </c>
      <c r="HM4" s="35" t="str">
        <f ca="1">IF(AND(O4="",R4=""),"",IF(AND(OR(O4&lt;&gt;"",R4&lt;&gt;""),OR(HO4="RIESGO ALTO DE COMPLICACIONES HIPERTENSIVAS VER MANEJO GUIA SUMINISTRO ASA Y CALCIO",HO4="RIESGO MODERADO (2 O MAS CRITERIOS) VER MANEJO GUIA SUMINISTRO ASA Y CALCIO")),"ALTO RIESGO",IF(AND(HL4="************",OR(O4&lt;&gt;"",R4&lt;&gt;""),AND(NM4&gt;=0,NM4&lt;3)),"BAJO RIESGO",IF(AND(OR(O4&lt;&gt;"",R4&lt;&gt;""),OR(HJ4="COVID19 PRIMER TRIMESTRE",HJ4="COVID19 SEGUNDO TRIMESTRE",HJ4="COVID19 TERCER TRIMESTRE",HJ4="COVID19 PUERPERIO")),"ALTO RIESGO",IF(AND(HL4&lt;&gt;"",OR(O4&lt;&gt;"",R4&lt;&gt;""),AND(NM4&gt;=0,NM4&lt;3)),"CON RIESGO",IF(AND(OR(O4&lt;&gt;"",R4&lt;&gt;""),NM4&gt;2),"ALTO RIESGO",""))))))</f>
        <v>CON RIESGO</v>
      </c>
      <c r="HN4" s="31" t="str">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GEMELAR",""),"*",CONCATENATE(IF(NJ4=3,"PRESENTACIÓN FETAL PODALICA O TRANSVERSA",""),"*",CONCATENATE(IF(BY4="SI","POLIHIDRAMNIOS",""),"*",CONCATENATE(IF(FB4="DIABETES, REMITIR","DIABETES GESTACIONAL",""),"*",CONCATENATE(IF(FP4&lt;&gt;"","SEGUIMIENTO PARA SIFILIS GESTACIONAL",""),"*",CONCATENATE(IF(NI4=3,"SEGUIMIENTO PARA VIH",""),"*",CONCATENATE(IF(NG4=1,"SEGUIMIENTO PARA ANEMIA",""),"*",CONCATENATE(IF(ND4=2,"MULTIPARIDAD",""),"*",CONCATENATE(IF(ND4=1,"MULTIPARIDAD",""),"*",CONCATENATE(IF(NC4=1,"ANTECEDENTE MUERTE PERINATAL",""),"*",CONCATENATE(IF(OR(NA4=2,NA4=1),"RIESGO POR EDAD",""),"*",CONCATENATE(IF(OR(NE4=1,NE4=2),"CESAREAS PREVIAS",""),"*",CONCATENATE(IF(NF4=1,"ANTECEDENTE ECTOPICO O CX UTERINA",""),"*",CONCATENATE(IF(NH4=1,"EMBARAZO PROLONGADO",""),"*",CONCATENATE(IF(NK4=2,"SEGUIMIENTO PARA CHAGAS",""),"*",CONCATENATE(IF(NL4=3,"SEGUIMIENTO PARA MALARIA",""),"*",CONCATENATE(IF(OR(HJ4="COVID19 PRIMER TRIMESTRE",HJ4="COVID19 SEGUNDO TRIMESTRE", HJ4="COVID19 TERCER TRIMESTRE",HJ4="COVID19 PUERPERIO"),"SEGUIMIENTO PARA COVID19",""),"*",CONCATENATE(IF(EU4="RIESGO DE INCOMPATIBILIDAD RH","SEGUIMIENTO PARA INCOMPATIBILIDAD RH",""),"*")))))))))))))))))))))))))))))))),"")</f>
        <v>**********************MULTIPARIDAD**********</v>
      </c>
      <c r="HO4" s="31" t="str">
        <f>IF(AND(O4="",R4=""),"",IF(AND(OR(O4&gt;0,R4&gt;0),OR(AL4="SI",BD4="SI",BA4="SI",BB4="SI",BE4="SI")),"RIESGO ALTO DE COMPLICACIONES HIPERTENSIVAS VER MANEJO GUIA SUMINISTRO ASA Y CALCIO",IF(AND(OR(O4&gt;0,R4&gt;0),NN4&gt;1),"RIESGO MODERADO (2 O MAS CRITERIOS) VER MANEJO GUIA SUMINISTRO ASA Y CALCIO","SIN ANTECEDENTES DE RIESGO")))</f>
        <v>SIN ANTECEDENTES DE RIESGO</v>
      </c>
      <c r="HP4" s="37" t="str">
        <f>IF(AND(O4="",R4=""),"",IF(AND(OR(O4&gt;0,R4&gt;0),CR4&lt;&gt;"",CU4&lt;&gt;"",CZ4&lt;&gt;""),CZ4,IF(AND(OR(O4&gt;0,R4&gt;0),CR4&lt;&gt;"",CU4&lt;&gt;"",CZ4=""),CU4,IF(AND(OR(O4&gt;0,R4&gt;0),CR4&lt;&gt;"",CU4="",CZ4=""),CR4,IF(AND(OR(O4&gt;0,R4&gt;0),CR4="",CU4="",CZ4&lt;&gt;""),CZ4,IF(AND(OR(O4&gt;0,R4&gt;0),CR4="",CU4&lt;&gt;"",CZ4&lt;&gt;""),CZ4,IF(AND(OR(O4&gt;0,R4&gt;0),CR4&lt;&gt;"",CU4="",CZ4&lt;&gt;""),CZ4,IF(AND(OR(O4&gt;0,R4&gt;0),CR4="",CU4&lt;&gt;"",CZ4=""),CU4,""))))))))</f>
        <v>APARENTEMENTE NORMAL</v>
      </c>
      <c r="HQ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HR4" s="46" t="str">
        <f>IF(AND(R4&lt;&gt;"",IT4="CAMBIO DE RESIDENCIA"),"SEGUIMIENTO REPORTE EPS",IF(AND(R4&lt;&gt;"",OR(IT4&lt;&gt;"",IW4&lt;&gt;"")),"SALIO PROGRAMA",IF(AND(AND(R4="",O4&gt;0),OR(IT4&lt;&gt;"",IW4&lt;&gt;"")),"SALE SIN INGRESO CPN",IF(AND(R4="",O4&gt;0,IT4="",IW4=""),"ACTIVA SIN INGRESO CPN",IF(AND(R4&lt;&gt;"",OR(IT4="",IW4="")),"ACTIVA INGRESO A CPN","")))))</f>
        <v>SALIO PROGRAMA</v>
      </c>
      <c r="HS4" s="31" t="s">
        <v>875</v>
      </c>
      <c r="HT4" s="31" t="s">
        <v>883</v>
      </c>
      <c r="HU4" s="35">
        <v>44848</v>
      </c>
      <c r="HV4" s="35" t="s">
        <v>901</v>
      </c>
      <c r="HW4" s="35">
        <v>44848</v>
      </c>
      <c r="HX4" s="35" t="s">
        <v>901</v>
      </c>
      <c r="HY4" s="35">
        <v>44734</v>
      </c>
      <c r="HZ4" s="35" t="s">
        <v>901</v>
      </c>
      <c r="IA4" s="40" t="s">
        <v>887</v>
      </c>
      <c r="IB4" s="35">
        <v>44734</v>
      </c>
      <c r="IC4" s="43">
        <f>IF(AND(BP4="ERROR FUM O INGRESO",IB4&gt;0),"ERROR FUM O INGRESO",IF(AND(IB4="",R4=""),"",IF(OR(AND(IB4&lt;&gt;"",IB4&lt;BK4),AND(IB4&lt;&gt;"",SUM((IB4-BK4)/7)&gt;40)),"CORREGIR FECHA CONSULTA",IF(AND(IB4="",R4&gt;0),"PENDIENTE CONSULTA",IF(IB4&gt;0,SUM(IB4-BK4)/7,"")))))</f>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ca="1">IF(AND(BK4="",NO4="SD"),"SIN DATO EDAD GESTACIONAL",IF(AND(BK4="",IM4=""),"",IF(AND(AND(BQ4&gt;0,BQ4&lt;20),IM4=""),"EN ESPERA PARA VACUNAR",IF(AND(AND(BQ4&gt;19,BQ4&lt;27),IM4=""),"PROGRAMAR APLICACION DE VACUNA",IF(AND(AND(BQ4&gt;26,BQ4&lt;43),IM4=""),"INASISTENTE",IF(AND(AND(NO4&gt;19,NO4&lt;27),IM4&gt;0),"VACUNA APLICADA ENTRE SEMANA 20 Y SEMANA 26",IF(AND(NO4&lt;20,IM4&gt;0),"VACUNA APLICADA ANTES SEMANA 20",IF(AND(NO4&gt;26,IM4&gt;0),"VACUNA APLICADA ENTRE SEMANA 27 Y EL PARTO",IF(AND(OR(IT4="CESAREA",IT4="PARTO"),IR4="POSIBLEMENTE NACIO",IM4=""),"SALE SIN VACUNA","")))))))))</f>
        <v>VACUNA APLICADA ENTRE SEMANA 20 Y SEMANA 26</v>
      </c>
      <c r="IO4" s="35"/>
      <c r="IP4" s="35">
        <f>IF(OR(BL4="SI",BL4="Corregida",BL4="NO"),(BK4+280),IF(BL4="Sin Dato","DEFINIR FPP POR ECO",""))</f>
        <v>44944</v>
      </c>
      <c r="IQ4" s="44">
        <f ca="1">IF(OR(IP4="DEFINIR FPP POR ECO",BP4="ERROR FUM O INGRESO"),"SIN DEFINIR",IF(IP4="","",IF(IP4&gt;0,SUM(IP4-TODAY()),"X")))</f>
        <v>-281</v>
      </c>
      <c r="IR4" s="35" t="str">
        <f ca="1">IF(IQ4&lt;0,"POSIBLEMENTE NACIO",IF(IQ4="SIN DEFINIR","SIN DATO",IF(AND(IQ4&gt;=0,IQ4&lt;=7),"SEMANA DE PARTO",IF(AND(IQ4&gt;=8,IQ4&lt;=28),"MENOS DE 4 SEMANAS",IF(AND(IQ4&gt;=29,IQ4&lt;=280),"PENDIENTE","")))))</f>
        <v>POSIBLEMENTE NACIO</v>
      </c>
      <c r="IS4" s="35"/>
      <c r="IT4" s="31" t="s">
        <v>904</v>
      </c>
      <c r="IU4" s="31" t="s">
        <v>905</v>
      </c>
      <c r="IV4" s="51" t="s">
        <v>906</v>
      </c>
      <c r="IW4" s="35">
        <v>44945</v>
      </c>
      <c r="IX4" s="31" t="s">
        <v>907</v>
      </c>
      <c r="IY4" s="44">
        <f>IF(AND(IW4&gt;0,IT4&lt;&gt;""),SUM(IW4-BK4)/7,"")</f>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IF(AND(JM4&gt;700,JM4&lt;2500,IY4&gt;36),"BAJO PESO AL NACER",IF(AND(JM4&gt;500,JM4&lt;2500,IY4&lt;37),"PREMATURO",IF(AND(JM4&gt;2499,JM4&lt;4000,IY4&gt;36),"PESO ADECUADO EDAD GESTACIONAL",IF(AND(JM4&gt;3999,JM4&lt;6000,IY4&gt;36),"PESO GRANDE EDAD GESTACIONAL",""))))</f>
        <v>PESO ADECUADO EDAD GESTACIONAL</v>
      </c>
      <c r="JO4" s="236">
        <v>44945</v>
      </c>
      <c r="JP4" s="31"/>
      <c r="JQ4" s="31"/>
      <c r="JR4" s="31"/>
      <c r="JS4" s="46" t="s">
        <v>893</v>
      </c>
      <c r="JT4" s="35">
        <v>44945</v>
      </c>
      <c r="JU4" s="35">
        <v>44945</v>
      </c>
      <c r="JV4" s="31"/>
      <c r="JW4" s="53"/>
      <c r="JX4" s="31" t="str">
        <f>IF(AND(JW4&gt;700,JW4&lt;2500,IY4&gt;36,IY4&lt;43),"BAJO PESO AL NACER",IF(AND(JW4&gt;700,JW4&lt;2500,IY4&lt;37),"PREMATURO",IF(AND(JW4&gt;2499,JW4&lt;4000,IY4&gt;36,IY4&lt;43),"PESO ADECUADO EDAD GESTACIONAL",IF(AND(JW4&gt;3999,JW4&lt;6000,IY4&gt;36,IY4&lt;43),"PESO GRANDE EDAD GESTACIONAL",""))))</f>
        <v/>
      </c>
      <c r="JY4" s="35"/>
      <c r="JZ4" s="31"/>
      <c r="KA4" s="31"/>
      <c r="KB4" s="31"/>
      <c r="KC4" s="46"/>
      <c r="KD4" s="35"/>
      <c r="KE4" s="35"/>
      <c r="KF4" s="50">
        <v>44953</v>
      </c>
      <c r="KG4" s="43">
        <f>IF(AND(KF4&lt;&gt;"",KF4&lt;IW4),"INCONSISTENCIA FECHA CONTROL",IF(AND(OR(IT4="Parto",IT4="Cesarea"),KF4&gt;0,IW4&gt;0),SUM(KF4-IW4),IF(AND(OR(IT4="Parto",IT4="Cesarea"),KF4="",IW4&gt;0),"INASISTENTE","")))</f>
        <v>8</v>
      </c>
      <c r="KH4" s="50">
        <v>44953</v>
      </c>
      <c r="KI4" s="43">
        <f>IF(AND(KH4&lt;&gt;"",KH4&lt;IW4),"INCONSISTENCIA FECHA CONTROL",IF(AND(OR(IT4="Parto",IT4="Cesarea",IT4="Aborto Espontaneo",IT4="Aborto Inducido",IT4="IVE"),KH4&gt;0,IW4&gt;0),SUM(KH4-IW4),IF(AND(KH4&lt;&gt;"",KH4&lt;IW4),"INCONSISTENCIA FECHA CONTROL",IF(AND(OR(IT4="Parto",IT4="Cesarea",IT4="Aborto Espontaneo",IT4="Aborto Inducido",IT4="IVE"),KH4="",IW4&gt;0),"INASISTENTE",""))))</f>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SUM(COUNTIF(LD4,"PARTERO (A)"),COUNTIF(LH4,"PARTERO (A)"),COUNTIF(LL4,"PARTERO (A)"),COUNTIF(LP4,"PARTERO (A)"),COUNTIF(LT4,"PARTERO (A)"),COUNTIF(LX4,"PARTERO (A)"),COUNTIF(MN4,"PARTERO (A)"))</f>
        <v>0</v>
      </c>
      <c r="MR4" t="str">
        <f>IF(AND(R4="",O4=""),"",IF(AND(OR(O4&gt;0,R4&gt;0),LC4&gt;0),SUM(LC4-BK4)/7,""))</f>
        <v/>
      </c>
      <c r="MS4" t="str">
        <f>IF(AND(MR4="",BP4=""),"",IF(AND(MR4&lt;&gt;"",BP4="SIN DATO"),"SIN DATO",IF(AND(MR4="",BP4&lt;&gt;""),"",IF(AND(MR4&lt;0,BP4&gt;0),"ERROR FUM O INGRESO",IF(MR4&lt;=13,"I TRIM",IF(MR4&lt;28,"II TRIM",IF(AND(MR4&gt;27,MR4&lt;45),"III TRIM","POR DEFINIR")))))))</f>
        <v/>
      </c>
      <c r="MT4">
        <f>SUM(COUNTIF(LD4,"MEDICO (A) TRADICIONAL"),COUNTIF(LH4,"MEDICO (A) TRADICIONAL"),COUNTIF(LL4,"MEDICO (A) TRADICIONAL"),COUNTIF(LP4,"MEDICO (A) TRADICIONAL"),COUNTIF(LT4,"MEDICO (A) TRADICIONAL"),COUNTIF(LX4,"MEDICO (A) TRADICIONAL"),COUNTIF(MN4,"MEDICO (A) TRADICIONAL"))</f>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IF(AND(O4&gt;0,BK4&gt;0),SUM(O4-BK4)/7,"")</f>
        <v>10</v>
      </c>
      <c r="MW4">
        <f>IF(R4&gt;0,MONTH(R4),"")</f>
        <v>6</v>
      </c>
      <c r="MX4">
        <f>IF(R4&gt;0,YEAR(R4),"")</f>
        <v>2022</v>
      </c>
      <c r="MY4" t="str">
        <f>IF(AND(MW4&gt;=1,MW4&lt;=3),"I TRIMESTRE AÑO",IF(AND(MW4&gt;=4,MW4&lt;=6),"II TRIMESTRE AÑO",IF(AND(MW4&gt;=7,MW4&lt;=9),"III TRIMESTRE AÑO",IF(AND(MW4&gt;=10,MW4&lt;=12),"IV TRIMESTRE AÑO",""))))</f>
        <v>II TRIMESTRE AÑO</v>
      </c>
      <c r="MZ4">
        <f>IF(AND(M4&gt;0,R4&gt;0),DAYS360(M4,R4)/30.44/12,IF(AND(M4&gt;0,O4&gt;0,R4=""),DAYS360(M4,O4)/30.44/12,""))</f>
        <v>17.832895313184405</v>
      </c>
      <c r="NA4">
        <f>IF(AND(MZ4&gt;7,MZ4&lt;14),2,IF(MZ4&lt;16,1,IF(MZ4&lt;=35,0,IF(AND(MZ4&gt;35,MZ4&lt;50),2,""))))</f>
        <v>0</v>
      </c>
      <c r="NB4" t="str">
        <f>+IF(MZ4="","",IF(MZ4&lt;14,"MENOR 14 AÑOS",IF(MZ4&lt;20,"DE 14 A 19AÑOS",IF(MZ4&lt;25," DE 20 A 24 AÑOS",IF(MZ4&lt;30," DE 25 A 29 AÑOS",IF(MZ4&lt;35," DE 30 A 34 AÑOS",IF(MZ4&lt;40," DE 35 A 39 AÑOS"," DE 40 Y MAS")))))))</f>
        <v>DE 14 A 19AÑOS</v>
      </c>
      <c r="NC4">
        <f>IF(AW4="SI",1,IF(AW4="NO",0,""))</f>
        <v>0</v>
      </c>
      <c r="ND4">
        <f>IF(AS4="","",IF(AS4=0,1,IF(AND(AS4&gt;=1,AS4&lt;=4),0,IF(AS4&gt;=5,2,"X"))))</f>
        <v>1</v>
      </c>
      <c r="NE4">
        <f>IF(AV4="","",IF(AV4=0,0,IF(AV4=1,1,IF(OR(AV4=2,AV4="3 O MAS"),2,"X"))))</f>
        <v>0</v>
      </c>
      <c r="NF4">
        <f>IF(AX4="SI",1,IF(AX4="NO",0,""))</f>
        <v>0</v>
      </c>
      <c r="NG4" t="str">
        <f>IF(OR(AND(EI4&gt;0,EI4&lt;11),AND(EN4&gt;0,EN4&lt;10.5)),1,"")</f>
        <v/>
      </c>
      <c r="NH4" t="str">
        <f ca="1">IF(AND(AND(BQ4&gt;40.9,BQ4&lt;43),IW4=""),1,"")</f>
        <v/>
      </c>
      <c r="NI4" t="str">
        <f>IF(AND(FY4="",GB4="",GE4="",GH4=""),"",IF(OR(OR(FY4="P.R REACTIVA",FY4="ELISA REACTIVA"),OR(GB4="P.R REACTIVA",GB4="ELISA REACTIVA"),OR(GE4="P.R REACTIVA",GE4="ELISA REACTIVA"),OR(GH4="P.R REACTIVA",GH4="ELISA REACTIVA")),3,""))</f>
        <v/>
      </c>
      <c r="NJ4">
        <f>IF(BX4="","",IF(OR(BX4="CEFÁLICA",BX4="SD"),0,IF(OR(BX4="PODÁLICA",BX4="TRANSVERSA O DE FRENTE",BX4="OBLICUA"),3,"")))</f>
        <v>0</v>
      </c>
      <c r="NK4" t="str">
        <f>IF(HD4="","",IF(HD4="POSITIVO",2,"0"))</f>
        <v>0</v>
      </c>
      <c r="NL4">
        <f>IF(AND(HF4="",HH4=""),"",IF(OR(HF4="POSITIVO",HH4="POSITIVO"),3,0))</f>
        <v>0</v>
      </c>
      <c r="NM4">
        <f ca="1">IF(AND(O4="",R4=""),"",IF(OR(O4&lt;&gt;"",R4&lt;&gt;""),SUM(COUNTIF(AL4:AP4,"SI"),COUNTIF(AU4,"SI"),COUNTIF(BF4,"SI"),COUNTIF(BI4,"SI"),SUM(COUNTIF(BA4:BC4,"SI")*3),SUM(COUNTIF(BV4:BW4,"SI")*3),SUM(COUNTIF(BH4,"SI")*3),SUM(COUNTIF(BG4,"SI")*2),SUM(COUNTIF(BY4,"SI")*2),SUM(COUNTIF(BE4,"SI")*2),SUM(COUNTIF(FB4,"DIABETES, REMITIR")*2),SUM(NC4:NL4),SUM(NA4),SUM(NP4),SUM(COUNTIF(EU4,"RIESGO DE INCOMPATIBILIDAD RH")*3),SUM(COUNTIF(FP4,"SIFILIS GESTACIONAL")*3)),""))</f>
        <v>1</v>
      </c>
      <c r="NN4">
        <f>IF(OR(O4&gt;0,R4&gt;0),SUM(COUNTIF(Tabla1[[#This Row],[AÑOS AL INICIO5 CPN]],"&gt;=40"),COUNTIF(AR4,"0"),COUNTIF(AQ4,"SI"),COUNTIF(BW4,"SI"),COUNTIF(BM4,"&gt;119"),COUNTIF(CC4,"&gt;=35")),"")</f>
        <v>1</v>
      </c>
      <c r="NO4">
        <f>IF(AND(R4="",O4=""),"",IF(AND(OR(O4&gt;0,R4&gt;0),BK4=""),"SD",IF(AND(OR(O4&gt;0,R4&gt;0),IM4&gt;0),SUM(IM4-BK4)/7,"")))</f>
        <v>22.285714285714285</v>
      </c>
      <c r="NP4">
        <f>IF(AND(AE4="",AF4="",AG4="",AH4="",AI4="",AJ4=""),"",SUM(SUM(COUNTIF(AE4,"NO")/2),COUNTIF(AF4,"NO"),SUM(COUNTIF(AG4,"SI")/2),COUNTIF(AH4,"SI"),SUM(COUNTIF(AJ4,"SI")*2),COUNTIF(AI4,"DESPLAZADA"),COUNTIF(AI4,"MIGRATORIA"),COUNTIF(AI4,"DISCAPACIDAD FISICA"),COUNTIF(AI4,"DISCAPACIDAD CONDUCTUAL"),COUNTIF(AI4,"DISCAPACIDAD VISUAL"),COUNTIF(AI4,"DISCAPACIDAD AUDITIVA"),COUNTIF(AI4,"DISCAPACIDAD MULTIPLE"),COUNTIF(AI4,"DISCAPACIDAD SISTEMICA")))</f>
        <v>0</v>
      </c>
      <c r="NQ4">
        <f>IF(BS4&gt;0,BS4*7,"")</f>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IF(AND(O4&gt;0,R4=""),"NO CPN",IF(AND(O4="",R4=""),"",IF(AND(R4&gt;0,EF4&gt;0,EE4&gt;0),_xlfn.DAYS(EF4,EE4),IF(AND(R4&gt;0,EF4&gt;0,EE4=""),"NO CITA","X"))))</f>
        <v>33</v>
      </c>
      <c r="NV4" t="str">
        <f>IF(AND(O4&gt;0,R4=""),"NO CPN",IF(AND(O4="",R4=""),"",IF(AND(EJ4&lt;&gt;"",ES4&lt;&gt;"",EW4&lt;&gt;"",FF4&lt;&gt;"",FU4&lt;&gt;"",FZ4&lt;&gt;"",GO4&lt;&gt;"",GQ4&lt;&gt;"",GR4&lt;&gt;""),"SI","NO")))</f>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IF(AND(BO4="",IP4=""),"",IF(AND(BO4="",IP4="DEFINIR FPP POR ECO"),"SIN DATO",IF(BO4&lt;0,"ERROR FUM O INGRESO",IF(BL4="NO","DEFINIR CON ECO",IF(BO4&lt;10,"I TRIM",IF(BO4&lt;27,"II TRIM",IF(AND(BO4&gt;26,BO4&lt;45),"III TRIM","ERROR FUM O INGRESO")))))))</f>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IF(AND(O4="",R4=""),"",IF(AND(BO4&gt;0,BO4&lt;12,IY4&gt;28,IY4&lt;44),3, IF(OR(AND(BO4&gt;=12,BO4&lt;28,IY4&gt;=28,IY4&lt;44),AND(BO4&gt;0,BO4&lt;12,IY4&gt;=12,IY4&lt;29)),2,IF(OR(AND(BO4&gt;=28,BO4&lt;44),AND(BO4&gt;0,BO4&lt;12,IY4&gt;0,IY4&lt;12),AND(BO4&gt;=12,BO4&lt;28,IY4&gt;=12,IY4&lt;28)),1,IF(AND(BO4&gt;0,BO4&lt;12,BQ4&gt;=28,BQ4&lt;44,DR4="ACTIVA INGRESO A CPN"),3,IF(OR(AND(BO4&gt;0,BO4&lt;12,BQ4&gt;=12,BQ4&lt;28,DR4="ACTIVA INGRESO A CPN"),AND(BO4&gt;=12,BO4&lt;28,BQ4&gt;=28,BQ4&lt;44,DR4="ACTIVA INGRESO A CPN")),2,IF(OR(AND(BO4&gt;0,BO4&lt;12,BQ4&gt;0,BQ4&lt;12,DR4="ACTIVA INGRESO A CPN"),AND(BO4&gt;=12,BO4&lt;28,BQ4&gt;=12,BQ4&lt;28,DR4="ACTIVA INGRESO A CPN")),1,"REVISAR FUM O FECHA SALIDA PROGRAMA")))))))</f>
        <v>3</v>
      </c>
      <c r="OB4" s="213">
        <f ca="1">COUNT(FG4,FJ4,FM4,FO4)</f>
        <v>3</v>
      </c>
      <c r="OC4" s="1">
        <f ca="1">COUNT(GA4,GD4,GG4,GI4)</f>
        <v>3</v>
      </c>
      <c r="OD4" s="1" t="str">
        <f ca="1">IF(OA4="","",IF(OA4="REVISAR FUM O FECHA SALIDA PROGRAMA","POR DEFINIR",IF(OR(OA4=OB4,OB4&gt;OA4),"COMPLETO",IF(OB4&lt;OA4,"INCOMPLETO",""))))</f>
        <v>COMPLETO</v>
      </c>
      <c r="OE4" s="1" t="str">
        <f ca="1">IF(OA4="","",IF(OA4="REVISAR FUM O FECHA SALIDA PROGRAMA","POR DEFINIR",IF(OR(OA4=OC4,OC4&gt;OA4),"COMPLETO",IF(OC4&lt;OA4,"INCOMPLETO",""))))</f>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ca="1">IF(AND(O4="",R4=""),"",IF(OR(IN4="VACUNA APLICADA ENTRE SEMANA 20 Y SEMANA 26",IN4="VACUNA APLICADA ENTRE SEMANA 27 Y EL PARTO",IN4="VACUNA APLICADA ANTES SEMANA 20"),"VACUNADA","SIN VACUNAR"))</f>
        <v>VACUNADA</v>
      </c>
      <c r="OH4" s="148">
        <f>ROW(Tabla1[[#This Row],[SEMANAS DE GESTACION II TRIM]])</f>
        <v>4</v>
      </c>
      <c r="OI4" t="str">
        <f t="shared" si="0"/>
        <v/>
      </c>
      <c r="OJ4" t="str">
        <f t="shared" si="1"/>
        <v/>
      </c>
      <c r="OK4" t="str">
        <f t="shared" si="2"/>
        <v/>
      </c>
      <c r="OL4" t="str">
        <f t="shared" si="3"/>
        <v/>
      </c>
      <c r="OM4" t="str">
        <f t="shared" si="4"/>
        <v>BAJO PESO</v>
      </c>
      <c r="ON4" t="str">
        <f t="shared" si="5"/>
        <v/>
      </c>
      <c r="OO4" t="str">
        <f t="shared" si="6"/>
        <v/>
      </c>
      <c r="OP4" t="str">
        <f t="shared" si="7"/>
        <v/>
      </c>
      <c r="OQ4" t="str">
        <f t="shared" si="8"/>
        <v/>
      </c>
      <c r="OR4" t="str">
        <f t="shared" si="9"/>
        <v/>
      </c>
      <c r="OS4" t="str">
        <f t="shared" si="10"/>
        <v/>
      </c>
      <c r="OT4" t="str">
        <f t="shared" si="11"/>
        <v/>
      </c>
      <c r="OU4" t="str">
        <f t="shared" si="12"/>
        <v/>
      </c>
      <c r="OV4" t="str">
        <f t="shared" si="13"/>
        <v/>
      </c>
      <c r="OW4" t="str">
        <f t="shared" si="14"/>
        <v/>
      </c>
      <c r="OX4" t="str">
        <f t="shared" si="15"/>
        <v/>
      </c>
      <c r="OY4" t="str">
        <f t="shared" si="16"/>
        <v/>
      </c>
      <c r="OZ4" t="str">
        <f t="shared" si="17"/>
        <v>BAJO PESO</v>
      </c>
      <c r="PA4" t="str">
        <f t="shared" si="18"/>
        <v/>
      </c>
      <c r="PB4" t="str">
        <f t="shared" si="19"/>
        <v/>
      </c>
      <c r="PC4" t="str">
        <f t="shared" si="20"/>
        <v/>
      </c>
      <c r="PD4" t="str">
        <f t="shared" si="21"/>
        <v/>
      </c>
      <c r="PE4" t="str">
        <f t="shared" si="22"/>
        <v/>
      </c>
      <c r="PF4" t="str">
        <f t="shared" si="23"/>
        <v/>
      </c>
      <c r="PG4" t="str">
        <f t="shared" si="24"/>
        <v/>
      </c>
      <c r="PH4" t="str">
        <f t="shared" si="25"/>
        <v/>
      </c>
      <c r="PI4" t="str">
        <f t="shared" si="26"/>
        <v/>
      </c>
      <c r="PJ4" t="str">
        <f t="shared" si="27"/>
        <v/>
      </c>
      <c r="PK4" t="str">
        <f t="shared" si="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29"/>
        <v/>
      </c>
      <c r="PN4" s="161" t="str">
        <f t="shared" si="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ca="1">IF(M5&gt;0,SUM(TODAY()-M5)/365,"")</f>
        <v>16.383561643835616</v>
      </c>
      <c r="O5" s="35">
        <v>44737</v>
      </c>
      <c r="P5" s="39" t="str">
        <f>IF(AND(O5="",R5&gt;0),"ACUDE ESPONTANEAMENTE",IF(AND(AND(O5&gt;0,R5=""),OR(IW5&gt;0,IT5&lt;&gt;"")),"NA",IF(AND(O5&gt;0,IW5="",R5=""),"NO",IF(AND(O5&gt;0,R5&gt;0),"SI",""))))</f>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IF(OR(BJ5="SD",BK5=""),"",IF(BJ5="",0,SUM(BK5-BJ5)/30))</f>
        <v>0</v>
      </c>
      <c r="BN5" s="57">
        <f>IF(BS5&gt;0,SUM(BR5-NQ5),"")</f>
        <v>44660.6</v>
      </c>
      <c r="BO5" s="44">
        <f>IF(AND(BL5="Corregida",BK5&gt;0,R5&gt;0,ISBLANK(BS5)),"SIN SEMANAS X ECO",IF(AND(BL5="Corregida",BK5&gt;0,R5&gt;0),SUM(R5-BN5)/7,IF(AND(OR(BL5="SI",BL5="NO"),BK5&gt;0,R5&gt;0),SUM(R5-BK5)/7,"")))</f>
        <v>10</v>
      </c>
      <c r="BP5" s="31" t="str">
        <f>IF(AND(BO5="",IP5=""),"",IF(AND(BO5="",IP5="DEFINIR FPP POR ECO"),"SIN DATO",IF(BO5&lt;0,"ERROR FUM O INGRESO O ECO",IF(BL5="NO","DEFINIR CON ECO",IF(BO5&lt;12,"I TRIM",IF(BO5&lt;27,"II TRIM",IF(AND(BO5&gt;26,BO5&lt;45),"III TRIM","ERROR FUM O INGRESO O ECO")))))))</f>
        <v>I TRIM</v>
      </c>
      <c r="BQ5" s="39" t="str">
        <f ca="1">IF(SUM((TODAY()-BK5)/7)&gt;43.1,"",IF(AND(BK5&gt;0,OR(BL5="si",BL5="Corregida",BL5="NO")),SUM((TODAY()-BK5)/7),""))</f>
        <v/>
      </c>
      <c r="BR5" s="35">
        <v>44774</v>
      </c>
      <c r="BS5" s="43">
        <v>16.2</v>
      </c>
      <c r="BT5" s="35"/>
      <c r="BU5" s="31"/>
      <c r="BV5" s="40" t="s">
        <v>886</v>
      </c>
      <c r="BW5" s="40" t="s">
        <v>886</v>
      </c>
      <c r="BX5" s="40" t="s">
        <v>887</v>
      </c>
      <c r="BY5" s="40" t="s">
        <v>887</v>
      </c>
      <c r="BZ5" s="35">
        <v>44737</v>
      </c>
      <c r="CA5" s="31">
        <v>1.53</v>
      </c>
      <c r="CB5" s="31">
        <v>58</v>
      </c>
      <c r="CC5" s="39">
        <f>IF(AND(OR(O5&gt;0,R5&gt;0),CA5=""),"SD",IF(AND(OR(O5="",R5=""),CA5=""),"",IF(AND(OR(O5&gt;0,R5&gt;0),CA5&gt;0,CB5&gt;0),SUM(CB5)/(CA5*CA5),"X")))</f>
        <v>24.776795249690291</v>
      </c>
      <c r="CD5" s="45" t="str">
        <f>IF(AND(CC5&lt;10,CB5="SD"),"SIN DATO PESO PREGESTACION O I TRIM",IF(AND(OR(R5&gt;0,O5&gt;0),CC5="X"),"INGRESAR DATO DE PESO",IF(CC5="SD","INGRESAR DATO DE TALLA Y PESO",IF(CC5&lt;18.5,"BAJO PESO",IF(CC5&lt;25,"NORMAL",IF(CC5&lt;30,"SOBREPESO",IF(AND(CC5&gt;=30,CC5&lt;50),"OBESIDAD","")))))))</f>
        <v>NORMAL</v>
      </c>
      <c r="CE5" s="35">
        <v>44803</v>
      </c>
      <c r="CF5" s="31">
        <v>51</v>
      </c>
      <c r="CG5" s="39">
        <f>IF(AND(OR(O5&gt;0,R5&gt;0),CA5=""),"SD",IF(AND(OR(O5="",R5=""),CA5=""),"",IF(AND(OR(O5&gt;0,R5&gt;0),CA5&gt;0),SUM(CF5)/(CA5*CA5),"X")))</f>
        <v>21.786492374727668</v>
      </c>
      <c r="CH5" s="31">
        <f>IF(AND(CE5="",BK5=""),"",IF(AND(BK5&gt;0,CE5=""),"NA",IF(CE5&lt;BK5,"REVISAR FUM O FECHA PESO",IF(CE5&gt;0,INT(SUM(CE5-BK5)/7)))))</f>
        <v>19</v>
      </c>
      <c r="CI5" s="31" t="str">
        <f>IF(OR(CH5="",CH5="NA"),"",IF(AND(CH5&gt;=29,CH5&lt;=42),"REGISTRAR EN III TRIM",IF(AND(CH5&gt;0,CH5&lt;=13),"REGISTRAR EN I TRIM",IF(CH5="REVISAR FUM O FECHA PESO","REVISAR",IF(CH5&gt;0,HLOOKUP(CH5,$OI$1:PK5,OH5),"")))))</f>
        <v>NORMAL</v>
      </c>
      <c r="CJ5" s="35">
        <v>44897</v>
      </c>
      <c r="CK5" s="31">
        <v>58</v>
      </c>
      <c r="CL5" s="39">
        <f>IF(AND(OR(O5&gt;0,R5&gt;0),CA5=""),"SD",IF(AND(OR(O5="",R5=""),CA5=""),"",IF(AND(OR(O5&gt;0,R5&gt;0),CA5&gt;0),SUM(CK5)/(CA5*CA5),"X")))</f>
        <v>24.776795249690291</v>
      </c>
      <c r="CM5" s="31">
        <f>IF(AND(CJ5="",BK5=""),"",IF(AND(BK5&gt;0,CJ5=""),"NA",IF(CJ5&lt;BK5,"REVISAR FUM O FECHA PESO",IF(CJ5&gt;0,INT(SUM(CJ5-BK5)/7)))))</f>
        <v>32</v>
      </c>
      <c r="CN5" s="31" t="str">
        <f>IF(OR(CM5="",CM5="NA"),"",IF(AND(CM5&gt;0,CM5&lt;=28),"REGISTRAR EN  TRIM RESPECTIVO",IF(CM5&gt;0,HLOOKUP(CM5,$OI$1:PK5,OH5),"")))</f>
        <v>NORMAL</v>
      </c>
      <c r="CO5" s="31" t="str">
        <f>IF(AND(OR(O5&gt;0,R5&gt;0),CD5&lt;&gt;"",CI5&lt;&gt;"",CN5&lt;&gt;""),CN5,IF(AND(OR(O5&gt;0,R5&gt;0),CD5&lt;&gt;"",CI5&lt;&gt;"",CN5=""),CI5,IF(AND(OR(O5&gt;0,R5&gt;0),CD5&lt;&gt;"",CI5="",CN5=""),CD5,IF(AND(OR(O5&gt;0,R5&gt;0),CD5&lt;&gt;"",CI5="",CN5&lt;&gt;""),CN5,""))))</f>
        <v>NORMAL</v>
      </c>
      <c r="CP5" s="31">
        <v>110</v>
      </c>
      <c r="CQ5" s="31">
        <v>70</v>
      </c>
      <c r="CR5" s="37" t="str">
        <f>IF(AND(OR(R5="",R5&lt;&gt;""),CQ5="",CP5=""),"",IF(AND(OR(O5&gt;0,R5&gt;0),OR(CP5&gt;=140,CQ5&gt;=90)),"DEFINIR ESTADIO HTA",IF(AND(OR(O5&gt;0,R5&gt;0),AND(CP5&gt;120,CP5&lt;=139)),"PRE HTA SEGUIMIENTO",IF(AND(OR(O5&gt;0,R5&gt;0),AND(CQ5&gt;80,CQ5&lt;=89)),"PRE HTA SEGUIMIENTO",IF(AND(OR(O5&gt;0,R5&gt;0),AND(CP5&gt;=80,CP5&lt;=120)),"APARENTEMENTE NORMAL",IF(AND(OR(O5&gt;0,R5&gt;0),AND(CQ5&gt;=50,CQ5&lt;=80)),"APARENTEMENTE NORMAL",IF(AND(OR(O5&gt;0,R5&gt;0),OR(CP5&lt;=70,CQ5&lt;=40)),"HIPOTENSIÓN","")))))))</f>
        <v>APARENTEMENTE NORMAL</v>
      </c>
      <c r="CS5" s="31">
        <v>100</v>
      </c>
      <c r="CT5" s="31">
        <v>70</v>
      </c>
      <c r="CU5" s="37" t="str">
        <f>IF(AND(OR(R5="",R5&lt;&gt;""),CS5="",CT5=""),"",IF(AND(OR(O5&gt;0,R5&gt;0),OR(CS5&gt;=140,CT5&gt;=90)),"ALTO RIESGO PREECLAMPSIA,DEFINIR ESTADIO HTA",IF(AND(OR(O5&gt;0,R5&gt;0),AND(CS5&gt;120,CS5&lt;=139)),"PRE HTA SEGUIMIENTO,RIESGO HIPERTENSION INDUCIDA POR EL EMBARAZO",IF(AND(OR(O5&gt;0,R5&gt;0),AND(CT5&gt;80,CT5&lt;=89)),"PRE HTA SEGUIMIENTO, RIESGO HIPERTENSION INDUCIDA POR EL EMBARAZO",IF(AND(OR(O5&lt;&gt;"",R5&lt;&gt;""),CQ5&lt;&gt;"",CT5&lt;&gt;"",CQ5&lt;=CT5),"VIGILAR CIFRAS PRESION ARTERIAL",IF(AND(OR(O5&gt;0,R5&gt;0),AND(CS5&gt;120,CS5&lt;=139)),"PRE HTA SEGUIMIENTO",IF(AND(OR(O5&gt;0,R5&gt;0),OR(CS5&lt;=60,CT5&lt;40)),"HIPOTENSIÓN",IF(AND(OR(O5&lt;&gt;"",R5&lt;&gt;""),CQ5&lt;&gt;"",CT5&lt;&gt;"",CQ5&gt;CT5),"APARENTEMENTE NORMAL",IF(AND(OR(O5&gt;0,R5&gt;0),AND(CS5&gt;=80,CS5&lt;=120)),"APARENTEMENTE NORMAL",IF(AND(OR(O5&gt;0,R5&gt;0),AND(CT5&gt;=50,CT5&lt;=80)),"APARENTEMENTE NORMAL",""))))))))))</f>
        <v>VIGILAR CIFRAS PRESION ARTERIAL</v>
      </c>
      <c r="CV5" s="31">
        <v>110</v>
      </c>
      <c r="CW5" s="31">
        <v>70</v>
      </c>
      <c r="CX5" s="31">
        <v>110</v>
      </c>
      <c r="CY5" s="31">
        <v>60</v>
      </c>
      <c r="CZ5" s="37" t="str">
        <f>IF(AND(OR(R5="",R5&lt;&gt;""),CV5="",CW5="",CX5="",CY5=""),"",IF(AND(OR(O5&gt;0,R5&gt;0),OR(CV5&gt;=140,CW5&gt;=90,CX5&gt;=140,CY5&gt;=90)),"ESTUDIO INMEDIATO HTA PARA DESCARTAR PREECLAMSIA",IF(AND(OR(O5&gt;0,R5&gt;0),OR(AND(CX5&gt;=130,CX5&lt;=139),AND(CV5&gt;=130,CV5&lt;=139))),"PRE HTA,RIESGO ALTO PREECLAMPSIA",IF(AND(OR(O5&gt;0,R5&gt;0),OR(AND(CY5&gt;=80,CY5&lt;=89),AND(CW5&gt;=80,CW5&lt;=89))),"PRE HTA,RIESGO ALTO PREECLAMPSIA",IF(AND(OR(O5&gt;0,R5&gt;0),OR(AND(CX5&gt;120,CX5&lt;=129),AND(CV5&gt;120,CV5&lt;=129))),"RANGO PREHIPERTENSIVO SEGUIMIENTO HTA",IF(AND(OR(O5&lt;&gt;"",R5&lt;&gt;""),CQ5&lt;&gt;"",CW5&lt;&gt;"",CY5&lt;&gt;"",OR(CQ5&lt;CY5,CQ5&lt;CW5)),"VIGILAR CIFRAS PRESION ARTERIAL",IF(AND(OR(O5&lt;&gt;"",R5&lt;&gt;""),CP5="",CQ5="",OR(CW5&lt;CY5,CV5&lt;CX5)),"VIGILAR CIFRAS PRESION ARTERIAL",IF(AND(OR(O5&lt;&gt;"",R5&lt;&gt;""),CQ5&lt;&gt;"",CW5&lt;&gt;"",CY5&lt;&gt;"",OR(CQ5=CY5,CQ5=CW5)),"APARENTEMENTE NORMAL",IF(AND(OR(O5&gt;0,R5&gt;0),OR(AND(CX5&gt;=80,CX5&lt;=120),AND(CV5&gt;=80,CV5&lt;=120))),"APARENTEMENTE NORMAL",IF(AND(OR(O5&gt;0,R5&gt;0),OR(AND(CY5&gt;=50,CY5&lt;80),AND(CW5&gt;=50,CW5&lt;80))),"APARENTEMENTE NORMAL",""))))))))))</f>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ca="1">IF(AND(BP5="ERROR FUM O INGRESO",DP5&gt;0),"ERROR FUM O INGRESO",IF(AND(DP5="",R5="",O5=""),"",IF(OR(AND(DP5&lt;&gt;"",DP5&lt;BK5),AND(DP5&lt;&gt;"",AND(SUM((DP5-BK5)/7)&gt;0,SUM((DP5-BK5)/7)&lt;28))),"PLAN REALIZADO ANTES III TRIM", IF(AND(DP5="",OR(O5&gt;0,R5&gt;0),AND(BQ5&gt;=28, BQ5&lt;35,DR5="ACTIVA INGRESO A CPN")),"PLANEAR PLAN DE PARTO", IF(AND(DP5="",OR(O5&gt;0,R5&gt;0),BQ5&gt;=35,DR5="ACTIVA INGRESO A CPN"),"CONCERTAR PLAN DE PARTO INMEDIATO", IF(AND(DP5="",OR(O5&gt;0,R5&gt;0),AND(BQ5&gt;0, BQ5&lt;28),OR(DR5="ACTIVA INGRESO A CPN", DR5=" ACTIVA SIN INGRESO CPN")),"EN ESPERA", IF(AND(DP5="",OR(O5&gt;0,R5&gt;0),AND(IY5&gt;0, IY5&lt;28)),"NO APLICA SALE PROGRAMA ANTES III TRIM", IF(AND(DP5="",OR(O5&gt;0,R5&gt;0),AND(IY5&gt;=28, IY5&lt;35)),"SALE PROGRAMA ANTES SEMANA 35", IF(AND(DP5="",OR(O5&gt;0,R5&gt;0),IY5&gt;35),"SALE SIN PLAN DE PARTO",IF(DP5&gt;0,SUM(DP5-BK5)/7,""))))))))))</f>
        <v>SALE SIN PLAN DE PARTO</v>
      </c>
      <c r="DR5" s="46" t="str">
        <f>IF(AND(R5&lt;&gt;"",IT5="CAMBIO DE RESIDENCIA"),"SEGUIMIENTO REPORTE EPS",IF(AND(R5&lt;&gt;"",OR(IT5&lt;&gt;"",IW5&lt;&gt;"")),"SALIO PROGRAMA",IF(AND(AND(R5="",O5&gt;0),OR(IT5&lt;&gt;"",IW5&lt;&gt;"")),"SALE SIN INGRESO CPN",IF(AND(R5="",O5&gt;0,IT5="",IW5=""),"ACTIVA SIN INGRESO CPN",IF(AND(R5&lt;&gt;"",OR(IT5="",IW5="")),"ACTIVA INGRESO A CPN","")))))</f>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DU5" s="35">
        <f>IF(R5="","",IF(R5&gt;0,MAX(Tabla1[[#This Row],[FECHA C2]:[FECHA C13]],Tabla1[[#This Row],[FECHA CONSULTA PRIMERA VEZ PROGRAMA CPN ]])))</f>
        <v>44930</v>
      </c>
      <c r="DV5" s="31">
        <f>IF(AND(DU5="",BK5="",R5=""),"",IF(AND(R5="",BK5&gt;0,DU5=""),"",IF(AND(R5&gt;0,DU5&lt;BK5),"REVISAR FUM O FECHA PESO",IF(AND(R5&gt;0,DU5&gt;0,BK5=""),"SD",IF(AND(R5&gt;0,DU5&gt;0,BK5&gt;0),INT(SUM(DU5-BK5)/7))))))</f>
        <v>37</v>
      </c>
      <c r="DW5" s="43">
        <f>IF(R5&gt;0,SUM(COUNTA(DC5:DN5)+COUNTA(Tabla1[[#This Row],[FECHA CONSULTA PRIMERA VEZ PROGRAMA CPN ]])),"")</f>
        <v>7</v>
      </c>
      <c r="DX5" s="43" t="str">
        <f>IF(AND(DW5&gt;=0,DW5&lt;4),"NO",IF(AND(DW5&gt;=4,DW5&lt;12),"SI",""))</f>
        <v>SI</v>
      </c>
      <c r="DY5" s="39">
        <f>IF(BO5="","",IF(BO5&gt;0,INT(SUM(((40-BO5)/4)+2)),"X"))</f>
        <v>9</v>
      </c>
      <c r="DZ5" s="47">
        <f>IF(DY5="","",IF(DW5&gt;0,SUM(DW5/DY5),"X"))</f>
        <v>0.77777777777777779</v>
      </c>
      <c r="EA5" s="35">
        <v>44737</v>
      </c>
      <c r="EB5" s="35">
        <v>44737</v>
      </c>
      <c r="EC5" s="35">
        <v>44737</v>
      </c>
      <c r="ED5" s="35">
        <v>44765</v>
      </c>
      <c r="EE5" s="35">
        <v>44737</v>
      </c>
      <c r="EF5" s="35">
        <v>44774</v>
      </c>
      <c r="EG5" s="35"/>
      <c r="EH5" s="31">
        <v>1</v>
      </c>
      <c r="EI5" s="31">
        <v>13</v>
      </c>
      <c r="EJ5" s="35">
        <v>44737</v>
      </c>
      <c r="EK5" s="43">
        <f>IF(AND(BP5="ERROR FUM O INGRESO",EJ5&gt;0),"ERROR FUM O INGRESO",IF(AND(EJ5="",R5="",O5=""),"",IF(OR(AND(EJ5&lt;&gt;"",EJ5&lt;BK5),AND(EJ5&lt;&gt;"",SUM((EJ5-BK5)/7)&gt;40)),"CORREGIR FECHA RESULTADO",IF(AND(EJ5="",OR(O5&gt;0,R5&gt;0)),"TOMAR EXAMEN",IF(EJ5&gt;0,SUM(EJ5-BK5)/7,"")))))</f>
        <v>10</v>
      </c>
      <c r="EL5" s="39" t="str">
        <f>IF(AND(OR(O5&gt;0,R5&gt;0),EI5=""),"",IF(AND(OR(O5&gt;0,R5&gt;0),EI5&gt;0,EI5&lt;11),"MANEJO MD POR ANEMIA FERROPENICA",IF(AND(OR(O5&gt;0,R5&gt;0),EI5&lt;=14),"NORMAL- SUMINISTRAR SULFATO FERROSO",IF(AND(OR(O5&gt;0,R5&gt;0),EI5&lt;20),"NO DAR SULFATO FERROSO",""))))</f>
        <v>NORMAL- SUMINISTRAR SULFATO FERROSO</v>
      </c>
      <c r="EM5" s="31" t="str">
        <f>IF(AND(EK5="",BP5=""),"",IF(AND(EK5&lt;&gt;"",BP5="SIN DATO"),"SIN DATO",IF(AND(EK5="",BP5&lt;&gt;""),"",IF(AND(EK5&lt;0,BP5&gt;0),"ERROR FUM O INGRESO",IF(EK5&lt;=13,"I TRIM",IF(EK5&lt;28,"II TRIM",IF(AND(EK5&gt;27,EK5&lt;45),"III TRIM","POR DEFINIR")))))))</f>
        <v>I TRIM</v>
      </c>
      <c r="EN5" s="37">
        <v>14</v>
      </c>
      <c r="EO5" s="35">
        <v>44866</v>
      </c>
      <c r="EP5" s="44">
        <f>IF(AND(BP5="ERROR FUM O INGRESO",EO5&gt;0),"ERROR FUM O INGRESO",IF(AND(EO5="",R5="",O5=""),"",IF(OR(AND(EO5&lt;&gt;"",EO5&lt;BK5),AND(EO5&lt;&gt;"",SUM((EO5-BK5)/7)&gt;40)),"CORREGIR FECHA RESULTADO",IF(AND(EO5="",OR(O5&gt;0,R5&gt;0)),"TOMAR EXAMEN",IF(EO5&gt;0,SUM(EO5-BK5)/7,"")))))</f>
        <v>28.428571428571427</v>
      </c>
      <c r="EQ5" s="39" t="str">
        <f>IF(AND(OR(O5&gt;0,R5&gt;0),EN5=""),"",IF(AND(OR(O5&gt;0,R5&gt;0),EN5&gt;0,EN5&lt;10.5),"MANEJO MD POR ANEMIA FERROPENICA",IF(AND(OR(O5&gt;0,R5&gt;0),EN5&lt;14),"NORMAL- SUMINISTRAR SULFATO FERROSO",IF(AND(OR(O5&gt;0,R5&gt;0),EN5&lt;20),"NO DAR SULFATO FERROSO",""))))</f>
        <v>NO DAR SULFATO FERROSO</v>
      </c>
      <c r="ER5" s="37" t="s">
        <v>893</v>
      </c>
      <c r="ES5" s="35">
        <v>44737</v>
      </c>
      <c r="ET5" s="44">
        <f>IF(AND(BP5="ERROR FUM O INGRESO",ES5&gt;0),"ERROR FUM O INGRESO",IF(AND(ES5="",R5="",O5=""),"",IF(OR(AND(ES5&lt;&gt;"",ES5&lt;BK5),AND(ES5&lt;&gt;"",SUM((ES5-BK5)/7)&gt;40)),"CORREGIR FECHA RESULTADO",IF(AND(ES5="",OR(O5&gt;0,R5&gt;0)),"TOMAR EXAMEN",IF(ES5&gt;0,SUM(ES5-BK5)/7,"")))))</f>
        <v>10</v>
      </c>
      <c r="EU5" s="39" t="str">
        <f>IF(ER5="A-","RIESGO DE INCOMPATIBILIDAD RH",IF(ER5="B-","RIESGO DE INCOMPATIBILIDAD RH",IF(ER5="O-","RIESGO DE INCOMPATIBILIDAD RH",IF(ER5="AB-","RIESGO DE INCOMPATIBILIDAD RH",IF(OR(ER5="A+",ER5="A--"),"NO HAY RIESGO POR RH",IF(OR(ER5="B+",ER5="B--"),"NO HAY RIESGO POR RH",IF(OR(ER5="O+",ER5="O--"),"NO HAY RIESGO POR RH",IF(OR(ER5="AB+",ER5="AB--"),"NO HAY RIESGO POR RH",IF(ER5=0,"")))))))))</f>
        <v>NO HAY RIESGO POR RH</v>
      </c>
      <c r="EV5" s="31">
        <v>94</v>
      </c>
      <c r="EW5" s="35">
        <v>44737</v>
      </c>
      <c r="EX5" s="44">
        <f>IF(AND(BP5="ERROR FUM O INGRESO",EW5&gt;0),"ERROR FUM O INGRESO",IF(AND(EW5="",R5="",O5=""),"",IF(OR(AND(EW5&lt;&gt;"",EW5&lt;BK5),AND(EW5&lt;&gt;"",SUM((EW5-BK5)/7)&gt;40)),"CORREGIR FECHA RESULTADO",IF(AND(EW5="",OR(O5&gt;0,R5&gt;0)),"TOMAR EXAMEN",IF(EW5&gt;0,SUM(EW5-BK5)/7,"")))))</f>
        <v>10</v>
      </c>
      <c r="EY5" s="44">
        <v>69</v>
      </c>
      <c r="EZ5" s="44">
        <v>110</v>
      </c>
      <c r="FA5" s="44">
        <v>70</v>
      </c>
      <c r="FB5" s="31" t="str">
        <f ca="1">IF(AND(OR(EY5&gt;0,EZ5&gt;0,FA5&gt;0),FD5&gt;0,FD5&lt;24,AND(EY5&gt;1,EY5&lt;92),AND(EZ5&gt;1,EZ5&lt;180),AND(FA5&gt;1,FA5&lt;153)),"NORMAL, NO DESCARTA DIABETES POR REALIZARLO ANTES DE  SEMANA 24, ",IF(AND(OR(EY5&gt;0,EZ5&gt;0,FA5&gt;0),FD5&gt;0,FD5&lt;24,OR(EY5&gt;=92,EZ5&gt;=180,FA5&gt;=153)),"DIABETES, REMITIR",IF(AND(BQ5="",FC5="",EY5="",EZ5="",FA5=""),"",IF(AND(BQ5&gt;=19,BQ5&lt;24,FC5="",EY5="",EZ5="",FA5=""),"PROGRAMAR TOMA PTOG SIGUIENTE CONTROL",IF(AND(BQ5&gt;=24,FC5="",EY5="",EZ5="",FA5=""),"TOMAR PTOG",IF(OR(EY5&gt;=92,EZ5&gt;=180,FA5&gt;=153),"DIABETES, REMITIR",IF(AND(AND(EY5&gt;1,EY5&lt;92),AND(EZ5&gt;1,EZ5&lt;180),AND(FA5&gt;1,FA5&lt;153)),"NORMAL",IF(AND(EY5&gt;0,OR(EZ5=0,FA5=0)),"NO COMPLETA EXAMEN",""))))))))</f>
        <v>NORMAL</v>
      </c>
      <c r="FC5" s="48">
        <v>44835</v>
      </c>
      <c r="FD5" s="44">
        <f>IF(AND(BP5="ERROR FUM O INGRESO",FC5&gt;0),"ERROR FUM O INGRESO",IF(AND(FC5="",R5="",O5=""),"",IF(OR(AND(FC5&lt;&gt;"",FC5&lt;BK5),AND(FC5&lt;&gt;"",SUM((FC5-BK5)/7)&gt;40)),"CORREGIR FECHA RESULTADO",IF(AND(FC5="",OR(O5&gt;0,R5&gt;0)),"TOMAR EXAMEN",IF(FC5&gt;0,SUM(FC5-BK5)/7,"")))))</f>
        <v>24</v>
      </c>
      <c r="FE5" s="35" t="s">
        <v>894</v>
      </c>
      <c r="FF5" s="35">
        <v>44737</v>
      </c>
      <c r="FG5" s="44">
        <f ca="1">IF(AND(BP5="ERROR FUM O INGRESO",FF5&gt;0),"ERROR FUM O INGRESO",IF(AND(FF5="",R5="",O5=""),"",IF(OR(AND(FF5&lt;&gt;"",FF5&lt;BK5),AND(FF5&lt;&gt;"",AND(SUM((FF5-BK5)/7)&gt;=13,SUM((FF5-BK5)/7)&lt;27))),"REGISTRAR EN II TRIMESTRE",IF(OR(AND(FF5&lt;&gt;"",FF5&lt;BK5),AND(FF5&lt;&gt;"",AND(SUM((FF5-BK5)/7)&gt;=27,SUM((FF5-BK5)/7)&lt;44))),"REGISTRAR EN III TRIMESTRE",IF(AND(FF5="",OR(O5&gt;0,R5&gt;0),AND(BQ5&gt;1,BQ5&lt;10)),"EN RANGO PARA TOMAR EXAMEN",IF(AND(FF5="",OR(O5&gt;0,R5&gt;0),AND(BQ5&gt;=10,BQ5&lt;13)),"TOMA INMEDIATA DE TAMIZAJE",IF(AND(FF5="",BO5&lt;13,OR(O5&gt;0,R5&gt;0)),"PIERDE TOMA DE TAMIZAJE",IF(AND(FF5="",OR(O5&gt;0,R5&gt;0),AND(BO5&gt;=13,BO5&lt;43)),"NO APLICA-INGRESO TARDIO",IF(FF5&gt;0,SUM(FF5-BK5)/7,"")))))))))</f>
        <v>10</v>
      </c>
      <c r="FH5" s="35" t="s">
        <v>894</v>
      </c>
      <c r="FI5" s="49">
        <v>44803</v>
      </c>
      <c r="FJ5" s="44">
        <f ca="1">IF(AND(BP5="ERROR FUM O INGRESO",FI5&gt;0),"ERROR FUM O INGRESO",IF(AND(FI5="",R5="",O5=""),"",IF(AND(FI5&lt;&gt;"",FI5&lt;BK5), "INCOHERENCIA FUM Y FECHA TAMIZAJE",IF(AND(FI5="",DR5="ACTIVA INGRESO A CPN",AND(BQ5&gt;0,BQ5&lt;13)),"EN ESPERA-ESTÁ I TRIM", IF(AND(FI5="",AND(BO5&gt;0, BO5&lt;13),OR(O5&gt;0,R5&gt;0),AND(IY5&gt;0,IY5&lt;13)),"NO APLICA-SALIO DEL PROGRAMA I TRIM",IF(AND(FI5&lt;&gt;"",AND(SUM((FI5-BK5)/7)&gt;0,SUM((FI5-BK5)/7)&lt;13)),"REGISTRAR EN I TRIMESTRE",IF(AND(FI5&lt;&gt;"",AND(SUM((FI5-BK5)/7)&gt;=27,SUM((FI5-BK5)/7)&lt;44)),"REGISTRAR EN III TRIMESTRE",IF(AND(FI5="",OR(O5&gt;0,R5&gt;0),AND(BQ5&gt;=13,BQ5&lt;24),DR5="ACTIVA INGRESO A CPN"),"EN RANGO PARA TOMAR EXAMEN",IF(AND(FI5="",OR(O5&gt;0,R5&gt;0),AND(BQ5&gt;=25,BQ5&lt;27),DR5="ACTIVA INGRESO A CPN"),"TOMA INMEDIATA DE TAMIZAJE",IF(AND(FI5="",OR(O5&gt;0,R5&gt;0),AND(BO5&gt;=27,BO5&lt;44)),"NO APLICA-INGRESO TARDIO",IF(AND(FI5="",BO5&lt;27),"PIERDE TOMA DE TAMIZAJE",IF(FI5&gt;0,SUM(FI5-BK5)/7,""))))))))))))</f>
        <v>19.428571428571427</v>
      </c>
      <c r="FK5" s="35"/>
      <c r="FL5" s="49"/>
      <c r="FM5" s="44" t="str">
        <f ca="1">IF(AND(BP5="ERROR FUM O INGRESO",FL5&gt;0),"ERROR FUM O INGRESO",IF(AND(FL5="",R5="",O5=""),"",IF(AND(FL5&lt;&gt;"",FL5&lt;BK5), "INCOHERENCIA FUM Y FECHA TAMIZAJE",IF(AND(FL5="",DR5="ACTIVA INGRESO A CPN",AND(BQ5&gt;0,BQ5&lt;27)),"EN ESPERA-ESTÁ I TRIM O II TRIM", IF(AND(FL5="",AND(BO5&gt;0, BO5&lt;27),OR(O5&gt;0,R5&gt;0),AND(IY5&gt;0,IY5&lt;27)),"NO APLICA-SALIO DEL PROGRAMA I O II TRIM",IF(AND(FL5&lt;&gt;"",AND(SUM((FL5-BK5)/7)&gt;0,SUM((FL5-BK5)/7)&lt;13)),"REGISTAR EN I TRIMESTRE",IF(AND(FL5&lt;&gt;"",AND(SUM((FL5-BK5)/7)&gt;=13,SUM((FL5-BK5)/7)&lt;27)),"REGISTRAR EN II TRIMESTRE",IF(AND(FL5="",OR(O5&gt;0,R5&gt;0),AND(BQ5&gt;=28,BQ5&lt;35),DR5="ACTIVA INGRESO A CPN"),"EN RANGO PARA TOMAR EXAMEN",IF(AND(FL5="",OR(O5&gt;0,R5&gt;0),BQ5&gt;=35, DR5="ACTIVA INGRESO A CPN"),"TOMA INMEDIATA DE TAMIZAJE",IF(AND(FL5="",DR5= "SALE SIN INGRESO CPN"),"NO APLICA-SIN CPN",IF(AND(FL5="",BO5&lt;44),"PIERDE TOMA DE TAMIZAJE",IF(FL5&gt;0,SUM(FL5-BK5)/7,""))))))))))))</f>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IF(AND(BP5="ERROR FUM O INGRESO",FR5&gt;0),"ERROR FUM O INGRESO",IF(AND(FR5="",R5="",O5=""),"",IF(OR(AND(FR5&lt;&gt;"",FR5&lt;BK5),AND(FR5&lt;&gt;"",SUM((FR5-BK5)/7)&gt;40)),"CORREGIR FECHA RESULTADO",IF(AND(FR5="",OR(O5&gt;0,R5&gt;0)),"TOMAR EXAMEN",IF(FR5&gt;0,SUM(FR5-BK5)/7,"")))))</f>
        <v>10</v>
      </c>
      <c r="FT5" s="43" t="s">
        <v>895</v>
      </c>
      <c r="FU5" s="35">
        <v>44737</v>
      </c>
      <c r="FV5" s="44">
        <f>IF(AND(BP5="ERROR FUM O INGRESO",FU5&gt;0),"ERROR FUM O INGRESO",IF(AND(FU5="",R5="",O5=""),"",IF(OR(AND(FU5&lt;&gt;"",FU5&lt;BK5),AND(FU5&lt;&gt;"",SUM((FU5-BK5)/7)&gt;40)),"CORREGIR FECHA RESULTADO",IF(AND(FU5="",OR(O5&gt;0,R5&gt;0)),"TOMAR EXAMEN",IF(FU5&gt;0,SUM(FU5-BK5)/7,"")))))</f>
        <v>10</v>
      </c>
      <c r="FW5" s="35">
        <v>44737</v>
      </c>
      <c r="FX5" s="35">
        <v>44737</v>
      </c>
      <c r="FY5" s="35" t="s">
        <v>896</v>
      </c>
      <c r="FZ5" s="35">
        <v>44737</v>
      </c>
      <c r="GA5" s="44">
        <f ca="1">IF(AND(BP5="ERROR FUM O INGRESO",FZ5&gt;0),"ERROR FUM O INGRESO",IF(AND(FZ5="",R5="",O5=""),"",IF(OR(AND(FZ5&lt;&gt;"",FZ5&lt;BK5),AND(FZ5&lt;&gt;"",AND(SUM((FZ5-BK5)/7)&gt;=13,SUM((FZ5-BK5)/7)&lt;27))),"REGISTRAR EN II TRIMESTRE",IF(OR(AND(FZ5&lt;&gt;"",FZ5&lt;BK5),AND(FZ5&lt;&gt;"",AND(SUM((FZ5-BK5)/7)&gt;=27,SUM((FZ5-BK5)/7)&lt;44))),"REGISTRAR EN III TRIMESTRE",IF(AND(FZ5="",OR(O5&gt;0,R5&gt;0),AND(BQ5&gt;1,BQ5&lt;10)),"EN RANGO PARA TOMAR EXAMEN",IF(AND(FZ5="",OR(O5&gt;0,R5&gt;0),AND(BQ5&gt;=10,BQ5&lt;12)),"TOMA INMEDIATA DE TAMIZAJE",IF(AND(FZ5="",BO5&lt;12,OR(O5&gt;0,R5&gt;0)),"PIERDE TOMA DE TAMIZAJE",IF(AND(FZ5="",OR(O5&gt;0,R5&gt;0),AND(BO5&gt;=13,BO5&lt;44)),"NO APLICA-INGRESO TARDIO",IF(FZ5&gt;0,SUM(FZ5-BK5)/7,"")))))))))</f>
        <v>10</v>
      </c>
      <c r="GB5" s="35" t="s">
        <v>896</v>
      </c>
      <c r="GC5" s="35">
        <v>44803</v>
      </c>
      <c r="GD5" s="44">
        <f ca="1">IF(AND(BP5="ERROR FUM O INGRESO",GC5&gt;0),"ERROR FUM O INGRESO",IF(AND(GC5="",R5="",O5=""),"",IF(AND(GC5&lt;&gt;"",GC5&lt;BK5), "INCOHERENCIA FUM Y FECHA TAMIZAJE",IF(AND(GC5="",DR5="ACTIVA INGRESO A CPN",AND(BQ5&gt;0,BQ5&lt;13)),"EN ESPERA-ESTÁ I TRIM", IF(AND(GC5="",AND(BO5&gt;0, BO5&lt;12),OR(O5&gt;0,R5&gt;0),AND(IY5&gt;0,IY5&lt;13)),"NO APLICA-SALIO DEL PROGRAMA I TRIM",IF(AND(GC5&lt;&gt;"",AND(SUM((GC5-BK5)/7)&gt;0,SUM((GC5-BK5)/7)&lt;13)),"REGISTRAR EN I TRIMESTRE",IF(AND(GC5&lt;&gt;"",AND(SUM((GC5-BK5)/7)&gt;=27,SUM((GC5-BK5)/7)&lt;44)),"REGISTRAR EN III TRIMESTRE",IF(AND(GC5="",OR(O5&gt;0,R5&gt;0),AND(BQ5&gt;=12,BQ5&lt;25),DR5="ACTIVA INGRESO A CPN"),"EN RANGO PARA TOMAR EXAMEN",IF(AND(GC5="",OR(O5&gt;0,R5&gt;0),AND(BQ5&gt;=25,BQ5&lt;27),DR5="ACTIVA INGRESO A CPN"),"TOMA INMEDIATA DE TAMIZAJE",IF(AND(GC5="",OR(O5&gt;0,R5&gt;0),AND(BO5&gt;=27,BO5&lt;43)),"NO APLICA-INGRESO TARDIO",IF(AND(GC5="",BO5&lt;27),"PIERDE TOMA DE TAMIZAJE",IF(GC5&gt;0,SUM(GC5-BK5)/7,""))))))))))))</f>
        <v>19.428571428571427</v>
      </c>
      <c r="GE5" s="35"/>
      <c r="GF5" s="35"/>
      <c r="GG5" s="44" t="str">
        <f ca="1">IF(AND(BP5="ERROR FUM O INGRESO",GF5&gt;0),"ERROR FUM O INGRESO",IF(AND(GF5="",R5="",O5=""),"",IF(AND(GF5&lt;&gt;"",GF5&lt;BK5), "INCOHERENCIA FUM Y FECHA TAMIZAJE",IF(AND(GF5="",DR5="ACTIVA INGRESO A CPN",AND(BQ5&gt;0,BQ5&lt;27)),"EN ESPERA-ESTÁ I TRIM O II TRIM", IF(AND(GF5="",AND(BO5&gt;0, BO5&lt;28),OR(O5&gt;0,R5&gt;0),AND(IY5&gt;0,IY5&lt;28)),"NO APLICA-SALIO DEL PROGRAMA I O II TRIM",IF(AND(GF5&lt;&gt;"",AND(SUM((GF5-BK5)/7)&gt;0,SUM((GF5-BK5)/7)&lt;13)),"REGISTAR EN I TRIMESTRE",IF(AND(GF5&lt;&gt;"",AND(SUM((GF5-BK5)/7)&gt;=13,SUM((GF5-BK5)/7)&lt;27)),"REGISTRAR EN II TRIMESTRE",IF(AND(GF5="",OR(O5&gt;0,R5&gt;0),AND(BQ5&gt;=28,BQ5&lt;35),DR5="ACTIVA INGRESO A CPN"),"EN RANGO PARA TOMAR EXAMEN",IF(AND(GF5="",OR(O5&gt;0,R5&gt;0),BQ5&gt;=35, DR5="ACTIVA INGRESO A CPN"),"TOMA INMEDIATA DE TAMIZAJE",IF(AND(GF5="",DR5= "SALE SIN INGRESO CPN"),"NO APLICA-SIN CPN",IF(AND(GF5="",BO5&lt;44),"PIERDE TOMA DE TAMIZAJE",IF(GF5&gt;0,SUM(GF5-BK5)/7,""))))))))))))</f>
        <v>PIERDE TOMA DE TAMIZAJE</v>
      </c>
      <c r="GH5" s="35"/>
      <c r="GI5" s="44"/>
      <c r="GJ5" s="35" t="s">
        <v>883</v>
      </c>
      <c r="GK5" s="35"/>
      <c r="GL5" s="35" t="s">
        <v>883</v>
      </c>
      <c r="GM5" s="35"/>
      <c r="GN5" s="43" t="s">
        <v>895</v>
      </c>
      <c r="GO5" s="35">
        <v>44737</v>
      </c>
      <c r="GP5" s="44">
        <f>IF(AND(BP5="ERROR FUM O INGRESO",GO5&gt;0),"ERROR FUM O INGRESO",IF(AND(GO5="",R5="",O5=""),"",IF(OR(AND(GO5&lt;&gt;"",GO5&lt;BK5),AND(GO5&lt;&gt;"",SUM((GO5-BK5)/7)&gt;40)),"CORREGIR FECHA RESULTADO",IF(AND(GO5="",OR(O5&gt;0,R5&gt;0)),"TOMAR EXAMEN",IF(GO5&gt;0,SUM(GO5-BK5)/7,"")))))</f>
        <v>10</v>
      </c>
      <c r="GQ5" s="43" t="s">
        <v>895</v>
      </c>
      <c r="GR5" s="43" t="s">
        <v>895</v>
      </c>
      <c r="GS5" s="35" t="str">
        <f>IF(GQ5="NEGATIVO","CONTROL Igm",IF(AND(GQ5="POSITIVO",GR5="NEGATIVO"),"SE EXCLUYE INFECCION",IF(AND(GQ5="POSITIVO",GR5="POSITIVO"),"TOXOPLASMOSIS, REMITIR PARA MANEJO","")))</f>
        <v>CONTROL Igm</v>
      </c>
      <c r="GT5" s="35">
        <v>44737</v>
      </c>
      <c r="GU5" s="44">
        <f>IF(AND(BP5="ERROR FUM O INGRESO",GT5&gt;0),"ERROR FUM O INGRESO",IF(AND(GT5="",R5="",O5=""),"",IF(OR(AND(GT5&lt;&gt;"",GT5&lt;BK5),AND(GT5&lt;&gt;"",SUM((GT5-BK5)/7)&gt;40)),"CORREGIR FECHA RESULTADO",IF(AND(GT5="",OR(O5&gt;0,R5&gt;0)),"TOMAR EXAMEN",IF(GT5&gt;0,SUM(GT5-BK5)/7,"")))))</f>
        <v>10</v>
      </c>
      <c r="GV5" s="31" t="str">
        <f>IF(AND(GU5="",BP5=""),"",IF(AND(GU5&lt;&gt;"",BP5="SIN DATO"),"SIN DATO",IF(AND(GU5="",BP5&lt;&gt;""),"",IF(AND(GU5&lt;0,BP5&gt;0),"ERROR FUM O INGRESO",IF(GU5&lt;=13,"I TRIM",IF(GU5&lt;28,"II TRIM",IF(AND(GU5&gt;27,GU5&lt;45),"III TRIM","POR DEFINIR")))))))</f>
        <v>I TRIM</v>
      </c>
      <c r="GW5" s="43" t="s">
        <v>895</v>
      </c>
      <c r="GX5" s="46">
        <v>5</v>
      </c>
      <c r="GY5" s="31"/>
      <c r="GZ5" s="35"/>
      <c r="HA5" s="43" t="str">
        <f>IF(GZ5&gt;0,SUM(GZ5-BK5)/7,"")</f>
        <v/>
      </c>
      <c r="HB5" s="31" t="str">
        <f>IF(HA5&lt;0,"ANTES DEL EMBARAZO",IF(AND(HA5&gt;0,HA5&lt;13),"I TRIM",IF(AND(HA5&gt;12,HA5&lt;28),"II TRIM",IF(AND(HA5&gt;27,HA5&lt;41),"III TRIM",""))))</f>
        <v/>
      </c>
      <c r="HC5" s="31" t="str">
        <f>IF(GY5="","",IF(GY5="CARCINOMA ESCAMOCELULAR","CITAR PARA COLPOSCOPIA Y PATOLOGIA",IF(GY5="ASCUS","CITAR PARA COLPOSCOPIA",IF(GY5="ACSI","CITAR PARA COLPOSCOPIA",IF(GY5="INFECCION VPH","CITAR PARA COLPOSCOPIA",IF(GY5="NIC I","CITAR PARA COLPOSCOPIA",IF(GY5="NIC I VPH","CITAR PARA COLPOSCOPIA",IF(GY5="NIC II","CITAR PARA COLPOSCOPIA",IF(GY5="NIC III","CITAR PARA COLPOSCOPIA",IF(GY5="CAMBIOS INFLAMATORIOS","CONSULTA CON MÉDICO GENERAL",IF(GY5="INFECCION","CONSULTA CON MÉDICO GENERAL",IF(GY5="NEGATIVA PARA NEOPLASIA","CITA PARA CITOLOGIA SEGÚN ESQUEMA1-1-3",IF(GY5="MUESTRA INADECUADA","REPETIR CITOLOGIA",IF(GY5=0,"SD"))))))))))))))</f>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IF(OR(O5&gt;0,R5&gt;0),CONCATENATE(IF(AY5="SI","ANTECEDENTE EMBARAZO MOLAR",""),"*",CONCATENATE(IF(AZ5="SI","ANTECEDENTE MUERTE NEONATAL",""),"*",CONCATENATE(IF(AND(BM5&gt;0,BM5&lt;13),"PERIODO INTERGENESICO CORTO",""),"*",CONCATENATE(IF(AND(BO5&gt;13,BO5&lt;42),"INGRESO TARDIO A CPN",""),"*",CONCATENATE(IF(CO5="BAJO PESO","BAJO PESO",""),"*",CONCATENATE(IF(CO5="SOBREPESO","SOBREPESO",""),"*",CONCATENATE(IF(CO5="OBESIDAD","OBESIDAD",""),"*",CONCATENATE(IF(GN5="POSITIVO","SEGUIMIENTO INFECCIÓN HEP B",""),"*",CONCATENATE(IF(GS5="TOXOPLASMOSIS, REMITIR PARA MANEJO","INFECCIÓN TOXOPLASMOSIS",""),"*",CONCATENATE(IF(GS5="CONTROL Igm","PREVENCIÓN CONTAGIO TOXOPLASMOSIS",""),"*",CONCATENATE(IF(OR(HJ5="COVID19 PRIMER TRIMESTRE",HJ5="COVID19 SEGUNDO TRIMESTRE",HJ5="COVID19 TERCER TRIMESTRE",HJ5="COVID19 PUERPERIO"),"INFECCIÓN SARS-CoV2 CONFIRMADA",""),"*",CONCATENATE(IF(OR(HC5="CITAR PARA COLPOSCOPIA",HC5="CITAR PARA COLPOSCOPIA Y PATOLOGIA"),"DESCARTAR CANCER DE UTERO",""),"*",)))))))))))),"")</f>
        <v>*********PREVENCIÓN CONTAGIO TOXOPLASMOSIS***</v>
      </c>
      <c r="HM5" s="35" t="str">
        <f ca="1">IF(AND(O5="",R5=""),"",IF(AND(OR(O5&lt;&gt;"",R5&lt;&gt;""),OR(HO5="RIESGO ALTO DE COMPLICACIONES HIPERTENSIVAS VER MANEJO GUIA SUMINISTRO ASA Y CALCIO",HO5="RIESGO MODERADO (2 O MAS CRITERIOS) VER MANEJO GUIA SUMINISTRO ASA Y CALCIO")),"ALTO RIESGO",IF(AND(HL5="************",OR(O5&lt;&gt;"",R5&lt;&gt;""),AND(NM5&gt;=0,NM5&lt;3)),"BAJO RIESGO",IF(AND(OR(O5&lt;&gt;"",R5&lt;&gt;""),OR(HJ5="COVID19 PRIMER TRIMESTRE",HJ5="COVID19 SEGUNDO TRIMESTRE",HJ5="COVID19 TERCER TRIMESTRE",HJ5="COVID19 PUERPERIO")),"ALTO RIESGO",IF(AND(HL5&lt;&gt;"",OR(O5&lt;&gt;"",R5&lt;&gt;""),AND(NM5&gt;=0,NM5&lt;3)),"CON RIESGO",IF(AND(OR(O5&lt;&gt;"",R5&lt;&gt;""),NM5&gt;2),"ALTO RIESGO",""))))))</f>
        <v>CON RIESGO</v>
      </c>
      <c r="HN5" s="31" t="str">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GEMELAR",""),"*",CONCATENATE(IF(NJ5=3,"PRESENTACIÓN FETAL PODALICA O TRANSVERSA",""),"*",CONCATENATE(IF(BY5="SI","POLIHIDRAMNIOS",""),"*",CONCATENATE(IF(FB5="DIABETES, REMITIR","DIABETES GESTACIONAL",""),"*",CONCATENATE(IF(FP5&lt;&gt;"","SEGUIMIENTO PARA SIFILIS GESTACIONAL",""),"*",CONCATENATE(IF(NI5=3,"SEGUIMIENTO PARA VIH",""),"*",CONCATENATE(IF(NG5=1,"SEGUIMIENTO PARA ANEMIA",""),"*",CONCATENATE(IF(ND5=2,"MULTIPARIDAD",""),"*",CONCATENATE(IF(ND5=1,"MULTIPARIDAD",""),"*",CONCATENATE(IF(NC5=1,"ANTECEDENTE MUERTE PERINATAL",""),"*",CONCATENATE(IF(OR(NA5=2,NA5=1),"RIESGO POR EDAD",""),"*",CONCATENATE(IF(OR(NE5=1,NE5=2),"CESAREAS PREVIAS",""),"*",CONCATENATE(IF(NF5=1,"ANTECEDENTE ECTOPICO O CX UTERINA",""),"*",CONCATENATE(IF(NH5=1,"EMBARAZO PROLONGADO",""),"*",CONCATENATE(IF(NK5=2,"SEGUIMIENTO PARA CHAGAS",""),"*",CONCATENATE(IF(NL5=3,"SEGUIMIENTO PARA MALARIA",""),"*",CONCATENATE(IF(OR(HJ5="COVID19 PRIMER TRIMESTRE",HJ5="COVID19 SEGUNDO TRIMESTRE", HJ5="COVID19 TERCER TRIMESTRE",HJ5="COVID19 PUERPERIO"),"SEGUIMIENTO PARA COVID19",""),"*",CONCATENATE(IF(EU5="RIESGO DE INCOMPATIBILIDAD RH","SEGUIMIENTO PARA INCOMPATIBILIDAD RH",""),"*")))))))))))))))))))))))))))))))),"")</f>
        <v>**********************MULTIPARIDAD**RIESGO POR EDAD********</v>
      </c>
      <c r="HO5" s="31" t="str">
        <f>IF(AND(O5="",R5=""),"",IF(AND(OR(O5&gt;0,R5&gt;0),OR(AL5="SI",BD5="SI",BA5="SI",BB5="SI",BE5="SI")),"RIESGO ALTO DE COMPLICACIONES HIPERTENSIVAS VER MANEJO GUIA SUMINISTRO ASA Y CALCIO",IF(AND(OR(O5&gt;0,R5&gt;0),NN5&gt;1),"RIESGO MODERADO (2 O MAS CRITERIOS) VER MANEJO GUIA SUMINISTRO ASA Y CALCIO","SIN ANTECEDENTES DE RIESGO")))</f>
        <v>SIN ANTECEDENTES DE RIESGO</v>
      </c>
      <c r="HP5" s="37" t="str">
        <f>IF(AND(O5="",R5=""),"",IF(AND(OR(O5&gt;0,R5&gt;0),CR5&lt;&gt;"",CU5&lt;&gt;"",CZ5&lt;&gt;""),CZ5,IF(AND(OR(O5&gt;0,R5&gt;0),CR5&lt;&gt;"",CU5&lt;&gt;"",CZ5=""),CU5,IF(AND(OR(O5&gt;0,R5&gt;0),CR5&lt;&gt;"",CU5="",CZ5=""),CR5,IF(AND(OR(O5&gt;0,R5&gt;0),CR5="",CU5="",CZ5&lt;&gt;""),CZ5,IF(AND(OR(O5&gt;0,R5&gt;0),CR5="",CU5&lt;&gt;"",CZ5&lt;&gt;""),CZ5,IF(AND(OR(O5&gt;0,R5&gt;0),CR5&lt;&gt;"",CU5="",CZ5&lt;&gt;""),CZ5,IF(AND(OR(O5&gt;0,R5&gt;0),CR5="",CU5&lt;&gt;"",CZ5=""),CU5,""))))))))</f>
        <v>APARENTEMENTE NORMAL</v>
      </c>
      <c r="HQ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HR5" s="46" t="str">
        <f>IF(AND(R5&lt;&gt;"",IT5="CAMBIO DE RESIDENCIA"),"SEGUIMIENTO REPORTE EPS",IF(AND(R5&lt;&gt;"",OR(IT5&lt;&gt;"",IW5&lt;&gt;"")),"SALIO PROGRAMA",IF(AND(AND(R5="",O5&gt;0),OR(IT5&lt;&gt;"",IW5&lt;&gt;"")),"SALE SIN INGRESO CPN",IF(AND(R5="",O5&gt;0,IT5="",IW5=""),"ACTIVA SIN INGRESO CPN",IF(AND(R5&lt;&gt;"",OR(IT5="",IW5="")),"ACTIVA INGRESO A CPN","")))))</f>
        <v>SALIO PROGRAMA</v>
      </c>
      <c r="HS5" s="31" t="s">
        <v>875</v>
      </c>
      <c r="HT5" s="31" t="s">
        <v>883</v>
      </c>
      <c r="HU5" s="35">
        <v>44866</v>
      </c>
      <c r="HV5" s="35" t="s">
        <v>901</v>
      </c>
      <c r="HW5" s="35">
        <v>44835</v>
      </c>
      <c r="HX5" s="35" t="s">
        <v>901</v>
      </c>
      <c r="HY5" s="35">
        <v>44866</v>
      </c>
      <c r="HZ5" s="35" t="s">
        <v>901</v>
      </c>
      <c r="IA5" s="40" t="s">
        <v>887</v>
      </c>
      <c r="IB5" s="35">
        <v>44737</v>
      </c>
      <c r="IC5" s="43">
        <f>IF(AND(BP5="ERROR FUM O INGRESO",IB5&gt;0),"ERROR FUM O INGRESO",IF(AND(IB5="",R5=""),"",IF(OR(AND(IB5&lt;&gt;"",IB5&lt;BK5),AND(IB5&lt;&gt;"",SUM((IB5-BK5)/7)&gt;40)),"CORREGIR FECHA CONSULTA",IF(AND(IB5="",R5&gt;0),"PENDIENTE CONSULTA",IF(IB5&gt;0,SUM(IB5-BK5)/7,"")))))</f>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ca="1">IF(AND(BK5="",NO5="SD"),"SIN DATO EDAD GESTACIONAL",IF(AND(BK5="",IM5=""),"",IF(AND(AND(BQ5&gt;0,BQ5&lt;20),IM5=""),"EN ESPERA PARA VACUNAR",IF(AND(AND(BQ5&gt;19,BQ5&lt;27),IM5=""),"PROGRAMAR APLICACION DE VACUNA",IF(AND(AND(BQ5&gt;26,BQ5&lt;43),IM5=""),"INASISTENTE",IF(AND(AND(NO5&gt;19,NO5&lt;27),IM5&gt;0),"VACUNA APLICADA ENTRE SEMANA 20 Y SEMANA 26",IF(AND(NO5&lt;20,IM5&gt;0),"VACUNA APLICADA ANTES SEMANA 20",IF(AND(NO5&gt;26,IM5&gt;0),"VACUNA APLICADA ENTRE SEMANA 27 Y EL PARTO",IF(AND(OR(IT5="CESAREA",IT5="PARTO"),IR5="POSIBLEMENTE NACIO",IM5=""),"SALE SIN VACUNA","")))))))))</f>
        <v>VACUNA APLICADA ENTRE SEMANA 20 Y SEMANA 26</v>
      </c>
      <c r="IO5" s="35"/>
      <c r="IP5" s="35">
        <f>IF(OR(BL5="SI",BL5="Corregida",BL5="NO"),(BK5+280),IF(BL5="Sin Dato","DEFINIR FPP POR ECO",""))</f>
        <v>44947</v>
      </c>
      <c r="IQ5" s="44">
        <f ca="1">IF(OR(IP5="DEFINIR FPP POR ECO",BP5="ERROR FUM O INGRESO"),"SIN DEFINIR",IF(IP5="","",IF(IP5&gt;0,SUM(IP5-TODAY()),"X")))</f>
        <v>-278</v>
      </c>
      <c r="IR5" s="35" t="str">
        <f ca="1">IF(IQ5&lt;0,"POSIBLEMENTE NACIO",IF(IQ5="SIN DEFINIR","SIN DATO",IF(AND(IQ5&gt;=0,IQ5&lt;=7),"SEMANA DE PARTO",IF(AND(IQ5&gt;=8,IQ5&lt;=28),"MENOS DE 4 SEMANAS",IF(AND(IQ5&gt;=29,IQ5&lt;=280),"PENDIENTE","")))))</f>
        <v>POSIBLEMENTE NACIO</v>
      </c>
      <c r="IS5" s="35"/>
      <c r="IT5" s="31" t="s">
        <v>915</v>
      </c>
      <c r="IU5" s="31" t="s">
        <v>905</v>
      </c>
      <c r="IV5" s="51" t="s">
        <v>916</v>
      </c>
      <c r="IW5" s="35">
        <v>44935</v>
      </c>
      <c r="IX5" s="31" t="s">
        <v>907</v>
      </c>
      <c r="IY5" s="44">
        <f>IF(AND(IW5&gt;0,IT5&lt;&gt;""),SUM(IW5-BK5)/7,"")</f>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IF(AND(JM5&gt;700,JM5&lt;2500,IY5&gt;36),"BAJO PESO AL NACER",IF(AND(JM5&gt;500,JM5&lt;2500,IY5&lt;37),"PREMATURO",IF(AND(JM5&gt;2499,JM5&lt;4000,IY5&gt;36),"PESO ADECUADO EDAD GESTACIONAL",IF(AND(JM5&gt;3999,JM5&lt;6000,IY5&gt;36),"PESO GRANDE EDAD GESTACIONAL",""))))</f>
        <v>PESO ADECUADO EDAD GESTACIONAL</v>
      </c>
      <c r="JO5" s="236">
        <v>44935</v>
      </c>
      <c r="JP5" s="31"/>
      <c r="JQ5" s="31"/>
      <c r="JR5" s="31"/>
      <c r="JS5" s="46" t="s">
        <v>893</v>
      </c>
      <c r="JT5" s="35">
        <v>44935</v>
      </c>
      <c r="JU5" s="35">
        <v>44935</v>
      </c>
      <c r="JV5" s="31"/>
      <c r="JW5" s="53"/>
      <c r="JX5" s="31" t="str">
        <f>IF(AND(JW5&gt;700,JW5&lt;2500,IY5&gt;36,IY5&lt;43),"BAJO PESO AL NACER",IF(AND(JW5&gt;700,JW5&lt;2500,IY5&lt;37),"PREMATURO",IF(AND(JW5&gt;2499,JW5&lt;4000,IY5&gt;36,IY5&lt;43),"PESO ADECUADO EDAD GESTACIONAL",IF(AND(JW5&gt;3999,JW5&lt;6000,IY5&gt;36,IY5&lt;43),"PESO GRANDE EDAD GESTACIONAL",""))))</f>
        <v/>
      </c>
      <c r="JY5" s="35"/>
      <c r="JZ5" s="31"/>
      <c r="KA5" s="31"/>
      <c r="KB5" s="31"/>
      <c r="KC5" s="46"/>
      <c r="KD5" s="35"/>
      <c r="KE5" s="35"/>
      <c r="KF5" s="50">
        <v>44942</v>
      </c>
      <c r="KG5" s="43">
        <f>IF(AND(KF5&lt;&gt;"",KF5&lt;IW5),"INCONSISTENCIA FECHA CONTROL",IF(AND(OR(IT5="Parto",IT5="Cesarea"),KF5&gt;0,IW5&gt;0),SUM(KF5-IW5),IF(AND(OR(IT5="Parto",IT5="Cesarea"),KF5="",IW5&gt;0),"INASISTENTE","")))</f>
        <v>7</v>
      </c>
      <c r="KH5" s="50">
        <v>44942</v>
      </c>
      <c r="KI5" s="43">
        <f>IF(AND(KH5&lt;&gt;"",KH5&lt;IW5),"INCONSISTENCIA FECHA CONTROL",IF(AND(OR(IT5="Parto",IT5="Cesarea",IT5="Aborto Espontaneo",IT5="Aborto Inducido",IT5="IVE"),KH5&gt;0,IW5&gt;0),SUM(KH5-IW5),IF(AND(KH5&lt;&gt;"",KH5&lt;IW5),"INCONSISTENCIA FECHA CONTROL",IF(AND(OR(IT5="Parto",IT5="Cesarea",IT5="Aborto Espontaneo",IT5="Aborto Inducido",IT5="IVE"),KH5="",IW5&gt;0),"INASISTENTE",""))))</f>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SUM(COUNTIF(LD5,"PARTERO (A)"),COUNTIF(LH5,"PARTERO (A)"),COUNTIF(LL5,"PARTERO (A)"),COUNTIF(LP5,"PARTERO (A)"),COUNTIF(LT5,"PARTERO (A)"),COUNTIF(LX5,"PARTERO (A)"),COUNTIF(MN5,"PARTERO (A)"))</f>
        <v>0</v>
      </c>
      <c r="MR5" t="str">
        <f>IF(AND(R5="",O5=""),"",IF(AND(OR(O5&gt;0,R5&gt;0),LC5&gt;0),SUM(LC5-BK5)/7,""))</f>
        <v/>
      </c>
      <c r="MS5" t="str">
        <f>IF(AND(MR5="",BP5=""),"",IF(AND(MR5&lt;&gt;"",BP5="SIN DATO"),"SIN DATO",IF(AND(MR5="",BP5&lt;&gt;""),"",IF(AND(MR5&lt;0,BP5&gt;0),"ERROR FUM O INGRESO",IF(MR5&lt;=13,"I TRIM",IF(MR5&lt;28,"II TRIM",IF(AND(MR5&gt;27,MR5&lt;45),"III TRIM","POR DEFINIR")))))))</f>
        <v/>
      </c>
      <c r="MT5">
        <f>SUM(COUNTIF(LD5,"MEDICO (A) TRADICIONAL"),COUNTIF(LH5,"MEDICO (A) TRADICIONAL"),COUNTIF(LL5,"MEDICO (A) TRADICIONAL"),COUNTIF(LP5,"MEDICO (A) TRADICIONAL"),COUNTIF(LT5,"MEDICO (A) TRADICIONAL"),COUNTIF(LX5,"MEDICO (A) TRADICIONAL"),COUNTIF(MN5,"MEDICO (A) TRADICIONAL"))</f>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IF(AND(O5&gt;0,BK5&gt;0),SUM(O5-BK5)/7,"")</f>
        <v>10</v>
      </c>
      <c r="MW5">
        <f>IF(R5&gt;0,MONTH(R5),"")</f>
        <v>6</v>
      </c>
      <c r="MX5">
        <f>IF(R5&gt;0,YEAR(R5),"")</f>
        <v>2022</v>
      </c>
      <c r="MY5" t="str">
        <f>IF(AND(MW5&gt;=1,MW5&lt;=3),"I TRIMESTRE AÑO",IF(AND(MW5&gt;=4,MW5&lt;=6),"II TRIMESTRE AÑO",IF(AND(MW5&gt;=7,MW5&lt;=9),"III TRIMESTRE AÑO",IF(AND(MW5&gt;=10,MW5&lt;=12),"IV TRIMESTRE AÑO",""))))</f>
        <v>II TRIMESTRE AÑO</v>
      </c>
      <c r="MZ5">
        <f>IF(AND(M5&gt;0,R5&gt;0),DAYS360(M5,R5)/30.44/12,IF(AND(M5&gt;0,O5&gt;0,R5=""),DAYS360(M5,O5)/30.44/12,""))</f>
        <v>14.818769163381516</v>
      </c>
      <c r="NA5">
        <f>IF(AND(MZ5&gt;7,MZ5&lt;14),2,IF(MZ5&lt;16,1,IF(MZ5&lt;=35,0,IF(AND(MZ5&gt;35,MZ5&lt;50),2,""))))</f>
        <v>1</v>
      </c>
      <c r="NB5" t="str">
        <f>+IF(MZ5="","",IF(MZ5&lt;14,"MENOR 14 AÑOS",IF(MZ5&lt;20,"DE 14 A 19AÑOS",IF(MZ5&lt;25," DE 20 A 24 AÑOS",IF(MZ5&lt;30," DE 25 A 29 AÑOS",IF(MZ5&lt;35," DE 30 A 34 AÑOS",IF(MZ5&lt;40," DE 35 A 39 AÑOS"," DE 40 Y MAS")))))))</f>
        <v>DE 14 A 19AÑOS</v>
      </c>
      <c r="NC5">
        <f>IF(AW5="SI",1,IF(AW5="NO",0,""))</f>
        <v>0</v>
      </c>
      <c r="ND5">
        <f>IF(AS5="","",IF(AS5=0,1,IF(AND(AS5&gt;=1,AS5&lt;=4),0,IF(AS5&gt;=5,2,"X"))))</f>
        <v>1</v>
      </c>
      <c r="NE5">
        <f>IF(AV5="","",IF(AV5=0,0,IF(AV5=1,1,IF(OR(AV5=2,AV5="3 O MAS"),2,"X"))))</f>
        <v>0</v>
      </c>
      <c r="NF5">
        <f>IF(AX5="SI",1,IF(AX5="NO",0,""))</f>
        <v>0</v>
      </c>
      <c r="NG5" t="str">
        <f>IF(OR(AND(EI5&gt;0,EI5&lt;11),AND(EN5&gt;0,EN5&lt;10.5)),1,"")</f>
        <v/>
      </c>
      <c r="NH5" t="str">
        <f ca="1">IF(AND(AND(BQ5&gt;40.9,BQ5&lt;43),IW5=""),1,"")</f>
        <v/>
      </c>
      <c r="NI5" t="str">
        <f>IF(AND(FY5="",GB5="",GE5="",GH5=""),"",IF(OR(OR(FY5="P.R REACTIVA",FY5="ELISA REACTIVA"),OR(GB5="P.R REACTIVA",GB5="ELISA REACTIVA"),OR(GE5="P.R REACTIVA",GE5="ELISA REACTIVA"),OR(GH5="P.R REACTIVA",GH5="ELISA REACTIVA")),3,""))</f>
        <v/>
      </c>
      <c r="NJ5">
        <f>IF(BX5="","",IF(OR(BX5="CEFÁLICA",BX5="SD"),0,IF(OR(BX5="PODÁLICA",BX5="TRANSVERSA O DE FRENTE",BX5="OBLICUA"),3,"")))</f>
        <v>0</v>
      </c>
      <c r="NK5" t="str">
        <f>IF(HD5="","",IF(HD5="POSITIVO",2,"0"))</f>
        <v>0</v>
      </c>
      <c r="NL5">
        <f>IF(AND(HF5="",HH5=""),"",IF(OR(HF5="POSITIVO",HH5="POSITIVO"),3,0))</f>
        <v>0</v>
      </c>
      <c r="NM5">
        <f ca="1">IF(AND(O5="",R5=""),"",IF(OR(O5&lt;&gt;"",R5&lt;&gt;""),SUM(COUNTIF(AL5:AP5,"SI"),COUNTIF(AU5,"SI"),COUNTIF(BF5,"SI"),COUNTIF(BI5,"SI"),SUM(COUNTIF(BA5:BC5,"SI")*3),SUM(COUNTIF(BV5:BW5,"SI")*3),SUM(COUNTIF(BH5,"SI")*3),SUM(COUNTIF(BG5,"SI")*2),SUM(COUNTIF(BY5,"SI")*2),SUM(COUNTIF(BE5,"SI")*2),SUM(COUNTIF(FB5,"DIABETES, REMITIR")*2),SUM(NC5:NL5),SUM(NA5),SUM(NP5),SUM(COUNTIF(EU5,"RIESGO DE INCOMPATIBILIDAD RH")*3),SUM(COUNTIF(FP5,"SIFILIS GESTACIONAL")*3)),""))</f>
        <v>2</v>
      </c>
      <c r="NN5">
        <f>IF(OR(O5&gt;0,R5&gt;0),SUM(COUNTIF(Tabla1[[#This Row],[AÑOS AL INICIO5 CPN]],"&gt;=40"),COUNTIF(AR5,"0"),COUNTIF(AQ5,"SI"),COUNTIF(BW5,"SI"),COUNTIF(BM5,"&gt;119"),COUNTIF(CC5,"&gt;=35")),"")</f>
        <v>0</v>
      </c>
      <c r="NO5">
        <f>IF(AND(R5="",O5=""),"",IF(AND(OR(O5&gt;0,R5&gt;0),BK5=""),"SD",IF(AND(OR(O5&gt;0,R5&gt;0),IM5&gt;0),SUM(IM5-BK5)/7,"")))</f>
        <v>19.428571428571427</v>
      </c>
      <c r="NP5">
        <f>IF(AND(AE5="",AF5="",AG5="",AH5="",AI5="",AJ5=""),"",SUM(SUM(COUNTIF(AE5,"NO")/2),COUNTIF(AF5,"NO"),SUM(COUNTIF(AG5,"SI")/2),COUNTIF(AH5,"SI"),SUM(COUNTIF(AJ5,"SI")*2),COUNTIF(AI5,"DESPLAZADA"),COUNTIF(AI5,"MIGRATORIA"),COUNTIF(AI5,"DISCAPACIDAD FISICA"),COUNTIF(AI5,"DISCAPACIDAD CONDUCTUAL"),COUNTIF(AI5,"DISCAPACIDAD VISUAL"),COUNTIF(AI5,"DISCAPACIDAD AUDITIVA"),COUNTIF(AI5,"DISCAPACIDAD MULTIPLE"),COUNTIF(AI5,"DISCAPACIDAD SISTEMICA")))</f>
        <v>0</v>
      </c>
      <c r="NQ5">
        <f>IF(BS5&gt;0,BS5*7,"")</f>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IF(AND(O5&gt;0,R5=""),"NO CPN",IF(AND(O5="",R5=""),"",IF(AND(R5&gt;0,EF5&gt;0,EE5&gt;0),_xlfn.DAYS(EF5,EE5),IF(AND(R5&gt;0,EF5&gt;0,EE5=""),"NO CITA","X"))))</f>
        <v>37</v>
      </c>
      <c r="NV5" t="str">
        <f>IF(AND(O5&gt;0,R5=""),"NO CPN",IF(AND(O5="",R5=""),"",IF(AND(EJ5&lt;&gt;"",ES5&lt;&gt;"",EW5&lt;&gt;"",FF5&lt;&gt;"",FU5&lt;&gt;"",FZ5&lt;&gt;"",GO5&lt;&gt;"",GQ5&lt;&gt;"",GR5&lt;&gt;""),"SI","NO")))</f>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IF(AND(BO5="",IP5=""),"",IF(AND(BO5="",IP5="DEFINIR FPP POR ECO"),"SIN DATO",IF(BO5&lt;0,"ERROR FUM O INGRESO",IF(BL5="NO","DEFINIR CON ECO",IF(BO5&lt;10,"I TRIM",IF(BO5&lt;27,"II TRIM",IF(AND(BO5&gt;26,BO5&lt;45),"III TRIM","ERROR FUM O INGRESO")))))))</f>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IF(AND(O5="",R5=""),"",IF(AND(BO5&gt;0,BO5&lt;12,IY5&gt;28,IY5&lt;44),3, IF(OR(AND(BO5&gt;=12,BO5&lt;28,IY5&gt;=28,IY5&lt;44),AND(BO5&gt;0,BO5&lt;12,IY5&gt;=12,IY5&lt;29)),2,IF(OR(AND(BO5&gt;=28,BO5&lt;44),AND(BO5&gt;0,BO5&lt;12,IY5&gt;0,IY5&lt;12),AND(BO5&gt;=12,BO5&lt;28,IY5&gt;=12,IY5&lt;28)),1,IF(AND(BO5&gt;0,BO5&lt;12,BQ5&gt;=28,BQ5&lt;44,DR5="ACTIVA INGRESO A CPN"),3,IF(OR(AND(BO5&gt;0,BO5&lt;12,BQ5&gt;=12,BQ5&lt;28,DR5="ACTIVA INGRESO A CPN"),AND(BO5&gt;=12,BO5&lt;28,BQ5&gt;=28,BQ5&lt;44,DR5="ACTIVA INGRESO A CPN")),2,IF(OR(AND(BO5&gt;0,BO5&lt;12,BQ5&gt;0,BQ5&lt;12,DR5="ACTIVA INGRESO A CPN"),AND(BO5&gt;=12,BO5&lt;28,BQ5&gt;=12,BQ5&lt;28,DR5="ACTIVA INGRESO A CPN")),1,"REVISAR FUM O FECHA SALIDA PROGRAMA")))))))</f>
        <v>3</v>
      </c>
      <c r="OB5" s="213">
        <f ca="1">COUNT(FG5,FJ5,FM5,FO5)</f>
        <v>2</v>
      </c>
      <c r="OC5" s="1">
        <f ca="1">COUNT(GA5,GD5,GG5,GI5)</f>
        <v>2</v>
      </c>
      <c r="OD5" s="1" t="str">
        <f ca="1">IF(OA5="","",IF(OA5="REVISAR FUM O FECHA SALIDA PROGRAMA","POR DEFINIR",IF(OR(OA5=OB5,OB5&gt;OA5),"COMPLETO",IF(OB5&lt;OA5,"INCOMPLETO",""))))</f>
        <v>INCOMPLETO</v>
      </c>
      <c r="OE5" s="1" t="str">
        <f ca="1">IF(OA5="","",IF(OA5="REVISAR FUM O FECHA SALIDA PROGRAMA","POR DEFINIR",IF(OR(OA5=OC5,OC5&gt;OA5),"COMPLETO",IF(OC5&lt;OA5,"INCOMPLETO",""))))</f>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ca="1">IF(AND(O5="",R5=""),"",IF(OR(IN5="VACUNA APLICADA ENTRE SEMANA 20 Y SEMANA 26",IN5="VACUNA APLICADA ENTRE SEMANA 27 Y EL PARTO",IN5="VACUNA APLICADA ANTES SEMANA 20"),"VACUNADA","SIN VACUNAR"))</f>
        <v>VACUNADA</v>
      </c>
      <c r="OH5" s="148">
        <f>ROW(Tabla1[[#This Row],[SEMANAS DE GESTACION II TRIM]])</f>
        <v>5</v>
      </c>
      <c r="OI5" t="str">
        <f t="shared" si="0"/>
        <v/>
      </c>
      <c r="OJ5" t="str">
        <f t="shared" si="1"/>
        <v/>
      </c>
      <c r="OK5" t="str">
        <f t="shared" si="2"/>
        <v/>
      </c>
      <c r="OL5" t="str">
        <f t="shared" si="3"/>
        <v/>
      </c>
      <c r="OM5" t="str">
        <f t="shared" si="4"/>
        <v/>
      </c>
      <c r="ON5" t="str">
        <f t="shared" si="5"/>
        <v>NORMAL</v>
      </c>
      <c r="OO5" t="str">
        <f t="shared" si="6"/>
        <v/>
      </c>
      <c r="OP5" t="str">
        <f t="shared" si="7"/>
        <v/>
      </c>
      <c r="OQ5" t="str">
        <f t="shared" si="8"/>
        <v/>
      </c>
      <c r="OR5" t="str">
        <f t="shared" si="9"/>
        <v/>
      </c>
      <c r="OS5" t="str">
        <f t="shared" si="10"/>
        <v/>
      </c>
      <c r="OT5" t="str">
        <f t="shared" si="11"/>
        <v/>
      </c>
      <c r="OU5" t="str">
        <f t="shared" si="12"/>
        <v/>
      </c>
      <c r="OV5" t="str">
        <f t="shared" si="13"/>
        <v/>
      </c>
      <c r="OW5" t="str">
        <f t="shared" si="14"/>
        <v/>
      </c>
      <c r="OX5" t="str">
        <f t="shared" si="15"/>
        <v/>
      </c>
      <c r="OY5" t="str">
        <f t="shared" si="16"/>
        <v/>
      </c>
      <c r="OZ5" t="str">
        <f t="shared" si="17"/>
        <v/>
      </c>
      <c r="PA5" t="str">
        <f t="shared" si="18"/>
        <v>NORMAL</v>
      </c>
      <c r="PB5" t="str">
        <f t="shared" si="19"/>
        <v/>
      </c>
      <c r="PC5" t="str">
        <f t="shared" si="20"/>
        <v/>
      </c>
      <c r="PD5" t="str">
        <f t="shared" si="21"/>
        <v/>
      </c>
      <c r="PE5" t="str">
        <f t="shared" si="22"/>
        <v/>
      </c>
      <c r="PF5" t="str">
        <f t="shared" si="23"/>
        <v/>
      </c>
      <c r="PG5" t="str">
        <f t="shared" si="24"/>
        <v/>
      </c>
      <c r="PH5" t="str">
        <f t="shared" si="25"/>
        <v/>
      </c>
      <c r="PI5" t="str">
        <f t="shared" si="26"/>
        <v/>
      </c>
      <c r="PJ5" t="str">
        <f t="shared" si="27"/>
        <v/>
      </c>
      <c r="PK5" t="str">
        <f t="shared" si="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29"/>
        <v/>
      </c>
      <c r="PN5" s="161" t="str">
        <f t="shared" si="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45225</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921</v>
      </c>
      <c r="C6" s="68" t="s">
        <v>855</v>
      </c>
      <c r="D6" s="187" t="s">
        <v>856</v>
      </c>
      <c r="E6" s="68" t="s">
        <v>857</v>
      </c>
      <c r="F6" s="68" t="s">
        <v>858</v>
      </c>
      <c r="G6" s="68" t="s">
        <v>859</v>
      </c>
      <c r="H6" s="68"/>
      <c r="I6" s="145" t="s">
        <v>860</v>
      </c>
      <c r="J6" s="146">
        <v>1002952263</v>
      </c>
      <c r="K6" s="68" t="s">
        <v>861</v>
      </c>
      <c r="L6" s="68" t="s">
        <v>862</v>
      </c>
      <c r="M6" s="35">
        <v>37247</v>
      </c>
      <c r="N6" s="38">
        <f ca="1">IF(M6&gt;0,SUM(TODAY()-M6)/365,"")</f>
        <v>21.857534246575341</v>
      </c>
      <c r="O6" s="35">
        <v>44662</v>
      </c>
      <c r="P6" s="39" t="str">
        <f>IF(AND(O6="",R6&gt;0),"ACUDE ESPONTANEAMENTE",IF(AND(AND(O6&gt;0,R6=""),OR(IW6&gt;0,IT6&lt;&gt;"")),"NA",IF(AND(O6&gt;0,IW6="",R6=""),"NO",IF(AND(O6&gt;0,R6&gt;0),"SI",""))))</f>
        <v>SI</v>
      </c>
      <c r="Q6" s="40" t="s">
        <v>876</v>
      </c>
      <c r="R6" s="35">
        <v>44662</v>
      </c>
      <c r="S6" s="31" t="s">
        <v>877</v>
      </c>
      <c r="T6" s="37" t="s">
        <v>800</v>
      </c>
      <c r="U6" s="31" t="s">
        <v>878</v>
      </c>
      <c r="V6" s="31" t="s">
        <v>879</v>
      </c>
      <c r="W6" s="31" t="s">
        <v>880</v>
      </c>
      <c r="X6" s="31" t="s">
        <v>880</v>
      </c>
      <c r="Y6" s="31" t="s">
        <v>881</v>
      </c>
      <c r="Z6" s="31">
        <v>3044779923</v>
      </c>
      <c r="AA6" s="31" t="s">
        <v>882</v>
      </c>
      <c r="AB6" s="41" t="s">
        <v>883</v>
      </c>
      <c r="AC6" s="40" t="s">
        <v>884</v>
      </c>
      <c r="AD6" s="55" t="s">
        <v>885</v>
      </c>
      <c r="AE6" s="40" t="s">
        <v>875</v>
      </c>
      <c r="AF6" s="40" t="s">
        <v>875</v>
      </c>
      <c r="AG6" s="36" t="s">
        <v>886</v>
      </c>
      <c r="AH6" s="36" t="s">
        <v>886</v>
      </c>
      <c r="AI6" s="37" t="s">
        <v>885</v>
      </c>
      <c r="AJ6" s="36" t="s">
        <v>886</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886</v>
      </c>
      <c r="AM6" s="40" t="s">
        <v>886</v>
      </c>
      <c r="AN6" s="40" t="s">
        <v>886</v>
      </c>
      <c r="AO6" s="40" t="s">
        <v>886</v>
      </c>
      <c r="AP6" s="40" t="s">
        <v>886</v>
      </c>
      <c r="AQ6" s="40" t="s">
        <v>886</v>
      </c>
      <c r="AR6" s="31">
        <v>1</v>
      </c>
      <c r="AS6" s="31">
        <v>0</v>
      </c>
      <c r="AT6" s="31">
        <v>1</v>
      </c>
      <c r="AU6" s="40" t="s">
        <v>886</v>
      </c>
      <c r="AV6" s="31">
        <v>0</v>
      </c>
      <c r="AW6" s="40" t="s">
        <v>886</v>
      </c>
      <c r="AX6" s="40" t="s">
        <v>886</v>
      </c>
      <c r="AY6" s="40" t="s">
        <v>886</v>
      </c>
      <c r="AZ6" s="40" t="s">
        <v>886</v>
      </c>
      <c r="BA6" s="40" t="s">
        <v>886</v>
      </c>
      <c r="BB6" s="40" t="s">
        <v>886</v>
      </c>
      <c r="BC6" s="40" t="s">
        <v>886</v>
      </c>
      <c r="BD6" s="40" t="s">
        <v>886</v>
      </c>
      <c r="BE6" s="40" t="s">
        <v>886</v>
      </c>
      <c r="BF6" s="40" t="s">
        <v>886</v>
      </c>
      <c r="BG6" s="40" t="s">
        <v>886</v>
      </c>
      <c r="BH6" s="40" t="s">
        <v>886</v>
      </c>
      <c r="BI6" s="40" t="s">
        <v>886</v>
      </c>
      <c r="BJ6" s="35">
        <v>44053</v>
      </c>
      <c r="BK6" s="35">
        <v>44657</v>
      </c>
      <c r="BL6" s="31" t="s">
        <v>875</v>
      </c>
      <c r="BM6" s="43">
        <f>IF(OR(BJ6="SD",BK6=""),"",IF(BJ6="",0,SUM(BK6-BJ6)/30))</f>
        <v>20.133333333333333</v>
      </c>
      <c r="BN6" s="57" t="str">
        <f>IF(BS6&gt;0,SUM(BR6-NQ6),"")</f>
        <v/>
      </c>
      <c r="BO6" s="44">
        <f>IF(AND(BL6="Corregida",BK6&gt;0,R6&gt;0,ISBLANK(BS6)),"SIN SEMANAS X ECO",IF(AND(BL6="Corregida",BK6&gt;0,R6&gt;0),SUM(R6-BN6)/7,IF(AND(OR(BL6="SI",BL6="NO"),BK6&gt;0,R6&gt;0),SUM(R6-BK6)/7,"")))</f>
        <v>0.7142857142857143</v>
      </c>
      <c r="BP6" s="31" t="str">
        <f>IF(AND(BO6="",IP6=""),"",IF(AND(BO6="",IP6="DEFINIR FPP POR ECO"),"SIN DATO",IF(BO6&lt;0,"ERROR FUM O INGRESO O ECO",IF(BL6="NO","DEFINIR CON ECO",IF(BO6&lt;12,"I TRIM",IF(BO6&lt;27,"II TRIM",IF(AND(BO6&gt;26,BO6&lt;45),"III TRIM","ERROR FUM O INGRESO O ECO")))))))</f>
        <v>I TRIM</v>
      </c>
      <c r="BQ6" s="39" t="str">
        <f ca="1">IF(SUM((TODAY()-BK6)/7)&gt;43.1,"",IF(AND(BK6&gt;0,OR(BL6="si",BL6="Corregida",BL6="NO")),SUM((TODAY()-BK6)/7),""))</f>
        <v/>
      </c>
      <c r="BR6" s="35"/>
      <c r="BS6" s="43"/>
      <c r="BT6" s="35"/>
      <c r="BU6" s="31"/>
      <c r="BV6" s="40" t="s">
        <v>886</v>
      </c>
      <c r="BW6" s="40" t="s">
        <v>886</v>
      </c>
      <c r="BX6" s="40" t="s">
        <v>887</v>
      </c>
      <c r="BY6" s="40" t="s">
        <v>887</v>
      </c>
      <c r="BZ6" s="35">
        <v>44662</v>
      </c>
      <c r="CA6" s="31">
        <v>1.6</v>
      </c>
      <c r="CB6" s="31">
        <v>65</v>
      </c>
      <c r="CC6" s="39">
        <f>IF(AND(OR(O6&gt;0,R6&gt;0),CA6=""),"SD",IF(AND(OR(O6="",R6=""),CA6=""),"",IF(AND(OR(O6&gt;0,R6&gt;0),CA6&gt;0,CB6&gt;0),SUM(CB6)/(CA6*CA6),"X")))</f>
        <v>25.390624999999996</v>
      </c>
      <c r="CD6" s="45" t="str">
        <f>IF(AND(CC6&lt;10,CB6="SD"),"SIN DATO PESO PREGESTACION O I TRIM",IF(AND(OR(R6&gt;0,O6&gt;0),CC6="X"),"INGRESAR DATO DE PESO",IF(CC6="SD","INGRESAR DATO DE TALLA Y PESO",IF(CC6&lt;18.5,"BAJO PESO",IF(CC6&lt;25,"NORMAL",IF(CC6&lt;30,"SOBREPESO",IF(AND(CC6&gt;=30,CC6&lt;50),"OBESIDAD","")))))))</f>
        <v>SOBREPESO</v>
      </c>
      <c r="CE6" s="35"/>
      <c r="CF6" s="31"/>
      <c r="CG6" s="39">
        <f>IF(AND(OR(O6&gt;0,R6&gt;0),CA6=""),"SD",IF(AND(OR(O6="",R6=""),CA6=""),"",IF(AND(OR(O6&gt;0,R6&gt;0),CA6&gt;0),SUM(CF6)/(CA6*CA6),"X")))</f>
        <v>0</v>
      </c>
      <c r="CH6" s="31" t="str">
        <f>IF(AND(CE6="",BK6=""),"",IF(AND(BK6&gt;0,CE6=""),"NA",IF(CE6&lt;BK6,"REVISAR FUM O FECHA PESO",IF(CE6&gt;0,INT(SUM(CE6-BK6)/7)))))</f>
        <v>NA</v>
      </c>
      <c r="CI6" s="31" t="str">
        <f>IF(OR(CH6="",CH6="NA"),"",IF(AND(CH6&gt;=29,CH6&lt;=42),"REGISTRAR EN III TRIM",IF(AND(CH6&gt;0,CH6&lt;=13),"REGISTRAR EN I TRIM",IF(CH6="REVISAR FUM O FECHA PESO","REVISAR",IF(CH6&gt;0,HLOOKUP(CH6,$OI$1:PK6,OH6),"")))))</f>
        <v/>
      </c>
      <c r="CJ6" s="35"/>
      <c r="CK6" s="31"/>
      <c r="CL6" s="39">
        <f>IF(AND(OR(O6&gt;0,R6&gt;0),CA6=""),"SD",IF(AND(OR(O6="",R6=""),CA6=""),"",IF(AND(OR(O6&gt;0,R6&gt;0),CA6&gt;0),SUM(CK6)/(CA6*CA6),"X")))</f>
        <v>0</v>
      </c>
      <c r="CM6" s="31" t="str">
        <f>IF(AND(CJ6="",BK6=""),"",IF(AND(BK6&gt;0,CJ6=""),"NA",IF(CJ6&lt;BK6,"REVISAR FUM O FECHA PESO",IF(CJ6&gt;0,INT(SUM(CJ6-BK6)/7)))))</f>
        <v>NA</v>
      </c>
      <c r="CN6" s="31" t="str">
        <f>IF(OR(CM6="",CM6="NA"),"",IF(AND(CM6&gt;0,CM6&lt;=28),"REGISTRAR EN  TRIM RESPECTIVO",IF(CM6&gt;0,HLOOKUP(CM6,$OI$1:PK6,OH6),"")))</f>
        <v/>
      </c>
      <c r="CO6" s="31" t="str">
        <f>IF(AND(OR(O6&gt;0,R6&gt;0),CD6&lt;&gt;"",CI6&lt;&gt;"",CN6&lt;&gt;""),CN6,IF(AND(OR(O6&gt;0,R6&gt;0),CD6&lt;&gt;"",CI6&lt;&gt;"",CN6=""),CI6,IF(AND(OR(O6&gt;0,R6&gt;0),CD6&lt;&gt;"",CI6="",CN6=""),CD6,IF(AND(OR(O6&gt;0,R6&gt;0),CD6&lt;&gt;"",CI6="",CN6&lt;&gt;""),CN6,""))))</f>
        <v>SOBREPESO</v>
      </c>
      <c r="CP6" s="31">
        <v>110</v>
      </c>
      <c r="CQ6" s="31">
        <v>70</v>
      </c>
      <c r="CR6" s="37" t="str">
        <f>IF(AND(OR(R6="",R6&lt;&gt;""),CQ6="",CP6=""),"",IF(AND(OR(O6&gt;0,R6&gt;0),OR(CP6&gt;=140,CQ6&gt;=90)),"DEFINIR ESTADIO HTA",IF(AND(OR(O6&gt;0,R6&gt;0),AND(CP6&gt;120,CP6&lt;=139)),"PRE HTA SEGUIMIENTO",IF(AND(OR(O6&gt;0,R6&gt;0),AND(CQ6&gt;80,CQ6&lt;=89)),"PRE HTA SEGUIMIENTO",IF(AND(OR(O6&gt;0,R6&gt;0),AND(CP6&gt;=80,CP6&lt;=120)),"APARENTEMENTE NORMAL",IF(AND(OR(O6&gt;0,R6&gt;0),AND(CQ6&gt;=50,CQ6&lt;=80)),"APARENTEMENTE NORMAL",IF(AND(OR(O6&gt;0,R6&gt;0),OR(CP6&lt;=70,CQ6&lt;=40)),"HIPOTENSIÓN","")))))))</f>
        <v>APARENTEMENTE NORMAL</v>
      </c>
      <c r="CS6" s="31"/>
      <c r="CT6" s="31"/>
      <c r="CU6" s="37" t="str">
        <f>IF(AND(OR(R6="",R6&lt;&gt;""),CS6="",CT6=""),"",IF(AND(OR(O6&gt;0,R6&gt;0),OR(CS6&gt;=140,CT6&gt;=90)),"ALTO RIESGO PREECLAMPSIA,DEFINIR ESTADIO HTA",IF(AND(OR(O6&gt;0,R6&gt;0),AND(CS6&gt;120,CS6&lt;=139)),"PRE HTA SEGUIMIENTO,RIESGO HIPERTENSION INDUCIDA POR EL EMBARAZO",IF(AND(OR(O6&gt;0,R6&gt;0),AND(CT6&gt;80,CT6&lt;=89)),"PRE HTA SEGUIMIENTO, RIESGO HIPERTENSION INDUCIDA POR EL EMBARAZO",IF(AND(OR(O6&lt;&gt;"",R6&lt;&gt;""),CQ6&lt;&gt;"",CT6&lt;&gt;"",CQ6&lt;=CT6),"VIGILAR CIFRAS PRESION ARTERIAL",IF(AND(OR(O6&gt;0,R6&gt;0),AND(CS6&gt;120,CS6&lt;=139)),"PRE HTA SEGUIMIENTO",IF(AND(OR(O6&gt;0,R6&gt;0),OR(CS6&lt;=60,CT6&lt;40)),"HIPOTENSIÓN",IF(AND(OR(O6&lt;&gt;"",R6&lt;&gt;""),CQ6&lt;&gt;"",CT6&lt;&gt;"",CQ6&gt;CT6),"APARENTEMENTE NORMAL",IF(AND(OR(O6&gt;0,R6&gt;0),AND(CS6&gt;=80,CS6&lt;=120)),"APARENTEMENTE NORMAL",IF(AND(OR(O6&gt;0,R6&gt;0),AND(CT6&gt;=50,CT6&lt;=80)),"APARENTEMENTE NORMAL",""))))))))))</f>
        <v/>
      </c>
      <c r="CV6" s="31"/>
      <c r="CW6" s="31"/>
      <c r="CX6" s="31"/>
      <c r="CY6" s="31"/>
      <c r="CZ6" s="37" t="str">
        <f>IF(AND(OR(R6="",R6&lt;&gt;""),CV6="",CW6="",CX6="",CY6=""),"",IF(AND(OR(O6&gt;0,R6&gt;0),OR(CV6&gt;=140,CW6&gt;=90,CX6&gt;=140,CY6&gt;=90)),"ESTUDIO INMEDIATO HTA PARA DESCARTAR PREECLAMSIA",IF(AND(OR(O6&gt;0,R6&gt;0),OR(AND(CX6&gt;=130,CX6&lt;=139),AND(CV6&gt;=130,CV6&lt;=139))),"PRE HTA,RIESGO ALTO PREECLAMPSIA",IF(AND(OR(O6&gt;0,R6&gt;0),OR(AND(CY6&gt;=80,CY6&lt;=89),AND(CW6&gt;=80,CW6&lt;=89))),"PRE HTA,RIESGO ALTO PREECLAMPSIA",IF(AND(OR(O6&gt;0,R6&gt;0),OR(AND(CX6&gt;120,CX6&lt;=129),AND(CV6&gt;120,CV6&lt;=129))),"RANGO PREHIPERTENSIVO SEGUIMIENTO HTA",IF(AND(OR(O6&lt;&gt;"",R6&lt;&gt;""),CQ6&lt;&gt;"",CW6&lt;&gt;"",CY6&lt;&gt;"",OR(CQ6&lt;CY6,CQ6&lt;CW6)),"VIGILAR CIFRAS PRESION ARTERIAL",IF(AND(OR(O6&lt;&gt;"",R6&lt;&gt;""),CP6="",CQ6="",OR(CW6&lt;CY6,CV6&lt;CX6)),"VIGILAR CIFRAS PRESION ARTERIAL",IF(AND(OR(O6&lt;&gt;"",R6&lt;&gt;""),CQ6&lt;&gt;"",CW6&lt;&gt;"",CY6&lt;&gt;"",OR(CQ6=CY6,CQ6=CW6)),"APARENTEMENTE NORMAL",IF(AND(OR(O6&gt;0,R6&gt;0),OR(AND(CX6&gt;=80,CX6&lt;=120),AND(CV6&gt;=80,CV6&lt;=120))),"APARENTEMENTE NORMAL",IF(AND(OR(O6&gt;0,R6&gt;0),OR(AND(CY6&gt;=50,CY6&lt;80),AND(CW6&gt;=50,CW6&lt;80))),"APARENTEMENTE NORMAL",""))))))))))</f>
        <v/>
      </c>
      <c r="DA6" s="35">
        <v>44662</v>
      </c>
      <c r="DB6" s="35">
        <v>44662</v>
      </c>
      <c r="DC6" s="35"/>
      <c r="DD6" s="35"/>
      <c r="DE6" s="35"/>
      <c r="DF6" s="35"/>
      <c r="DG6" s="35"/>
      <c r="DH6" s="35"/>
      <c r="DI6" s="35"/>
      <c r="DJ6" s="35"/>
      <c r="DK6" s="35"/>
      <c r="DL6" s="35"/>
      <c r="DM6" s="35"/>
      <c r="DN6" s="35"/>
      <c r="DO6" s="43"/>
      <c r="DP6" s="35"/>
      <c r="DQ6" s="31" t="str">
        <f ca="1">IF(AND(BP6="ERROR FUM O INGRESO",DP6&gt;0),"ERROR FUM O INGRESO",IF(AND(DP6="",R6="",O6=""),"",IF(OR(AND(DP6&lt;&gt;"",DP6&lt;BK6),AND(DP6&lt;&gt;"",AND(SUM((DP6-BK6)/7)&gt;0,SUM((DP6-BK6)/7)&lt;28))),"PLAN REALIZADO ANTES III TRIM", IF(AND(DP6="",OR(O6&gt;0,R6&gt;0),AND(BQ6&gt;=28, BQ6&lt;35,DR6="ACTIVA INGRESO A CPN")),"PLANEAR PLAN DE PARTO", IF(AND(DP6="",OR(O6&gt;0,R6&gt;0),BQ6&gt;=35,DR6="ACTIVA INGRESO A CPN"),"CONCERTAR PLAN DE PARTO INMEDIATO", IF(AND(DP6="",OR(O6&gt;0,R6&gt;0),AND(BQ6&gt;0, BQ6&lt;28),OR(DR6="ACTIVA INGRESO A CPN", DR6=" ACTIVA SIN INGRESO CPN")),"EN ESPERA", IF(AND(DP6="",OR(O6&gt;0,R6&gt;0),AND(IY6&gt;0, IY6&lt;28)),"NO APLICA SALE PROGRAMA ANTES III TRIM", IF(AND(DP6="",OR(O6&gt;0,R6&gt;0),AND(IY6&gt;=28, IY6&lt;35)),"SALE PROGRAMA ANTES SEMANA 35", IF(AND(DP6="",OR(O6&gt;0,R6&gt;0),IY6&gt;35),"SALE SIN PLAN DE PARTO",IF(DP6&gt;0,SUM(DP6-BK6)/7,""))))))))))</f>
        <v>SALE SIN PLAN DE PARTO</v>
      </c>
      <c r="DR6" s="46" t="str">
        <f>IF(AND(R6&lt;&gt;"",IT6="CAMBIO DE RESIDENCIA"),"SEGUIMIENTO REPORTE EPS",IF(AND(R6&lt;&gt;"",OR(IT6&lt;&gt;"",IW6&lt;&gt;"")),"SALIO PROGRAMA",IF(AND(AND(R6="",O6&gt;0),OR(IT6&lt;&gt;"",IW6&lt;&gt;"")),"SALE SIN INGRESO CPN",IF(AND(R6="",O6&gt;0,IT6="",IW6=""),"ACTIVA SIN INGRESO CPN",IF(AND(R6&lt;&gt;"",OR(IT6="",IW6="")),"ACTIVA INGRESO A CPN","")))))</f>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ca="1">IF(NR6="SD","",IF(AND(NR6&lt;=33,NR6&gt;=8),"MES DE CONTROL",IF(AND(NR6&gt;=1,NR6&lt;8),"SEMANA DE CONTROL",IF(NR6=0,"DIA DE CONTROL",IF(NR6&lt;0,"INASISTENTE",IF(NR6="Y","SEGUIMIENTO FUERA MUNICIPIO",IF(NR6="Z","BUSCAR PARA INGRESO A CPN",IF(NR6="W","DEFINIR FECHA CITA",IF(NR6="X","NO REALIZO CPN",IF(NR6="S","DILIGENCIAR FECHA SALIDA PROGRAMA","REVISAR FORMULA"))))))))))</f>
        <v>#VALUE!</v>
      </c>
      <c r="DU6" s="35" t="e">
        <f>IF(R6="","",IF(R6&gt;0,MAX(Tabla1[[#This Row],[FECHA C2]:[FECHA C13]],Tabla1[[#This Row],[FECHA CONSULTA PRIMERA VEZ PROGRAMA CPN ]])))</f>
        <v>#VALUE!</v>
      </c>
      <c r="DV6" s="31" t="e">
        <f>IF(AND(DU6="",BK6="",R6=""),"",IF(AND(R6="",BK6&gt;0,DU6=""),"",IF(AND(R6&gt;0,DU6&lt;BK6),"REVISAR FUM O FECHA PESO",IF(AND(R6&gt;0,DU6&gt;0,BK6=""),"SD",IF(AND(R6&gt;0,DU6&gt;0,BK6&gt;0),INT(SUM(DU6-BK6)/7))))))</f>
        <v>#VALUE!</v>
      </c>
      <c r="DW6" s="43">
        <f>IF(R6&gt;0,SUM(COUNTA(DC6:DN6)+COUNTA(Tabla1[[#This Row],[FECHA CONSULTA PRIMERA VEZ PROGRAMA CPN ]])),"")</f>
        <v>1</v>
      </c>
      <c r="DX6" s="43" t="str">
        <f>IF(AND(DW6&gt;=0,DW6&lt;4),"NO",IF(AND(DW6&gt;=4,DW6&lt;12),"SI",""))</f>
        <v>NO</v>
      </c>
      <c r="DY6" s="39">
        <f>IF(BO6="","",IF(BO6&gt;0,INT(SUM(((40-BO6)/4)+2)),"X"))</f>
        <v>11</v>
      </c>
      <c r="DZ6" s="47">
        <f>IF(DY6="","",IF(DW6&gt;0,SUM(DW6/DY6),"X"))</f>
        <v>9.0909090909090912E-2</v>
      </c>
      <c r="EA6" s="35">
        <v>44662</v>
      </c>
      <c r="EB6" s="35">
        <v>44662</v>
      </c>
      <c r="EC6" s="35">
        <v>44662</v>
      </c>
      <c r="ED6" s="35"/>
      <c r="EE6" s="35">
        <v>44662</v>
      </c>
      <c r="EF6" s="35"/>
      <c r="EG6" s="35"/>
      <c r="EH6" s="31"/>
      <c r="EI6" s="31">
        <v>14</v>
      </c>
      <c r="EJ6" s="35">
        <v>44662</v>
      </c>
      <c r="EK6" s="43">
        <f>IF(AND(BP6="ERROR FUM O INGRESO",EJ6&gt;0),"ERROR FUM O INGRESO",IF(AND(EJ6="",R6="",O6=""),"",IF(OR(AND(EJ6&lt;&gt;"",EJ6&lt;BK6),AND(EJ6&lt;&gt;"",SUM((EJ6-BK6)/7)&gt;40)),"CORREGIR FECHA RESULTADO",IF(AND(EJ6="",OR(O6&gt;0,R6&gt;0)),"TOMAR EXAMEN",IF(EJ6&gt;0,SUM(EJ6-BK6)/7,"")))))</f>
        <v>0.7142857142857143</v>
      </c>
      <c r="EL6" s="39" t="str">
        <f>IF(AND(OR(O6&gt;0,R6&gt;0),EI6=""),"",IF(AND(OR(O6&gt;0,R6&gt;0),EI6&gt;0,EI6&lt;11),"MANEJO MD POR ANEMIA FERROPENICA",IF(AND(OR(O6&gt;0,R6&gt;0),EI6&lt;=14),"NORMAL- SUMINISTRAR SULFATO FERROSO",IF(AND(OR(O6&gt;0,R6&gt;0),EI6&lt;20),"NO DAR SULFATO FERROSO",""))))</f>
        <v>NORMAL- SUMINISTRAR SULFATO FERROSO</v>
      </c>
      <c r="EM6" s="31" t="str">
        <f>IF(AND(EK6="",BP6=""),"",IF(AND(EK6&lt;&gt;"",BP6="SIN DATO"),"SIN DATO",IF(AND(EK6="",BP6&lt;&gt;""),"",IF(AND(EK6&lt;0,BP6&gt;0),"ERROR FUM O INGRESO",IF(EK6&lt;=13,"I TRIM",IF(EK6&lt;28,"II TRIM",IF(AND(EK6&gt;27,EK6&lt;45),"III TRIM","POR DEFINIR")))))))</f>
        <v>I TRIM</v>
      </c>
      <c r="EN6" s="37"/>
      <c r="EO6" s="35"/>
      <c r="EP6" s="44" t="str">
        <f>IF(AND(BP6="ERROR FUM O INGRESO",EO6&gt;0),"ERROR FUM O INGRESO",IF(AND(EO6="",R6="",O6=""),"",IF(OR(AND(EO6&lt;&gt;"",EO6&lt;BK6),AND(EO6&lt;&gt;"",SUM((EO6-BK6)/7)&gt;40)),"CORREGIR FECHA RESULTADO",IF(AND(EO6="",OR(O6&gt;0,R6&gt;0)),"TOMAR EXAMEN",IF(EO6&gt;0,SUM(EO6-BK6)/7,"")))))</f>
        <v>TOMAR EXAMEN</v>
      </c>
      <c r="EQ6" s="39" t="str">
        <f>IF(AND(OR(O6&gt;0,R6&gt;0),EN6=""),"",IF(AND(OR(O6&gt;0,R6&gt;0),EN6&gt;0,EN6&lt;10.5),"MANEJO MD POR ANEMIA FERROPENICA",IF(AND(OR(O6&gt;0,R6&gt;0),EN6&lt;14),"NORMAL- SUMINISTRAR SULFATO FERROSO",IF(AND(OR(O6&gt;0,R6&gt;0),EN6&lt;20),"NO DAR SULFATO FERROSO",""))))</f>
        <v/>
      </c>
      <c r="ER6" s="37" t="s">
        <v>893</v>
      </c>
      <c r="ES6" s="35">
        <v>44662</v>
      </c>
      <c r="ET6" s="44">
        <f>IF(AND(BP6="ERROR FUM O INGRESO",ES6&gt;0),"ERROR FUM O INGRESO",IF(AND(ES6="",R6="",O6=""),"",IF(OR(AND(ES6&lt;&gt;"",ES6&lt;BK6),AND(ES6&lt;&gt;"",SUM((ES6-BK6)/7)&gt;40)),"CORREGIR FECHA RESULTADO",IF(AND(ES6="",OR(O6&gt;0,R6&gt;0)),"TOMAR EXAMEN",IF(ES6&gt;0,SUM(ES6-BK6)/7,"")))))</f>
        <v>0.7142857142857143</v>
      </c>
      <c r="EU6" s="39" t="str">
        <f>IF(ER6="A-","RIESGO DE INCOMPATIBILIDAD RH",IF(ER6="B-","RIESGO DE INCOMPATIBILIDAD RH",IF(ER6="O-","RIESGO DE INCOMPATIBILIDAD RH",IF(ER6="AB-","RIESGO DE INCOMPATIBILIDAD RH",IF(OR(ER6="A+",ER6="A--"),"NO HAY RIESGO POR RH",IF(OR(ER6="B+",ER6="B--"),"NO HAY RIESGO POR RH",IF(OR(ER6="O+",ER6="O--"),"NO HAY RIESGO POR RH",IF(OR(ER6="AB+",ER6="AB--"),"NO HAY RIESGO POR RH",IF(ER6=0,"")))))))))</f>
        <v>NO HAY RIESGO POR RH</v>
      </c>
      <c r="EV6" s="31">
        <v>95</v>
      </c>
      <c r="EW6" s="35">
        <v>44662</v>
      </c>
      <c r="EX6" s="44">
        <f>IF(AND(BP6="ERROR FUM O INGRESO",EW6&gt;0),"ERROR FUM O INGRESO",IF(AND(EW6="",R6="",O6=""),"",IF(OR(AND(EW6&lt;&gt;"",EW6&lt;BK6),AND(EW6&lt;&gt;"",SUM((EW6-BK6)/7)&gt;40)),"CORREGIR FECHA RESULTADO",IF(AND(EW6="",OR(O6&gt;0,R6&gt;0)),"TOMAR EXAMEN",IF(EW6&gt;0,SUM(EW6-BK6)/7,"")))))</f>
        <v>0.7142857142857143</v>
      </c>
      <c r="EY6" s="44"/>
      <c r="EZ6" s="44"/>
      <c r="FA6" s="44"/>
      <c r="FB6" s="31" t="str">
        <f ca="1">IF(AND(OR(EY6&gt;0,EZ6&gt;0,FA6&gt;0),FD6&gt;0,FD6&lt;24,AND(EY6&gt;1,EY6&lt;92),AND(EZ6&gt;1,EZ6&lt;180),AND(FA6&gt;1,FA6&lt;153)),"NORMAL, NO DESCARTA DIABETES POR REALIZARLO ANTES DE  SEMANA 24, ",IF(AND(OR(EY6&gt;0,EZ6&gt;0,FA6&gt;0),FD6&gt;0,FD6&lt;24,OR(EY6&gt;=92,EZ6&gt;=180,FA6&gt;=153)),"DIABETES, REMITIR",IF(AND(BQ6="",FC6="",EY6="",EZ6="",FA6=""),"",IF(AND(BQ6&gt;=19,BQ6&lt;24,FC6="",EY6="",EZ6="",FA6=""),"PROGRAMAR TOMA PTOG SIGUIENTE CONTROL",IF(AND(BQ6&gt;=24,FC6="",EY6="",EZ6="",FA6=""),"TOMAR PTOG",IF(OR(EY6&gt;=92,EZ6&gt;=180,FA6&gt;=153),"DIABETES, REMITIR",IF(AND(AND(EY6&gt;1,EY6&lt;92),AND(EZ6&gt;1,EZ6&lt;180),AND(FA6&gt;1,FA6&lt;153)),"NORMAL",IF(AND(EY6&gt;0,OR(EZ6=0,FA6=0)),"NO COMPLETA EXAMEN",""))))))))</f>
        <v/>
      </c>
      <c r="FC6" s="48"/>
      <c r="FD6" s="44" t="str">
        <f>IF(AND(BP6="ERROR FUM O INGRESO",FC6&gt;0),"ERROR FUM O INGRESO",IF(AND(FC6="",R6="",O6=""),"",IF(OR(AND(FC6&lt;&gt;"",FC6&lt;BK6),AND(FC6&lt;&gt;"",SUM((FC6-BK6)/7)&gt;40)),"CORREGIR FECHA RESULTADO",IF(AND(FC6="",OR(O6&gt;0,R6&gt;0)),"TOMAR EXAMEN",IF(FC6&gt;0,SUM(FC6-BK6)/7,"")))))</f>
        <v>TOMAR EXAMEN</v>
      </c>
      <c r="FE6" s="35" t="s">
        <v>894</v>
      </c>
      <c r="FF6" s="35">
        <v>44662</v>
      </c>
      <c r="FG6" s="44">
        <f ca="1">IF(AND(BP6="ERROR FUM O INGRESO",FF6&gt;0),"ERROR FUM O INGRESO",IF(AND(FF6="",R6="",O6=""),"",IF(OR(AND(FF6&lt;&gt;"",FF6&lt;BK6),AND(FF6&lt;&gt;"",AND(SUM((FF6-BK6)/7)&gt;=13,SUM((FF6-BK6)/7)&lt;27))),"REGISTRAR EN II TRIMESTRE",IF(OR(AND(FF6&lt;&gt;"",FF6&lt;BK6),AND(FF6&lt;&gt;"",AND(SUM((FF6-BK6)/7)&gt;=27,SUM((FF6-BK6)/7)&lt;44))),"REGISTRAR EN III TRIMESTRE",IF(AND(FF6="",OR(O6&gt;0,R6&gt;0),AND(BQ6&gt;1,BQ6&lt;10)),"EN RANGO PARA TOMAR EXAMEN",IF(AND(FF6="",OR(O6&gt;0,R6&gt;0),AND(BQ6&gt;=10,BQ6&lt;13)),"TOMA INMEDIATA DE TAMIZAJE",IF(AND(FF6="",BO6&lt;13,OR(O6&gt;0,R6&gt;0)),"PIERDE TOMA DE TAMIZAJE",IF(AND(FF6="",OR(O6&gt;0,R6&gt;0),AND(BO6&gt;=13,BO6&lt;43)),"NO APLICA-INGRESO TARDIO",IF(FF6&gt;0,SUM(FF6-BK6)/7,"")))))))))</f>
        <v>0.7142857142857143</v>
      </c>
      <c r="FH6" s="35"/>
      <c r="FI6" s="49"/>
      <c r="FJ6" s="44" t="str">
        <f ca="1">IF(AND(BP6="ERROR FUM O INGRESO",FI6&gt;0),"ERROR FUM O INGRESO",IF(AND(FI6="",R6="",O6=""),"",IF(AND(FI6&lt;&gt;"",FI6&lt;BK6), "INCOHERENCIA FUM Y FECHA TAMIZAJE",IF(AND(FI6="",DR6="ACTIVA INGRESO A CPN",AND(BQ6&gt;0,BQ6&lt;13)),"EN ESPERA-ESTÁ I TRIM", IF(AND(FI6="",AND(BO6&gt;0, BO6&lt;13),OR(O6&gt;0,R6&gt;0),AND(IY6&gt;0,IY6&lt;13)),"NO APLICA-SALIO DEL PROGRAMA I TRIM",IF(AND(FI6&lt;&gt;"",AND(SUM((FI6-BK6)/7)&gt;0,SUM((FI6-BK6)/7)&lt;13)),"REGISTRAR EN I TRIMESTRE",IF(AND(FI6&lt;&gt;"",AND(SUM((FI6-BK6)/7)&gt;=27,SUM((FI6-BK6)/7)&lt;44)),"REGISTRAR EN III TRIMESTRE",IF(AND(FI6="",OR(O6&gt;0,R6&gt;0),AND(BQ6&gt;=13,BQ6&lt;24),DR6="ACTIVA INGRESO A CPN"),"EN RANGO PARA TOMAR EXAMEN",IF(AND(FI6="",OR(O6&gt;0,R6&gt;0),AND(BQ6&gt;=25,BQ6&lt;27),DR6="ACTIVA INGRESO A CPN"),"TOMA INMEDIATA DE TAMIZAJE",IF(AND(FI6="",OR(O6&gt;0,R6&gt;0),AND(BO6&gt;=27,BO6&lt;44)),"NO APLICA-INGRESO TARDIO",IF(AND(FI6="",BO6&lt;27),"PIERDE TOMA DE TAMIZAJE",IF(FI6&gt;0,SUM(FI6-BK6)/7,""))))))))))))</f>
        <v>PIERDE TOMA DE TAMIZAJE</v>
      </c>
      <c r="FK6" s="35"/>
      <c r="FL6" s="49"/>
      <c r="FM6" s="44" t="str">
        <f ca="1">IF(AND(BP6="ERROR FUM O INGRESO",FL6&gt;0),"ERROR FUM O INGRESO",IF(AND(FL6="",R6="",O6=""),"",IF(AND(FL6&lt;&gt;"",FL6&lt;BK6), "INCOHERENCIA FUM Y FECHA TAMIZAJE",IF(AND(FL6="",DR6="ACTIVA INGRESO A CPN",AND(BQ6&gt;0,BQ6&lt;27)),"EN ESPERA-ESTÁ I TRIM O II TRIM", IF(AND(FL6="",AND(BO6&gt;0, BO6&lt;27),OR(O6&gt;0,R6&gt;0),AND(IY6&gt;0,IY6&lt;27)),"NO APLICA-SALIO DEL PROGRAMA I O II TRIM",IF(AND(FL6&lt;&gt;"",AND(SUM((FL6-BK6)/7)&gt;0,SUM((FL6-BK6)/7)&lt;13)),"REGISTAR EN I TRIMESTRE",IF(AND(FL6&lt;&gt;"",AND(SUM((FL6-BK6)/7)&gt;=13,SUM((FL6-BK6)/7)&lt;27)),"REGISTRAR EN II TRIMESTRE",IF(AND(FL6="",OR(O6&gt;0,R6&gt;0),AND(BQ6&gt;=28,BQ6&lt;35),DR6="ACTIVA INGRESO A CPN"),"EN RANGO PARA TOMAR EXAMEN",IF(AND(FL6="",OR(O6&gt;0,R6&gt;0),BQ6&gt;=35, DR6="ACTIVA INGRESO A CPN"),"TOMA INMEDIATA DE TAMIZAJE",IF(AND(FL6="",DR6= "SALE SIN INGRESO CPN"),"NO APLICA-SIN CPN",IF(AND(FL6="",BO6&lt;44),"PIERDE TOMA DE TAMIZAJE",IF(FL6&gt;0,SUM(FL6-BK6)/7,""))))))))))))</f>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IF(AND(BP6="ERROR FUM O INGRESO",FR6&gt;0),"ERROR FUM O INGRESO",IF(AND(FR6="",R6="",O6=""),"",IF(OR(AND(FR6&lt;&gt;"",FR6&lt;BK6),AND(FR6&lt;&gt;"",SUM((FR6-BK6)/7)&gt;40)),"CORREGIR FECHA RESULTADO",IF(AND(FR6="",OR(O6&gt;0,R6&gt;0)),"TOMAR EXAMEN",IF(FR6&gt;0,SUM(FR6-BK6)/7,"")))))</f>
        <v>0.7142857142857143</v>
      </c>
      <c r="FT6" s="43" t="s">
        <v>895</v>
      </c>
      <c r="FU6" s="35">
        <v>44662</v>
      </c>
      <c r="FV6" s="44">
        <f>IF(AND(BP6="ERROR FUM O INGRESO",FU6&gt;0),"ERROR FUM O INGRESO",IF(AND(FU6="",R6="",O6=""),"",IF(OR(AND(FU6&lt;&gt;"",FU6&lt;BK6),AND(FU6&lt;&gt;"",SUM((FU6-BK6)/7)&gt;40)),"CORREGIR FECHA RESULTADO",IF(AND(FU6="",OR(O6&gt;0,R6&gt;0)),"TOMAR EXAMEN",IF(FU6&gt;0,SUM(FU6-BK6)/7,"")))))</f>
        <v>0.7142857142857143</v>
      </c>
      <c r="FW6" s="35">
        <v>44662</v>
      </c>
      <c r="FX6" s="35">
        <v>44662</v>
      </c>
      <c r="FY6" s="35" t="s">
        <v>896</v>
      </c>
      <c r="FZ6" s="35">
        <v>44662</v>
      </c>
      <c r="GA6" s="44">
        <f ca="1">IF(AND(BP6="ERROR FUM O INGRESO",FZ6&gt;0),"ERROR FUM O INGRESO",IF(AND(FZ6="",R6="",O6=""),"",IF(OR(AND(FZ6&lt;&gt;"",FZ6&lt;BK6),AND(FZ6&lt;&gt;"",AND(SUM((FZ6-BK6)/7)&gt;=13,SUM((FZ6-BK6)/7)&lt;27))),"REGISTRAR EN II TRIMESTRE",IF(OR(AND(FZ6&lt;&gt;"",FZ6&lt;BK6),AND(FZ6&lt;&gt;"",AND(SUM((FZ6-BK6)/7)&gt;=27,SUM((FZ6-BK6)/7)&lt;44))),"REGISTRAR EN III TRIMESTRE",IF(AND(FZ6="",OR(O6&gt;0,R6&gt;0),AND(BQ6&gt;1,BQ6&lt;10)),"EN RANGO PARA TOMAR EXAMEN",IF(AND(FZ6="",OR(O6&gt;0,R6&gt;0),AND(BQ6&gt;=10,BQ6&lt;12)),"TOMA INMEDIATA DE TAMIZAJE",IF(AND(FZ6="",BO6&lt;12,OR(O6&gt;0,R6&gt;0)),"PIERDE TOMA DE TAMIZAJE",IF(AND(FZ6="",OR(O6&gt;0,R6&gt;0),AND(BO6&gt;=13,BO6&lt;44)),"NO APLICA-INGRESO TARDIO",IF(FZ6&gt;0,SUM(FZ6-BK6)/7,"")))))))))</f>
        <v>0.7142857142857143</v>
      </c>
      <c r="GB6" s="35"/>
      <c r="GC6" s="35"/>
      <c r="GD6" s="44" t="str">
        <f ca="1">IF(AND(BP6="ERROR FUM O INGRESO",GC6&gt;0),"ERROR FUM O INGRESO",IF(AND(GC6="",R6="",O6=""),"",IF(AND(GC6&lt;&gt;"",GC6&lt;BK6), "INCOHERENCIA FUM Y FECHA TAMIZAJE",IF(AND(GC6="",DR6="ACTIVA INGRESO A CPN",AND(BQ6&gt;0,BQ6&lt;13)),"EN ESPERA-ESTÁ I TRIM", IF(AND(GC6="",AND(BO6&gt;0, BO6&lt;12),OR(O6&gt;0,R6&gt;0),AND(IY6&gt;0,IY6&lt;13)),"NO APLICA-SALIO DEL PROGRAMA I TRIM",IF(AND(GC6&lt;&gt;"",AND(SUM((GC6-BK6)/7)&gt;0,SUM((GC6-BK6)/7)&lt;13)),"REGISTRAR EN I TRIMESTRE",IF(AND(GC6&lt;&gt;"",AND(SUM((GC6-BK6)/7)&gt;=27,SUM((GC6-BK6)/7)&lt;44)),"REGISTRAR EN III TRIMESTRE",IF(AND(GC6="",OR(O6&gt;0,R6&gt;0),AND(BQ6&gt;=12,BQ6&lt;25),DR6="ACTIVA INGRESO A CPN"),"EN RANGO PARA TOMAR EXAMEN",IF(AND(GC6="",OR(O6&gt;0,R6&gt;0),AND(BQ6&gt;=25,BQ6&lt;27),DR6="ACTIVA INGRESO A CPN"),"TOMA INMEDIATA DE TAMIZAJE",IF(AND(GC6="",OR(O6&gt;0,R6&gt;0),AND(BO6&gt;=27,BO6&lt;43)),"NO APLICA-INGRESO TARDIO",IF(AND(GC6="",BO6&lt;27),"PIERDE TOMA DE TAMIZAJE",IF(GC6&gt;0,SUM(GC6-BK6)/7,""))))))))))))</f>
        <v>PIERDE TOMA DE TAMIZAJE</v>
      </c>
      <c r="GE6" s="35"/>
      <c r="GF6" s="35"/>
      <c r="GG6" s="44" t="str">
        <f ca="1">IF(AND(BP6="ERROR FUM O INGRESO",GF6&gt;0),"ERROR FUM O INGRESO",IF(AND(GF6="",R6="",O6=""),"",IF(AND(GF6&lt;&gt;"",GF6&lt;BK6), "INCOHERENCIA FUM Y FECHA TAMIZAJE",IF(AND(GF6="",DR6="ACTIVA INGRESO A CPN",AND(BQ6&gt;0,BQ6&lt;27)),"EN ESPERA-ESTÁ I TRIM O II TRIM", IF(AND(GF6="",AND(BO6&gt;0, BO6&lt;28),OR(O6&gt;0,R6&gt;0),AND(IY6&gt;0,IY6&lt;28)),"NO APLICA-SALIO DEL PROGRAMA I O II TRIM",IF(AND(GF6&lt;&gt;"",AND(SUM((GF6-BK6)/7)&gt;0,SUM((GF6-BK6)/7)&lt;13)),"REGISTAR EN I TRIMESTRE",IF(AND(GF6&lt;&gt;"",AND(SUM((GF6-BK6)/7)&gt;=13,SUM((GF6-BK6)/7)&lt;27)),"REGISTRAR EN II TRIMESTRE",IF(AND(GF6="",OR(O6&gt;0,R6&gt;0),AND(BQ6&gt;=28,BQ6&lt;35),DR6="ACTIVA INGRESO A CPN"),"EN RANGO PARA TOMAR EXAMEN",IF(AND(GF6="",OR(O6&gt;0,R6&gt;0),BQ6&gt;=35, DR6="ACTIVA INGRESO A CPN"),"TOMA INMEDIATA DE TAMIZAJE",IF(AND(GF6="",DR6= "SALE SIN INGRESO CPN"),"NO APLICA-SIN CPN",IF(AND(GF6="",BO6&lt;44),"PIERDE TOMA DE TAMIZAJE",IF(GF6&gt;0,SUM(GF6-BK6)/7,""))))))))))))</f>
        <v>PIERDE TOMA DE TAMIZAJE</v>
      </c>
      <c r="GH6" s="35"/>
      <c r="GI6" s="44"/>
      <c r="GJ6" s="35" t="s">
        <v>883</v>
      </c>
      <c r="GK6" s="35"/>
      <c r="GL6" s="35" t="s">
        <v>883</v>
      </c>
      <c r="GM6" s="35"/>
      <c r="GN6" s="43" t="s">
        <v>895</v>
      </c>
      <c r="GO6" s="35">
        <v>44662</v>
      </c>
      <c r="GP6" s="44">
        <f>IF(AND(BP6="ERROR FUM O INGRESO",GO6&gt;0),"ERROR FUM O INGRESO",IF(AND(GO6="",R6="",O6=""),"",IF(OR(AND(GO6&lt;&gt;"",GO6&lt;BK6),AND(GO6&lt;&gt;"",SUM((GO6-BK6)/7)&gt;40)),"CORREGIR FECHA RESULTADO",IF(AND(GO6="",OR(O6&gt;0,R6&gt;0)),"TOMAR EXAMEN",IF(GO6&gt;0,SUM(GO6-BK6)/7,"")))))</f>
        <v>0.7142857142857143</v>
      </c>
      <c r="GQ6" s="43" t="s">
        <v>895</v>
      </c>
      <c r="GR6" s="43" t="s">
        <v>895</v>
      </c>
      <c r="GS6" s="35" t="str">
        <f>IF(GQ6="NEGATIVO","CONTROL Igm",IF(AND(GQ6="POSITIVO",GR6="NEGATIVO"),"SE EXCLUYE INFECCION",IF(AND(GQ6="POSITIVO",GR6="POSITIVO"),"TOXOPLASMOSIS, REMITIR PARA MANEJO","")))</f>
        <v>CONTROL Igm</v>
      </c>
      <c r="GT6" s="35">
        <v>44662</v>
      </c>
      <c r="GU6" s="44">
        <f>IF(AND(BP6="ERROR FUM O INGRESO",GT6&gt;0),"ERROR FUM O INGRESO",IF(AND(GT6="",R6="",O6=""),"",IF(OR(AND(GT6&lt;&gt;"",GT6&lt;BK6),AND(GT6&lt;&gt;"",SUM((GT6-BK6)/7)&gt;40)),"CORREGIR FECHA RESULTADO",IF(AND(GT6="",OR(O6&gt;0,R6&gt;0)),"TOMAR EXAMEN",IF(GT6&gt;0,SUM(GT6-BK6)/7,"")))))</f>
        <v>0.7142857142857143</v>
      </c>
      <c r="GV6" s="31" t="str">
        <f>IF(AND(GU6="",BP6=""),"",IF(AND(GU6&lt;&gt;"",BP6="SIN DATO"),"SIN DATO",IF(AND(GU6="",BP6&lt;&gt;""),"",IF(AND(GU6&lt;0,BP6&gt;0),"ERROR FUM O INGRESO",IF(GU6&lt;=13,"I TRIM",IF(GU6&lt;28,"II TRIM",IF(AND(GU6&gt;27,GU6&lt;45),"III TRIM","POR DEFINIR")))))))</f>
        <v>I TRIM</v>
      </c>
      <c r="GW6" s="43"/>
      <c r="GX6" s="46"/>
      <c r="GY6" s="31"/>
      <c r="GZ6" s="35"/>
      <c r="HA6" s="43" t="str">
        <f>IF(GZ6&gt;0,SUM(GZ6-BK6)/7,"")</f>
        <v/>
      </c>
      <c r="HB6" s="31" t="str">
        <f>IF(HA6&lt;0,"ANTES DEL EMBARAZO",IF(AND(HA6&gt;0,HA6&lt;13),"I TRIM",IF(AND(HA6&gt;12,HA6&lt;28),"II TRIM",IF(AND(HA6&gt;27,HA6&lt;41),"III TRIM",""))))</f>
        <v/>
      </c>
      <c r="HC6" s="31" t="str">
        <f>IF(GY6="","",IF(GY6="CARCINOMA ESCAMOCELULAR","CITAR PARA COLPOSCOPIA Y PATOLOGIA",IF(GY6="ASCUS","CITAR PARA COLPOSCOPIA",IF(GY6="ACSI","CITAR PARA COLPOSCOPIA",IF(GY6="INFECCION VPH","CITAR PARA COLPOSCOPIA",IF(GY6="NIC I","CITAR PARA COLPOSCOPIA",IF(GY6="NIC I VPH","CITAR PARA COLPOSCOPIA",IF(GY6="NIC II","CITAR PARA COLPOSCOPIA",IF(GY6="NIC III","CITAR PARA COLPOSCOPIA",IF(GY6="CAMBIOS INFLAMATORIOS","CONSULTA CON MÉDICO GENERAL",IF(GY6="INFECCION","CONSULTA CON MÉDICO GENERAL",IF(GY6="NEGATIVA PARA NEOPLASIA","CITA PARA CITOLOGIA SEGÚN ESQUEMA1-1-3",IF(GY6="MUESTRA INADECUADA","REPETIR CITOLOGIA",IF(GY6=0,"SD"))))))))))))))</f>
        <v/>
      </c>
      <c r="HD6" s="31" t="s">
        <v>897</v>
      </c>
      <c r="HE6" s="31"/>
      <c r="HF6" s="31" t="s">
        <v>898</v>
      </c>
      <c r="HG6" s="31"/>
      <c r="HH6" s="31" t="s">
        <v>899</v>
      </c>
      <c r="HI6" s="31">
        <v>0</v>
      </c>
      <c r="HJ6" s="35" t="s">
        <v>900</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IF(OR(O6&gt;0,R6&gt;0),CONCATENATE(IF(AY6="SI","ANTECEDENTE EMBARAZO MOLAR",""),"*",CONCATENATE(IF(AZ6="SI","ANTECEDENTE MUERTE NEONATAL",""),"*",CONCATENATE(IF(AND(BM6&gt;0,BM6&lt;13),"PERIODO INTERGENESICO CORTO",""),"*",CONCATENATE(IF(AND(BO6&gt;13,BO6&lt;42),"INGRESO TARDIO A CPN",""),"*",CONCATENATE(IF(CO6="BAJO PESO","BAJO PESO",""),"*",CONCATENATE(IF(CO6="SOBREPESO","SOBREPESO",""),"*",CONCATENATE(IF(CO6="OBESIDAD","OBESIDAD",""),"*",CONCATENATE(IF(GN6="POSITIVO","SEGUIMIENTO INFECCIÓN HEP B",""),"*",CONCATENATE(IF(GS6="TOXOPLASMOSIS, REMITIR PARA MANEJO","INFECCIÓN TOXOPLASMOSIS",""),"*",CONCATENATE(IF(GS6="CONTROL Igm","PREVENCIÓN CONTAGIO TOXOPLASMOSIS",""),"*",CONCATENATE(IF(OR(HJ6="COVID19 PRIMER TRIMESTRE",HJ6="COVID19 SEGUNDO TRIMESTRE",HJ6="COVID19 TERCER TRIMESTRE",HJ6="COVID19 PUERPERIO"),"INFECCIÓN SARS-CoV2 CONFIRMADA",""),"*",CONCATENATE(IF(OR(HC6="CITAR PARA COLPOSCOPIA",HC6="CITAR PARA COLPOSCOPIA Y PATOLOGIA"),"DESCARTAR CANCER DE UTERO",""),"*",)))))))))))),"")</f>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RIESGO",IF(AND(HL6="************",OR(O6&lt;&gt;"",R6&lt;&gt;""),AND(NM6&gt;=0,NM6&lt;3)),"BAJO RIESGO",IF(AND(OR(O6&lt;&gt;"",R6&lt;&gt;""),OR(HJ6="COVID19 PRIMER TRIMESTRE",HJ6="COVID19 SEGUNDO TRIMESTRE",HJ6="COVID19 TERCER TRIMESTRE",HJ6="COVID19 PUERPERIO")),"ALTO RIESGO",IF(AND(HL6&lt;&gt;"",OR(O6&lt;&gt;"",R6&lt;&gt;""),AND(NM6&gt;=0,NM6&lt;3)),"CON RIESGO",IF(AND(OR(O6&lt;&gt;"",R6&lt;&gt;""),NM6&gt;2),"ALTO RIESGO",""))))))</f>
        <v>#VALUE!</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GEMELAR",""),"*",CONCATENATE(IF(NJ6=3,"PRESENTACIÓN FETAL PODALICA O TRANSVERSA",""),"*",CONCATENATE(IF(BY6="SI","POLIHIDRAMNIOS",""),"*",CONCATENATE(IF(FB6="DIABETES, REMITIR","DIABETES GESTACIONAL",""),"*",CONCATENATE(IF(FP6&lt;&gt;"","SEGUIMIENTO PARA SIFILIS GESTACIONAL",""),"*",CONCATENATE(IF(NI6=3,"SEGUIMIENTO PARA VIH",""),"*",CONCATENATE(IF(NG6=1,"SEGUIMIENTO PARA ANEMIA",""),"*",CONCATENATE(IF(ND6=2,"MULTIPARIDAD",""),"*",CONCATENATE(IF(ND6=1,"MULTIPARIDAD",""),"*",CONCATENATE(IF(NC6=1,"ANTECEDENTE MUERTE PERINATAL",""),"*",CONCATENATE(IF(OR(NA6=2,NA6=1),"RIESGO POR EDAD",""),"*",CONCATENATE(IF(OR(NE6=1,NE6=2),"CESAREAS PREVIAS",""),"*",CONCATENATE(IF(NF6=1,"ANTECEDENTE ECTOPICO O CX UTERINA",""),"*",CONCATENATE(IF(NH6=1,"EMBARAZO PROLONGADO",""),"*",CONCATENATE(IF(NK6=2,"SEGUIMIENTO PARA CHAGAS",""),"*",CONCATENATE(IF(NL6=3,"SEGUIMIENTO PARA MALARIA",""),"*",CONCATENATE(IF(OR(HJ6="COVID19 PRIMER TRIMESTRE",HJ6="COVID19 SEGUNDO TRIMESTRE", HJ6="COVID19 TERCER TRIMESTRE",HJ6="COVID19 PUERPERIO"),"SEGUIMIENTO PARA COVID19",""),"*",CONCATENATE(IF(EU6="RIESGO DE INCOMPATIBILIDAD RH","SEGUIMIENTO PARA INCOMPATIBILIDAD RH",""),"*")))))))))))))))))))))))))))))))),"")</f>
        <v>#VALUE!</v>
      </c>
      <c r="HO6" s="31" t="e">
        <f>IF(AND(O6="",R6=""),"",IF(AND(OR(O6&gt;0,R6&gt;0),OR(AL6="SI",BD6="SI",BA6="SI",BB6="SI",BE6="SI")),"RIESGO ALTO DE COMPLICACIONES HIPERTENSIVAS VER MANEJO GUIA SUMINISTRO ASA Y CALCIO",IF(AND(OR(O6&gt;0,R6&gt;0),NN6&gt;1),"RIESGO MODERADO (2 O MAS CRITERIOS) VER MANEJO GUIA SUMINISTRO ASA Y CALCIO","SIN ANTECEDENTES DE RIESGO")))</f>
        <v>#VALUE!</v>
      </c>
      <c r="HP6" s="37" t="str">
        <f>IF(AND(O6="",R6=""),"",IF(AND(OR(O6&gt;0,R6&gt;0),CR6&lt;&gt;"",CU6&lt;&gt;"",CZ6&lt;&gt;""),CZ6,IF(AND(OR(O6&gt;0,R6&gt;0),CR6&lt;&gt;"",CU6&lt;&gt;"",CZ6=""),CU6,IF(AND(OR(O6&gt;0,R6&gt;0),CR6&lt;&gt;"",CU6="",CZ6=""),CR6,IF(AND(OR(O6&gt;0,R6&gt;0),CR6="",CU6="",CZ6&lt;&gt;""),CZ6,IF(AND(OR(O6&gt;0,R6&gt;0),CR6="",CU6&lt;&gt;"",CZ6&lt;&gt;""),CZ6,IF(AND(OR(O6&gt;0,R6&gt;0),CR6&lt;&gt;"",CU6="",CZ6&lt;&gt;""),CZ6,IF(AND(OR(O6&gt;0,R6&gt;0),CR6="",CU6&lt;&gt;"",CZ6=""),CU6,""))))))))</f>
        <v>APARENTEMENTE NORMAL</v>
      </c>
      <c r="HQ6" s="31" t="e">
        <f ca="1">IF(NR6="SD","",IF(AND(NR6&lt;=33,NR6&gt;=8),"MES DE CONTROL",IF(AND(NR6&gt;=1,NR6&lt;8),"SEMANA DE CONTROL",IF(NR6=0,"DIA DE CONTROL",IF(NR6&lt;0,"INASISTENTE",IF(NR6="Y","SEGUIMIENTO FUERA MUNICIPIO",IF(NR6="Z","BUSCAR PARA INGRESO A CPN",IF(NR6="W","DEFINIR FECHA CITA",IF(NR6="X","NO REALIZO CPN",IF(NR6="S","DILIGENCIAR FECHA SALIDA PROGRAMA","REVISAR FORMULA"))))))))))</f>
        <v>#VALUE!</v>
      </c>
      <c r="HR6" s="46" t="str">
        <f>IF(AND(R6&lt;&gt;"",IT6="CAMBIO DE RESIDENCIA"),"SEGUIMIENTO REPORTE EPS",IF(AND(R6&lt;&gt;"",OR(IT6&lt;&gt;"",IW6&lt;&gt;"")),"SALIO PROGRAMA",IF(AND(AND(R6="",O6&gt;0),OR(IT6&lt;&gt;"",IW6&lt;&gt;"")),"SALE SIN INGRESO CPN",IF(AND(R6="",O6&gt;0,IT6="",IW6=""),"ACTIVA SIN INGRESO CPN",IF(AND(R6&lt;&gt;"",OR(IT6="",IW6="")),"ACTIVA INGRESO A CPN","")))))</f>
        <v>SEGUIMIENTO REPORTE EPS</v>
      </c>
      <c r="HS6" s="31" t="s">
        <v>875</v>
      </c>
      <c r="HT6" s="31" t="s">
        <v>883</v>
      </c>
      <c r="HU6" s="35"/>
      <c r="HV6" s="35"/>
      <c r="HW6" s="35">
        <v>44662</v>
      </c>
      <c r="HX6" s="35" t="s">
        <v>901</v>
      </c>
      <c r="HY6" s="35">
        <v>44662</v>
      </c>
      <c r="HZ6" s="35" t="s">
        <v>901</v>
      </c>
      <c r="IA6" s="40" t="s">
        <v>887</v>
      </c>
      <c r="IB6" s="35">
        <v>44662</v>
      </c>
      <c r="IC6" s="43">
        <f>IF(AND(BP6="ERROR FUM O INGRESO",IB6&gt;0),"ERROR FUM O INGRESO",IF(AND(IB6="",R6=""),"",IF(OR(AND(IB6&lt;&gt;"",IB6&lt;BK6),AND(IB6&lt;&gt;"",SUM((IB6-BK6)/7)&gt;40)),"CORREGIR FECHA CONSULTA",IF(AND(IB6="",R6&gt;0),"PENDIENTE CONSULTA",IF(IB6&gt;0,SUM(IB6-BK6)/7,"")))))</f>
        <v>0.7142857142857143</v>
      </c>
      <c r="ID6" s="40" t="s">
        <v>875</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ca="1">IF(AND(BK6="",NO6="SD"),"SIN DATO EDAD GESTACIONAL",IF(AND(BK6="",IM6=""),"",IF(AND(AND(BQ6&gt;0,BQ6&lt;20),IM6=""),"EN ESPERA PARA VACUNAR",IF(AND(AND(BQ6&gt;19,BQ6&lt;27),IM6=""),"PROGRAMAR APLICACION DE VACUNA",IF(AND(AND(BQ6&gt;26,BQ6&lt;43),IM6=""),"INASISTENTE",IF(AND(AND(NO6&gt;19,NO6&lt;27),IM6&gt;0),"VACUNA APLICADA ENTRE SEMANA 20 Y SEMANA 26",IF(AND(NO6&lt;20,IM6&gt;0),"VACUNA APLICADA ANTES SEMANA 20",IF(AND(NO6&gt;26,IM6&gt;0),"VACUNA APLICADA ENTRE SEMANA 27 Y EL PARTO",IF(AND(OR(IT6="CESAREA",IT6="PARTO"),IR6="POSIBLEMENTE NACIO",IM6=""),"SALE SIN VACUNA","")))))))))</f>
        <v/>
      </c>
      <c r="IO6" s="35"/>
      <c r="IP6" s="35">
        <f>IF(OR(BL6="SI",BL6="Corregida",BL6="NO"),(BK6+280),IF(BL6="Sin Dato","DEFINIR FPP POR ECO",""))</f>
        <v>44937</v>
      </c>
      <c r="IQ6" s="44">
        <f ca="1">IF(OR(IP6="DEFINIR FPP POR ECO",BP6="ERROR FUM O INGRESO"),"SIN DEFINIR",IF(IP6="","",IF(IP6&gt;0,SUM(IP6-TODAY()),"X")))</f>
        <v>-288</v>
      </c>
      <c r="IR6" s="35" t="str">
        <f ca="1">IF(IQ6&lt;0,"POSIBLEMENTE NACIO",IF(IQ6="SIN DEFINIR","SIN DATO",IF(AND(IQ6&gt;=0,IQ6&lt;=7),"SEMANA DE PARTO",IF(AND(IQ6&gt;=8,IQ6&lt;=28),"MENOS DE 4 SEMANAS",IF(AND(IQ6&gt;=29,IQ6&lt;=280),"PENDIENTE","")))))</f>
        <v>POSIBLEMENTE NACIO</v>
      </c>
      <c r="IS6" s="35"/>
      <c r="IT6" s="31" t="s">
        <v>903</v>
      </c>
      <c r="IU6" s="31"/>
      <c r="IV6" s="51"/>
      <c r="IW6" s="35"/>
      <c r="IX6" s="31"/>
      <c r="IY6" s="44" t="str">
        <f>IF(AND(IW6&gt;0,IT6&lt;&gt;""),SUM(IW6-BK6)/7,"")</f>
        <v/>
      </c>
      <c r="IZ6" s="52"/>
      <c r="JA6" s="31"/>
      <c r="JB6" s="31"/>
      <c r="JC6" s="31"/>
      <c r="JD6" s="31"/>
      <c r="JE6" s="31"/>
      <c r="JF6" s="31"/>
      <c r="JG6" s="31"/>
      <c r="JH6" s="31"/>
      <c r="JI6" s="31"/>
      <c r="JJ6" s="31"/>
      <c r="JK6" s="46"/>
      <c r="JL6" s="31"/>
      <c r="JM6" s="53"/>
      <c r="JN6" s="31" t="str">
        <f>IF(AND(JM6&gt;700,JM6&lt;2500,IY6&gt;36),"BAJO PESO AL NACER",IF(AND(JM6&gt;500,JM6&lt;2500,IY6&lt;37),"PREMATURO",IF(AND(JM6&gt;2499,JM6&lt;4000,IY6&gt;36),"PESO ADECUADO EDAD GESTACIONAL",IF(AND(JM6&gt;3999,JM6&lt;6000,IY6&gt;36),"PESO GRANDE EDAD GESTACIONAL",""))))</f>
        <v/>
      </c>
      <c r="JO6" s="46"/>
      <c r="JP6" s="31"/>
      <c r="JQ6" s="31"/>
      <c r="JR6" s="31"/>
      <c r="JS6" s="46"/>
      <c r="JT6" s="35"/>
      <c r="JU6" s="35"/>
      <c r="JV6" s="31"/>
      <c r="JW6" s="53"/>
      <c r="JX6" s="31" t="str">
        <f>IF(AND(JW6&gt;700,JW6&lt;2500,IY6&gt;36,IY6&lt;43),"BAJO PESO AL NACER",IF(AND(JW6&gt;700,JW6&lt;2500,IY6&lt;37),"PREMATURO",IF(AND(JW6&gt;2499,JW6&lt;4000,IY6&gt;36,IY6&lt;43),"PESO ADECUADO EDAD GESTACIONAL",IF(AND(JW6&gt;3999,JW6&lt;6000,IY6&gt;36,IY6&lt;43),"PESO GRANDE EDAD GESTACIONAL",""))))</f>
        <v/>
      </c>
      <c r="JY6" s="35"/>
      <c r="JZ6" s="31"/>
      <c r="KA6" s="31"/>
      <c r="KB6" s="31"/>
      <c r="KC6" s="46"/>
      <c r="KD6" s="35"/>
      <c r="KE6" s="35"/>
      <c r="KF6" s="50"/>
      <c r="KG6" s="43" t="str">
        <f>IF(AND(KF6&lt;&gt;"",KF6&lt;IW6),"INCONSISTENCIA FECHA CONTROL",IF(AND(OR(IT6="Parto",IT6="Cesarea"),KF6&gt;0,IW6&gt;0),SUM(KF6-IW6),IF(AND(OR(IT6="Parto",IT6="Cesarea"),KF6="",IW6&gt;0),"INASISTENTE","")))</f>
        <v/>
      </c>
      <c r="KH6" s="50"/>
      <c r="KI6" s="43" t="str">
        <f>IF(AND(KH6&lt;&gt;"",KH6&lt;IW6),"INCONSISTENCIA FECHA CONTROL",IF(AND(OR(IT6="Parto",IT6="Cesarea",IT6="Aborto Espontaneo",IT6="Aborto Inducido",IT6="IVE"),KH6&gt;0,IW6&gt;0),SUM(KH6-IW6),IF(AND(KH6&lt;&gt;"",KH6&lt;IW6),"INCONSISTENCIA FECHA CONTROL",IF(AND(OR(IT6="Parto",IT6="Cesarea",IT6="Aborto Espontaneo",IT6="Aborto Inducido",IT6="IVE"),KH6="",IW6&gt;0),"INASISTENTE",""))))</f>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SUM(COUNTIF(LD6,"PARTERO (A)"),COUNTIF(LH6,"PARTERO (A)"),COUNTIF(LL6,"PARTERO (A)"),COUNTIF(LP6,"PARTERO (A)"),COUNTIF(LT6,"PARTERO (A)"),COUNTIF(LX6,"PARTERO (A)"),COUNTIF(MN6,"PARTERO (A)"))</f>
        <v>0</v>
      </c>
      <c r="MR6" t="str">
        <f>IF(AND(R6="",O6=""),"",IF(AND(OR(O6&gt;0,R6&gt;0),LC6&gt;0),SUM(LC6-BK6)/7,""))</f>
        <v/>
      </c>
      <c r="MS6" t="str">
        <f>IF(AND(MR6="",BP6=""),"",IF(AND(MR6&lt;&gt;"",BP6="SIN DATO"),"SIN DATO",IF(AND(MR6="",BP6&lt;&gt;""),"",IF(AND(MR6&lt;0,BP6&gt;0),"ERROR FUM O INGRESO",IF(MR6&lt;=13,"I TRIM",IF(MR6&lt;28,"II TRIM",IF(AND(MR6&gt;27,MR6&lt;45),"III TRIM","POR DEFINIR")))))))</f>
        <v/>
      </c>
      <c r="MT6">
        <f>SUM(COUNTIF(LD6,"MEDICO (A) TRADICIONAL"),COUNTIF(LH6,"MEDICO (A) TRADICIONAL"),COUNTIF(LL6,"MEDICO (A) TRADICIONAL"),COUNTIF(LP6,"MEDICO (A) TRADICIONAL"),COUNTIF(LT6,"MEDICO (A) TRADICIONAL"),COUNTIF(LX6,"MEDICO (A) TRADICIONAL"),COUNTIF(MN6,"MEDICO (A) TRADICIONAL"))</f>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IF(AND(O6&gt;0,BK6&gt;0),SUM(O6-BK6)/7,"")</f>
        <v>0.7142857142857143</v>
      </c>
      <c r="MW6">
        <f>IF(R6&gt;0,MONTH(R6),"")</f>
        <v>4</v>
      </c>
      <c r="MX6">
        <f>IF(R6&gt;0,YEAR(R6),"")</f>
        <v>2022</v>
      </c>
      <c r="MY6" t="str">
        <f>IF(AND(MW6&gt;=1,MW6&lt;=3),"I TRIMESTRE AÑO",IF(AND(MW6&gt;=4,MW6&lt;=6),"II TRIMESTRE AÑO",IF(AND(MW6&gt;=7,MW6&lt;=9),"III TRIMESTRE AÑO",IF(AND(MW6&gt;=10,MW6&lt;=12),"IV TRIMESTRE AÑO",""))))</f>
        <v>II TRIMESTRE AÑO</v>
      </c>
      <c r="MZ6">
        <f>IF(AND(M6&gt;0,R6&gt;0),DAYS360(M6,R6)/30.44/12,IF(AND(M6&gt;0,O6&gt;0,R6=""),DAYS360(M6,O6)/30.44/12,""))</f>
        <v>20.009307928164695</v>
      </c>
      <c r="NA6">
        <f>IF(AND(MZ6&gt;7,MZ6&lt;14),2,IF(MZ6&lt;16,1,IF(MZ6&lt;=35,0,IF(AND(MZ6&gt;35,MZ6&lt;50),2,""))))</f>
        <v>0</v>
      </c>
      <c r="NB6" t="str">
        <f>+IF(MZ6="","",IF(MZ6&lt;14,"MENOR 14 AÑOS",IF(MZ6&lt;20,"DE 14 A 19AÑOS",IF(MZ6&lt;25," DE 20 A 24 AÑOS",IF(MZ6&lt;30," DE 25 A 29 AÑOS",IF(MZ6&lt;35," DE 30 A 34 AÑOS",IF(MZ6&lt;40," DE 35 A 39 AÑOS"," DE 40 Y MAS")))))))</f>
        <v xml:space="preserve"> DE 20 A 24 AÑOS</v>
      </c>
      <c r="NC6">
        <f>IF(AW6="SI",1,IF(AW6="NO",0,""))</f>
        <v>0</v>
      </c>
      <c r="ND6">
        <f>IF(AS6="","",IF(AS6=0,1,IF(AND(AS6&gt;=1,AS6&lt;=4),0,IF(AS6&gt;=5,2,"X"))))</f>
        <v>1</v>
      </c>
      <c r="NE6">
        <f>IF(AV6="","",IF(AV6=0,0,IF(AV6=1,1,IF(OR(AV6=2,AV6="3 O MAS"),2,"X"))))</f>
        <v>0</v>
      </c>
      <c r="NF6">
        <f>IF(AX6="SI",1,IF(AX6="NO",0,""))</f>
        <v>0</v>
      </c>
      <c r="NG6" t="str">
        <f>IF(OR(AND(EI6&gt;0,EI6&lt;11),AND(EN6&gt;0,EN6&lt;10.5)),1,"")</f>
        <v/>
      </c>
      <c r="NH6" t="str">
        <f ca="1">IF(AND(AND(BQ6&gt;40.9,BQ6&lt;43),IW6=""),1,"")</f>
        <v/>
      </c>
      <c r="NI6" t="str">
        <f>IF(AND(FY6="",GB6="",GE6="",GH6=""),"",IF(OR(OR(FY6="P.R REACTIVA",FY6="ELISA REACTIVA"),OR(GB6="P.R REACTIVA",GB6="ELISA REACTIVA"),OR(GE6="P.R REACTIVA",GE6="ELISA REACTIVA"),OR(GH6="P.R REACTIVA",GH6="ELISA REACTIVA")),3,""))</f>
        <v/>
      </c>
      <c r="NJ6">
        <f>IF(BX6="","",IF(OR(BX6="CEFÁLICA",BX6="SD"),0,IF(OR(BX6="PODÁLICA",BX6="TRANSVERSA O DE FRENTE",BX6="OBLICUA"),3,"")))</f>
        <v>0</v>
      </c>
      <c r="NK6" t="str">
        <f>IF(HD6="","",IF(HD6="POSITIVO",2,"0"))</f>
        <v>0</v>
      </c>
      <c r="NL6">
        <f>IF(AND(HF6="",HH6=""),"",IF(OR(HF6="POSITIVO",HH6="POSITIVO"),3,0))</f>
        <v>0</v>
      </c>
      <c r="NM6">
        <f ca="1">IF(AND(O6="",R6=""),"",IF(OR(O6&lt;&gt;"",R6&lt;&gt;""),SUM(COUNTIF(AL6:AP6,"SI"),COUNTIF(AU6,"SI"),COUNTIF(BF6,"SI"),COUNTIF(BI6,"SI"),SUM(COUNTIF(BA6:BC6,"SI")*3),SUM(COUNTIF(BV6:BW6,"SI")*3),SUM(COUNTIF(BH6,"SI")*3),SUM(COUNTIF(BG6,"SI")*2),SUM(COUNTIF(BY6,"SI")*2),SUM(COUNTIF(BE6,"SI")*2),SUM(COUNTIF(FB6,"DIABETES, REMITIR")*2),SUM(NC6:NL6),SUM(NA6),SUM(NP6),SUM(COUNTIF(EU6,"RIESGO DE INCOMPATIBILIDAD RH")*3),SUM(COUNTIF(FP6,"SIFILIS GESTACIONAL")*3)),""))</f>
        <v>1</v>
      </c>
      <c r="NN6" t="e">
        <f>IF(OR(O6&gt;0,R6&gt;0),SUM(COUNTIF(Tabla1[[#This Row],[AÑOS AL INICIO5 CPN]],"&gt;=40"),COUNTIF(AR6,"0"),COUNTIF(AQ6,"SI"),COUNTIF(BW6,"SI"),COUNTIF(BM6,"&gt;119"),COUNTIF(CC6,"&gt;=35")),"")</f>
        <v>#VALUE!</v>
      </c>
      <c r="NO6" t="str">
        <f>IF(AND(R6="",O6=""),"",IF(AND(OR(O6&gt;0,R6&gt;0),BK6=""),"SD",IF(AND(OR(O6&gt;0,R6&gt;0),IM6&gt;0),SUM(IM6-BK6)/7,"")))</f>
        <v/>
      </c>
      <c r="NP6">
        <f>IF(AND(AE6="",AF6="",AG6="",AH6="",AI6="",AJ6=""),"",SUM(SUM(COUNTIF(AE6,"NO")/2),COUNTIF(AF6,"NO"),SUM(COUNTIF(AG6,"SI")/2),COUNTIF(AH6,"SI"),SUM(COUNTIF(AJ6,"SI")*2),COUNTIF(AI6,"DESPLAZADA"),COUNTIF(AI6,"MIGRATORIA"),COUNTIF(AI6,"DISCAPACIDAD FISICA"),COUNTIF(AI6,"DISCAPACIDAD CONDUCTUAL"),COUNTIF(AI6,"DISCAPACIDAD VISUAL"),COUNTIF(AI6,"DISCAPACIDAD AUDITIVA"),COUNTIF(AI6,"DISCAPACIDAD MULTIPLE"),COUNTIF(AI6,"DISCAPACIDAD SISTEMICA")))</f>
        <v>0</v>
      </c>
      <c r="NQ6" t="str">
        <f>IF(BS6&gt;0,BS6*7,"")</f>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IF(AND(O6&gt;0,R6=""),"NO CPN",IF(AND(O6="",R6=""),"",IF(AND(R6&gt;0,EF6&gt;0,EE6&gt;0),_xlfn.DAYS(EF6,EE6),IF(AND(R6&gt;0,EF6&gt;0,EE6=""),"NO CITA","X"))))</f>
        <v>X</v>
      </c>
      <c r="NV6" t="str">
        <f>IF(AND(O6&gt;0,R6=""),"NO CPN",IF(AND(O6="",R6=""),"",IF(AND(EJ6&lt;&gt;"",ES6&lt;&gt;"",EW6&lt;&gt;"",FF6&lt;&gt;"",FU6&lt;&gt;"",FZ6&lt;&gt;"",GO6&lt;&gt;"",GQ6&lt;&gt;"",GR6&lt;&gt;""),"SI","NO")))</f>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IF(AND(BO6="",IP6=""),"",IF(AND(BO6="",IP6="DEFINIR FPP POR ECO"),"SIN DATO",IF(BO6&lt;0,"ERROR FUM O INGRESO",IF(BL6="NO","DEFINIR CON ECO",IF(BO6&lt;10,"I TRIM",IF(BO6&lt;27,"II TRIM",IF(AND(BO6&gt;26,BO6&lt;45),"III TRIM","ERROR FUM O INGRESO")))))))</f>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ca="1">IF(AND(O6="",R6=""),"",IF(AND(BO6&gt;0,BO6&lt;12,IY6&gt;28,IY6&lt;44),3, IF(OR(AND(BO6&gt;=12,BO6&lt;28,IY6&gt;=28,IY6&lt;44),AND(BO6&gt;0,BO6&lt;12,IY6&gt;=12,IY6&lt;29)),2,IF(OR(AND(BO6&gt;=28,BO6&lt;44),AND(BO6&gt;0,BO6&lt;12,IY6&gt;0,IY6&lt;12),AND(BO6&gt;=12,BO6&lt;28,IY6&gt;=12,IY6&lt;28)),1,IF(AND(BO6&gt;0,BO6&lt;12,BQ6&gt;=28,BQ6&lt;44,DR6="ACTIVA INGRESO A CPN"),3,IF(OR(AND(BO6&gt;0,BO6&lt;12,BQ6&gt;=12,BQ6&lt;28,DR6="ACTIVA INGRESO A CPN"),AND(BO6&gt;=12,BO6&lt;28,BQ6&gt;=28,BQ6&lt;44,DR6="ACTIVA INGRESO A CPN")),2,IF(OR(AND(BO6&gt;0,BO6&lt;12,BQ6&gt;0,BQ6&lt;12,DR6="ACTIVA INGRESO A CPN"),AND(BO6&gt;=12,BO6&lt;28,BQ6&gt;=12,BQ6&lt;28,DR6="ACTIVA INGRESO A CPN")),1,"REVISAR FUM O FECHA SALIDA PROGRAMA")))))))</f>
        <v>REVISAR FUM O FECHA SALIDA PROGRAMA</v>
      </c>
      <c r="OB6" s="213">
        <f ca="1">COUNT(FG6,FJ6,FM6,FO6)</f>
        <v>1</v>
      </c>
      <c r="OC6" s="1">
        <f ca="1">COUNT(GA6,GD6,GG6,GI6)</f>
        <v>1</v>
      </c>
      <c r="OD6" s="1" t="str">
        <f ca="1">IF(OA6="","",IF(OA6="REVISAR FUM O FECHA SALIDA PROGRAMA","POR DEFINIR",IF(OR(OA6=OB6,OB6&gt;OA6),"COMPLETO",IF(OB6&lt;OA6,"INCOMPLETO",""))))</f>
        <v>POR DEFINIR</v>
      </c>
      <c r="OE6" s="1" t="str">
        <f ca="1">IF(OA6="","",IF(OA6="REVISAR FUM O FECHA SALIDA PROGRAMA","POR DEFINIR",IF(OR(OA6=OC6,OC6&gt;OA6),"COMPLETO",IF(OC6&lt;OA6,"INCOMPLETO",""))))</f>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ca="1">IF(AND(O6="",R6=""),"",IF(OR(IN6="VACUNA APLICADA ENTRE SEMANA 20 Y SEMANA 26",IN6="VACUNA APLICADA ENTRE SEMANA 27 Y EL PARTO",IN6="VACUNA APLICADA ANTES SEMANA 20"),"VACUNADA","SIN VACUNAR"))</f>
        <v>SIN VACUNAR</v>
      </c>
      <c r="OH6" s="148" t="e">
        <f>ROW(Tabla1[[#This Row],[SEMANAS DE GESTACION II TRIM]])</f>
        <v>#VALUE!</v>
      </c>
      <c r="OI6" t="str">
        <f t="shared" ref="OI6:OI8" si="31">IF(AND(CH6=$OI$1,CG6&gt;10,CG6&lt;20.8),"BAJO PESO",IF(AND(CH6=$OI$1,CG6&gt;20.7,CG6&lt;25.8),"NORMAL",IF(AND(CH6=$OI$1,CG6&gt;25.7,CG6&lt;30.6),"SOBREPESO",IF(AND(CH6=$OI$1,CG6&gt;30.5,CG6&lt;50),"OBESIDAD",""))))</f>
        <v/>
      </c>
      <c r="OJ6" t="str">
        <f t="shared" ref="OJ6:OJ8" si="32">IF(AND(CH6=$OJ$1,CG6&gt;10,CG6&lt;20.9),"BAJO PESO",IF(AND(CH6=$OJ$1,CG6&gt;20.8,CG6&lt;25.9),"NORMAL",IF(AND(CH6=$OJ$1,CG6&gt;25.8,CG6&lt;30.7),"SOBREPESO",IF(AND(CH6=$OJ$1,CG6&gt;30.6,CG6&lt;50),"OBESIDAD",""))))</f>
        <v/>
      </c>
      <c r="OK6" t="str">
        <f t="shared" ref="OK6:OK8" si="33">IF(AND(CH6=$OK$1,CG6&gt;10,CG6&lt;21.1),"BAJO PESO",IF(AND(CH6=$OK$1,CG6&gt;21,CG6&lt;26),"NORMAL",IF(AND(CH6=$OK$1,CG6&gt;25.9,CG6&lt;30.8),"SOBREPESO",IF(AND(CH6=$OK$1,CG6&gt;30.7,CG6&lt;50),"OBESIDAD",""))))</f>
        <v/>
      </c>
      <c r="OL6" t="str">
        <f t="shared" ref="OL6:OL8" si="34">IF(AND(CH6=$OL$1,CG6&gt;10,CG6&lt;21.2),"BAJO PESO",IF(AND(CH6=$OL$1,CG6&gt;21.1,CG6&lt;26.1),"NORMAL",IF(AND(CH6=$OL$1,CG6&gt;26,CG6&lt;31.9),"SOBREPESO",IF(AND(CH6=$OL$1,CG6&gt;30.8,CG6&lt;50),"OBESIDAD",""))))</f>
        <v/>
      </c>
      <c r="OM6" t="str">
        <f t="shared" ref="OM6:OM8" si="35">IF(AND(CH6=$OM$1,CG6&gt;10,CG6&lt;21.3),"BAJO PESO",IF(AND(CH6=$OM$1,CG6&gt;21.2,CG6&lt;26.2),"NORMAL",IF(AND(CH6=$OM$1,CG6&gt;26.1,CG6&lt;31),"SOBREPESO",IF(AND(CH6=$OM$1,CG6&gt;30.9,CG6&lt;50),"OBESIDAD",""))))</f>
        <v/>
      </c>
      <c r="ON6" t="str">
        <f t="shared" ref="ON6:ON8" si="36">IF(AND(CH6=$ON$1,CG6&gt;10,CG6&lt;21.5),"BAJO PESO",IF(AND(CH6=$ON$1,CG6&gt;21.4,CG6&lt;26.3),"NORMAL",IF(AND(CH6=$ON$1,CG6&gt;26.2,CG6&lt;31),"SOBREPESO",IF(AND(CH6=$ON$1,CG6&gt;30.9,CG6&lt;50),"OBESIDAD",""))))</f>
        <v/>
      </c>
      <c r="OO6" t="str">
        <f t="shared" ref="OO6:OO8" si="37">IF(AND(CH6=$OO$1,CG6&gt;10,CG6&lt;21.6),"BAJO PESO",IF(AND(CH6=$OO$1,CG6&gt;21.5,CG6&lt;26.4),"NORMAL",IF(AND(CH6=$OO$1,CG6&gt;26.3,CG6&lt;31.1),"SOBREPESO",IF(AND(CH6=$OO$1,CG6&gt;31,CG6&lt;50),"OBESIDAD",""))))</f>
        <v/>
      </c>
      <c r="OP6" t="str">
        <f t="shared" ref="OP6:OP8" si="38">IF(AND(CH6=$OP$1,CG6&gt;10,CG6&lt;21.8),"BAJO PESO",IF(AND(CH6=$OP$1,CG6&gt;21.7,CG6&lt;26.5),"NORMAL",IF(AND(CH6=$OP$1,CG6&gt;26.4,CG6&lt;31.2),"SOBREPESO",IF(AND(CH6=$OP$1,CG6&gt;31.1,CG6&lt;50),"OBESIDAD",""))))</f>
        <v/>
      </c>
      <c r="OQ6" t="str">
        <f t="shared" ref="OQ6:OQ8" si="39">IF(AND(CH6=$OQ$1,CG6&gt;10,CG6&lt;21.9),"BAJO PESO",IF(AND(CH6=$OQ$1,CG6&gt;21.8,CG6&lt;26.7),"NORMAL",IF(AND(CH6=$OQ$1,CG6&gt;26.6,CG6&lt;31.3),"SOBREPESO",IF(AND(CH6=$OQ$1,CG6&gt;31.2,CG6&lt;50),"OBESIDAD",""))))</f>
        <v/>
      </c>
      <c r="OR6" t="str">
        <f t="shared" ref="OR6:OR8" si="40">IF(AND(CH6=$OR$1,CG6&gt;10,CG6&lt;22.1),"BAJO PESO",IF(AND(CH6=$OR$1,CG6&gt;22,CG6&lt;26.8),"NORMAL",IF(AND(CH6=$OR$1,CG6&gt;26.7,CG6&lt;31.4),"SOBREPESO",IF(AND(CH6=$OR$1,CG6&gt;31.3,CG6&lt;50),"OBESIDAD",""))))</f>
        <v/>
      </c>
      <c r="OS6" t="str">
        <f t="shared" ref="OS6:OS8" si="41">IF(AND(CH6=$OS$1,CG6&gt;10,CG6&lt;22.3),"BAJO PESO",IF(AND(CH6=$OS$1,CG6&gt;22.2,CG6&lt;27),"NORMAL",IF(AND(CH6=$OS$1,CG6&gt;26.9,CG6&lt;31.6),"SOBREPESO",IF(AND(CH6=$OS$1,CG6&gt;31.5,CG6&lt;50),"OBESIDAD",""))))</f>
        <v/>
      </c>
      <c r="OT6" t="str">
        <f t="shared" ref="OT6:OT8" si="42">IF(AND(CH6=$OT$1,$CG6&gt;10,CG6&lt;22.5),"BAJO PESO",IF(AND(CH6=$OT$1,CG6&gt;22.4,CG6&lt;27.1),"NORMAL",IF(AND(CH6=$OT$1,CG6&gt;27,CG6&lt;31.7),"SOBREPESO",IF(AND(CH6=$OT$1,CG6&gt;31.6,CG6&lt;50),"OBESIDAD",""))))</f>
        <v/>
      </c>
      <c r="OU6" t="str">
        <f t="shared" ref="OU6:OU8" si="43">IF(AND(CH6=$OU$1,CG6&gt;10,CG6&lt;22.7),"BAJO PESO",IF(AND(CH6=$OU$1,CG6&gt;22.6,CG6&lt;27.3),"NORMAL",IF(AND(CH6=$OU$1,CG6&gt;27.1,CG6&lt;31.8),"SOBREPESO",IF(AND(CH6=$OU$1,CG6&gt;31.7,CG6&lt;50),"OBESIDAD",""))))</f>
        <v/>
      </c>
      <c r="OV6" t="str">
        <f t="shared" ref="OV6:OV8" si="44">IF(AND(CH6=$OV$1,CG6&gt;10,CG6&lt;22.8),"BAJO PESO",IF(AND(CH6=$OV$1,CG6&gt;22.7,CG6&lt;27.4),"NORMAL",IF(AND(CH6=$OV$1,CG6&gt;27.3,CG6&lt;31.9),"SOBREPESO",IF(AND(CH6=$OV$1,CG6&gt;31.8,CG6&lt;50),"OBESIDAD",""))))</f>
        <v/>
      </c>
      <c r="OW6" t="str">
        <f t="shared" ref="OW6:OW8" si="45">IF(AND(CH6=$OW$1,CG6&gt;10,CG6&lt;23),"BAJO PESO",IF(AND(CH6=$OW$1,CG6&gt;22.9,CG6&lt;27.6),"NORMAL",IF(AND(CH6=$OW$1,CG6&gt;27.5,CG6&lt;32),"SOBREPESO",IF(AND(CH6=$OW$1,CG6&gt;31.9,CG6&lt;50),"OBESIDAD",""))))</f>
        <v/>
      </c>
      <c r="OX6" t="str">
        <f t="shared" ref="OX6:OX8" si="46">IF(AND(CM6=$OX$1,CL6&gt;10,CL6&lt;23.2),"BAJO PESO",IF(AND(CM6=$OX$1,CL6&gt;23.1,CL6&lt;27.7),"NORMAL",IF(AND(CM6=$OX$1,CL6&gt;27.6,CL6&lt;32.1),"SOBREPESO",IF(AND(CM6=$OX$1,CL6&gt;32,CL6&lt;50),"OBESIDAD",""))))</f>
        <v/>
      </c>
      <c r="OY6" t="str">
        <f t="shared" ref="OY6:OY8" si="47">IF(AND(CM6=$OY$1,CL6&gt;10,CL6&lt;23.4),"BAJO PESO",IF(AND(CM6=$OY$1,CL6&gt;23.3,CL6&lt;27.9),"NORMAL",IF(AND(CM6=$OY$1,CL6&gt;27.8,CL6&lt;32.2),"SOBREPESO",IF(AND(CM6=$OY$1,CL6&gt;32.1,CL6&lt;50),"OBESIDAD",""))))</f>
        <v/>
      </c>
      <c r="OZ6" t="str">
        <f t="shared" ref="OZ6:OZ8" si="48">IF(AND(CM6=$OZ$1,CL6&gt;10,CL6&lt;23.5),"BAJO PESO",IF(AND(CM6=$OZ$1,CL6&gt;23.4,CL6&lt;28),"NORMAL",IF(AND(CM6=$OZ$1,CL6&gt;27.9,CL6&lt;32.1),"SOBREPESO",IF(AND(CM6=$OZ$1,CL6&gt;32.2,CL6&lt;50),"OBESIDAD",""))))</f>
        <v/>
      </c>
      <c r="PA6" t="str">
        <f t="shared" ref="PA6:PA8" si="49">IF(AND(CM6=$PA$1,CL6&gt;10,CL6&lt;23.7),"BAJO PESO",IF(AND(CM6=$PA$1,CL6&gt;23.6,CL6&lt;28.1),"NORMAL",IF(AND(CM6=$PA$1,CL6&gt;28,CL6&lt;33.4),"SOBREPESO",IF(AND(CM6=$PA$1,CL6&gt;33.3,CL6&lt;50),"OBESIDAD",""))))</f>
        <v/>
      </c>
      <c r="PB6" t="str">
        <f t="shared" ref="PB6:PB8" si="50">IF(AND(CM6=$PB$1,CL6&gt;10,CL6&lt;23.9),"BAJO PESO",IF(AND(CM6=$PB$1,CL6&gt;23.8,CL6&lt;28.2),"NORMAL",IF(AND(CM6=$PB$1,CL6&gt;28.1,CL6&lt;33.5),"SOBREPESO",IF(AND(CM6=$PB$1,CL6&gt;33.4,CL6&lt;50),"OBESIDAD",""))))</f>
        <v/>
      </c>
      <c r="PC6" t="str">
        <f t="shared" ref="PC6:PC8" si="51">IF(AND(CM6=$PC$1,CL6&gt;10,CL6&lt;24),"BAJO PESO",IF(AND(CM6=$PC$1,CL6&gt;23.9,CL6&lt;28.4),"NORMAL",IF(AND(CM6=$PC$1,CL6&gt;28.3,CL6&lt;33.6),"SOBREPESO",IF(AND(CM6=$PC$1,CL6&gt;33.5,CL6&lt;50),"OBESIDAD",""))))</f>
        <v/>
      </c>
      <c r="PD6" t="str">
        <f t="shared" ref="PD6:PD8" si="52">IF(AND(CM6=$PD$1,CL6&gt;10,CL6&lt;24.2),"BAJO PESO",IF(AND(CM6=$PD$1,CL6&gt;24.1,CL6&lt;28.5),"NORMAL",IF(AND(CM6=$PD$1,CL6&gt;28.4,CL6&lt;33.7),"SOBREPESO",IF(AND(CM6=$PD$1,CL6&gt;33.6,CL6&lt;50),"OBESIDAD",""))))</f>
        <v/>
      </c>
      <c r="PE6" t="str">
        <f t="shared" ref="PE6:PE8" si="53">IF(AND(CM6=$PE$1,CL6&gt;10,CL6&lt;24.3),"BAJO PESO",IF(AND(CM6=$PE$1,CL6&gt;24.2,CL6&lt;28.6),"NORMAL",IF(AND(CM6=$PE$1,CL6&gt;28.5,CL6&lt;33.8),"SOBREPESO",IF(AND(CM6=$PE$1,CL6&gt;33.7,CL6&lt;50),"OBESIDAD",""))))</f>
        <v/>
      </c>
      <c r="PF6" t="str">
        <f t="shared" ref="PF6:PF8" si="54">IF(AND(CM6=$PF$1,CL6&gt;10,CL6&lt;24.5),"BAJO PESO",IF(AND(CM6=$PF$1,CL6&gt;24.4,CL6&lt;28.8),"NORMAL",IF(AND(CM6=$PF$1,CL6&gt;28.7,CL6&lt;32.9),"SOBREPESO",IF(AND(CM6=$PF$1,CL6&gt;32.8,CL6&lt;50),"OBESIDAD",""))))</f>
        <v/>
      </c>
      <c r="PG6" t="str">
        <f t="shared" ref="PG6:PG8" si="55">IF(AND(CM6=$PG$1,CL6&gt;10,CL6&lt;24.6),"BAJO PESO",IF(AND(CM6=$PG$1,CL6&gt;24.5,CL6&lt;28.9),"NORMAL",IF(AND(CM6=$PG$1,CL6&gt;28.8,CL6&lt;33),"SOBREPESO",IF(AND(CM6=$PG$1,CL6&gt;32.9,CL6&lt;50),"OBESIDAD",""))))</f>
        <v/>
      </c>
      <c r="PH6" t="str">
        <f t="shared" ref="PH6:PH8" si="56">IF(AND(CM6=$PH$1,CL6&gt;10,CL6&lt;24.8),"BAJO PESO",IF(AND(CM6=$PH$1,CL6&gt;24.7,CL6&lt;29),"NORMAL",IF(AND(CM6=$PH$1,CL6&gt;28.9,CL6&lt;33.1),"SOBREPESO",IF(AND(CM6=$PH$1,CL6&gt;33,CL6&lt;50),"OBESIDAD",""))))</f>
        <v/>
      </c>
      <c r="PI6" t="str">
        <f t="shared" ref="PI6:PI8" si="57">IF(AND(CM6=$PI$1,CL6&gt;10,CL6&lt;25),"BAJO PESO",IF(AND(CM6=$PI$1,CL6&gt;24.9,CL6&lt;29.2),"NORMAL",IF(AND(CM6=$PI$1,CL6&gt;29.1,CL6&lt;33.2),"SOBREPESO",IF(AND(CM6=$PI$1,CL6&gt;33.1,CL6&lt;50),"OBESIDAD",""))))</f>
        <v/>
      </c>
      <c r="PJ6" t="str">
        <f t="shared" ref="PJ6:PJ8" si="58">IF(AND(CM6=$PJ$1,CL6&gt;10,CL6&lt;25.1),"BAJO PESO",IF(AND(CM6=$PJ$1,CL6&gt;25,CL6&lt;29.3),"NORMAL",IF(AND(CM6=$PJ$1,CL6&gt;29.2,CL6&lt;33.3),"SOBREPESO",IF(AND(CM6=$PJ$1,CL6&gt;33.2,CL6&lt;50),"OBESIDAD",""))))</f>
        <v/>
      </c>
      <c r="PK6" t="str">
        <f t="shared" ref="PK6:PK8" si="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60">IF(AND(R6="",O6=""),"",IF(AND(OR(O6&gt;0,R6&gt;0),BK6=""),"SD",IF(AND(OR(O6&gt;0,R6&gt;0),IF6&gt;0),SUM(IF6-BK6)/7,"")))</f>
        <v/>
      </c>
      <c r="PN6" s="161" t="e">
        <f t="shared" ref="PN6:PN8" si="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c r="B7" s="68" t="s">
        <v>854</v>
      </c>
      <c r="C7" s="68" t="s">
        <v>855</v>
      </c>
      <c r="D7" s="187" t="s">
        <v>863</v>
      </c>
      <c r="E7" s="68" t="s">
        <v>864</v>
      </c>
      <c r="F7" s="68" t="s">
        <v>865</v>
      </c>
      <c r="G7" s="68" t="s">
        <v>866</v>
      </c>
      <c r="H7" s="68"/>
      <c r="I7" s="145" t="s">
        <v>867</v>
      </c>
      <c r="J7" s="146">
        <v>1058546619</v>
      </c>
      <c r="K7" s="68" t="s">
        <v>861</v>
      </c>
      <c r="L7" s="68" t="s">
        <v>868</v>
      </c>
      <c r="M7" s="35">
        <v>38125</v>
      </c>
      <c r="N7" s="38">
        <f ca="1">IF(M7&gt;0,SUM(TODAY()-M7)/365,"")</f>
        <v>19.452054794520549</v>
      </c>
      <c r="O7" s="35">
        <v>44734</v>
      </c>
      <c r="P7" s="39" t="str">
        <f>IF(AND(O7="",R7&gt;0),"ACUDE ESPONTANEAMENTE",IF(AND(AND(O7&gt;0,R7=""),OR(IW7&gt;0,IT7&lt;&gt;"")),"NA",IF(AND(O7&gt;0,IW7="",R7=""),"NO",IF(AND(O7&gt;0,R7&gt;0),"SI",""))))</f>
        <v>SI</v>
      </c>
      <c r="Q7" s="40" t="s">
        <v>876</v>
      </c>
      <c r="R7" s="35">
        <v>44734</v>
      </c>
      <c r="S7" s="31" t="s">
        <v>877</v>
      </c>
      <c r="T7" s="37" t="s">
        <v>800</v>
      </c>
      <c r="U7" s="31" t="s">
        <v>878</v>
      </c>
      <c r="V7" s="31" t="s">
        <v>879</v>
      </c>
      <c r="W7" s="31" t="s">
        <v>888</v>
      </c>
      <c r="X7" s="31" t="s">
        <v>888</v>
      </c>
      <c r="Y7" s="31" t="s">
        <v>888</v>
      </c>
      <c r="Z7" s="31">
        <v>3175892519</v>
      </c>
      <c r="AA7" s="31" t="s">
        <v>882</v>
      </c>
      <c r="AB7" s="41" t="s">
        <v>883</v>
      </c>
      <c r="AC7" s="40" t="s">
        <v>889</v>
      </c>
      <c r="AD7" s="55" t="s">
        <v>890</v>
      </c>
      <c r="AE7" s="40" t="s">
        <v>875</v>
      </c>
      <c r="AF7" s="40" t="s">
        <v>875</v>
      </c>
      <c r="AG7" s="36" t="s">
        <v>886</v>
      </c>
      <c r="AH7" s="36" t="s">
        <v>886</v>
      </c>
      <c r="AI7" s="37" t="s">
        <v>885</v>
      </c>
      <c r="AJ7" s="36" t="s">
        <v>886</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886</v>
      </c>
      <c r="AM7" s="40" t="s">
        <v>886</v>
      </c>
      <c r="AN7" s="40" t="s">
        <v>886</v>
      </c>
      <c r="AO7" s="40" t="s">
        <v>886</v>
      </c>
      <c r="AP7" s="40" t="s">
        <v>886</v>
      </c>
      <c r="AQ7" s="40" t="s">
        <v>886</v>
      </c>
      <c r="AR7" s="31">
        <v>0</v>
      </c>
      <c r="AS7" s="31">
        <v>0</v>
      </c>
      <c r="AT7" s="31">
        <v>0</v>
      </c>
      <c r="AU7" s="40" t="s">
        <v>886</v>
      </c>
      <c r="AV7" s="31">
        <v>0</v>
      </c>
      <c r="AW7" s="40" t="s">
        <v>886</v>
      </c>
      <c r="AX7" s="40" t="s">
        <v>886</v>
      </c>
      <c r="AY7" s="40" t="s">
        <v>886</v>
      </c>
      <c r="AZ7" s="40" t="s">
        <v>886</v>
      </c>
      <c r="BA7" s="40" t="s">
        <v>886</v>
      </c>
      <c r="BB7" s="40" t="s">
        <v>886</v>
      </c>
      <c r="BC7" s="40" t="s">
        <v>886</v>
      </c>
      <c r="BD7" s="40" t="s">
        <v>886</v>
      </c>
      <c r="BE7" s="40" t="s">
        <v>886</v>
      </c>
      <c r="BF7" s="40" t="s">
        <v>886</v>
      </c>
      <c r="BG7" s="40" t="s">
        <v>886</v>
      </c>
      <c r="BH7" s="40" t="s">
        <v>886</v>
      </c>
      <c r="BI7" s="40" t="s">
        <v>886</v>
      </c>
      <c r="BJ7" s="35"/>
      <c r="BK7" s="35">
        <v>44664</v>
      </c>
      <c r="BL7" s="31" t="s">
        <v>875</v>
      </c>
      <c r="BM7" s="43">
        <f>IF(OR(BJ7="SD",BK7=""),"",IF(BJ7="",0,SUM(BK7-BJ7)/30))</f>
        <v>0</v>
      </c>
      <c r="BN7" s="57">
        <f>IF(BS7&gt;0,SUM(BR7-NQ7),"")</f>
        <v>44669</v>
      </c>
      <c r="BO7" s="44">
        <f>IF(AND(BL7="Corregida",BK7&gt;0,R7&gt;0,ISBLANK(BS7)),"SIN SEMANAS X ECO",IF(AND(BL7="Corregida",BK7&gt;0,R7&gt;0),SUM(R7-BN7)/7,IF(AND(OR(BL7="SI",BL7="NO"),BK7&gt;0,R7&gt;0),SUM(R7-BK7)/7,"")))</f>
        <v>10</v>
      </c>
      <c r="BP7" s="31" t="str">
        <f>IF(AND(BO7="",IP7=""),"",IF(AND(BO7="",IP7="DEFINIR FPP POR ECO"),"SIN DATO",IF(BO7&lt;0,"ERROR FUM O INGRESO O ECO",IF(BL7="NO","DEFINIR CON ECO",IF(BO7&lt;12,"I TRIM",IF(BO7&lt;27,"II TRIM",IF(AND(BO7&gt;26,BO7&lt;45),"III TRIM","ERROR FUM O INGRESO O ECO")))))))</f>
        <v>I TRIM</v>
      </c>
      <c r="BQ7" s="39" t="str">
        <f ca="1">IF(SUM((TODAY()-BK7)/7)&gt;43.1,"",IF(AND(BK7&gt;0,OR(BL7="si",BL7="Corregida",BL7="NO")),SUM((TODAY()-BK7)/7),""))</f>
        <v/>
      </c>
      <c r="BR7" s="35">
        <v>44767</v>
      </c>
      <c r="BS7" s="43">
        <v>14</v>
      </c>
      <c r="BT7" s="35">
        <v>44823</v>
      </c>
      <c r="BU7" s="31">
        <v>22</v>
      </c>
      <c r="BV7" s="40" t="s">
        <v>886</v>
      </c>
      <c r="BW7" s="40" t="s">
        <v>886</v>
      </c>
      <c r="BX7" s="40" t="s">
        <v>891</v>
      </c>
      <c r="BY7" s="40" t="s">
        <v>886</v>
      </c>
      <c r="BZ7" s="35">
        <v>44734</v>
      </c>
      <c r="CA7" s="31">
        <v>1.6</v>
      </c>
      <c r="CB7" s="31">
        <v>59</v>
      </c>
      <c r="CC7" s="39">
        <f>IF(AND(OR(O7&gt;0,R7&gt;0),CA7=""),"SD",IF(AND(OR(O7="",R7=""),CA7=""),"",IF(AND(OR(O7&gt;0,R7&gt;0),CA7&gt;0,CB7&gt;0),SUM(CB7)/(CA7*CA7),"X")))</f>
        <v>23.046874999999996</v>
      </c>
      <c r="CD7" s="45" t="str">
        <f>IF(AND(CC7&lt;10,CB7="SD"),"SIN DATO PESO PREGESTACION O I TRIM",IF(AND(OR(R7&gt;0,O7&gt;0),CC7="X"),"INGRESAR DATO DE PESO",IF(CC7="SD","INGRESAR DATO DE TALLA Y PESO",IF(CC7&lt;18.5,"BAJO PESO",IF(CC7&lt;25,"NORMAL",IF(CC7&lt;30,"SOBREPESO",IF(AND(CC7&gt;=30,CC7&lt;50),"OBESIDAD","")))))))</f>
        <v>NORMAL</v>
      </c>
      <c r="CE7" s="35">
        <v>44792</v>
      </c>
      <c r="CF7" s="31">
        <v>54</v>
      </c>
      <c r="CG7" s="39">
        <f>IF(AND(OR(O7&gt;0,R7&gt;0),CA7=""),"SD",IF(AND(OR(O7="",R7=""),CA7=""),"",IF(AND(OR(O7&gt;0,R7&gt;0),CA7&gt;0),SUM(CF7)/(CA7*CA7),"X")))</f>
        <v>21.093749999999996</v>
      </c>
      <c r="CH7" s="31">
        <f>IF(AND(CE7="",BK7=""),"",IF(AND(BK7&gt;0,CE7=""),"NA",IF(CE7&lt;BK7,"REVISAR FUM O FECHA PESO",IF(CE7&gt;0,INT(SUM(CE7-BK7)/7)))))</f>
        <v>18</v>
      </c>
      <c r="CI7" s="31" t="e">
        <f>IF(OR(CH7="",CH7="NA"),"",IF(AND(CH7&gt;=29,CH7&lt;=42),"REGISTRAR EN III TRIM",IF(AND(CH7&gt;0,CH7&lt;=13),"REGISTRAR EN I TRIM",IF(CH7="REVISAR FUM O FECHA PESO","REVISAR",IF(CH7&gt;0,HLOOKUP(CH7,$OI$1:PK7,OH7),"")))))</f>
        <v>#REF!</v>
      </c>
      <c r="CJ7" s="35">
        <v>44883</v>
      </c>
      <c r="CK7" s="31">
        <v>60</v>
      </c>
      <c r="CL7" s="39">
        <f>IF(AND(OR(O7&gt;0,R7&gt;0),CA7=""),"SD",IF(AND(OR(O7="",R7=""),CA7=""),"",IF(AND(OR(O7&gt;0,R7&gt;0),CA7&gt;0),SUM(CK7)/(CA7*CA7),"X")))</f>
        <v>23.437499999999996</v>
      </c>
      <c r="CM7" s="31">
        <f>IF(AND(CJ7="",BK7=""),"",IF(AND(BK7&gt;0,CJ7=""),"NA",IF(CJ7&lt;BK7,"REVISAR FUM O FECHA PESO",IF(CJ7&gt;0,INT(SUM(CJ7-BK7)/7)))))</f>
        <v>31</v>
      </c>
      <c r="CN7" s="31" t="e">
        <f>IF(OR(CM7="",CM7="NA"),"",IF(AND(CM7&gt;0,CM7&lt;=28),"REGISTRAR EN  TRIM RESPECTIVO",IF(CM7&gt;0,HLOOKUP(CM7,$OI$1:PK7,OH7),"")))</f>
        <v>#REF!</v>
      </c>
      <c r="CO7" s="31" t="e">
        <f>IF(AND(OR(O7&gt;0,R7&gt;0),CD7&lt;&gt;"",CI7&lt;&gt;"",CN7&lt;&gt;""),CN7,IF(AND(OR(O7&gt;0,R7&gt;0),CD7&lt;&gt;"",CI7&lt;&gt;"",CN7=""),CI7,IF(AND(OR(O7&gt;0,R7&gt;0),CD7&lt;&gt;"",CI7="",CN7=""),CD7,IF(AND(OR(O7&gt;0,R7&gt;0),CD7&lt;&gt;"",CI7="",CN7&lt;&gt;""),CN7,""))))</f>
        <v>#REF!</v>
      </c>
      <c r="CP7" s="31">
        <v>110</v>
      </c>
      <c r="CQ7" s="31">
        <v>70</v>
      </c>
      <c r="CR7" s="37" t="str">
        <f>IF(AND(OR(R7="",R7&lt;&gt;""),CQ7="",CP7=""),"",IF(AND(OR(O7&gt;0,R7&gt;0),OR(CP7&gt;=140,CQ7&gt;=90)),"DEFINIR ESTADIO HTA",IF(AND(OR(O7&gt;0,R7&gt;0),AND(CP7&gt;120,CP7&lt;=139)),"PRE HTA SEGUIMIENTO",IF(AND(OR(O7&gt;0,R7&gt;0),AND(CQ7&gt;80,CQ7&lt;=89)),"PRE HTA SEGUIMIENTO",IF(AND(OR(O7&gt;0,R7&gt;0),AND(CP7&gt;=80,CP7&lt;=120)),"APARENTEMENTE NORMAL",IF(AND(OR(O7&gt;0,R7&gt;0),AND(CQ7&gt;=50,CQ7&lt;=80)),"APARENTEMENTE NORMAL",IF(AND(OR(O7&gt;0,R7&gt;0),OR(CP7&lt;=70,CQ7&lt;=40)),"HIPOTENSIÓN","")))))))</f>
        <v>APARENTEMENTE NORMAL</v>
      </c>
      <c r="CS7" s="31">
        <v>100</v>
      </c>
      <c r="CT7" s="31">
        <v>70</v>
      </c>
      <c r="CU7" s="37" t="str">
        <f>IF(AND(OR(R7="",R7&lt;&gt;""),CS7="",CT7=""),"",IF(AND(OR(O7&gt;0,R7&gt;0),OR(CS7&gt;=140,CT7&gt;=90)),"ALTO RIESGO PREECLAMPSIA,DEFINIR ESTADIO HTA",IF(AND(OR(O7&gt;0,R7&gt;0),AND(CS7&gt;120,CS7&lt;=139)),"PRE HTA SEGUIMIENTO,RIESGO HIPERTENSION INDUCIDA POR EL EMBARAZO",IF(AND(OR(O7&gt;0,R7&gt;0),AND(CT7&gt;80,CT7&lt;=89)),"PRE HTA SEGUIMIENTO, RIESGO HIPERTENSION INDUCIDA POR EL EMBARAZO",IF(AND(OR(O7&lt;&gt;"",R7&lt;&gt;""),CQ7&lt;&gt;"",CT7&lt;&gt;"",CQ7&lt;=CT7),"VIGILAR CIFRAS PRESION ARTERIAL",IF(AND(OR(O7&gt;0,R7&gt;0),AND(CS7&gt;120,CS7&lt;=139)),"PRE HTA SEGUIMIENTO",IF(AND(OR(O7&gt;0,R7&gt;0),OR(CS7&lt;=60,CT7&lt;40)),"HIPOTENSIÓN",IF(AND(OR(O7&lt;&gt;"",R7&lt;&gt;""),CQ7&lt;&gt;"",CT7&lt;&gt;"",CQ7&gt;CT7),"APARENTEMENTE NORMAL",IF(AND(OR(O7&gt;0,R7&gt;0),AND(CS7&gt;=80,CS7&lt;=120)),"APARENTEMENTE NORMAL",IF(AND(OR(O7&gt;0,R7&gt;0),AND(CT7&gt;=50,CT7&lt;=80)),"APARENTEMENTE NORMAL",""))))))))))</f>
        <v>VIGILAR CIFRAS PRESION ARTERIAL</v>
      </c>
      <c r="CV7" s="31">
        <v>100</v>
      </c>
      <c r="CW7" s="31">
        <v>70</v>
      </c>
      <c r="CX7" s="31">
        <v>110</v>
      </c>
      <c r="CY7" s="31">
        <v>70</v>
      </c>
      <c r="CZ7" s="37" t="str">
        <f>IF(AND(OR(R7="",R7&lt;&gt;""),CV7="",CW7="",CX7="",CY7=""),"",IF(AND(OR(O7&gt;0,R7&gt;0),OR(CV7&gt;=140,CW7&gt;=90,CX7&gt;=140,CY7&gt;=90)),"ESTUDIO INMEDIATO HTA PARA DESCARTAR PREECLAMSIA",IF(AND(OR(O7&gt;0,R7&gt;0),OR(AND(CX7&gt;=130,CX7&lt;=139),AND(CV7&gt;=130,CV7&lt;=139))),"PRE HTA,RIESGO ALTO PREECLAMPSIA",IF(AND(OR(O7&gt;0,R7&gt;0),OR(AND(CY7&gt;=80,CY7&lt;=89),AND(CW7&gt;=80,CW7&lt;=89))),"PRE HTA,RIESGO ALTO PREECLAMPSIA",IF(AND(OR(O7&gt;0,R7&gt;0),OR(AND(CX7&gt;120,CX7&lt;=129),AND(CV7&gt;120,CV7&lt;=129))),"RANGO PREHIPERTENSIVO SEGUIMIENTO HTA",IF(AND(OR(O7&lt;&gt;"",R7&lt;&gt;""),CQ7&lt;&gt;"",CW7&lt;&gt;"",CY7&lt;&gt;"",OR(CQ7&lt;CY7,CQ7&lt;CW7)),"VIGILAR CIFRAS PRESION ARTERIAL",IF(AND(OR(O7&lt;&gt;"",R7&lt;&gt;""),CP7="",CQ7="",OR(CW7&lt;CY7,CV7&lt;CX7)),"VIGILAR CIFRAS PRESION ARTERIAL",IF(AND(OR(O7&lt;&gt;"",R7&lt;&gt;""),CQ7&lt;&gt;"",CW7&lt;&gt;"",CY7&lt;&gt;"",OR(CQ7=CY7,CQ7=CW7)),"APARENTEMENTE NORMAL",IF(AND(OR(O7&gt;0,R7&gt;0),OR(AND(CX7&gt;=80,CX7&lt;=120),AND(CV7&gt;=80,CV7&lt;=120))),"APARENTEMENTE NORMAL",IF(AND(OR(O7&gt;0,R7&gt;0),OR(AND(CY7&gt;=50,CY7&lt;80),AND(CW7&gt;=50,CW7&lt;80))),"APARENTEMENTE NORMAL",""))))))))))</f>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ca="1">IF(AND(BP7="ERROR FUM O INGRESO",DP7&gt;0),"ERROR FUM O INGRESO",IF(AND(DP7="",R7="",O7=""),"",IF(OR(AND(DP7&lt;&gt;"",DP7&lt;BK7),AND(DP7&lt;&gt;"",AND(SUM((DP7-BK7)/7)&gt;0,SUM((DP7-BK7)/7)&lt;28))),"PLAN REALIZADO ANTES III TRIM", IF(AND(DP7="",OR(O7&gt;0,R7&gt;0),AND(BQ7&gt;=28, BQ7&lt;35,DR7="ACTIVA INGRESO A CPN")),"PLANEAR PLAN DE PARTO", IF(AND(DP7="",OR(O7&gt;0,R7&gt;0),BQ7&gt;=35,DR7="ACTIVA INGRESO A CPN"),"CONCERTAR PLAN DE PARTO INMEDIATO", IF(AND(DP7="",OR(O7&gt;0,R7&gt;0),AND(BQ7&gt;0, BQ7&lt;28),OR(DR7="ACTIVA INGRESO A CPN", DR7=" ACTIVA SIN INGRESO CPN")),"EN ESPERA", IF(AND(DP7="",OR(O7&gt;0,R7&gt;0),AND(IY7&gt;0, IY7&lt;28)),"NO APLICA SALE PROGRAMA ANTES III TRIM", IF(AND(DP7="",OR(O7&gt;0,R7&gt;0),AND(IY7&gt;=28, IY7&lt;35)),"SALE PROGRAMA ANTES SEMANA 35", IF(AND(DP7="",OR(O7&gt;0,R7&gt;0),IY7&gt;35),"SALE SIN PLAN DE PARTO",IF(DP7&gt;0,SUM(DP7-BK7)/7,""))))))))))</f>
        <v>SALE SIN PLAN DE PARTO</v>
      </c>
      <c r="DR7" s="46" t="str">
        <f>IF(AND(R7&lt;&gt;"",IT7="CAMBIO DE RESIDENCIA"),"SEGUIMIENTO REPORTE EPS",IF(AND(R7&lt;&gt;"",OR(IT7&lt;&gt;"",IW7&lt;&gt;"")),"SALIO PROGRAMA",IF(AND(AND(R7="",O7&gt;0),OR(IT7&lt;&gt;"",IW7&lt;&gt;"")),"SALE SIN INGRESO CPN",IF(AND(R7="",O7&gt;0,IT7="",IW7=""),"ACTIVA SIN INGRESO CPN",IF(AND(R7&lt;&gt;"",OR(IT7="",IW7="")),"ACTIVA INGRESO A CPN","")))))</f>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ca="1">IF(NR7="SD","",IF(AND(NR7&lt;=33,NR7&gt;=8),"MES DE CONTROL",IF(AND(NR7&gt;=1,NR7&lt;8),"SEMANA DE CONTROL",IF(NR7=0,"DIA DE CONTROL",IF(NR7&lt;0,"INASISTENTE",IF(NR7="Y","SEGUIMIENTO FUERA MUNICIPIO",IF(NR7="Z","BUSCAR PARA INGRESO A CPN",IF(NR7="W","DEFINIR FECHA CITA",IF(NR7="X","NO REALIZO CPN",IF(NR7="S","DILIGENCIAR FECHA SALIDA PROGRAMA","REVISAR FORMULA"))))))))))</f>
        <v>#VALUE!</v>
      </c>
      <c r="DU7" s="35" t="e">
        <f>IF(R7="","",IF(R7&gt;0,MAX(Tabla1[[#This Row],[FECHA C2]:[FECHA C13]],Tabla1[[#This Row],[FECHA CONSULTA PRIMERA VEZ PROGRAMA CPN ]])))</f>
        <v>#VALUE!</v>
      </c>
      <c r="DV7" s="31" t="e">
        <f>IF(AND(DU7="",BK7="",R7=""),"",IF(AND(R7="",BK7&gt;0,DU7=""),"",IF(AND(R7&gt;0,DU7&lt;BK7),"REVISAR FUM O FECHA PESO",IF(AND(R7&gt;0,DU7&gt;0,BK7=""),"SD",IF(AND(R7&gt;0,DU7&gt;0,BK7&gt;0),INT(SUM(DU7-BK7)/7))))))</f>
        <v>#VALUE!</v>
      </c>
      <c r="DW7" s="43">
        <f>IF(R7&gt;0,SUM(COUNTA(DC7:DN7)+COUNTA(Tabla1[[#This Row],[FECHA CONSULTA PRIMERA VEZ PROGRAMA CPN ]])),"")</f>
        <v>6</v>
      </c>
      <c r="DX7" s="43" t="str">
        <f>IF(AND(DW7&gt;=0,DW7&lt;4),"NO",IF(AND(DW7&gt;=4,DW7&lt;12),"SI",""))</f>
        <v>SI</v>
      </c>
      <c r="DY7" s="39">
        <f>IF(BO7="","",IF(BO7&gt;0,INT(SUM(((40-BO7)/4)+2)),"X"))</f>
        <v>9</v>
      </c>
      <c r="DZ7" s="47">
        <f>IF(DY7="","",IF(DW7&gt;0,SUM(DW7/DY7),"X"))</f>
        <v>0.66666666666666663</v>
      </c>
      <c r="EA7" s="35">
        <v>44734</v>
      </c>
      <c r="EB7" s="35">
        <v>44734</v>
      </c>
      <c r="EC7" s="35">
        <v>44734</v>
      </c>
      <c r="ED7" s="35">
        <v>44761</v>
      </c>
      <c r="EE7" s="35">
        <v>44734</v>
      </c>
      <c r="EF7" s="35">
        <v>44767</v>
      </c>
      <c r="EG7" s="35">
        <v>44823</v>
      </c>
      <c r="EH7" s="31">
        <v>2</v>
      </c>
      <c r="EI7" s="31">
        <v>13</v>
      </c>
      <c r="EJ7" s="35">
        <v>44734</v>
      </c>
      <c r="EK7" s="43">
        <f>IF(AND(BP7="ERROR FUM O INGRESO",EJ7&gt;0),"ERROR FUM O INGRESO",IF(AND(EJ7="",R7="",O7=""),"",IF(OR(AND(EJ7&lt;&gt;"",EJ7&lt;BK7),AND(EJ7&lt;&gt;"",SUM((EJ7-BK7)/7)&gt;40)),"CORREGIR FECHA RESULTADO",IF(AND(EJ7="",OR(O7&gt;0,R7&gt;0)),"TOMAR EXAMEN",IF(EJ7&gt;0,SUM(EJ7-BK7)/7,"")))))</f>
        <v>10</v>
      </c>
      <c r="EL7" s="39" t="str">
        <f>IF(AND(OR(O7&gt;0,R7&gt;0),EI7=""),"",IF(AND(OR(O7&gt;0,R7&gt;0),EI7&gt;0,EI7&lt;11),"MANEJO MD POR ANEMIA FERROPENICA",IF(AND(OR(O7&gt;0,R7&gt;0),EI7&lt;=14),"NORMAL- SUMINISTRAR SULFATO FERROSO",IF(AND(OR(O7&gt;0,R7&gt;0),EI7&lt;20),"NO DAR SULFATO FERROSO",""))))</f>
        <v>NORMAL- SUMINISTRAR SULFATO FERROSO</v>
      </c>
      <c r="EM7" s="31" t="str">
        <f>IF(AND(EK7="",BP7=""),"",IF(AND(EK7&lt;&gt;"",BP7="SIN DATO"),"SIN DATO",IF(AND(EK7="",BP7&lt;&gt;""),"",IF(AND(EK7&lt;0,BP7&gt;0),"ERROR FUM O INGRESO",IF(EK7&lt;=13,"I TRIM",IF(EK7&lt;28,"II TRIM",IF(AND(EK7&gt;27,EK7&lt;45),"III TRIM","POR DEFINIR")))))))</f>
        <v>I TRIM</v>
      </c>
      <c r="EN7" s="37">
        <v>15</v>
      </c>
      <c r="EO7" s="35">
        <v>44883</v>
      </c>
      <c r="EP7" s="44">
        <f>IF(AND(BP7="ERROR FUM O INGRESO",EO7&gt;0),"ERROR FUM O INGRESO",IF(AND(EO7="",R7="",O7=""),"",IF(OR(AND(EO7&lt;&gt;"",EO7&lt;BK7),AND(EO7&lt;&gt;"",SUM((EO7-BK7)/7)&gt;40)),"CORREGIR FECHA RESULTADO",IF(AND(EO7="",OR(O7&gt;0,R7&gt;0)),"TOMAR EXAMEN",IF(EO7&gt;0,SUM(EO7-BK7)/7,"")))))</f>
        <v>31.285714285714285</v>
      </c>
      <c r="EQ7" s="39" t="str">
        <f>IF(AND(OR(O7&gt;0,R7&gt;0),EN7=""),"",IF(AND(OR(O7&gt;0,R7&gt;0),EN7&gt;0,EN7&lt;10.5),"MANEJO MD POR ANEMIA FERROPENICA",IF(AND(OR(O7&gt;0,R7&gt;0),EN7&lt;14),"NORMAL- SUMINISTRAR SULFATO FERROSO",IF(AND(OR(O7&gt;0,R7&gt;0),EN7&lt;20),"NO DAR SULFATO FERROSO",""))))</f>
        <v>NO DAR SULFATO FERROSO</v>
      </c>
      <c r="ER7" s="37" t="s">
        <v>893</v>
      </c>
      <c r="ES7" s="35">
        <v>44734</v>
      </c>
      <c r="ET7" s="44">
        <f>IF(AND(BP7="ERROR FUM O INGRESO",ES7&gt;0),"ERROR FUM O INGRESO",IF(AND(ES7="",R7="",O7=""),"",IF(OR(AND(ES7&lt;&gt;"",ES7&lt;BK7),AND(ES7&lt;&gt;"",SUM((ES7-BK7)/7)&gt;40)),"CORREGIR FECHA RESULTADO",IF(AND(ES7="",OR(O7&gt;0,R7&gt;0)),"TOMAR EXAMEN",IF(ES7&gt;0,SUM(ES7-BK7)/7,"")))))</f>
        <v>10</v>
      </c>
      <c r="EU7" s="39" t="str">
        <f>IF(ER7="A-","RIESGO DE INCOMPATIBILIDAD RH",IF(ER7="B-","RIESGO DE INCOMPATIBILIDAD RH",IF(ER7="O-","RIESGO DE INCOMPATIBILIDAD RH",IF(ER7="AB-","RIESGO DE INCOMPATIBILIDAD RH",IF(OR(ER7="A+",ER7="A--"),"NO HAY RIESGO POR RH",IF(OR(ER7="B+",ER7="B--"),"NO HAY RIESGO POR RH",IF(OR(ER7="O+",ER7="O--"),"NO HAY RIESGO POR RH",IF(OR(ER7="AB+",ER7="AB--"),"NO HAY RIESGO POR RH",IF(ER7=0,"")))))))))</f>
        <v>NO HAY RIESGO POR RH</v>
      </c>
      <c r="EV7" s="31">
        <v>95</v>
      </c>
      <c r="EW7" s="35">
        <v>44734</v>
      </c>
      <c r="EX7" s="44">
        <f>IF(AND(BP7="ERROR FUM O INGRESO",EW7&gt;0),"ERROR FUM O INGRESO",IF(AND(EW7="",R7="",O7=""),"",IF(OR(AND(EW7&lt;&gt;"",EW7&lt;BK7),AND(EW7&lt;&gt;"",SUM((EW7-BK7)/7)&gt;40)),"CORREGIR FECHA RESULTADO",IF(AND(EW7="",OR(O7&gt;0,R7&gt;0)),"TOMAR EXAMEN",IF(EW7&gt;0,SUM(EW7-BK7)/7,"")))))</f>
        <v>10</v>
      </c>
      <c r="EY7" s="44">
        <v>75</v>
      </c>
      <c r="EZ7" s="44">
        <v>85</v>
      </c>
      <c r="FA7" s="44">
        <v>110</v>
      </c>
      <c r="FB7" s="31" t="str">
        <f ca="1">IF(AND(OR(EY7&gt;0,EZ7&gt;0,FA7&gt;0),FD7&gt;0,FD7&lt;24,AND(EY7&gt;1,EY7&lt;92),AND(EZ7&gt;1,EZ7&lt;180),AND(FA7&gt;1,FA7&lt;153)),"NORMAL, NO DESCARTA DIABETES POR REALIZARLO ANTES DE  SEMANA 24, ",IF(AND(OR(EY7&gt;0,EZ7&gt;0,FA7&gt;0),FD7&gt;0,FD7&lt;24,OR(EY7&gt;=92,EZ7&gt;=180,FA7&gt;=153)),"DIABETES, REMITIR",IF(AND(BQ7="",FC7="",EY7="",EZ7="",FA7=""),"",IF(AND(BQ7&gt;=19,BQ7&lt;24,FC7="",EY7="",EZ7="",FA7=""),"PROGRAMAR TOMA PTOG SIGUIENTE CONTROL",IF(AND(BQ7&gt;=24,FC7="",EY7="",EZ7="",FA7=""),"TOMAR PTOG",IF(OR(EY7&gt;=92,EZ7&gt;=180,FA7&gt;=153),"DIABETES, REMITIR",IF(AND(AND(EY7&gt;1,EY7&lt;92),AND(EZ7&gt;1,EZ7&lt;180),AND(FA7&gt;1,FA7&lt;153)),"NORMAL",IF(AND(EY7&gt;0,OR(EZ7=0,FA7=0)),"NO COMPLETA EXAMEN",""))))))))</f>
        <v>NORMAL</v>
      </c>
      <c r="FC7" s="48">
        <v>44848</v>
      </c>
      <c r="FD7" s="44">
        <f>IF(AND(BP7="ERROR FUM O INGRESO",FC7&gt;0),"ERROR FUM O INGRESO",IF(AND(FC7="",R7="",O7=""),"",IF(OR(AND(FC7&lt;&gt;"",FC7&lt;BK7),AND(FC7&lt;&gt;"",SUM((FC7-BK7)/7)&gt;40)),"CORREGIR FECHA RESULTADO",IF(AND(FC7="",OR(O7&gt;0,R7&gt;0)),"TOMAR EXAMEN",IF(FC7&gt;0,SUM(FC7-BK7)/7,"")))))</f>
        <v>26.285714285714285</v>
      </c>
      <c r="FE7" s="35" t="s">
        <v>894</v>
      </c>
      <c r="FF7" s="35">
        <v>44734</v>
      </c>
      <c r="FG7" s="44">
        <f ca="1">IF(AND(BP7="ERROR FUM O INGRESO",FF7&gt;0),"ERROR FUM O INGRESO",IF(AND(FF7="",R7="",O7=""),"",IF(OR(AND(FF7&lt;&gt;"",FF7&lt;BK7),AND(FF7&lt;&gt;"",AND(SUM((FF7-BK7)/7)&gt;=13,SUM((FF7-BK7)/7)&lt;27))),"REGISTRAR EN II TRIMESTRE",IF(OR(AND(FF7&lt;&gt;"",FF7&lt;BK7),AND(FF7&lt;&gt;"",AND(SUM((FF7-BK7)/7)&gt;=27,SUM((FF7-BK7)/7)&lt;44))),"REGISTRAR EN III TRIMESTRE",IF(AND(FF7="",OR(O7&gt;0,R7&gt;0),AND(BQ7&gt;1,BQ7&lt;10)),"EN RANGO PARA TOMAR EXAMEN",IF(AND(FF7="",OR(O7&gt;0,R7&gt;0),AND(BQ7&gt;=10,BQ7&lt;13)),"TOMA INMEDIATA DE TAMIZAJE",IF(AND(FF7="",BO7&lt;13,OR(O7&gt;0,R7&gt;0)),"PIERDE TOMA DE TAMIZAJE",IF(AND(FF7="",OR(O7&gt;0,R7&gt;0),AND(BO7&gt;=13,BO7&lt;43)),"NO APLICA-INGRESO TARDIO",IF(FF7&gt;0,SUM(FF7-BK7)/7,"")))))))))</f>
        <v>10</v>
      </c>
      <c r="FH7" s="35" t="s">
        <v>894</v>
      </c>
      <c r="FI7" s="49">
        <v>44820</v>
      </c>
      <c r="FJ7" s="44">
        <f ca="1">IF(AND(BP7="ERROR FUM O INGRESO",FI7&gt;0),"ERROR FUM O INGRESO",IF(AND(FI7="",R7="",O7=""),"",IF(AND(FI7&lt;&gt;"",FI7&lt;BK7), "INCOHERENCIA FUM Y FECHA TAMIZAJE",IF(AND(FI7="",DR7="ACTIVA INGRESO A CPN",AND(BQ7&gt;0,BQ7&lt;13)),"EN ESPERA-ESTÁ I TRIM", IF(AND(FI7="",AND(BO7&gt;0, BO7&lt;13),OR(O7&gt;0,R7&gt;0),AND(IY7&gt;0,IY7&lt;13)),"NO APLICA-SALIO DEL PROGRAMA I TRIM",IF(AND(FI7&lt;&gt;"",AND(SUM((FI7-BK7)/7)&gt;0,SUM((FI7-BK7)/7)&lt;13)),"REGISTRAR EN I TRIMESTRE",IF(AND(FI7&lt;&gt;"",AND(SUM((FI7-BK7)/7)&gt;=27,SUM((FI7-BK7)/7)&lt;44)),"REGISTRAR EN III TRIMESTRE",IF(AND(FI7="",OR(O7&gt;0,R7&gt;0),AND(BQ7&gt;=13,BQ7&lt;24),DR7="ACTIVA INGRESO A CPN"),"EN RANGO PARA TOMAR EXAMEN",IF(AND(FI7="",OR(O7&gt;0,R7&gt;0),AND(BQ7&gt;=25,BQ7&lt;27),DR7="ACTIVA INGRESO A CPN"),"TOMA INMEDIATA DE TAMIZAJE",IF(AND(FI7="",OR(O7&gt;0,R7&gt;0),AND(BO7&gt;=27,BO7&lt;44)),"NO APLICA-INGRESO TARDIO",IF(AND(FI7="",BO7&lt;27),"PIERDE TOMA DE TAMIZAJE",IF(FI7&gt;0,SUM(FI7-BK7)/7,""))))))))))))</f>
        <v>22.285714285714285</v>
      </c>
      <c r="FK7" s="35" t="s">
        <v>894</v>
      </c>
      <c r="FL7" s="49">
        <v>44883</v>
      </c>
      <c r="FM7" s="44">
        <f ca="1">IF(AND(BP7="ERROR FUM O INGRESO",FL7&gt;0),"ERROR FUM O INGRESO",IF(AND(FL7="",R7="",O7=""),"",IF(AND(FL7&lt;&gt;"",FL7&lt;BK7), "INCOHERENCIA FUM Y FECHA TAMIZAJE",IF(AND(FL7="",DR7="ACTIVA INGRESO A CPN",AND(BQ7&gt;0,BQ7&lt;27)),"EN ESPERA-ESTÁ I TRIM O II TRIM", IF(AND(FL7="",AND(BO7&gt;0, BO7&lt;27),OR(O7&gt;0,R7&gt;0),AND(IY7&gt;0,IY7&lt;27)),"NO APLICA-SALIO DEL PROGRAMA I O II TRIM",IF(AND(FL7&lt;&gt;"",AND(SUM((FL7-BK7)/7)&gt;0,SUM((FL7-BK7)/7)&lt;13)),"REGISTAR EN I TRIMESTRE",IF(AND(FL7&lt;&gt;"",AND(SUM((FL7-BK7)/7)&gt;=13,SUM((FL7-BK7)/7)&lt;27)),"REGISTRAR EN II TRIMESTRE",IF(AND(FL7="",OR(O7&gt;0,R7&gt;0),AND(BQ7&gt;=28,BQ7&lt;35),DR7="ACTIVA INGRESO A CPN"),"EN RANGO PARA TOMAR EXAMEN",IF(AND(FL7="",OR(O7&gt;0,R7&gt;0),BQ7&gt;=35, DR7="ACTIVA INGRESO A CPN"),"TOMA INMEDIATA DE TAMIZAJE",IF(AND(FL7="",DR7= "SALE SIN INGRESO CPN"),"NO APLICA-SIN CPN",IF(AND(FL7="",BO7&lt;44),"PIERDE TOMA DE TAMIZAJE",IF(FL7&gt;0,SUM(FL7-BK7)/7,""))))))))))))</f>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IF(AND(BP7="ERROR FUM O INGRESO",FR7&gt;0),"ERROR FUM O INGRESO",IF(AND(FR7="",R7="",O7=""),"",IF(OR(AND(FR7&lt;&gt;"",FR7&lt;BK7),AND(FR7&lt;&gt;"",SUM((FR7-BK7)/7)&gt;40)),"CORREGIR FECHA RESULTADO",IF(AND(FR7="",OR(O7&gt;0,R7&gt;0)),"TOMAR EXAMEN",IF(FR7&gt;0,SUM(FR7-BK7)/7,"")))))</f>
        <v>10</v>
      </c>
      <c r="FT7" s="43" t="s">
        <v>895</v>
      </c>
      <c r="FU7" s="35">
        <v>44734</v>
      </c>
      <c r="FV7" s="44">
        <f>IF(AND(BP7="ERROR FUM O INGRESO",FU7&gt;0),"ERROR FUM O INGRESO",IF(AND(FU7="",R7="",O7=""),"",IF(OR(AND(FU7&lt;&gt;"",FU7&lt;BK7),AND(FU7&lt;&gt;"",SUM((FU7-BK7)/7)&gt;40)),"CORREGIR FECHA RESULTADO",IF(AND(FU7="",OR(O7&gt;0,R7&gt;0)),"TOMAR EXAMEN",IF(FU7&gt;0,SUM(FU7-BK7)/7,"")))))</f>
        <v>10</v>
      </c>
      <c r="FW7" s="35">
        <v>44734</v>
      </c>
      <c r="FX7" s="35">
        <v>44734</v>
      </c>
      <c r="FY7" s="35" t="s">
        <v>896</v>
      </c>
      <c r="FZ7" s="35">
        <v>44734</v>
      </c>
      <c r="GA7" s="44">
        <f ca="1">IF(AND(BP7="ERROR FUM O INGRESO",FZ7&gt;0),"ERROR FUM O INGRESO",IF(AND(FZ7="",R7="",O7=""),"",IF(OR(AND(FZ7&lt;&gt;"",FZ7&lt;BK7),AND(FZ7&lt;&gt;"",AND(SUM((FZ7-BK7)/7)&gt;=13,SUM((FZ7-BK7)/7)&lt;27))),"REGISTRAR EN II TRIMESTRE",IF(OR(AND(FZ7&lt;&gt;"",FZ7&lt;BK7),AND(FZ7&lt;&gt;"",AND(SUM((FZ7-BK7)/7)&gt;=27,SUM((FZ7-BK7)/7)&lt;44))),"REGISTRAR EN III TRIMESTRE",IF(AND(FZ7="",OR(O7&gt;0,R7&gt;0),AND(BQ7&gt;1,BQ7&lt;10)),"EN RANGO PARA TOMAR EXAMEN",IF(AND(FZ7="",OR(O7&gt;0,R7&gt;0),AND(BQ7&gt;=10,BQ7&lt;12)),"TOMA INMEDIATA DE TAMIZAJE",IF(AND(FZ7="",BO7&lt;12,OR(O7&gt;0,R7&gt;0)),"PIERDE TOMA DE TAMIZAJE",IF(AND(FZ7="",OR(O7&gt;0,R7&gt;0),AND(BO7&gt;=13,BO7&lt;44)),"NO APLICA-INGRESO TARDIO",IF(FZ7&gt;0,SUM(FZ7-BK7)/7,"")))))))))</f>
        <v>10</v>
      </c>
      <c r="GB7" s="35" t="s">
        <v>896</v>
      </c>
      <c r="GC7" s="35">
        <v>44820</v>
      </c>
      <c r="GD7" s="44">
        <f ca="1">IF(AND(BP7="ERROR FUM O INGRESO",GC7&gt;0),"ERROR FUM O INGRESO",IF(AND(GC7="",R7="",O7=""),"",IF(AND(GC7&lt;&gt;"",GC7&lt;BK7), "INCOHERENCIA FUM Y FECHA TAMIZAJE",IF(AND(GC7="",DR7="ACTIVA INGRESO A CPN",AND(BQ7&gt;0,BQ7&lt;13)),"EN ESPERA-ESTÁ I TRIM", IF(AND(GC7="",AND(BO7&gt;0, BO7&lt;12),OR(O7&gt;0,R7&gt;0),AND(IY7&gt;0,IY7&lt;13)),"NO APLICA-SALIO DEL PROGRAMA I TRIM",IF(AND(GC7&lt;&gt;"",AND(SUM((GC7-BK7)/7)&gt;0,SUM((GC7-BK7)/7)&lt;13)),"REGISTRAR EN I TRIMESTRE",IF(AND(GC7&lt;&gt;"",AND(SUM((GC7-BK7)/7)&gt;=27,SUM((GC7-BK7)/7)&lt;44)),"REGISTRAR EN III TRIMESTRE",IF(AND(GC7="",OR(O7&gt;0,R7&gt;0),AND(BQ7&gt;=12,BQ7&lt;25),DR7="ACTIVA INGRESO A CPN"),"EN RANGO PARA TOMAR EXAMEN",IF(AND(GC7="",OR(O7&gt;0,R7&gt;0),AND(BQ7&gt;=25,BQ7&lt;27),DR7="ACTIVA INGRESO A CPN"),"TOMA INMEDIATA DE TAMIZAJE",IF(AND(GC7="",OR(O7&gt;0,R7&gt;0),AND(BO7&gt;=27,BO7&lt;43)),"NO APLICA-INGRESO TARDIO",IF(AND(GC7="",BO7&lt;27),"PIERDE TOMA DE TAMIZAJE",IF(GC7&gt;0,SUM(GC7-BK7)/7,""))))))))))))</f>
        <v>22.285714285714285</v>
      </c>
      <c r="GE7" s="35" t="s">
        <v>896</v>
      </c>
      <c r="GF7" s="35">
        <v>44883</v>
      </c>
      <c r="GG7" s="44">
        <f ca="1">IF(AND(BP7="ERROR FUM O INGRESO",GF7&gt;0),"ERROR FUM O INGRESO",IF(AND(GF7="",R7="",O7=""),"",IF(AND(GF7&lt;&gt;"",GF7&lt;BK7), "INCOHERENCIA FUM Y FECHA TAMIZAJE",IF(AND(GF7="",DR7="ACTIVA INGRESO A CPN",AND(BQ7&gt;0,BQ7&lt;27)),"EN ESPERA-ESTÁ I TRIM O II TRIM", IF(AND(GF7="",AND(BO7&gt;0, BO7&lt;28),OR(O7&gt;0,R7&gt;0),AND(IY7&gt;0,IY7&lt;28)),"NO APLICA-SALIO DEL PROGRAMA I O II TRIM",IF(AND(GF7&lt;&gt;"",AND(SUM((GF7-BK7)/7)&gt;0,SUM((GF7-BK7)/7)&lt;13)),"REGISTAR EN I TRIMESTRE",IF(AND(GF7&lt;&gt;"",AND(SUM((GF7-BK7)/7)&gt;=13,SUM((GF7-BK7)/7)&lt;27)),"REGISTRAR EN II TRIMESTRE",IF(AND(GF7="",OR(O7&gt;0,R7&gt;0),AND(BQ7&gt;=28,BQ7&lt;35),DR7="ACTIVA INGRESO A CPN"),"EN RANGO PARA TOMAR EXAMEN",IF(AND(GF7="",OR(O7&gt;0,R7&gt;0),BQ7&gt;=35, DR7="ACTIVA INGRESO A CPN"),"TOMA INMEDIATA DE TAMIZAJE",IF(AND(GF7="",DR7= "SALE SIN INGRESO CPN"),"NO APLICA-SIN CPN",IF(AND(GF7="",BO7&lt;44),"PIERDE TOMA DE TAMIZAJE",IF(GF7&gt;0,SUM(GF7-BK7)/7,""))))))))))))</f>
        <v>31.285714285714285</v>
      </c>
      <c r="GH7" s="35"/>
      <c r="GI7" s="44"/>
      <c r="GJ7" s="35" t="s">
        <v>883</v>
      </c>
      <c r="GK7" s="35"/>
      <c r="GL7" s="35" t="s">
        <v>883</v>
      </c>
      <c r="GM7" s="35"/>
      <c r="GN7" s="43" t="s">
        <v>895</v>
      </c>
      <c r="GO7" s="35">
        <v>44734</v>
      </c>
      <c r="GP7" s="44">
        <f>IF(AND(BP7="ERROR FUM O INGRESO",GO7&gt;0),"ERROR FUM O INGRESO",IF(AND(GO7="",R7="",O7=""),"",IF(OR(AND(GO7&lt;&gt;"",GO7&lt;BK7),AND(GO7&lt;&gt;"",SUM((GO7-BK7)/7)&gt;40)),"CORREGIR FECHA RESULTADO",IF(AND(GO7="",OR(O7&gt;0,R7&gt;0)),"TOMAR EXAMEN",IF(GO7&gt;0,SUM(GO7-BK7)/7,"")))))</f>
        <v>10</v>
      </c>
      <c r="GQ7" s="43" t="s">
        <v>895</v>
      </c>
      <c r="GR7" s="43" t="s">
        <v>895</v>
      </c>
      <c r="GS7" s="35" t="str">
        <f>IF(GQ7="NEGATIVO","CONTROL Igm",IF(AND(GQ7="POSITIVO",GR7="NEGATIVO"),"SE EXCLUYE INFECCION",IF(AND(GQ7="POSITIVO",GR7="POSITIVO"),"TOXOPLASMOSIS, REMITIR PARA MANEJO","")))</f>
        <v>CONTROL Igm</v>
      </c>
      <c r="GT7" s="35">
        <v>44734</v>
      </c>
      <c r="GU7" s="44">
        <f>IF(AND(BP7="ERROR FUM O INGRESO",GT7&gt;0),"ERROR FUM O INGRESO",IF(AND(GT7="",R7="",O7=""),"",IF(OR(AND(GT7&lt;&gt;"",GT7&lt;BK7),AND(GT7&lt;&gt;"",SUM((GT7-BK7)/7)&gt;40)),"CORREGIR FECHA RESULTADO",IF(AND(GT7="",OR(O7&gt;0,R7&gt;0)),"TOMAR EXAMEN",IF(GT7&gt;0,SUM(GT7-BK7)/7,"")))))</f>
        <v>10</v>
      </c>
      <c r="GV7" s="31" t="str">
        <f>IF(AND(GU7="",BP7=""),"",IF(AND(GU7&lt;&gt;"",BP7="SIN DATO"),"SIN DATO",IF(AND(GU7="",BP7&lt;&gt;""),"",IF(AND(GU7&lt;0,BP7&gt;0),"ERROR FUM O INGRESO",IF(GU7&lt;=13,"I TRIM",IF(GU7&lt;28,"II TRIM",IF(AND(GU7&gt;27,GU7&lt;45),"III TRIM","POR DEFINIR")))))))</f>
        <v>I TRIM</v>
      </c>
      <c r="GW7" s="43" t="s">
        <v>895</v>
      </c>
      <c r="GX7" s="46">
        <v>5</v>
      </c>
      <c r="GY7" s="31"/>
      <c r="GZ7" s="35"/>
      <c r="HA7" s="43" t="str">
        <f>IF(GZ7&gt;0,SUM(GZ7-BK7)/7,"")</f>
        <v/>
      </c>
      <c r="HB7" s="31" t="str">
        <f>IF(HA7&lt;0,"ANTES DEL EMBARAZO",IF(AND(HA7&gt;0,HA7&lt;13),"I TRIM",IF(AND(HA7&gt;12,HA7&lt;28),"II TRIM",IF(AND(HA7&gt;27,HA7&lt;41),"III TRIM",""))))</f>
        <v/>
      </c>
      <c r="HC7" s="31" t="str">
        <f>IF(GY7="","",IF(GY7="CARCINOMA ESCAMOCELULAR","CITAR PARA COLPOSCOPIA Y PATOLOGIA",IF(GY7="ASCUS","CITAR PARA COLPOSCOPIA",IF(GY7="ACSI","CITAR PARA COLPOSCOPIA",IF(GY7="INFECCION VPH","CITAR PARA COLPOSCOPIA",IF(GY7="NIC I","CITAR PARA COLPOSCOPIA",IF(GY7="NIC I VPH","CITAR PARA COLPOSCOPIA",IF(GY7="NIC II","CITAR PARA COLPOSCOPIA",IF(GY7="NIC III","CITAR PARA COLPOSCOPIA",IF(GY7="CAMBIOS INFLAMATORIOS","CONSULTA CON MÉDICO GENERAL",IF(GY7="INFECCION","CONSULTA CON MÉDICO GENERAL",IF(GY7="NEGATIVA PARA NEOPLASIA","CITA PARA CITOLOGIA SEGÚN ESQUEMA1-1-3",IF(GY7="MUESTRA INADECUADA","REPETIR CITOLOGIA",IF(GY7=0,"SD"))))))))))))))</f>
        <v/>
      </c>
      <c r="HD7" s="31" t="s">
        <v>897</v>
      </c>
      <c r="HE7" s="31"/>
      <c r="HF7" s="31" t="s">
        <v>898</v>
      </c>
      <c r="HG7" s="31"/>
      <c r="HH7" s="31" t="s">
        <v>899</v>
      </c>
      <c r="HI7" s="31">
        <v>0</v>
      </c>
      <c r="HJ7" s="35" t="s">
        <v>900</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IF(OR(O7&gt;0,R7&gt;0),CONCATENATE(IF(AY7="SI","ANTECEDENTE EMBARAZO MOLAR",""),"*",CONCATENATE(IF(AZ7="SI","ANTECEDENTE MUERTE NEONATAL",""),"*",CONCATENATE(IF(AND(BM7&gt;0,BM7&lt;13),"PERIODO INTERGENESICO CORTO",""),"*",CONCATENATE(IF(AND(BO7&gt;13,BO7&lt;42),"INGRESO TARDIO A CPN",""),"*",CONCATENATE(IF(CO7="BAJO PESO","BAJO PESO",""),"*",CONCATENATE(IF(CO7="SOBREPESO","SOBREPESO",""),"*",CONCATENATE(IF(CO7="OBESIDAD","OBESIDAD",""),"*",CONCATENATE(IF(GN7="POSITIVO","SEGUIMIENTO INFECCIÓN HEP B",""),"*",CONCATENATE(IF(GS7="TOXOPLASMOSIS, REMITIR PARA MANEJO","INFECCIÓN TOXOPLASMOSIS",""),"*",CONCATENATE(IF(GS7="CONTROL Igm","PREVENCIÓN CONTAGIO TOXOPLASMOSIS",""),"*",CONCATENATE(IF(OR(HJ7="COVID19 PRIMER TRIMESTRE",HJ7="COVID19 SEGUNDO TRIMESTRE",HJ7="COVID19 TERCER TRIMESTRE",HJ7="COVID19 PUERPERIO"),"INFECCIÓN SARS-CoV2 CONFIRMADA",""),"*",CONCATENATE(IF(OR(HC7="CITAR PARA COLPOSCOPIA",HC7="CITAR PARA COLPOSCOPIA Y PATOLOGIA"),"DESCARTAR CANCER DE UTERO",""),"*",)))))))))))),"")</f>
        <v>#REF!</v>
      </c>
      <c r="HM7" s="35" t="e">
        <f>IF(AND(O7="",R7=""),"",IF(AND(OR(O7&lt;&gt;"",R7&lt;&gt;""),OR(HO7="RIESGO ALTO DE COMPLICACIONES HIPERTENSIVAS VER MANEJO GUIA SUMINISTRO ASA Y CALCIO",HO7="RIESGO MODERADO (2 O MAS CRITERIOS) VER MANEJO GUIA SUMINISTRO ASA Y CALCIO")),"ALTO RIESGO",IF(AND(HL7="************",OR(O7&lt;&gt;"",R7&lt;&gt;""),AND(NM7&gt;=0,NM7&lt;3)),"BAJO RIESGO",IF(AND(OR(O7&lt;&gt;"",R7&lt;&gt;""),OR(HJ7="COVID19 PRIMER TRIMESTRE",HJ7="COVID19 SEGUNDO TRIMESTRE",HJ7="COVID19 TERCER TRIMESTRE",HJ7="COVID19 PUERPERIO")),"ALTO RIESGO",IF(AND(HL7&lt;&gt;"",OR(O7&lt;&gt;"",R7&lt;&gt;""),AND(NM7&gt;=0,NM7&lt;3)),"CON RIESGO",IF(AND(OR(O7&lt;&gt;"",R7&lt;&gt;""),NM7&gt;2),"ALTO RIESGO",""))))))</f>
        <v>#VALUE!</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GEMELAR",""),"*",CONCATENATE(IF(NJ7=3,"PRESENTACIÓN FETAL PODALICA O TRANSVERSA",""),"*",CONCATENATE(IF(BY7="SI","POLIHIDRAMNIOS",""),"*",CONCATENATE(IF(FB7="DIABETES, REMITIR","DIABETES GESTACIONAL",""),"*",CONCATENATE(IF(FP7&lt;&gt;"","SEGUIMIENTO PARA SIFILIS GESTACIONAL",""),"*",CONCATENATE(IF(NI7=3,"SEGUIMIENTO PARA VIH",""),"*",CONCATENATE(IF(NG7=1,"SEGUIMIENTO PARA ANEMIA",""),"*",CONCATENATE(IF(ND7=2,"MULTIPARIDAD",""),"*",CONCATENATE(IF(ND7=1,"MULTIPARIDAD",""),"*",CONCATENATE(IF(NC7=1,"ANTECEDENTE MUERTE PERINATAL",""),"*",CONCATENATE(IF(OR(NA7=2,NA7=1),"RIESGO POR EDAD",""),"*",CONCATENATE(IF(OR(NE7=1,NE7=2),"CESAREAS PREVIAS",""),"*",CONCATENATE(IF(NF7=1,"ANTECEDENTE ECTOPICO O CX UTERINA",""),"*",CONCATENATE(IF(NH7=1,"EMBARAZO PROLONGADO",""),"*",CONCATENATE(IF(NK7=2,"SEGUIMIENTO PARA CHAGAS",""),"*",CONCATENATE(IF(NL7=3,"SEGUIMIENTO PARA MALARIA",""),"*",CONCATENATE(IF(OR(HJ7="COVID19 PRIMER TRIMESTRE",HJ7="COVID19 SEGUNDO TRIMESTRE", HJ7="COVID19 TERCER TRIMESTRE",HJ7="COVID19 PUERPERIO"),"SEGUIMIENTO PARA COVID19",""),"*",CONCATENATE(IF(EU7="RIESGO DE INCOMPATIBILIDAD RH","SEGUIMIENTO PARA INCOMPATIBILIDAD RH",""),"*")))))))))))))))))))))))))))))))),"")</f>
        <v>#VALUE!</v>
      </c>
      <c r="HO7" s="31" t="e">
        <f>IF(AND(O7="",R7=""),"",IF(AND(OR(O7&gt;0,R7&gt;0),OR(AL7="SI",BD7="SI",BA7="SI",BB7="SI",BE7="SI")),"RIESGO ALTO DE COMPLICACIONES HIPERTENSIVAS VER MANEJO GUIA SUMINISTRO ASA Y CALCIO",IF(AND(OR(O7&gt;0,R7&gt;0),NN7&gt;1),"RIESGO MODERADO (2 O MAS CRITERIOS) VER MANEJO GUIA SUMINISTRO ASA Y CALCIO","SIN ANTECEDENTES DE RIESGO")))</f>
        <v>#VALUE!</v>
      </c>
      <c r="HP7" s="37" t="str">
        <f>IF(AND(O7="",R7=""),"",IF(AND(OR(O7&gt;0,R7&gt;0),CR7&lt;&gt;"",CU7&lt;&gt;"",CZ7&lt;&gt;""),CZ7,IF(AND(OR(O7&gt;0,R7&gt;0),CR7&lt;&gt;"",CU7&lt;&gt;"",CZ7=""),CU7,IF(AND(OR(O7&gt;0,R7&gt;0),CR7&lt;&gt;"",CU7="",CZ7=""),CR7,IF(AND(OR(O7&gt;0,R7&gt;0),CR7="",CU7="",CZ7&lt;&gt;""),CZ7,IF(AND(OR(O7&gt;0,R7&gt;0),CR7="",CU7&lt;&gt;"",CZ7&lt;&gt;""),CZ7,IF(AND(OR(O7&gt;0,R7&gt;0),CR7&lt;&gt;"",CU7="",CZ7&lt;&gt;""),CZ7,IF(AND(OR(O7&gt;0,R7&gt;0),CR7="",CU7&lt;&gt;"",CZ7=""),CU7,""))))))))</f>
        <v>APARENTEMENTE NORMAL</v>
      </c>
      <c r="HQ7" s="31" t="e">
        <f ca="1">IF(NR7="SD","",IF(AND(NR7&lt;=33,NR7&gt;=8),"MES DE CONTROL",IF(AND(NR7&gt;=1,NR7&lt;8),"SEMANA DE CONTROL",IF(NR7=0,"DIA DE CONTROL",IF(NR7&lt;0,"INASISTENTE",IF(NR7="Y","SEGUIMIENTO FUERA MUNICIPIO",IF(NR7="Z","BUSCAR PARA INGRESO A CPN",IF(NR7="W","DEFINIR FECHA CITA",IF(NR7="X","NO REALIZO CPN",IF(NR7="S","DILIGENCIAR FECHA SALIDA PROGRAMA","REVISAR FORMULA"))))))))))</f>
        <v>#VALUE!</v>
      </c>
      <c r="HR7" s="46" t="str">
        <f>IF(AND(R7&lt;&gt;"",IT7="CAMBIO DE RESIDENCIA"),"SEGUIMIENTO REPORTE EPS",IF(AND(R7&lt;&gt;"",OR(IT7&lt;&gt;"",IW7&lt;&gt;"")),"SALIO PROGRAMA",IF(AND(AND(R7="",O7&gt;0),OR(IT7&lt;&gt;"",IW7&lt;&gt;"")),"SALE SIN INGRESO CPN",IF(AND(R7="",O7&gt;0,IT7="",IW7=""),"ACTIVA SIN INGRESO CPN",IF(AND(R7&lt;&gt;"",OR(IT7="",IW7="")),"ACTIVA INGRESO A CPN","")))))</f>
        <v>SALIO PROGRAMA</v>
      </c>
      <c r="HS7" s="31" t="s">
        <v>875</v>
      </c>
      <c r="HT7" s="31" t="s">
        <v>883</v>
      </c>
      <c r="HU7" s="35">
        <v>44848</v>
      </c>
      <c r="HV7" s="35" t="s">
        <v>901</v>
      </c>
      <c r="HW7" s="35">
        <v>44848</v>
      </c>
      <c r="HX7" s="35" t="s">
        <v>901</v>
      </c>
      <c r="HY7" s="35">
        <v>44734</v>
      </c>
      <c r="HZ7" s="35" t="s">
        <v>901</v>
      </c>
      <c r="IA7" s="40" t="s">
        <v>887</v>
      </c>
      <c r="IB7" s="35">
        <v>44734</v>
      </c>
      <c r="IC7" s="43">
        <f>IF(AND(BP7="ERROR FUM O INGRESO",IB7&gt;0),"ERROR FUM O INGRESO",IF(AND(IB7="",R7=""),"",IF(OR(AND(IB7&lt;&gt;"",IB7&lt;BK7),AND(IB7&lt;&gt;"",SUM((IB7-BK7)/7)&gt;40)),"CORREGIR FECHA CONSULTA",IF(AND(IB7="",R7&gt;0),"PENDIENTE CONSULTA",IF(IB7&gt;0,SUM(IB7-BK7)/7,"")))))</f>
        <v>10</v>
      </c>
      <c r="ID7" s="40" t="s">
        <v>875</v>
      </c>
      <c r="IE7" s="40" t="s">
        <v>902</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ca="1">IF(AND(BK7="",NO7="SD"),"SIN DATO EDAD GESTACIONAL",IF(AND(BK7="",IM7=""),"",IF(AND(AND(BQ7&gt;0,BQ7&lt;20),IM7=""),"EN ESPERA PARA VACUNAR",IF(AND(AND(BQ7&gt;19,BQ7&lt;27),IM7=""),"PROGRAMAR APLICACION DE VACUNA",IF(AND(AND(BQ7&gt;26,BQ7&lt;43),IM7=""),"INASISTENTE",IF(AND(AND(NO7&gt;19,NO7&lt;27),IM7&gt;0),"VACUNA APLICADA ENTRE SEMANA 20 Y SEMANA 26",IF(AND(NO7&lt;20,IM7&gt;0),"VACUNA APLICADA ANTES SEMANA 20",IF(AND(NO7&gt;26,IM7&gt;0),"VACUNA APLICADA ENTRE SEMANA 27 Y EL PARTO",IF(AND(OR(IT7="CESAREA",IT7="PARTO"),IR7="POSIBLEMENTE NACIO",IM7=""),"SALE SIN VACUNA","")))))))))</f>
        <v>VACUNA APLICADA ENTRE SEMANA 20 Y SEMANA 26</v>
      </c>
      <c r="IO7" s="35"/>
      <c r="IP7" s="35">
        <f>IF(OR(BL7="SI",BL7="Corregida",BL7="NO"),(BK7+280),IF(BL7="Sin Dato","DEFINIR FPP POR ECO",""))</f>
        <v>44944</v>
      </c>
      <c r="IQ7" s="44">
        <f ca="1">IF(OR(IP7="DEFINIR FPP POR ECO",BP7="ERROR FUM O INGRESO"),"SIN DEFINIR",IF(IP7="","",IF(IP7&gt;0,SUM(IP7-TODAY()),"X")))</f>
        <v>-281</v>
      </c>
      <c r="IR7" s="35" t="str">
        <f ca="1">IF(IQ7&lt;0,"POSIBLEMENTE NACIO",IF(IQ7="SIN DEFINIR","SIN DATO",IF(AND(IQ7&gt;=0,IQ7&lt;=7),"SEMANA DE PARTO",IF(AND(IQ7&gt;=8,IQ7&lt;=28),"MENOS DE 4 SEMANAS",IF(AND(IQ7&gt;=29,IQ7&lt;=280),"PENDIENTE","")))))</f>
        <v>POSIBLEMENTE NACIO</v>
      </c>
      <c r="IS7" s="35"/>
      <c r="IT7" s="31" t="s">
        <v>904</v>
      </c>
      <c r="IU7" s="31" t="s">
        <v>905</v>
      </c>
      <c r="IV7" s="51" t="s">
        <v>906</v>
      </c>
      <c r="IW7" s="35">
        <v>44945</v>
      </c>
      <c r="IX7" s="31" t="s">
        <v>907</v>
      </c>
      <c r="IY7" s="44">
        <f>IF(AND(IW7&gt;0,IT7&lt;&gt;""),SUM(IW7-BK7)/7,"")</f>
        <v>40.142857142857146</v>
      </c>
      <c r="IZ7" s="52" t="s">
        <v>908</v>
      </c>
      <c r="JA7" s="31" t="s">
        <v>909</v>
      </c>
      <c r="JB7" s="31" t="s">
        <v>910</v>
      </c>
      <c r="JC7" s="31" t="s">
        <v>911</v>
      </c>
      <c r="JD7" s="31" t="s">
        <v>887</v>
      </c>
      <c r="JE7" s="31" t="s">
        <v>887</v>
      </c>
      <c r="JF7" s="31" t="s">
        <v>887</v>
      </c>
      <c r="JG7" s="31" t="s">
        <v>887</v>
      </c>
      <c r="JH7" s="31" t="s">
        <v>887</v>
      </c>
      <c r="JI7" s="31" t="s">
        <v>887</v>
      </c>
      <c r="JJ7" s="31" t="s">
        <v>912</v>
      </c>
      <c r="JK7" s="46">
        <v>1</v>
      </c>
      <c r="JL7" s="31" t="s">
        <v>913</v>
      </c>
      <c r="JM7" s="53">
        <v>2970</v>
      </c>
      <c r="JN7" s="31" t="str">
        <f>IF(AND(JM7&gt;700,JM7&lt;2500,IY7&gt;36),"BAJO PESO AL NACER",IF(AND(JM7&gt;500,JM7&lt;2500,IY7&lt;37),"PREMATURO",IF(AND(JM7&gt;2499,JM7&lt;4000,IY7&gt;36),"PESO ADECUADO EDAD GESTACIONAL",IF(AND(JM7&gt;3999,JM7&lt;6000,IY7&gt;36),"PESO GRANDE EDAD GESTACIONAL",""))))</f>
        <v>PESO ADECUADO EDAD GESTACIONAL</v>
      </c>
      <c r="JO7" s="236">
        <v>44945</v>
      </c>
      <c r="JP7" s="31"/>
      <c r="JQ7" s="31"/>
      <c r="JR7" s="31"/>
      <c r="JS7" s="46" t="s">
        <v>893</v>
      </c>
      <c r="JT7" s="35">
        <v>44945</v>
      </c>
      <c r="JU7" s="35">
        <v>44945</v>
      </c>
      <c r="JV7" s="31"/>
      <c r="JW7" s="53"/>
      <c r="JX7" s="31" t="str">
        <f>IF(AND(JW7&gt;700,JW7&lt;2500,IY7&gt;36,IY7&lt;43),"BAJO PESO AL NACER",IF(AND(JW7&gt;700,JW7&lt;2500,IY7&lt;37),"PREMATURO",IF(AND(JW7&gt;2499,JW7&lt;4000,IY7&gt;36,IY7&lt;43),"PESO ADECUADO EDAD GESTACIONAL",IF(AND(JW7&gt;3999,JW7&lt;6000,IY7&gt;36,IY7&lt;43),"PESO GRANDE EDAD GESTACIONAL",""))))</f>
        <v/>
      </c>
      <c r="JY7" s="35"/>
      <c r="JZ7" s="31"/>
      <c r="KA7" s="31"/>
      <c r="KB7" s="31"/>
      <c r="KC7" s="46"/>
      <c r="KD7" s="35"/>
      <c r="KE7" s="35"/>
      <c r="KF7" s="50">
        <v>44953</v>
      </c>
      <c r="KG7" s="43">
        <f>IF(AND(KF7&lt;&gt;"",KF7&lt;IW7),"INCONSISTENCIA FECHA CONTROL",IF(AND(OR(IT7="Parto",IT7="Cesarea"),KF7&gt;0,IW7&gt;0),SUM(KF7-IW7),IF(AND(OR(IT7="Parto",IT7="Cesarea"),KF7="",IW7&gt;0),"INASISTENTE","")))</f>
        <v>8</v>
      </c>
      <c r="KH7" s="50">
        <v>44953</v>
      </c>
      <c r="KI7" s="43">
        <f>IF(AND(KH7&lt;&gt;"",KH7&lt;IW7),"INCONSISTENCIA FECHA CONTROL",IF(AND(OR(IT7="Parto",IT7="Cesarea",IT7="Aborto Espontaneo",IT7="Aborto Inducido",IT7="IVE"),KH7&gt;0,IW7&gt;0),SUM(KH7-IW7),IF(AND(KH7&lt;&gt;"",KH7&lt;IW7),"INCONSISTENCIA FECHA CONTROL",IF(AND(OR(IT7="Parto",IT7="Cesarea",IT7="Aborto Espontaneo",IT7="Aborto Inducido",IT7="IVE"),KH7="",IW7&gt;0),"INASISTENTE",""))))</f>
        <v>8</v>
      </c>
      <c r="KJ7" s="31" t="s">
        <v>875</v>
      </c>
      <c r="KK7" s="31" t="s">
        <v>875</v>
      </c>
      <c r="KL7" s="31" t="s">
        <v>875</v>
      </c>
      <c r="KM7" s="54">
        <v>44945</v>
      </c>
      <c r="KN7" s="43" t="s">
        <v>914</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SUM(COUNTIF(LD7,"PARTERO (A)"),COUNTIF(LH7,"PARTERO (A)"),COUNTIF(LL7,"PARTERO (A)"),COUNTIF(LP7,"PARTERO (A)"),COUNTIF(LT7,"PARTERO (A)"),COUNTIF(LX7,"PARTERO (A)"),COUNTIF(MN7,"PARTERO (A)"))</f>
        <v>0</v>
      </c>
      <c r="MR7" t="str">
        <f>IF(AND(R7="",O7=""),"",IF(AND(OR(O7&gt;0,R7&gt;0),LC7&gt;0),SUM(LC7-BK7)/7,""))</f>
        <v/>
      </c>
      <c r="MS7" t="str">
        <f>IF(AND(MR7="",BP7=""),"",IF(AND(MR7&lt;&gt;"",BP7="SIN DATO"),"SIN DATO",IF(AND(MR7="",BP7&lt;&gt;""),"",IF(AND(MR7&lt;0,BP7&gt;0),"ERROR FUM O INGRESO",IF(MR7&lt;=13,"I TRIM",IF(MR7&lt;28,"II TRIM",IF(AND(MR7&gt;27,MR7&lt;45),"III TRIM","POR DEFINIR")))))))</f>
        <v/>
      </c>
      <c r="MT7">
        <f>SUM(COUNTIF(LD7,"MEDICO (A) TRADICIONAL"),COUNTIF(LH7,"MEDICO (A) TRADICIONAL"),COUNTIF(LL7,"MEDICO (A) TRADICIONAL"),COUNTIF(LP7,"MEDICO (A) TRADICIONAL"),COUNTIF(LT7,"MEDICO (A) TRADICIONAL"),COUNTIF(LX7,"MEDICO (A) TRADICIONAL"),COUNTIF(MN7,"MEDICO (A) TRADICIONAL"))</f>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IF(AND(O7&gt;0,BK7&gt;0),SUM(O7-BK7)/7,"")</f>
        <v>10</v>
      </c>
      <c r="MW7">
        <f>IF(R7&gt;0,MONTH(R7),"")</f>
        <v>6</v>
      </c>
      <c r="MX7">
        <f>IF(R7&gt;0,YEAR(R7),"")</f>
        <v>2022</v>
      </c>
      <c r="MY7" t="str">
        <f>IF(AND(MW7&gt;=1,MW7&lt;=3),"I TRIMESTRE AÑO",IF(AND(MW7&gt;=4,MW7&lt;=6),"II TRIMESTRE AÑO",IF(AND(MW7&gt;=7,MW7&lt;=9),"III TRIMESTRE AÑO",IF(AND(MW7&gt;=10,MW7&lt;=12),"IV TRIMESTRE AÑO",""))))</f>
        <v>II TRIMESTRE AÑO</v>
      </c>
      <c r="MZ7">
        <f>IF(AND(M7&gt;0,R7&gt;0),DAYS360(M7,R7)/30.44/12,IF(AND(M7&gt;0,O7&gt;0,R7=""),DAYS360(M7,O7)/30.44/12,""))</f>
        <v>17.832895313184405</v>
      </c>
      <c r="NA7">
        <f>IF(AND(MZ7&gt;7,MZ7&lt;14),2,IF(MZ7&lt;16,1,IF(MZ7&lt;=35,0,IF(AND(MZ7&gt;35,MZ7&lt;50),2,""))))</f>
        <v>0</v>
      </c>
      <c r="NB7" t="str">
        <f>+IF(MZ7="","",IF(MZ7&lt;14,"MENOR 14 AÑOS",IF(MZ7&lt;20,"DE 14 A 19AÑOS",IF(MZ7&lt;25," DE 20 A 24 AÑOS",IF(MZ7&lt;30," DE 25 A 29 AÑOS",IF(MZ7&lt;35," DE 30 A 34 AÑOS",IF(MZ7&lt;40," DE 35 A 39 AÑOS"," DE 40 Y MAS")))))))</f>
        <v>DE 14 A 19AÑOS</v>
      </c>
      <c r="NC7">
        <f>IF(AW7="SI",1,IF(AW7="NO",0,""))</f>
        <v>0</v>
      </c>
      <c r="ND7">
        <f>IF(AS7="","",IF(AS7=0,1,IF(AND(AS7&gt;=1,AS7&lt;=4),0,IF(AS7&gt;=5,2,"X"))))</f>
        <v>1</v>
      </c>
      <c r="NE7">
        <f>IF(AV7="","",IF(AV7=0,0,IF(AV7=1,1,IF(OR(AV7=2,AV7="3 O MAS"),2,"X"))))</f>
        <v>0</v>
      </c>
      <c r="NF7">
        <f>IF(AX7="SI",1,IF(AX7="NO",0,""))</f>
        <v>0</v>
      </c>
      <c r="NG7" t="str">
        <f>IF(OR(AND(EI7&gt;0,EI7&lt;11),AND(EN7&gt;0,EN7&lt;10.5)),1,"")</f>
        <v/>
      </c>
      <c r="NH7" t="str">
        <f ca="1">IF(AND(AND(BQ7&gt;40.9,BQ7&lt;43),IW7=""),1,"")</f>
        <v/>
      </c>
      <c r="NI7" t="str">
        <f>IF(AND(FY7="",GB7="",GE7="",GH7=""),"",IF(OR(OR(FY7="P.R REACTIVA",FY7="ELISA REACTIVA"),OR(GB7="P.R REACTIVA",GB7="ELISA REACTIVA"),OR(GE7="P.R REACTIVA",GE7="ELISA REACTIVA"),OR(GH7="P.R REACTIVA",GH7="ELISA REACTIVA")),3,""))</f>
        <v/>
      </c>
      <c r="NJ7">
        <f>IF(BX7="","",IF(OR(BX7="CEFÁLICA",BX7="SD"),0,IF(OR(BX7="PODÁLICA",BX7="TRANSVERSA O DE FRENTE",BX7="OBLICUA"),3,"")))</f>
        <v>0</v>
      </c>
      <c r="NK7" t="str">
        <f>IF(HD7="","",IF(HD7="POSITIVO",2,"0"))</f>
        <v>0</v>
      </c>
      <c r="NL7">
        <f>IF(AND(HF7="",HH7=""),"",IF(OR(HF7="POSITIVO",HH7="POSITIVO"),3,0))</f>
        <v>0</v>
      </c>
      <c r="NM7">
        <f ca="1">IF(AND(O7="",R7=""),"",IF(OR(O7&lt;&gt;"",R7&lt;&gt;""),SUM(COUNTIF(AL7:AP7,"SI"),COUNTIF(AU7,"SI"),COUNTIF(BF7,"SI"),COUNTIF(BI7,"SI"),SUM(COUNTIF(BA7:BC7,"SI")*3),SUM(COUNTIF(BV7:BW7,"SI")*3),SUM(COUNTIF(BH7,"SI")*3),SUM(COUNTIF(BG7,"SI")*2),SUM(COUNTIF(BY7,"SI")*2),SUM(COUNTIF(BE7,"SI")*2),SUM(COUNTIF(FB7,"DIABETES, REMITIR")*2),SUM(NC7:NL7),SUM(NA7),SUM(NP7),SUM(COUNTIF(EU7,"RIESGO DE INCOMPATIBILIDAD RH")*3),SUM(COUNTIF(FP7,"SIFILIS GESTACIONAL")*3)),""))</f>
        <v>1</v>
      </c>
      <c r="NN7" t="e">
        <f>IF(OR(O7&gt;0,R7&gt;0),SUM(COUNTIF(Tabla1[[#This Row],[AÑOS AL INICIO5 CPN]],"&gt;=40"),COUNTIF(AR7,"0"),COUNTIF(AQ7,"SI"),COUNTIF(BW7,"SI"),COUNTIF(BM7,"&gt;119"),COUNTIF(CC7,"&gt;=35")),"")</f>
        <v>#VALUE!</v>
      </c>
      <c r="NO7">
        <f>IF(AND(R7="",O7=""),"",IF(AND(OR(O7&gt;0,R7&gt;0),BK7=""),"SD",IF(AND(OR(O7&gt;0,R7&gt;0),IM7&gt;0),SUM(IM7-BK7)/7,"")))</f>
        <v>22.285714285714285</v>
      </c>
      <c r="NP7">
        <f>IF(AND(AE7="",AF7="",AG7="",AH7="",AI7="",AJ7=""),"",SUM(SUM(COUNTIF(AE7,"NO")/2),COUNTIF(AF7,"NO"),SUM(COUNTIF(AG7,"SI")/2),COUNTIF(AH7,"SI"),SUM(COUNTIF(AJ7,"SI")*2),COUNTIF(AI7,"DESPLAZADA"),COUNTIF(AI7,"MIGRATORIA"),COUNTIF(AI7,"DISCAPACIDAD FISICA"),COUNTIF(AI7,"DISCAPACIDAD CONDUCTUAL"),COUNTIF(AI7,"DISCAPACIDAD VISUAL"),COUNTIF(AI7,"DISCAPACIDAD AUDITIVA"),COUNTIF(AI7,"DISCAPACIDAD MULTIPLE"),COUNTIF(AI7,"DISCAPACIDAD SISTEMICA")))</f>
        <v>0</v>
      </c>
      <c r="NQ7">
        <f>IF(BS7&gt;0,BS7*7,"")</f>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IF(AND(O7&gt;0,R7=""),"NO CPN",IF(AND(O7="",R7=""),"",IF(AND(R7&gt;0,EF7&gt;0,EE7&gt;0),_xlfn.DAYS(EF7,EE7),IF(AND(R7&gt;0,EF7&gt;0,EE7=""),"NO CITA","X"))))</f>
        <v>33</v>
      </c>
      <c r="NV7" t="str">
        <f>IF(AND(O7&gt;0,R7=""),"NO CPN",IF(AND(O7="",R7=""),"",IF(AND(EJ7&lt;&gt;"",ES7&lt;&gt;"",EW7&lt;&gt;"",FF7&lt;&gt;"",FU7&lt;&gt;"",FZ7&lt;&gt;"",GO7&lt;&gt;"",GQ7&lt;&gt;"",GR7&lt;&gt;""),"SI","NO")))</f>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IF(AND(BO7="",IP7=""),"",IF(AND(BO7="",IP7="DEFINIR FPP POR ECO"),"SIN DATO",IF(BO7&lt;0,"ERROR FUM O INGRESO",IF(BL7="NO","DEFINIR CON ECO",IF(BO7&lt;10,"I TRIM",IF(BO7&lt;27,"II TRIM",IF(AND(BO7&gt;26,BO7&lt;45),"III TRIM","ERROR FUM O INGRESO")))))))</f>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IF(AND(O7="",R7=""),"",IF(AND(BO7&gt;0,BO7&lt;12,IY7&gt;28,IY7&lt;44),3, IF(OR(AND(BO7&gt;=12,BO7&lt;28,IY7&gt;=28,IY7&lt;44),AND(BO7&gt;0,BO7&lt;12,IY7&gt;=12,IY7&lt;29)),2,IF(OR(AND(BO7&gt;=28,BO7&lt;44),AND(BO7&gt;0,BO7&lt;12,IY7&gt;0,IY7&lt;12),AND(BO7&gt;=12,BO7&lt;28,IY7&gt;=12,IY7&lt;28)),1,IF(AND(BO7&gt;0,BO7&lt;12,BQ7&gt;=28,BQ7&lt;44,DR7="ACTIVA INGRESO A CPN"),3,IF(OR(AND(BO7&gt;0,BO7&lt;12,BQ7&gt;=12,BQ7&lt;28,DR7="ACTIVA INGRESO A CPN"),AND(BO7&gt;=12,BO7&lt;28,BQ7&gt;=28,BQ7&lt;44,DR7="ACTIVA INGRESO A CPN")),2,IF(OR(AND(BO7&gt;0,BO7&lt;12,BQ7&gt;0,BQ7&lt;12,DR7="ACTIVA INGRESO A CPN"),AND(BO7&gt;=12,BO7&lt;28,BQ7&gt;=12,BQ7&lt;28,DR7="ACTIVA INGRESO A CPN")),1,"REVISAR FUM O FECHA SALIDA PROGRAMA")))))))</f>
        <v>3</v>
      </c>
      <c r="OB7" s="213">
        <f ca="1">COUNT(FG7,FJ7,FM7,FO7)</f>
        <v>3</v>
      </c>
      <c r="OC7" s="1">
        <f ca="1">COUNT(GA7,GD7,GG7,GI7)</f>
        <v>3</v>
      </c>
      <c r="OD7" s="1" t="str">
        <f ca="1">IF(OA7="","",IF(OA7="REVISAR FUM O FECHA SALIDA PROGRAMA","POR DEFINIR",IF(OR(OA7=OB7,OB7&gt;OA7),"COMPLETO",IF(OB7&lt;OA7,"INCOMPLETO",""))))</f>
        <v>COMPLETO</v>
      </c>
      <c r="OE7" s="1" t="str">
        <f ca="1">IF(OA7="","",IF(OA7="REVISAR FUM O FECHA SALIDA PROGRAMA","POR DEFINIR",IF(OR(OA7=OC7,OC7&gt;OA7),"COMPLETO",IF(OC7&lt;OA7,"INCOMPLETO",""))))</f>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ca="1">IF(AND(O7="",R7=""),"",IF(OR(IN7="VACUNA APLICADA ENTRE SEMANA 20 Y SEMANA 26",IN7="VACUNA APLICADA ENTRE SEMANA 27 Y EL PARTO",IN7="VACUNA APLICADA ANTES SEMANA 20"),"VACUNADA","SIN VACUNAR"))</f>
        <v>VACUNADA</v>
      </c>
      <c r="OH7" s="148" t="e">
        <f>ROW(Tabla1[[#This Row],[SEMANAS DE GESTACION II TRIM]])</f>
        <v>#VALUE!</v>
      </c>
      <c r="OI7" t="str">
        <f t="shared" si="31"/>
        <v/>
      </c>
      <c r="OJ7" t="str">
        <f t="shared" si="32"/>
        <v/>
      </c>
      <c r="OK7" t="str">
        <f t="shared" si="33"/>
        <v/>
      </c>
      <c r="OL7" t="str">
        <f t="shared" si="34"/>
        <v/>
      </c>
      <c r="OM7" t="str">
        <f t="shared" si="35"/>
        <v>BAJO PESO</v>
      </c>
      <c r="ON7" t="str">
        <f t="shared" si="36"/>
        <v/>
      </c>
      <c r="OO7" t="str">
        <f t="shared" si="37"/>
        <v/>
      </c>
      <c r="OP7" t="str">
        <f t="shared" si="38"/>
        <v/>
      </c>
      <c r="OQ7" t="str">
        <f t="shared" si="39"/>
        <v/>
      </c>
      <c r="OR7" t="str">
        <f t="shared" si="40"/>
        <v/>
      </c>
      <c r="OS7" t="str">
        <f t="shared" si="41"/>
        <v/>
      </c>
      <c r="OT7" t="str">
        <f t="shared" si="42"/>
        <v/>
      </c>
      <c r="OU7" t="str">
        <f t="shared" si="43"/>
        <v/>
      </c>
      <c r="OV7" t="str">
        <f t="shared" si="44"/>
        <v/>
      </c>
      <c r="OW7" t="str">
        <f t="shared" si="45"/>
        <v/>
      </c>
      <c r="OX7" t="str">
        <f t="shared" si="46"/>
        <v/>
      </c>
      <c r="OY7" t="str">
        <f t="shared" si="47"/>
        <v/>
      </c>
      <c r="OZ7" t="str">
        <f t="shared" si="48"/>
        <v>BAJO PESO</v>
      </c>
      <c r="PA7" t="str">
        <f t="shared" si="49"/>
        <v/>
      </c>
      <c r="PB7" t="str">
        <f t="shared" si="50"/>
        <v/>
      </c>
      <c r="PC7" t="str">
        <f t="shared" si="51"/>
        <v/>
      </c>
      <c r="PD7" t="str">
        <f t="shared" si="52"/>
        <v/>
      </c>
      <c r="PE7" t="str">
        <f t="shared" si="53"/>
        <v/>
      </c>
      <c r="PF7" t="str">
        <f t="shared" si="54"/>
        <v/>
      </c>
      <c r="PG7" t="str">
        <f t="shared" si="55"/>
        <v/>
      </c>
      <c r="PH7" t="str">
        <f t="shared" si="56"/>
        <v/>
      </c>
      <c r="PI7" t="str">
        <f t="shared" si="57"/>
        <v/>
      </c>
      <c r="PJ7" t="str">
        <f t="shared" si="58"/>
        <v/>
      </c>
      <c r="PK7" t="str">
        <f t="shared" si="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60"/>
        <v/>
      </c>
      <c r="PN7" s="161" t="e">
        <f t="shared" si="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869</v>
      </c>
      <c r="B8" s="68" t="s">
        <v>854</v>
      </c>
      <c r="C8" s="68" t="s">
        <v>855</v>
      </c>
      <c r="D8" s="187" t="s">
        <v>863</v>
      </c>
      <c r="E8" s="68" t="s">
        <v>870</v>
      </c>
      <c r="F8" s="68" t="s">
        <v>871</v>
      </c>
      <c r="G8" s="68" t="s">
        <v>872</v>
      </c>
      <c r="H8" s="68" t="s">
        <v>873</v>
      </c>
      <c r="I8" s="145" t="s">
        <v>867</v>
      </c>
      <c r="J8" s="146">
        <v>1061719887</v>
      </c>
      <c r="K8" s="68" t="s">
        <v>874</v>
      </c>
      <c r="L8" s="68" t="s">
        <v>868</v>
      </c>
      <c r="M8" s="35">
        <v>39245</v>
      </c>
      <c r="N8" s="38">
        <f ca="1">IF(M8&gt;0,SUM(TODAY()-M8)/365,"")</f>
        <v>16.383561643835616</v>
      </c>
      <c r="O8" s="35">
        <v>44737</v>
      </c>
      <c r="P8" s="39" t="str">
        <f>IF(AND(O8="",R8&gt;0),"ACUDE ESPONTANEAMENTE",IF(AND(AND(O8&gt;0,R8=""),OR(IW8&gt;0,IT8&lt;&gt;"")),"NA",IF(AND(O8&gt;0,IW8="",R8=""),"NO",IF(AND(O8&gt;0,R8&gt;0),"SI",""))))</f>
        <v>SI</v>
      </c>
      <c r="Q8" s="40" t="s">
        <v>876</v>
      </c>
      <c r="R8" s="35">
        <v>44737</v>
      </c>
      <c r="S8" s="31" t="s">
        <v>877</v>
      </c>
      <c r="T8" s="37" t="s">
        <v>800</v>
      </c>
      <c r="U8" s="31" t="s">
        <v>878</v>
      </c>
      <c r="V8" s="31" t="s">
        <v>879</v>
      </c>
      <c r="W8" s="31" t="s">
        <v>892</v>
      </c>
      <c r="X8" s="31" t="s">
        <v>892</v>
      </c>
      <c r="Y8" s="31" t="s">
        <v>888</v>
      </c>
      <c r="Z8" s="31">
        <v>3148325692</v>
      </c>
      <c r="AA8" s="31" t="s">
        <v>882</v>
      </c>
      <c r="AB8" s="41" t="s">
        <v>883</v>
      </c>
      <c r="AC8" s="40" t="s">
        <v>889</v>
      </c>
      <c r="AD8" s="55" t="s">
        <v>885</v>
      </c>
      <c r="AE8" s="40" t="s">
        <v>875</v>
      </c>
      <c r="AF8" s="40" t="s">
        <v>875</v>
      </c>
      <c r="AG8" s="36" t="s">
        <v>886</v>
      </c>
      <c r="AH8" s="36" t="s">
        <v>886</v>
      </c>
      <c r="AI8" s="37" t="s">
        <v>885</v>
      </c>
      <c r="AJ8" s="36" t="s">
        <v>886</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886</v>
      </c>
      <c r="AM8" s="40" t="s">
        <v>886</v>
      </c>
      <c r="AN8" s="40" t="s">
        <v>886</v>
      </c>
      <c r="AO8" s="40" t="s">
        <v>886</v>
      </c>
      <c r="AP8" s="40" t="s">
        <v>886</v>
      </c>
      <c r="AQ8" s="40" t="s">
        <v>886</v>
      </c>
      <c r="AR8" s="31">
        <v>1</v>
      </c>
      <c r="AS8" s="31">
        <v>0</v>
      </c>
      <c r="AT8" s="31">
        <v>0</v>
      </c>
      <c r="AU8" s="40" t="s">
        <v>886</v>
      </c>
      <c r="AV8" s="31">
        <v>0</v>
      </c>
      <c r="AW8" s="40" t="s">
        <v>886</v>
      </c>
      <c r="AX8" s="40" t="s">
        <v>886</v>
      </c>
      <c r="AY8" s="40" t="s">
        <v>886</v>
      </c>
      <c r="AZ8" s="40" t="s">
        <v>886</v>
      </c>
      <c r="BA8" s="40" t="s">
        <v>886</v>
      </c>
      <c r="BB8" s="40" t="s">
        <v>886</v>
      </c>
      <c r="BC8" s="40" t="s">
        <v>886</v>
      </c>
      <c r="BD8" s="40" t="s">
        <v>886</v>
      </c>
      <c r="BE8" s="40" t="s">
        <v>886</v>
      </c>
      <c r="BF8" s="40" t="s">
        <v>886</v>
      </c>
      <c r="BG8" s="40" t="s">
        <v>886</v>
      </c>
      <c r="BH8" s="40" t="s">
        <v>886</v>
      </c>
      <c r="BI8" s="40" t="s">
        <v>886</v>
      </c>
      <c r="BJ8" s="35"/>
      <c r="BK8" s="35">
        <v>44667</v>
      </c>
      <c r="BL8" s="31" t="s">
        <v>875</v>
      </c>
      <c r="BM8" s="43">
        <f>IF(OR(BJ8="SD",BK8=""),"",IF(BJ8="",0,SUM(BK8-BJ8)/30))</f>
        <v>0</v>
      </c>
      <c r="BN8" s="57">
        <f>IF(BS8&gt;0,SUM(BR8-NQ8),"")</f>
        <v>44660.6</v>
      </c>
      <c r="BO8" s="44">
        <f>IF(AND(BL8="Corregida",BK8&gt;0,R8&gt;0,ISBLANK(BS8)),"SIN SEMANAS X ECO",IF(AND(BL8="Corregida",BK8&gt;0,R8&gt;0),SUM(R8-BN8)/7,IF(AND(OR(BL8="SI",BL8="NO"),BK8&gt;0,R8&gt;0),SUM(R8-BK8)/7,"")))</f>
        <v>10</v>
      </c>
      <c r="BP8" s="31" t="str">
        <f>IF(AND(BO8="",IP8=""),"",IF(AND(BO8="",IP8="DEFINIR FPP POR ECO"),"SIN DATO",IF(BO8&lt;0,"ERROR FUM O INGRESO O ECO",IF(BL8="NO","DEFINIR CON ECO",IF(BO8&lt;12,"I TRIM",IF(BO8&lt;27,"II TRIM",IF(AND(BO8&gt;26,BO8&lt;45),"III TRIM","ERROR FUM O INGRESO O ECO")))))))</f>
        <v>I TRIM</v>
      </c>
      <c r="BQ8" s="39" t="str">
        <f ca="1">IF(SUM((TODAY()-BK8)/7)&gt;43.1,"",IF(AND(BK8&gt;0,OR(BL8="si",BL8="Corregida",BL8="NO")),SUM((TODAY()-BK8)/7),""))</f>
        <v/>
      </c>
      <c r="BR8" s="35">
        <v>44774</v>
      </c>
      <c r="BS8" s="43">
        <v>16.2</v>
      </c>
      <c r="BT8" s="35"/>
      <c r="BU8" s="31"/>
      <c r="BV8" s="40" t="s">
        <v>886</v>
      </c>
      <c r="BW8" s="40" t="s">
        <v>886</v>
      </c>
      <c r="BX8" s="40" t="s">
        <v>887</v>
      </c>
      <c r="BY8" s="40" t="s">
        <v>887</v>
      </c>
      <c r="BZ8" s="35">
        <v>44737</v>
      </c>
      <c r="CA8" s="31">
        <v>1.53</v>
      </c>
      <c r="CB8" s="31">
        <v>58</v>
      </c>
      <c r="CC8" s="39">
        <f>IF(AND(OR(O8&gt;0,R8&gt;0),CA8=""),"SD",IF(AND(OR(O8="",R8=""),CA8=""),"",IF(AND(OR(O8&gt;0,R8&gt;0),CA8&gt;0,CB8&gt;0),SUM(CB8)/(CA8*CA8),"X")))</f>
        <v>24.776795249690291</v>
      </c>
      <c r="CD8" s="45" t="str">
        <f>IF(AND(CC8&lt;10,CB8="SD"),"SIN DATO PESO PREGESTACION O I TRIM",IF(AND(OR(R8&gt;0,O8&gt;0),CC8="X"),"INGRESAR DATO DE PESO",IF(CC8="SD","INGRESAR DATO DE TALLA Y PESO",IF(CC8&lt;18.5,"BAJO PESO",IF(CC8&lt;25,"NORMAL",IF(CC8&lt;30,"SOBREPESO",IF(AND(CC8&gt;=30,CC8&lt;50),"OBESIDAD","")))))))</f>
        <v>NORMAL</v>
      </c>
      <c r="CE8" s="35">
        <v>44803</v>
      </c>
      <c r="CF8" s="31">
        <v>51</v>
      </c>
      <c r="CG8" s="39">
        <f>IF(AND(OR(O8&gt;0,R8&gt;0),CA8=""),"SD",IF(AND(OR(O8="",R8=""),CA8=""),"",IF(AND(OR(O8&gt;0,R8&gt;0),CA8&gt;0),SUM(CF8)/(CA8*CA8),"X")))</f>
        <v>21.786492374727668</v>
      </c>
      <c r="CH8" s="31">
        <f>IF(AND(CE8="",BK8=""),"",IF(AND(BK8&gt;0,CE8=""),"NA",IF(CE8&lt;BK8,"REVISAR FUM O FECHA PESO",IF(CE8&gt;0,INT(SUM(CE8-BK8)/7)))))</f>
        <v>19</v>
      </c>
      <c r="CI8" s="31" t="e">
        <f>IF(OR(CH8="",CH8="NA"),"",IF(AND(CH8&gt;=29,CH8&lt;=42),"REGISTRAR EN III TRIM",IF(AND(CH8&gt;0,CH8&lt;=13),"REGISTRAR EN I TRIM",IF(CH8="REVISAR FUM O FECHA PESO","REVISAR",IF(CH8&gt;0,HLOOKUP(CH8,$OI$1:PK8,OH8),"")))))</f>
        <v>#REF!</v>
      </c>
      <c r="CJ8" s="35">
        <v>44897</v>
      </c>
      <c r="CK8" s="31">
        <v>58</v>
      </c>
      <c r="CL8" s="39">
        <f>IF(AND(OR(O8&gt;0,R8&gt;0),CA8=""),"SD",IF(AND(OR(O8="",R8=""),CA8=""),"",IF(AND(OR(O8&gt;0,R8&gt;0),CA8&gt;0),SUM(CK8)/(CA8*CA8),"X")))</f>
        <v>24.776795249690291</v>
      </c>
      <c r="CM8" s="31">
        <f>IF(AND(CJ8="",BK8=""),"",IF(AND(BK8&gt;0,CJ8=""),"NA",IF(CJ8&lt;BK8,"REVISAR FUM O FECHA PESO",IF(CJ8&gt;0,INT(SUM(CJ8-BK8)/7)))))</f>
        <v>32</v>
      </c>
      <c r="CN8" s="31" t="e">
        <f>IF(OR(CM8="",CM8="NA"),"",IF(AND(CM8&gt;0,CM8&lt;=28),"REGISTRAR EN  TRIM RESPECTIVO",IF(CM8&gt;0,HLOOKUP(CM8,$OI$1:PK8,OH8),"")))</f>
        <v>#REF!</v>
      </c>
      <c r="CO8" s="31" t="e">
        <f>IF(AND(OR(O8&gt;0,R8&gt;0),CD8&lt;&gt;"",CI8&lt;&gt;"",CN8&lt;&gt;""),CN8,IF(AND(OR(O8&gt;0,R8&gt;0),CD8&lt;&gt;"",CI8&lt;&gt;"",CN8=""),CI8,IF(AND(OR(O8&gt;0,R8&gt;0),CD8&lt;&gt;"",CI8="",CN8=""),CD8,IF(AND(OR(O8&gt;0,R8&gt;0),CD8&lt;&gt;"",CI8="",CN8&lt;&gt;""),CN8,""))))</f>
        <v>#REF!</v>
      </c>
      <c r="CP8" s="31">
        <v>110</v>
      </c>
      <c r="CQ8" s="31">
        <v>70</v>
      </c>
      <c r="CR8" s="37" t="str">
        <f>IF(AND(OR(R8="",R8&lt;&gt;""),CQ8="",CP8=""),"",IF(AND(OR(O8&gt;0,R8&gt;0),OR(CP8&gt;=140,CQ8&gt;=90)),"DEFINIR ESTADIO HTA",IF(AND(OR(O8&gt;0,R8&gt;0),AND(CP8&gt;120,CP8&lt;=139)),"PRE HTA SEGUIMIENTO",IF(AND(OR(O8&gt;0,R8&gt;0),AND(CQ8&gt;80,CQ8&lt;=89)),"PRE HTA SEGUIMIENTO",IF(AND(OR(O8&gt;0,R8&gt;0),AND(CP8&gt;=80,CP8&lt;=120)),"APARENTEMENTE NORMAL",IF(AND(OR(O8&gt;0,R8&gt;0),AND(CQ8&gt;=50,CQ8&lt;=80)),"APARENTEMENTE NORMAL",IF(AND(OR(O8&gt;0,R8&gt;0),OR(CP8&lt;=70,CQ8&lt;=40)),"HIPOTENSIÓN","")))))))</f>
        <v>APARENTEMENTE NORMAL</v>
      </c>
      <c r="CS8" s="31">
        <v>100</v>
      </c>
      <c r="CT8" s="31">
        <v>70</v>
      </c>
      <c r="CU8" s="37" t="str">
        <f>IF(AND(OR(R8="",R8&lt;&gt;""),CS8="",CT8=""),"",IF(AND(OR(O8&gt;0,R8&gt;0),OR(CS8&gt;=140,CT8&gt;=90)),"ALTO RIESGO PREECLAMPSIA,DEFINIR ESTADIO HTA",IF(AND(OR(O8&gt;0,R8&gt;0),AND(CS8&gt;120,CS8&lt;=139)),"PRE HTA SEGUIMIENTO,RIESGO HIPERTENSION INDUCIDA POR EL EMBARAZO",IF(AND(OR(O8&gt;0,R8&gt;0),AND(CT8&gt;80,CT8&lt;=89)),"PRE HTA SEGUIMIENTO, RIESGO HIPERTENSION INDUCIDA POR EL EMBARAZO",IF(AND(OR(O8&lt;&gt;"",R8&lt;&gt;""),CQ8&lt;&gt;"",CT8&lt;&gt;"",CQ8&lt;=CT8),"VIGILAR CIFRAS PRESION ARTERIAL",IF(AND(OR(O8&gt;0,R8&gt;0),AND(CS8&gt;120,CS8&lt;=139)),"PRE HTA SEGUIMIENTO",IF(AND(OR(O8&gt;0,R8&gt;0),OR(CS8&lt;=60,CT8&lt;40)),"HIPOTENSIÓN",IF(AND(OR(O8&lt;&gt;"",R8&lt;&gt;""),CQ8&lt;&gt;"",CT8&lt;&gt;"",CQ8&gt;CT8),"APARENTEMENTE NORMAL",IF(AND(OR(O8&gt;0,R8&gt;0),AND(CS8&gt;=80,CS8&lt;=120)),"APARENTEMENTE NORMAL",IF(AND(OR(O8&gt;0,R8&gt;0),AND(CT8&gt;=50,CT8&lt;=80)),"APARENTEMENTE NORMAL",""))))))))))</f>
        <v>VIGILAR CIFRAS PRESION ARTERIAL</v>
      </c>
      <c r="CV8" s="31">
        <v>110</v>
      </c>
      <c r="CW8" s="31">
        <v>70</v>
      </c>
      <c r="CX8" s="31">
        <v>110</v>
      </c>
      <c r="CY8" s="31">
        <v>60</v>
      </c>
      <c r="CZ8" s="37" t="str">
        <f>IF(AND(OR(R8="",R8&lt;&gt;""),CV8="",CW8="",CX8="",CY8=""),"",IF(AND(OR(O8&gt;0,R8&gt;0),OR(CV8&gt;=140,CW8&gt;=90,CX8&gt;=140,CY8&gt;=90)),"ESTUDIO INMEDIATO HTA PARA DESCARTAR PREECLAMSIA",IF(AND(OR(O8&gt;0,R8&gt;0),OR(AND(CX8&gt;=130,CX8&lt;=139),AND(CV8&gt;=130,CV8&lt;=139))),"PRE HTA,RIESGO ALTO PREECLAMPSIA",IF(AND(OR(O8&gt;0,R8&gt;0),OR(AND(CY8&gt;=80,CY8&lt;=89),AND(CW8&gt;=80,CW8&lt;=89))),"PRE HTA,RIESGO ALTO PREECLAMPSIA",IF(AND(OR(O8&gt;0,R8&gt;0),OR(AND(CX8&gt;120,CX8&lt;=129),AND(CV8&gt;120,CV8&lt;=129))),"RANGO PREHIPERTENSIVO SEGUIMIENTO HTA",IF(AND(OR(O8&lt;&gt;"",R8&lt;&gt;""),CQ8&lt;&gt;"",CW8&lt;&gt;"",CY8&lt;&gt;"",OR(CQ8&lt;CY8,CQ8&lt;CW8)),"VIGILAR CIFRAS PRESION ARTERIAL",IF(AND(OR(O8&lt;&gt;"",R8&lt;&gt;""),CP8="",CQ8="",OR(CW8&lt;CY8,CV8&lt;CX8)),"VIGILAR CIFRAS PRESION ARTERIAL",IF(AND(OR(O8&lt;&gt;"",R8&lt;&gt;""),CQ8&lt;&gt;"",CW8&lt;&gt;"",CY8&lt;&gt;"",OR(CQ8=CY8,CQ8=CW8)),"APARENTEMENTE NORMAL",IF(AND(OR(O8&gt;0,R8&gt;0),OR(AND(CX8&gt;=80,CX8&lt;=120),AND(CV8&gt;=80,CV8&lt;=120))),"APARENTEMENTE NORMAL",IF(AND(OR(O8&gt;0,R8&gt;0),OR(AND(CY8&gt;=50,CY8&lt;80),AND(CW8&gt;=50,CW8&lt;80))),"APARENTEMENTE NORMAL",""))))))))))</f>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ca="1">IF(AND(BP8="ERROR FUM O INGRESO",DP8&gt;0),"ERROR FUM O INGRESO",IF(AND(DP8="",R8="",O8=""),"",IF(OR(AND(DP8&lt;&gt;"",DP8&lt;BK8),AND(DP8&lt;&gt;"",AND(SUM((DP8-BK8)/7)&gt;0,SUM((DP8-BK8)/7)&lt;28))),"PLAN REALIZADO ANTES III TRIM", IF(AND(DP8="",OR(O8&gt;0,R8&gt;0),AND(BQ8&gt;=28, BQ8&lt;35,DR8="ACTIVA INGRESO A CPN")),"PLANEAR PLAN DE PARTO", IF(AND(DP8="",OR(O8&gt;0,R8&gt;0),BQ8&gt;=35,DR8="ACTIVA INGRESO A CPN"),"CONCERTAR PLAN DE PARTO INMEDIATO", IF(AND(DP8="",OR(O8&gt;0,R8&gt;0),AND(BQ8&gt;0, BQ8&lt;28),OR(DR8="ACTIVA INGRESO A CPN", DR8=" ACTIVA SIN INGRESO CPN")),"EN ESPERA", IF(AND(DP8="",OR(O8&gt;0,R8&gt;0),AND(IY8&gt;0, IY8&lt;28)),"NO APLICA SALE PROGRAMA ANTES III TRIM", IF(AND(DP8="",OR(O8&gt;0,R8&gt;0),AND(IY8&gt;=28, IY8&lt;35)),"SALE PROGRAMA ANTES SEMANA 35", IF(AND(DP8="",OR(O8&gt;0,R8&gt;0),IY8&gt;35),"SALE SIN PLAN DE PARTO",IF(DP8&gt;0,SUM(DP8-BK8)/7,""))))))))))</f>
        <v>SALE SIN PLAN DE PARTO</v>
      </c>
      <c r="DR8" s="46" t="str">
        <f>IF(AND(R8&lt;&gt;"",IT8="CAMBIO DE RESIDENCIA"),"SEGUIMIENTO REPORTE EPS",IF(AND(R8&lt;&gt;"",OR(IT8&lt;&gt;"",IW8&lt;&gt;"")),"SALIO PROGRAMA",IF(AND(AND(R8="",O8&gt;0),OR(IT8&lt;&gt;"",IW8&lt;&gt;"")),"SALE SIN INGRESO CPN",IF(AND(R8="",O8&gt;0,IT8="",IW8=""),"ACTIVA SIN INGRESO CPN",IF(AND(R8&lt;&gt;"",OR(IT8="",IW8="")),"ACTIVA INGRESO A CPN","")))))</f>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ca="1">IF(NR8="SD","",IF(AND(NR8&lt;=33,NR8&gt;=8),"MES DE CONTROL",IF(AND(NR8&gt;=1,NR8&lt;8),"SEMANA DE CONTROL",IF(NR8=0,"DIA DE CONTROL",IF(NR8&lt;0,"INASISTENTE",IF(NR8="Y","SEGUIMIENTO FUERA MUNICIPIO",IF(NR8="Z","BUSCAR PARA INGRESO A CPN",IF(NR8="W","DEFINIR FECHA CITA",IF(NR8="X","NO REALIZO CPN",IF(NR8="S","DILIGENCIAR FECHA SALIDA PROGRAMA","REVISAR FORMULA"))))))))))</f>
        <v>#VALUE!</v>
      </c>
      <c r="DU8" s="35" t="e">
        <f>IF(R8="","",IF(R8&gt;0,MAX(Tabla1[[#This Row],[FECHA C2]:[FECHA C13]],Tabla1[[#This Row],[FECHA CONSULTA PRIMERA VEZ PROGRAMA CPN ]])))</f>
        <v>#VALUE!</v>
      </c>
      <c r="DV8" s="31" t="e">
        <f>IF(AND(DU8="",BK8="",R8=""),"",IF(AND(R8="",BK8&gt;0,DU8=""),"",IF(AND(R8&gt;0,DU8&lt;BK8),"REVISAR FUM O FECHA PESO",IF(AND(R8&gt;0,DU8&gt;0,BK8=""),"SD",IF(AND(R8&gt;0,DU8&gt;0,BK8&gt;0),INT(SUM(DU8-BK8)/7))))))</f>
        <v>#VALUE!</v>
      </c>
      <c r="DW8" s="43">
        <f>IF(R8&gt;0,SUM(COUNTA(DC8:DN8)+COUNTA(Tabla1[[#This Row],[FECHA CONSULTA PRIMERA VEZ PROGRAMA CPN ]])),"")</f>
        <v>7</v>
      </c>
      <c r="DX8" s="43" t="str">
        <f>IF(AND(DW8&gt;=0,DW8&lt;4),"NO",IF(AND(DW8&gt;=4,DW8&lt;12),"SI",""))</f>
        <v>SI</v>
      </c>
      <c r="DY8" s="39">
        <f>IF(BO8="","",IF(BO8&gt;0,INT(SUM(((40-BO8)/4)+2)),"X"))</f>
        <v>9</v>
      </c>
      <c r="DZ8" s="47">
        <f>IF(DY8="","",IF(DW8&gt;0,SUM(DW8/DY8),"X"))</f>
        <v>0.77777777777777779</v>
      </c>
      <c r="EA8" s="35">
        <v>44737</v>
      </c>
      <c r="EB8" s="35">
        <v>44737</v>
      </c>
      <c r="EC8" s="35">
        <v>44737</v>
      </c>
      <c r="ED8" s="35">
        <v>44765</v>
      </c>
      <c r="EE8" s="35">
        <v>44737</v>
      </c>
      <c r="EF8" s="35">
        <v>44774</v>
      </c>
      <c r="EG8" s="35"/>
      <c r="EH8" s="31">
        <v>1</v>
      </c>
      <c r="EI8" s="31">
        <v>13</v>
      </c>
      <c r="EJ8" s="35">
        <v>44737</v>
      </c>
      <c r="EK8" s="43">
        <f>IF(AND(BP8="ERROR FUM O INGRESO",EJ8&gt;0),"ERROR FUM O INGRESO",IF(AND(EJ8="",R8="",O8=""),"",IF(OR(AND(EJ8&lt;&gt;"",EJ8&lt;BK8),AND(EJ8&lt;&gt;"",SUM((EJ8-BK8)/7)&gt;40)),"CORREGIR FECHA RESULTADO",IF(AND(EJ8="",OR(O8&gt;0,R8&gt;0)),"TOMAR EXAMEN",IF(EJ8&gt;0,SUM(EJ8-BK8)/7,"")))))</f>
        <v>10</v>
      </c>
      <c r="EL8" s="39" t="str">
        <f>IF(AND(OR(O8&gt;0,R8&gt;0),EI8=""),"",IF(AND(OR(O8&gt;0,R8&gt;0),EI8&gt;0,EI8&lt;11),"MANEJO MD POR ANEMIA FERROPENICA",IF(AND(OR(O8&gt;0,R8&gt;0),EI8&lt;=14),"NORMAL- SUMINISTRAR SULFATO FERROSO",IF(AND(OR(O8&gt;0,R8&gt;0),EI8&lt;20),"NO DAR SULFATO FERROSO",""))))</f>
        <v>NORMAL- SUMINISTRAR SULFATO FERROSO</v>
      </c>
      <c r="EM8" s="31" t="str">
        <f>IF(AND(EK8="",BP8=""),"",IF(AND(EK8&lt;&gt;"",BP8="SIN DATO"),"SIN DATO",IF(AND(EK8="",BP8&lt;&gt;""),"",IF(AND(EK8&lt;0,BP8&gt;0),"ERROR FUM O INGRESO",IF(EK8&lt;=13,"I TRIM",IF(EK8&lt;28,"II TRIM",IF(AND(EK8&gt;27,EK8&lt;45),"III TRIM","POR DEFINIR")))))))</f>
        <v>I TRIM</v>
      </c>
      <c r="EN8" s="37">
        <v>14</v>
      </c>
      <c r="EO8" s="35">
        <v>44866</v>
      </c>
      <c r="EP8" s="44">
        <f>IF(AND(BP8="ERROR FUM O INGRESO",EO8&gt;0),"ERROR FUM O INGRESO",IF(AND(EO8="",R8="",O8=""),"",IF(OR(AND(EO8&lt;&gt;"",EO8&lt;BK8),AND(EO8&lt;&gt;"",SUM((EO8-BK8)/7)&gt;40)),"CORREGIR FECHA RESULTADO",IF(AND(EO8="",OR(O8&gt;0,R8&gt;0)),"TOMAR EXAMEN",IF(EO8&gt;0,SUM(EO8-BK8)/7,"")))))</f>
        <v>28.428571428571427</v>
      </c>
      <c r="EQ8" s="39" t="str">
        <f>IF(AND(OR(O8&gt;0,R8&gt;0),EN8=""),"",IF(AND(OR(O8&gt;0,R8&gt;0),EN8&gt;0,EN8&lt;10.5),"MANEJO MD POR ANEMIA FERROPENICA",IF(AND(OR(O8&gt;0,R8&gt;0),EN8&lt;14),"NORMAL- SUMINISTRAR SULFATO FERROSO",IF(AND(OR(O8&gt;0,R8&gt;0),EN8&lt;20),"NO DAR SULFATO FERROSO",""))))</f>
        <v>NO DAR SULFATO FERROSO</v>
      </c>
      <c r="ER8" s="37" t="s">
        <v>893</v>
      </c>
      <c r="ES8" s="35">
        <v>44737</v>
      </c>
      <c r="ET8" s="44">
        <f>IF(AND(BP8="ERROR FUM O INGRESO",ES8&gt;0),"ERROR FUM O INGRESO",IF(AND(ES8="",R8="",O8=""),"",IF(OR(AND(ES8&lt;&gt;"",ES8&lt;BK8),AND(ES8&lt;&gt;"",SUM((ES8-BK8)/7)&gt;40)),"CORREGIR FECHA RESULTADO",IF(AND(ES8="",OR(O8&gt;0,R8&gt;0)),"TOMAR EXAMEN",IF(ES8&gt;0,SUM(ES8-BK8)/7,"")))))</f>
        <v>10</v>
      </c>
      <c r="EU8" s="39" t="str">
        <f>IF(ER8="A-","RIESGO DE INCOMPATIBILIDAD RH",IF(ER8="B-","RIESGO DE INCOMPATIBILIDAD RH",IF(ER8="O-","RIESGO DE INCOMPATIBILIDAD RH",IF(ER8="AB-","RIESGO DE INCOMPATIBILIDAD RH",IF(OR(ER8="A+",ER8="A--"),"NO HAY RIESGO POR RH",IF(OR(ER8="B+",ER8="B--"),"NO HAY RIESGO POR RH",IF(OR(ER8="O+",ER8="O--"),"NO HAY RIESGO POR RH",IF(OR(ER8="AB+",ER8="AB--"),"NO HAY RIESGO POR RH",IF(ER8=0,"")))))))))</f>
        <v>NO HAY RIESGO POR RH</v>
      </c>
      <c r="EV8" s="31">
        <v>94</v>
      </c>
      <c r="EW8" s="35">
        <v>44737</v>
      </c>
      <c r="EX8" s="44">
        <f>IF(AND(BP8="ERROR FUM O INGRESO",EW8&gt;0),"ERROR FUM O INGRESO",IF(AND(EW8="",R8="",O8=""),"",IF(OR(AND(EW8&lt;&gt;"",EW8&lt;BK8),AND(EW8&lt;&gt;"",SUM((EW8-BK8)/7)&gt;40)),"CORREGIR FECHA RESULTADO",IF(AND(EW8="",OR(O8&gt;0,R8&gt;0)),"TOMAR EXAMEN",IF(EW8&gt;0,SUM(EW8-BK8)/7,"")))))</f>
        <v>10</v>
      </c>
      <c r="EY8" s="44">
        <v>69</v>
      </c>
      <c r="EZ8" s="44">
        <v>110</v>
      </c>
      <c r="FA8" s="44">
        <v>70</v>
      </c>
      <c r="FB8" s="31" t="str">
        <f ca="1">IF(AND(OR(EY8&gt;0,EZ8&gt;0,FA8&gt;0),FD8&gt;0,FD8&lt;24,AND(EY8&gt;1,EY8&lt;92),AND(EZ8&gt;1,EZ8&lt;180),AND(FA8&gt;1,FA8&lt;153)),"NORMAL, NO DESCARTA DIABETES POR REALIZARLO ANTES DE  SEMANA 24, ",IF(AND(OR(EY8&gt;0,EZ8&gt;0,FA8&gt;0),FD8&gt;0,FD8&lt;24,OR(EY8&gt;=92,EZ8&gt;=180,FA8&gt;=153)),"DIABETES, REMITIR",IF(AND(BQ8="",FC8="",EY8="",EZ8="",FA8=""),"",IF(AND(BQ8&gt;=19,BQ8&lt;24,FC8="",EY8="",EZ8="",FA8=""),"PROGRAMAR TOMA PTOG SIGUIENTE CONTROL",IF(AND(BQ8&gt;=24,FC8="",EY8="",EZ8="",FA8=""),"TOMAR PTOG",IF(OR(EY8&gt;=92,EZ8&gt;=180,FA8&gt;=153),"DIABETES, REMITIR",IF(AND(AND(EY8&gt;1,EY8&lt;92),AND(EZ8&gt;1,EZ8&lt;180),AND(FA8&gt;1,FA8&lt;153)),"NORMAL",IF(AND(EY8&gt;0,OR(EZ8=0,FA8=0)),"NO COMPLETA EXAMEN",""))))))))</f>
        <v>NORMAL</v>
      </c>
      <c r="FC8" s="48">
        <v>44835</v>
      </c>
      <c r="FD8" s="44">
        <f>IF(AND(BP8="ERROR FUM O INGRESO",FC8&gt;0),"ERROR FUM O INGRESO",IF(AND(FC8="",R8="",O8=""),"",IF(OR(AND(FC8&lt;&gt;"",FC8&lt;BK8),AND(FC8&lt;&gt;"",SUM((FC8-BK8)/7)&gt;40)),"CORREGIR FECHA RESULTADO",IF(AND(FC8="",OR(O8&gt;0,R8&gt;0)),"TOMAR EXAMEN",IF(FC8&gt;0,SUM(FC8-BK8)/7,"")))))</f>
        <v>24</v>
      </c>
      <c r="FE8" s="35" t="s">
        <v>894</v>
      </c>
      <c r="FF8" s="35">
        <v>44737</v>
      </c>
      <c r="FG8" s="44">
        <f ca="1">IF(AND(BP8="ERROR FUM O INGRESO",FF8&gt;0),"ERROR FUM O INGRESO",IF(AND(FF8="",R8="",O8=""),"",IF(OR(AND(FF8&lt;&gt;"",FF8&lt;BK8),AND(FF8&lt;&gt;"",AND(SUM((FF8-BK8)/7)&gt;=13,SUM((FF8-BK8)/7)&lt;27))),"REGISTRAR EN II TRIMESTRE",IF(OR(AND(FF8&lt;&gt;"",FF8&lt;BK8),AND(FF8&lt;&gt;"",AND(SUM((FF8-BK8)/7)&gt;=27,SUM((FF8-BK8)/7)&lt;44))),"REGISTRAR EN III TRIMESTRE",IF(AND(FF8="",OR(O8&gt;0,R8&gt;0),AND(BQ8&gt;1,BQ8&lt;10)),"EN RANGO PARA TOMAR EXAMEN",IF(AND(FF8="",OR(O8&gt;0,R8&gt;0),AND(BQ8&gt;=10,BQ8&lt;13)),"TOMA INMEDIATA DE TAMIZAJE",IF(AND(FF8="",BO8&lt;13,OR(O8&gt;0,R8&gt;0)),"PIERDE TOMA DE TAMIZAJE",IF(AND(FF8="",OR(O8&gt;0,R8&gt;0),AND(BO8&gt;=13,BO8&lt;43)),"NO APLICA-INGRESO TARDIO",IF(FF8&gt;0,SUM(FF8-BK8)/7,"")))))))))</f>
        <v>10</v>
      </c>
      <c r="FH8" s="35" t="s">
        <v>894</v>
      </c>
      <c r="FI8" s="49">
        <v>44803</v>
      </c>
      <c r="FJ8" s="44">
        <f ca="1">IF(AND(BP8="ERROR FUM O INGRESO",FI8&gt;0),"ERROR FUM O INGRESO",IF(AND(FI8="",R8="",O8=""),"",IF(AND(FI8&lt;&gt;"",FI8&lt;BK8), "INCOHERENCIA FUM Y FECHA TAMIZAJE",IF(AND(FI8="",DR8="ACTIVA INGRESO A CPN",AND(BQ8&gt;0,BQ8&lt;13)),"EN ESPERA-ESTÁ I TRIM", IF(AND(FI8="",AND(BO8&gt;0, BO8&lt;13),OR(O8&gt;0,R8&gt;0),AND(IY8&gt;0,IY8&lt;13)),"NO APLICA-SALIO DEL PROGRAMA I TRIM",IF(AND(FI8&lt;&gt;"",AND(SUM((FI8-BK8)/7)&gt;0,SUM((FI8-BK8)/7)&lt;13)),"REGISTRAR EN I TRIMESTRE",IF(AND(FI8&lt;&gt;"",AND(SUM((FI8-BK8)/7)&gt;=27,SUM((FI8-BK8)/7)&lt;44)),"REGISTRAR EN III TRIMESTRE",IF(AND(FI8="",OR(O8&gt;0,R8&gt;0),AND(BQ8&gt;=13,BQ8&lt;24),DR8="ACTIVA INGRESO A CPN"),"EN RANGO PARA TOMAR EXAMEN",IF(AND(FI8="",OR(O8&gt;0,R8&gt;0),AND(BQ8&gt;=25,BQ8&lt;27),DR8="ACTIVA INGRESO A CPN"),"TOMA INMEDIATA DE TAMIZAJE",IF(AND(FI8="",OR(O8&gt;0,R8&gt;0),AND(BO8&gt;=27,BO8&lt;44)),"NO APLICA-INGRESO TARDIO",IF(AND(FI8="",BO8&lt;27),"PIERDE TOMA DE TAMIZAJE",IF(FI8&gt;0,SUM(FI8-BK8)/7,""))))))))))))</f>
        <v>19.428571428571427</v>
      </c>
      <c r="FK8" s="35"/>
      <c r="FL8" s="49"/>
      <c r="FM8" s="44" t="str">
        <f ca="1">IF(AND(BP8="ERROR FUM O INGRESO",FL8&gt;0),"ERROR FUM O INGRESO",IF(AND(FL8="",R8="",O8=""),"",IF(AND(FL8&lt;&gt;"",FL8&lt;BK8), "INCOHERENCIA FUM Y FECHA TAMIZAJE",IF(AND(FL8="",DR8="ACTIVA INGRESO A CPN",AND(BQ8&gt;0,BQ8&lt;27)),"EN ESPERA-ESTÁ I TRIM O II TRIM", IF(AND(FL8="",AND(BO8&gt;0, BO8&lt;27),OR(O8&gt;0,R8&gt;0),AND(IY8&gt;0,IY8&lt;27)),"NO APLICA-SALIO DEL PROGRAMA I O II TRIM",IF(AND(FL8&lt;&gt;"",AND(SUM((FL8-BK8)/7)&gt;0,SUM((FL8-BK8)/7)&lt;13)),"REGISTAR EN I TRIMESTRE",IF(AND(FL8&lt;&gt;"",AND(SUM((FL8-BK8)/7)&gt;=13,SUM((FL8-BK8)/7)&lt;27)),"REGISTRAR EN II TRIMESTRE",IF(AND(FL8="",OR(O8&gt;0,R8&gt;0),AND(BQ8&gt;=28,BQ8&lt;35),DR8="ACTIVA INGRESO A CPN"),"EN RANGO PARA TOMAR EXAMEN",IF(AND(FL8="",OR(O8&gt;0,R8&gt;0),BQ8&gt;=35, DR8="ACTIVA INGRESO A CPN"),"TOMA INMEDIATA DE TAMIZAJE",IF(AND(FL8="",DR8= "SALE SIN INGRESO CPN"),"NO APLICA-SIN CPN",IF(AND(FL8="",BO8&lt;44),"PIERDE TOMA DE TAMIZAJE",IF(FL8&gt;0,SUM(FL8-BK8)/7,""))))))))))))</f>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IF(AND(BP8="ERROR FUM O INGRESO",FR8&gt;0),"ERROR FUM O INGRESO",IF(AND(FR8="",R8="",O8=""),"",IF(OR(AND(FR8&lt;&gt;"",FR8&lt;BK8),AND(FR8&lt;&gt;"",SUM((FR8-BK8)/7)&gt;40)),"CORREGIR FECHA RESULTADO",IF(AND(FR8="",OR(O8&gt;0,R8&gt;0)),"TOMAR EXAMEN",IF(FR8&gt;0,SUM(FR8-BK8)/7,"")))))</f>
        <v>10</v>
      </c>
      <c r="FT8" s="43" t="s">
        <v>895</v>
      </c>
      <c r="FU8" s="35">
        <v>44737</v>
      </c>
      <c r="FV8" s="44">
        <f>IF(AND(BP8="ERROR FUM O INGRESO",FU8&gt;0),"ERROR FUM O INGRESO",IF(AND(FU8="",R8="",O8=""),"",IF(OR(AND(FU8&lt;&gt;"",FU8&lt;BK8),AND(FU8&lt;&gt;"",SUM((FU8-BK8)/7)&gt;40)),"CORREGIR FECHA RESULTADO",IF(AND(FU8="",OR(O8&gt;0,R8&gt;0)),"TOMAR EXAMEN",IF(FU8&gt;0,SUM(FU8-BK8)/7,"")))))</f>
        <v>10</v>
      </c>
      <c r="FW8" s="35">
        <v>44737</v>
      </c>
      <c r="FX8" s="35">
        <v>44737</v>
      </c>
      <c r="FY8" s="35" t="s">
        <v>896</v>
      </c>
      <c r="FZ8" s="35">
        <v>44737</v>
      </c>
      <c r="GA8" s="44">
        <f ca="1">IF(AND(BP8="ERROR FUM O INGRESO",FZ8&gt;0),"ERROR FUM O INGRESO",IF(AND(FZ8="",R8="",O8=""),"",IF(OR(AND(FZ8&lt;&gt;"",FZ8&lt;BK8),AND(FZ8&lt;&gt;"",AND(SUM((FZ8-BK8)/7)&gt;=13,SUM((FZ8-BK8)/7)&lt;27))),"REGISTRAR EN II TRIMESTRE",IF(OR(AND(FZ8&lt;&gt;"",FZ8&lt;BK8),AND(FZ8&lt;&gt;"",AND(SUM((FZ8-BK8)/7)&gt;=27,SUM((FZ8-BK8)/7)&lt;44))),"REGISTRAR EN III TRIMESTRE",IF(AND(FZ8="",OR(O8&gt;0,R8&gt;0),AND(BQ8&gt;1,BQ8&lt;10)),"EN RANGO PARA TOMAR EXAMEN",IF(AND(FZ8="",OR(O8&gt;0,R8&gt;0),AND(BQ8&gt;=10,BQ8&lt;12)),"TOMA INMEDIATA DE TAMIZAJE",IF(AND(FZ8="",BO8&lt;12,OR(O8&gt;0,R8&gt;0)),"PIERDE TOMA DE TAMIZAJE",IF(AND(FZ8="",OR(O8&gt;0,R8&gt;0),AND(BO8&gt;=13,BO8&lt;44)),"NO APLICA-INGRESO TARDIO",IF(FZ8&gt;0,SUM(FZ8-BK8)/7,"")))))))))</f>
        <v>10</v>
      </c>
      <c r="GB8" s="35" t="s">
        <v>896</v>
      </c>
      <c r="GC8" s="35">
        <v>44803</v>
      </c>
      <c r="GD8" s="44">
        <f ca="1">IF(AND(BP8="ERROR FUM O INGRESO",GC8&gt;0),"ERROR FUM O INGRESO",IF(AND(GC8="",R8="",O8=""),"",IF(AND(GC8&lt;&gt;"",GC8&lt;BK8), "INCOHERENCIA FUM Y FECHA TAMIZAJE",IF(AND(GC8="",DR8="ACTIVA INGRESO A CPN",AND(BQ8&gt;0,BQ8&lt;13)),"EN ESPERA-ESTÁ I TRIM", IF(AND(GC8="",AND(BO8&gt;0, BO8&lt;12),OR(O8&gt;0,R8&gt;0),AND(IY8&gt;0,IY8&lt;13)),"NO APLICA-SALIO DEL PROGRAMA I TRIM",IF(AND(GC8&lt;&gt;"",AND(SUM((GC8-BK8)/7)&gt;0,SUM((GC8-BK8)/7)&lt;13)),"REGISTRAR EN I TRIMESTRE",IF(AND(GC8&lt;&gt;"",AND(SUM((GC8-BK8)/7)&gt;=27,SUM((GC8-BK8)/7)&lt;44)),"REGISTRAR EN III TRIMESTRE",IF(AND(GC8="",OR(O8&gt;0,R8&gt;0),AND(BQ8&gt;=12,BQ8&lt;25),DR8="ACTIVA INGRESO A CPN"),"EN RANGO PARA TOMAR EXAMEN",IF(AND(GC8="",OR(O8&gt;0,R8&gt;0),AND(BQ8&gt;=25,BQ8&lt;27),DR8="ACTIVA INGRESO A CPN"),"TOMA INMEDIATA DE TAMIZAJE",IF(AND(GC8="",OR(O8&gt;0,R8&gt;0),AND(BO8&gt;=27,BO8&lt;43)),"NO APLICA-INGRESO TARDIO",IF(AND(GC8="",BO8&lt;27),"PIERDE TOMA DE TAMIZAJE",IF(GC8&gt;0,SUM(GC8-BK8)/7,""))))))))))))</f>
        <v>19.428571428571427</v>
      </c>
      <c r="GE8" s="35"/>
      <c r="GF8" s="35"/>
      <c r="GG8" s="44" t="str">
        <f ca="1">IF(AND(BP8="ERROR FUM O INGRESO",GF8&gt;0),"ERROR FUM O INGRESO",IF(AND(GF8="",R8="",O8=""),"",IF(AND(GF8&lt;&gt;"",GF8&lt;BK8), "INCOHERENCIA FUM Y FECHA TAMIZAJE",IF(AND(GF8="",DR8="ACTIVA INGRESO A CPN",AND(BQ8&gt;0,BQ8&lt;27)),"EN ESPERA-ESTÁ I TRIM O II TRIM", IF(AND(GF8="",AND(BO8&gt;0, BO8&lt;28),OR(O8&gt;0,R8&gt;0),AND(IY8&gt;0,IY8&lt;28)),"NO APLICA-SALIO DEL PROGRAMA I O II TRIM",IF(AND(GF8&lt;&gt;"",AND(SUM((GF8-BK8)/7)&gt;0,SUM((GF8-BK8)/7)&lt;13)),"REGISTAR EN I TRIMESTRE",IF(AND(GF8&lt;&gt;"",AND(SUM((GF8-BK8)/7)&gt;=13,SUM((GF8-BK8)/7)&lt;27)),"REGISTRAR EN II TRIMESTRE",IF(AND(GF8="",OR(O8&gt;0,R8&gt;0),AND(BQ8&gt;=28,BQ8&lt;35),DR8="ACTIVA INGRESO A CPN"),"EN RANGO PARA TOMAR EXAMEN",IF(AND(GF8="",OR(O8&gt;0,R8&gt;0),BQ8&gt;=35, DR8="ACTIVA INGRESO A CPN"),"TOMA INMEDIATA DE TAMIZAJE",IF(AND(GF8="",DR8= "SALE SIN INGRESO CPN"),"NO APLICA-SIN CPN",IF(AND(GF8="",BO8&lt;44),"PIERDE TOMA DE TAMIZAJE",IF(GF8&gt;0,SUM(GF8-BK8)/7,""))))))))))))</f>
        <v>PIERDE TOMA DE TAMIZAJE</v>
      </c>
      <c r="GH8" s="35"/>
      <c r="GI8" s="44"/>
      <c r="GJ8" s="35" t="s">
        <v>883</v>
      </c>
      <c r="GK8" s="35"/>
      <c r="GL8" s="35" t="s">
        <v>883</v>
      </c>
      <c r="GM8" s="35"/>
      <c r="GN8" s="43" t="s">
        <v>895</v>
      </c>
      <c r="GO8" s="35">
        <v>44737</v>
      </c>
      <c r="GP8" s="44">
        <f>IF(AND(BP8="ERROR FUM O INGRESO",GO8&gt;0),"ERROR FUM O INGRESO",IF(AND(GO8="",R8="",O8=""),"",IF(OR(AND(GO8&lt;&gt;"",GO8&lt;BK8),AND(GO8&lt;&gt;"",SUM((GO8-BK8)/7)&gt;40)),"CORREGIR FECHA RESULTADO",IF(AND(GO8="",OR(O8&gt;0,R8&gt;0)),"TOMAR EXAMEN",IF(GO8&gt;0,SUM(GO8-BK8)/7,"")))))</f>
        <v>10</v>
      </c>
      <c r="GQ8" s="43" t="s">
        <v>895</v>
      </c>
      <c r="GR8" s="43" t="s">
        <v>895</v>
      </c>
      <c r="GS8" s="35" t="str">
        <f>IF(GQ8="NEGATIVO","CONTROL Igm",IF(AND(GQ8="POSITIVO",GR8="NEGATIVO"),"SE EXCLUYE INFECCION",IF(AND(GQ8="POSITIVO",GR8="POSITIVO"),"TOXOPLASMOSIS, REMITIR PARA MANEJO","")))</f>
        <v>CONTROL Igm</v>
      </c>
      <c r="GT8" s="35">
        <v>44737</v>
      </c>
      <c r="GU8" s="44">
        <f>IF(AND(BP8="ERROR FUM O INGRESO",GT8&gt;0),"ERROR FUM O INGRESO",IF(AND(GT8="",R8="",O8=""),"",IF(OR(AND(GT8&lt;&gt;"",GT8&lt;BK8),AND(GT8&lt;&gt;"",SUM((GT8-BK8)/7)&gt;40)),"CORREGIR FECHA RESULTADO",IF(AND(GT8="",OR(O8&gt;0,R8&gt;0)),"TOMAR EXAMEN",IF(GT8&gt;0,SUM(GT8-BK8)/7,"")))))</f>
        <v>10</v>
      </c>
      <c r="GV8" s="31" t="str">
        <f>IF(AND(GU8="",BP8=""),"",IF(AND(GU8&lt;&gt;"",BP8="SIN DATO"),"SIN DATO",IF(AND(GU8="",BP8&lt;&gt;""),"",IF(AND(GU8&lt;0,BP8&gt;0),"ERROR FUM O INGRESO",IF(GU8&lt;=13,"I TRIM",IF(GU8&lt;28,"II TRIM",IF(AND(GU8&gt;27,GU8&lt;45),"III TRIM","POR DEFINIR")))))))</f>
        <v>I TRIM</v>
      </c>
      <c r="GW8" s="43" t="s">
        <v>895</v>
      </c>
      <c r="GX8" s="46">
        <v>5</v>
      </c>
      <c r="GY8" s="31"/>
      <c r="GZ8" s="35"/>
      <c r="HA8" s="43" t="str">
        <f>IF(GZ8&gt;0,SUM(GZ8-BK8)/7,"")</f>
        <v/>
      </c>
      <c r="HB8" s="31" t="str">
        <f>IF(HA8&lt;0,"ANTES DEL EMBARAZO",IF(AND(HA8&gt;0,HA8&lt;13),"I TRIM",IF(AND(HA8&gt;12,HA8&lt;28),"II TRIM",IF(AND(HA8&gt;27,HA8&lt;41),"III TRIM",""))))</f>
        <v/>
      </c>
      <c r="HC8" s="31" t="str">
        <f>IF(GY8="","",IF(GY8="CARCINOMA ESCAMOCELULAR","CITAR PARA COLPOSCOPIA Y PATOLOGIA",IF(GY8="ASCUS","CITAR PARA COLPOSCOPIA",IF(GY8="ACSI","CITAR PARA COLPOSCOPIA",IF(GY8="INFECCION VPH","CITAR PARA COLPOSCOPIA",IF(GY8="NIC I","CITAR PARA COLPOSCOPIA",IF(GY8="NIC I VPH","CITAR PARA COLPOSCOPIA",IF(GY8="NIC II","CITAR PARA COLPOSCOPIA",IF(GY8="NIC III","CITAR PARA COLPOSCOPIA",IF(GY8="CAMBIOS INFLAMATORIOS","CONSULTA CON MÉDICO GENERAL",IF(GY8="INFECCION","CONSULTA CON MÉDICO GENERAL",IF(GY8="NEGATIVA PARA NEOPLASIA","CITA PARA CITOLOGIA SEGÚN ESQUEMA1-1-3",IF(GY8="MUESTRA INADECUADA","REPETIR CITOLOGIA",IF(GY8=0,"SD"))))))))))))))</f>
        <v/>
      </c>
      <c r="HD8" s="31" t="s">
        <v>897</v>
      </c>
      <c r="HE8" s="31"/>
      <c r="HF8" s="31" t="s">
        <v>898</v>
      </c>
      <c r="HG8" s="31"/>
      <c r="HH8" s="31" t="s">
        <v>899</v>
      </c>
      <c r="HI8" s="31">
        <v>0</v>
      </c>
      <c r="HJ8" s="35" t="s">
        <v>900</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IF(OR(O8&gt;0,R8&gt;0),CONCATENATE(IF(AY8="SI","ANTECEDENTE EMBARAZO MOLAR",""),"*",CONCATENATE(IF(AZ8="SI","ANTECEDENTE MUERTE NEONATAL",""),"*",CONCATENATE(IF(AND(BM8&gt;0,BM8&lt;13),"PERIODO INTERGENESICO CORTO",""),"*",CONCATENATE(IF(AND(BO8&gt;13,BO8&lt;42),"INGRESO TARDIO A CPN",""),"*",CONCATENATE(IF(CO8="BAJO PESO","BAJO PESO",""),"*",CONCATENATE(IF(CO8="SOBREPESO","SOBREPESO",""),"*",CONCATENATE(IF(CO8="OBESIDAD","OBESIDAD",""),"*",CONCATENATE(IF(GN8="POSITIVO","SEGUIMIENTO INFECCIÓN HEP B",""),"*",CONCATENATE(IF(GS8="TOXOPLASMOSIS, REMITIR PARA MANEJO","INFECCIÓN TOXOPLASMOSIS",""),"*",CONCATENATE(IF(GS8="CONTROL Igm","PREVENCIÓN CONTAGIO TOXOPLASMOSIS",""),"*",CONCATENATE(IF(OR(HJ8="COVID19 PRIMER TRIMESTRE",HJ8="COVID19 SEGUNDO TRIMESTRE",HJ8="COVID19 TERCER TRIMESTRE",HJ8="COVID19 PUERPERIO"),"INFECCIÓN SARS-CoV2 CONFIRMADA",""),"*",CONCATENATE(IF(OR(HC8="CITAR PARA COLPOSCOPIA",HC8="CITAR PARA COLPOSCOPIA Y PATOLOGIA"),"DESCARTAR CANCER DE UTERO",""),"*",)))))))))))),"")</f>
        <v>#REF!</v>
      </c>
      <c r="HM8" s="35" t="e">
        <f>IF(AND(O8="",R8=""),"",IF(AND(OR(O8&lt;&gt;"",R8&lt;&gt;""),OR(HO8="RIESGO ALTO DE COMPLICACIONES HIPERTENSIVAS VER MANEJO GUIA SUMINISTRO ASA Y CALCIO",HO8="RIESGO MODERADO (2 O MAS CRITERIOS) VER MANEJO GUIA SUMINISTRO ASA Y CALCIO")),"ALTO RIESGO",IF(AND(HL8="************",OR(O8&lt;&gt;"",R8&lt;&gt;""),AND(NM8&gt;=0,NM8&lt;3)),"BAJO RIESGO",IF(AND(OR(O8&lt;&gt;"",R8&lt;&gt;""),OR(HJ8="COVID19 PRIMER TRIMESTRE",HJ8="COVID19 SEGUNDO TRIMESTRE",HJ8="COVID19 TERCER TRIMESTRE",HJ8="COVID19 PUERPERIO")),"ALTO RIESGO",IF(AND(HL8&lt;&gt;"",OR(O8&lt;&gt;"",R8&lt;&gt;""),AND(NM8&gt;=0,NM8&lt;3)),"CON RIESGO",IF(AND(OR(O8&lt;&gt;"",R8&lt;&gt;""),NM8&gt;2),"ALTO RIESGO",""))))))</f>
        <v>#VALUE!</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GEMELAR",""),"*",CONCATENATE(IF(NJ8=3,"PRESENTACIÓN FETAL PODALICA O TRANSVERSA",""),"*",CONCATENATE(IF(BY8="SI","POLIHIDRAMNIOS",""),"*",CONCATENATE(IF(FB8="DIABETES, REMITIR","DIABETES GESTACIONAL",""),"*",CONCATENATE(IF(FP8&lt;&gt;"","SEGUIMIENTO PARA SIFILIS GESTACIONAL",""),"*",CONCATENATE(IF(NI8=3,"SEGUIMIENTO PARA VIH",""),"*",CONCATENATE(IF(NG8=1,"SEGUIMIENTO PARA ANEMIA",""),"*",CONCATENATE(IF(ND8=2,"MULTIPARIDAD",""),"*",CONCATENATE(IF(ND8=1,"MULTIPARIDAD",""),"*",CONCATENATE(IF(NC8=1,"ANTECEDENTE MUERTE PERINATAL",""),"*",CONCATENATE(IF(OR(NA8=2,NA8=1),"RIESGO POR EDAD",""),"*",CONCATENATE(IF(OR(NE8=1,NE8=2),"CESAREAS PREVIAS",""),"*",CONCATENATE(IF(NF8=1,"ANTECEDENTE ECTOPICO O CX UTERINA",""),"*",CONCATENATE(IF(NH8=1,"EMBARAZO PROLONGADO",""),"*",CONCATENATE(IF(NK8=2,"SEGUIMIENTO PARA CHAGAS",""),"*",CONCATENATE(IF(NL8=3,"SEGUIMIENTO PARA MALARIA",""),"*",CONCATENATE(IF(OR(HJ8="COVID19 PRIMER TRIMESTRE",HJ8="COVID19 SEGUNDO TRIMESTRE", HJ8="COVID19 TERCER TRIMESTRE",HJ8="COVID19 PUERPERIO"),"SEGUIMIENTO PARA COVID19",""),"*",CONCATENATE(IF(EU8="RIESGO DE INCOMPATIBILIDAD RH","SEGUIMIENTO PARA INCOMPATIBILIDAD RH",""),"*")))))))))))))))))))))))))))))))),"")</f>
        <v>#VALUE!</v>
      </c>
      <c r="HO8" s="31" t="e">
        <f>IF(AND(O8="",R8=""),"",IF(AND(OR(O8&gt;0,R8&gt;0),OR(AL8="SI",BD8="SI",BA8="SI",BB8="SI",BE8="SI")),"RIESGO ALTO DE COMPLICACIONES HIPERTENSIVAS VER MANEJO GUIA SUMINISTRO ASA Y CALCIO",IF(AND(OR(O8&gt;0,R8&gt;0),NN8&gt;1),"RIESGO MODERADO (2 O MAS CRITERIOS) VER MANEJO GUIA SUMINISTRO ASA Y CALCIO","SIN ANTECEDENTES DE RIESGO")))</f>
        <v>#VALUE!</v>
      </c>
      <c r="HP8" s="37" t="str">
        <f>IF(AND(O8="",R8=""),"",IF(AND(OR(O8&gt;0,R8&gt;0),CR8&lt;&gt;"",CU8&lt;&gt;"",CZ8&lt;&gt;""),CZ8,IF(AND(OR(O8&gt;0,R8&gt;0),CR8&lt;&gt;"",CU8&lt;&gt;"",CZ8=""),CU8,IF(AND(OR(O8&gt;0,R8&gt;0),CR8&lt;&gt;"",CU8="",CZ8=""),CR8,IF(AND(OR(O8&gt;0,R8&gt;0),CR8="",CU8="",CZ8&lt;&gt;""),CZ8,IF(AND(OR(O8&gt;0,R8&gt;0),CR8="",CU8&lt;&gt;"",CZ8&lt;&gt;""),CZ8,IF(AND(OR(O8&gt;0,R8&gt;0),CR8&lt;&gt;"",CU8="",CZ8&lt;&gt;""),CZ8,IF(AND(OR(O8&gt;0,R8&gt;0),CR8="",CU8&lt;&gt;"",CZ8=""),CU8,""))))))))</f>
        <v>APARENTEMENTE NORMAL</v>
      </c>
      <c r="HQ8" s="31" t="e">
        <f ca="1">IF(NR8="SD","",IF(AND(NR8&lt;=33,NR8&gt;=8),"MES DE CONTROL",IF(AND(NR8&gt;=1,NR8&lt;8),"SEMANA DE CONTROL",IF(NR8=0,"DIA DE CONTROL",IF(NR8&lt;0,"INASISTENTE",IF(NR8="Y","SEGUIMIENTO FUERA MUNICIPIO",IF(NR8="Z","BUSCAR PARA INGRESO A CPN",IF(NR8="W","DEFINIR FECHA CITA",IF(NR8="X","NO REALIZO CPN",IF(NR8="S","DILIGENCIAR FECHA SALIDA PROGRAMA","REVISAR FORMULA"))))))))))</f>
        <v>#VALUE!</v>
      </c>
      <c r="HR8" s="46" t="str">
        <f>IF(AND(R8&lt;&gt;"",IT8="CAMBIO DE RESIDENCIA"),"SEGUIMIENTO REPORTE EPS",IF(AND(R8&lt;&gt;"",OR(IT8&lt;&gt;"",IW8&lt;&gt;"")),"SALIO PROGRAMA",IF(AND(AND(R8="",O8&gt;0),OR(IT8&lt;&gt;"",IW8&lt;&gt;"")),"SALE SIN INGRESO CPN",IF(AND(R8="",O8&gt;0,IT8="",IW8=""),"ACTIVA SIN INGRESO CPN",IF(AND(R8&lt;&gt;"",OR(IT8="",IW8="")),"ACTIVA INGRESO A CPN","")))))</f>
        <v>SALIO PROGRAMA</v>
      </c>
      <c r="HS8" s="31" t="s">
        <v>875</v>
      </c>
      <c r="HT8" s="31" t="s">
        <v>883</v>
      </c>
      <c r="HU8" s="35">
        <v>44866</v>
      </c>
      <c r="HV8" s="35" t="s">
        <v>901</v>
      </c>
      <c r="HW8" s="35">
        <v>44835</v>
      </c>
      <c r="HX8" s="35" t="s">
        <v>901</v>
      </c>
      <c r="HY8" s="35">
        <v>44866</v>
      </c>
      <c r="HZ8" s="35" t="s">
        <v>901</v>
      </c>
      <c r="IA8" s="40" t="s">
        <v>887</v>
      </c>
      <c r="IB8" s="35">
        <v>44737</v>
      </c>
      <c r="IC8" s="43">
        <f>IF(AND(BP8="ERROR FUM O INGRESO",IB8&gt;0),"ERROR FUM O INGRESO",IF(AND(IB8="",R8=""),"",IF(OR(AND(IB8&lt;&gt;"",IB8&lt;BK8),AND(IB8&lt;&gt;"",SUM((IB8-BK8)/7)&gt;40)),"CORREGIR FECHA CONSULTA",IF(AND(IB8="",R8&gt;0),"PENDIENTE CONSULTA",IF(IB8&gt;0,SUM(IB8-BK8)/7,"")))))</f>
        <v>10</v>
      </c>
      <c r="ID8" s="40" t="s">
        <v>875</v>
      </c>
      <c r="IE8" s="40" t="s">
        <v>902</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ca="1">IF(AND(BK8="",NO8="SD"),"SIN DATO EDAD GESTACIONAL",IF(AND(BK8="",IM8=""),"",IF(AND(AND(BQ8&gt;0,BQ8&lt;20),IM8=""),"EN ESPERA PARA VACUNAR",IF(AND(AND(BQ8&gt;19,BQ8&lt;27),IM8=""),"PROGRAMAR APLICACION DE VACUNA",IF(AND(AND(BQ8&gt;26,BQ8&lt;43),IM8=""),"INASISTENTE",IF(AND(AND(NO8&gt;19,NO8&lt;27),IM8&gt;0),"VACUNA APLICADA ENTRE SEMANA 20 Y SEMANA 26",IF(AND(NO8&lt;20,IM8&gt;0),"VACUNA APLICADA ANTES SEMANA 20",IF(AND(NO8&gt;26,IM8&gt;0),"VACUNA APLICADA ENTRE SEMANA 27 Y EL PARTO",IF(AND(OR(IT8="CESAREA",IT8="PARTO"),IR8="POSIBLEMENTE NACIO",IM8=""),"SALE SIN VACUNA","")))))))))</f>
        <v>VACUNA APLICADA ENTRE SEMANA 20 Y SEMANA 26</v>
      </c>
      <c r="IO8" s="35"/>
      <c r="IP8" s="35">
        <f>IF(OR(BL8="SI",BL8="Corregida",BL8="NO"),(BK8+280),IF(BL8="Sin Dato","DEFINIR FPP POR ECO",""))</f>
        <v>44947</v>
      </c>
      <c r="IQ8" s="44">
        <f ca="1">IF(OR(IP8="DEFINIR FPP POR ECO",BP8="ERROR FUM O INGRESO"),"SIN DEFINIR",IF(IP8="","",IF(IP8&gt;0,SUM(IP8-TODAY()),"X")))</f>
        <v>-278</v>
      </c>
      <c r="IR8" s="35" t="str">
        <f ca="1">IF(IQ8&lt;0,"POSIBLEMENTE NACIO",IF(IQ8="SIN DEFINIR","SIN DATO",IF(AND(IQ8&gt;=0,IQ8&lt;=7),"SEMANA DE PARTO",IF(AND(IQ8&gt;=8,IQ8&lt;=28),"MENOS DE 4 SEMANAS",IF(AND(IQ8&gt;=29,IQ8&lt;=280),"PENDIENTE","")))))</f>
        <v>POSIBLEMENTE NACIO</v>
      </c>
      <c r="IS8" s="35"/>
      <c r="IT8" s="31" t="s">
        <v>915</v>
      </c>
      <c r="IU8" s="31" t="s">
        <v>905</v>
      </c>
      <c r="IV8" s="51" t="s">
        <v>916</v>
      </c>
      <c r="IW8" s="35">
        <v>44935</v>
      </c>
      <c r="IX8" s="31" t="s">
        <v>907</v>
      </c>
      <c r="IY8" s="44">
        <f>IF(AND(IW8&gt;0,IT8&lt;&gt;""),SUM(IW8-BK8)/7,"")</f>
        <v>38.285714285714285</v>
      </c>
      <c r="IZ8" s="52" t="s">
        <v>908</v>
      </c>
      <c r="JA8" s="31" t="s">
        <v>909</v>
      </c>
      <c r="JB8" s="31" t="s">
        <v>910</v>
      </c>
      <c r="JC8" s="31" t="s">
        <v>917</v>
      </c>
      <c r="JD8" s="31" t="s">
        <v>875</v>
      </c>
      <c r="JE8" s="31" t="s">
        <v>875</v>
      </c>
      <c r="JF8" s="31"/>
      <c r="JG8" s="31" t="s">
        <v>875</v>
      </c>
      <c r="JH8" s="31" t="s">
        <v>875</v>
      </c>
      <c r="JI8" s="31"/>
      <c r="JJ8" s="31" t="s">
        <v>918</v>
      </c>
      <c r="JK8" s="46">
        <v>1</v>
      </c>
      <c r="JL8" s="31" t="s">
        <v>919</v>
      </c>
      <c r="JM8" s="53">
        <v>2564</v>
      </c>
      <c r="JN8" s="31" t="str">
        <f>IF(AND(JM8&gt;700,JM8&lt;2500,IY8&gt;36),"BAJO PESO AL NACER",IF(AND(JM8&gt;500,JM8&lt;2500,IY8&lt;37),"PREMATURO",IF(AND(JM8&gt;2499,JM8&lt;4000,IY8&gt;36),"PESO ADECUADO EDAD GESTACIONAL",IF(AND(JM8&gt;3999,JM8&lt;6000,IY8&gt;36),"PESO GRANDE EDAD GESTACIONAL",""))))</f>
        <v>PESO ADECUADO EDAD GESTACIONAL</v>
      </c>
      <c r="JO8" s="236">
        <v>44935</v>
      </c>
      <c r="JP8" s="31"/>
      <c r="JQ8" s="31"/>
      <c r="JR8" s="31"/>
      <c r="JS8" s="46" t="s">
        <v>893</v>
      </c>
      <c r="JT8" s="35">
        <v>44935</v>
      </c>
      <c r="JU8" s="35">
        <v>44935</v>
      </c>
      <c r="JV8" s="31"/>
      <c r="JW8" s="53"/>
      <c r="JX8" s="31" t="str">
        <f>IF(AND(JW8&gt;700,JW8&lt;2500,IY8&gt;36,IY8&lt;43),"BAJO PESO AL NACER",IF(AND(JW8&gt;700,JW8&lt;2500,IY8&lt;37),"PREMATURO",IF(AND(JW8&gt;2499,JW8&lt;4000,IY8&gt;36,IY8&lt;43),"PESO ADECUADO EDAD GESTACIONAL",IF(AND(JW8&gt;3999,JW8&lt;6000,IY8&gt;36,IY8&lt;43),"PESO GRANDE EDAD GESTACIONAL",""))))</f>
        <v/>
      </c>
      <c r="JY8" s="35"/>
      <c r="JZ8" s="31"/>
      <c r="KA8" s="31"/>
      <c r="KB8" s="31"/>
      <c r="KC8" s="46"/>
      <c r="KD8" s="35"/>
      <c r="KE8" s="35"/>
      <c r="KF8" s="50">
        <v>44942</v>
      </c>
      <c r="KG8" s="43">
        <f>IF(AND(KF8&lt;&gt;"",KF8&lt;IW8),"INCONSISTENCIA FECHA CONTROL",IF(AND(OR(IT8="Parto",IT8="Cesarea"),KF8&gt;0,IW8&gt;0),SUM(KF8-IW8),IF(AND(OR(IT8="Parto",IT8="Cesarea"),KF8="",IW8&gt;0),"INASISTENTE","")))</f>
        <v>7</v>
      </c>
      <c r="KH8" s="50">
        <v>44942</v>
      </c>
      <c r="KI8" s="43">
        <f>IF(AND(KH8&lt;&gt;"",KH8&lt;IW8),"INCONSISTENCIA FECHA CONTROL",IF(AND(OR(IT8="Parto",IT8="Cesarea",IT8="Aborto Espontaneo",IT8="Aborto Inducido",IT8="IVE"),KH8&gt;0,IW8&gt;0),SUM(KH8-IW8),IF(AND(KH8&lt;&gt;"",KH8&lt;IW8),"INCONSISTENCIA FECHA CONTROL",IF(AND(OR(IT8="Parto",IT8="Cesarea",IT8="Aborto Espontaneo",IT8="Aborto Inducido",IT8="IVE"),KH8="",IW8&gt;0),"INASISTENTE",""))))</f>
        <v>7</v>
      </c>
      <c r="KJ8" s="31" t="s">
        <v>875</v>
      </c>
      <c r="KK8" s="31" t="s">
        <v>875</v>
      </c>
      <c r="KL8" s="31" t="s">
        <v>875</v>
      </c>
      <c r="KM8" s="54">
        <v>44935</v>
      </c>
      <c r="KN8" s="43" t="s">
        <v>914</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SUM(COUNTIF(LD8,"PARTERO (A)"),COUNTIF(LH8,"PARTERO (A)"),COUNTIF(LL8,"PARTERO (A)"),COUNTIF(LP8,"PARTERO (A)"),COUNTIF(LT8,"PARTERO (A)"),COUNTIF(LX8,"PARTERO (A)"),COUNTIF(MN8,"PARTERO (A)"))</f>
        <v>0</v>
      </c>
      <c r="MR8" t="str">
        <f>IF(AND(R8="",O8=""),"",IF(AND(OR(O8&gt;0,R8&gt;0),LC8&gt;0),SUM(LC8-BK8)/7,""))</f>
        <v/>
      </c>
      <c r="MS8" t="str">
        <f>IF(AND(MR8="",BP8=""),"",IF(AND(MR8&lt;&gt;"",BP8="SIN DATO"),"SIN DATO",IF(AND(MR8="",BP8&lt;&gt;""),"",IF(AND(MR8&lt;0,BP8&gt;0),"ERROR FUM O INGRESO",IF(MR8&lt;=13,"I TRIM",IF(MR8&lt;28,"II TRIM",IF(AND(MR8&gt;27,MR8&lt;45),"III TRIM","POR DEFINIR")))))))</f>
        <v/>
      </c>
      <c r="MT8">
        <f>SUM(COUNTIF(LD8,"MEDICO (A) TRADICIONAL"),COUNTIF(LH8,"MEDICO (A) TRADICIONAL"),COUNTIF(LL8,"MEDICO (A) TRADICIONAL"),COUNTIF(LP8,"MEDICO (A) TRADICIONAL"),COUNTIF(LT8,"MEDICO (A) TRADICIONAL"),COUNTIF(LX8,"MEDICO (A) TRADICIONAL"),COUNTIF(MN8,"MEDICO (A) TRADICIONAL"))</f>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IF(AND(O8&gt;0,BK8&gt;0),SUM(O8-BK8)/7,"")</f>
        <v>10</v>
      </c>
      <c r="MW8">
        <f>IF(R8&gt;0,MONTH(R8),"")</f>
        <v>6</v>
      </c>
      <c r="MX8">
        <f>IF(R8&gt;0,YEAR(R8),"")</f>
        <v>2022</v>
      </c>
      <c r="MY8" t="str">
        <f>IF(AND(MW8&gt;=1,MW8&lt;=3),"I TRIMESTRE AÑO",IF(AND(MW8&gt;=4,MW8&lt;=6),"II TRIMESTRE AÑO",IF(AND(MW8&gt;=7,MW8&lt;=9),"III TRIMESTRE AÑO",IF(AND(MW8&gt;=10,MW8&lt;=12),"IV TRIMESTRE AÑO",""))))</f>
        <v>II TRIMESTRE AÑO</v>
      </c>
      <c r="MZ8">
        <f>IF(AND(M8&gt;0,R8&gt;0),DAYS360(M8,R8)/30.44/12,IF(AND(M8&gt;0,O8&gt;0,R8=""),DAYS360(M8,O8)/30.44/12,""))</f>
        <v>14.818769163381516</v>
      </c>
      <c r="NA8">
        <f>IF(AND(MZ8&gt;7,MZ8&lt;14),2,IF(MZ8&lt;16,1,IF(MZ8&lt;=35,0,IF(AND(MZ8&gt;35,MZ8&lt;50),2,""))))</f>
        <v>1</v>
      </c>
      <c r="NB8" t="str">
        <f>+IF(MZ8="","",IF(MZ8&lt;14,"MENOR 14 AÑOS",IF(MZ8&lt;20,"DE 14 A 19AÑOS",IF(MZ8&lt;25," DE 20 A 24 AÑOS",IF(MZ8&lt;30," DE 25 A 29 AÑOS",IF(MZ8&lt;35," DE 30 A 34 AÑOS",IF(MZ8&lt;40," DE 35 A 39 AÑOS"," DE 40 Y MAS")))))))</f>
        <v>DE 14 A 19AÑOS</v>
      </c>
      <c r="NC8">
        <f>IF(AW8="SI",1,IF(AW8="NO",0,""))</f>
        <v>0</v>
      </c>
      <c r="ND8">
        <f>IF(AS8="","",IF(AS8=0,1,IF(AND(AS8&gt;=1,AS8&lt;=4),0,IF(AS8&gt;=5,2,"X"))))</f>
        <v>1</v>
      </c>
      <c r="NE8">
        <f>IF(AV8="","",IF(AV8=0,0,IF(AV8=1,1,IF(OR(AV8=2,AV8="3 O MAS"),2,"X"))))</f>
        <v>0</v>
      </c>
      <c r="NF8">
        <f>IF(AX8="SI",1,IF(AX8="NO",0,""))</f>
        <v>0</v>
      </c>
      <c r="NG8" t="str">
        <f>IF(OR(AND(EI8&gt;0,EI8&lt;11),AND(EN8&gt;0,EN8&lt;10.5)),1,"")</f>
        <v/>
      </c>
      <c r="NH8" t="str">
        <f ca="1">IF(AND(AND(BQ8&gt;40.9,BQ8&lt;43),IW8=""),1,"")</f>
        <v/>
      </c>
      <c r="NI8" t="str">
        <f>IF(AND(FY8="",GB8="",GE8="",GH8=""),"",IF(OR(OR(FY8="P.R REACTIVA",FY8="ELISA REACTIVA"),OR(GB8="P.R REACTIVA",GB8="ELISA REACTIVA"),OR(GE8="P.R REACTIVA",GE8="ELISA REACTIVA"),OR(GH8="P.R REACTIVA",GH8="ELISA REACTIVA")),3,""))</f>
        <v/>
      </c>
      <c r="NJ8">
        <f>IF(BX8="","",IF(OR(BX8="CEFÁLICA",BX8="SD"),0,IF(OR(BX8="PODÁLICA",BX8="TRANSVERSA O DE FRENTE",BX8="OBLICUA"),3,"")))</f>
        <v>0</v>
      </c>
      <c r="NK8" t="str">
        <f>IF(HD8="","",IF(HD8="POSITIVO",2,"0"))</f>
        <v>0</v>
      </c>
      <c r="NL8">
        <f>IF(AND(HF8="",HH8=""),"",IF(OR(HF8="POSITIVO",HH8="POSITIVO"),3,0))</f>
        <v>0</v>
      </c>
      <c r="NM8">
        <f ca="1">IF(AND(O8="",R8=""),"",IF(OR(O8&lt;&gt;"",R8&lt;&gt;""),SUM(COUNTIF(AL8:AP8,"SI"),COUNTIF(AU8,"SI"),COUNTIF(BF8,"SI"),COUNTIF(BI8,"SI"),SUM(COUNTIF(BA8:BC8,"SI")*3),SUM(COUNTIF(BV8:BW8,"SI")*3),SUM(COUNTIF(BH8,"SI")*3),SUM(COUNTIF(BG8,"SI")*2),SUM(COUNTIF(BY8,"SI")*2),SUM(COUNTIF(BE8,"SI")*2),SUM(COUNTIF(FB8,"DIABETES, REMITIR")*2),SUM(NC8:NL8),SUM(NA8),SUM(NP8),SUM(COUNTIF(EU8,"RIESGO DE INCOMPATIBILIDAD RH")*3),SUM(COUNTIF(FP8,"SIFILIS GESTACIONAL")*3)),""))</f>
        <v>2</v>
      </c>
      <c r="NN8" t="e">
        <f>IF(OR(O8&gt;0,R8&gt;0),SUM(COUNTIF(Tabla1[[#This Row],[AÑOS AL INICIO5 CPN]],"&gt;=40"),COUNTIF(AR8,"0"),COUNTIF(AQ8,"SI"),COUNTIF(BW8,"SI"),COUNTIF(BM8,"&gt;119"),COUNTIF(CC8,"&gt;=35")),"")</f>
        <v>#VALUE!</v>
      </c>
      <c r="NO8">
        <f>IF(AND(R8="",O8=""),"",IF(AND(OR(O8&gt;0,R8&gt;0),BK8=""),"SD",IF(AND(OR(O8&gt;0,R8&gt;0),IM8&gt;0),SUM(IM8-BK8)/7,"")))</f>
        <v>19.428571428571427</v>
      </c>
      <c r="NP8">
        <f>IF(AND(AE8="",AF8="",AG8="",AH8="",AI8="",AJ8=""),"",SUM(SUM(COUNTIF(AE8,"NO")/2),COUNTIF(AF8,"NO"),SUM(COUNTIF(AG8,"SI")/2),COUNTIF(AH8,"SI"),SUM(COUNTIF(AJ8,"SI")*2),COUNTIF(AI8,"DESPLAZADA"),COUNTIF(AI8,"MIGRATORIA"),COUNTIF(AI8,"DISCAPACIDAD FISICA"),COUNTIF(AI8,"DISCAPACIDAD CONDUCTUAL"),COUNTIF(AI8,"DISCAPACIDAD VISUAL"),COUNTIF(AI8,"DISCAPACIDAD AUDITIVA"),COUNTIF(AI8,"DISCAPACIDAD MULTIPLE"),COUNTIF(AI8,"DISCAPACIDAD SISTEMICA")))</f>
        <v>0</v>
      </c>
      <c r="NQ8">
        <f>IF(BS8&gt;0,BS8*7,"")</f>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IF(AND(O8&gt;0,R8=""),"NO CPN",IF(AND(O8="",R8=""),"",IF(AND(R8&gt;0,EF8&gt;0,EE8&gt;0),_xlfn.DAYS(EF8,EE8),IF(AND(R8&gt;0,EF8&gt;0,EE8=""),"NO CITA","X"))))</f>
        <v>37</v>
      </c>
      <c r="NV8" t="str">
        <f>IF(AND(O8&gt;0,R8=""),"NO CPN",IF(AND(O8="",R8=""),"",IF(AND(EJ8&lt;&gt;"",ES8&lt;&gt;"",EW8&lt;&gt;"",FF8&lt;&gt;"",FU8&lt;&gt;"",FZ8&lt;&gt;"",GO8&lt;&gt;"",GQ8&lt;&gt;"",GR8&lt;&gt;""),"SI","NO")))</f>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IF(AND(BO8="",IP8=""),"",IF(AND(BO8="",IP8="DEFINIR FPP POR ECO"),"SIN DATO",IF(BO8&lt;0,"ERROR FUM O INGRESO",IF(BL8="NO","DEFINIR CON ECO",IF(BO8&lt;10,"I TRIM",IF(BO8&lt;27,"II TRIM",IF(AND(BO8&gt;26,BO8&lt;45),"III TRIM","ERROR FUM O INGRESO")))))))</f>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IF(AND(O8="",R8=""),"",IF(AND(BO8&gt;0,BO8&lt;12,IY8&gt;28,IY8&lt;44),3, IF(OR(AND(BO8&gt;=12,BO8&lt;28,IY8&gt;=28,IY8&lt;44),AND(BO8&gt;0,BO8&lt;12,IY8&gt;=12,IY8&lt;29)),2,IF(OR(AND(BO8&gt;=28,BO8&lt;44),AND(BO8&gt;0,BO8&lt;12,IY8&gt;0,IY8&lt;12),AND(BO8&gt;=12,BO8&lt;28,IY8&gt;=12,IY8&lt;28)),1,IF(AND(BO8&gt;0,BO8&lt;12,BQ8&gt;=28,BQ8&lt;44,DR8="ACTIVA INGRESO A CPN"),3,IF(OR(AND(BO8&gt;0,BO8&lt;12,BQ8&gt;=12,BQ8&lt;28,DR8="ACTIVA INGRESO A CPN"),AND(BO8&gt;=12,BO8&lt;28,BQ8&gt;=28,BQ8&lt;44,DR8="ACTIVA INGRESO A CPN")),2,IF(OR(AND(BO8&gt;0,BO8&lt;12,BQ8&gt;0,BQ8&lt;12,DR8="ACTIVA INGRESO A CPN"),AND(BO8&gt;=12,BO8&lt;28,BQ8&gt;=12,BQ8&lt;28,DR8="ACTIVA INGRESO A CPN")),1,"REVISAR FUM O FECHA SALIDA PROGRAMA")))))))</f>
        <v>3</v>
      </c>
      <c r="OB8" s="213">
        <f ca="1">COUNT(FG8,FJ8,FM8,FO8)</f>
        <v>2</v>
      </c>
      <c r="OC8" s="1">
        <f ca="1">COUNT(GA8,GD8,GG8,GI8)</f>
        <v>2</v>
      </c>
      <c r="OD8" s="1" t="str">
        <f ca="1">IF(OA8="","",IF(OA8="REVISAR FUM O FECHA SALIDA PROGRAMA","POR DEFINIR",IF(OR(OA8=OB8,OB8&gt;OA8),"COMPLETO",IF(OB8&lt;OA8,"INCOMPLETO",""))))</f>
        <v>INCOMPLETO</v>
      </c>
      <c r="OE8" s="1" t="str">
        <f ca="1">IF(OA8="","",IF(OA8="REVISAR FUM O FECHA SALIDA PROGRAMA","POR DEFINIR",IF(OR(OA8=OC8,OC8&gt;OA8),"COMPLETO",IF(OC8&lt;OA8,"INCOMPLETO",""))))</f>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ca="1">IF(AND(O8="",R8=""),"",IF(OR(IN8="VACUNA APLICADA ENTRE SEMANA 20 Y SEMANA 26",IN8="VACUNA APLICADA ENTRE SEMANA 27 Y EL PARTO",IN8="VACUNA APLICADA ANTES SEMANA 20"),"VACUNADA","SIN VACUNAR"))</f>
        <v>VACUNADA</v>
      </c>
      <c r="OH8" s="148" t="e">
        <f>ROW(Tabla1[[#This Row],[SEMANAS DE GESTACION II TRIM]])</f>
        <v>#VALUE!</v>
      </c>
      <c r="OI8" t="str">
        <f t="shared" si="31"/>
        <v/>
      </c>
      <c r="OJ8" t="str">
        <f t="shared" si="32"/>
        <v/>
      </c>
      <c r="OK8" t="str">
        <f t="shared" si="33"/>
        <v/>
      </c>
      <c r="OL8" t="str">
        <f t="shared" si="34"/>
        <v/>
      </c>
      <c r="OM8" t="str">
        <f t="shared" si="35"/>
        <v/>
      </c>
      <c r="ON8" t="str">
        <f t="shared" si="36"/>
        <v>NORMAL</v>
      </c>
      <c r="OO8" t="str">
        <f t="shared" si="37"/>
        <v/>
      </c>
      <c r="OP8" t="str">
        <f t="shared" si="38"/>
        <v/>
      </c>
      <c r="OQ8" t="str">
        <f t="shared" si="39"/>
        <v/>
      </c>
      <c r="OR8" t="str">
        <f t="shared" si="40"/>
        <v/>
      </c>
      <c r="OS8" t="str">
        <f t="shared" si="41"/>
        <v/>
      </c>
      <c r="OT8" t="str">
        <f t="shared" si="42"/>
        <v/>
      </c>
      <c r="OU8" t="str">
        <f t="shared" si="43"/>
        <v/>
      </c>
      <c r="OV8" t="str">
        <f t="shared" si="44"/>
        <v/>
      </c>
      <c r="OW8" t="str">
        <f t="shared" si="45"/>
        <v/>
      </c>
      <c r="OX8" t="str">
        <f t="shared" si="46"/>
        <v/>
      </c>
      <c r="OY8" t="str">
        <f t="shared" si="47"/>
        <v/>
      </c>
      <c r="OZ8" t="str">
        <f t="shared" si="48"/>
        <v/>
      </c>
      <c r="PA8" t="str">
        <f t="shared" si="49"/>
        <v>NORMAL</v>
      </c>
      <c r="PB8" t="str">
        <f t="shared" si="50"/>
        <v/>
      </c>
      <c r="PC8" t="str">
        <f t="shared" si="51"/>
        <v/>
      </c>
      <c r="PD8" t="str">
        <f t="shared" si="52"/>
        <v/>
      </c>
      <c r="PE8" t="str">
        <f t="shared" si="53"/>
        <v/>
      </c>
      <c r="PF8" t="str">
        <f t="shared" si="54"/>
        <v/>
      </c>
      <c r="PG8" t="str">
        <f t="shared" si="55"/>
        <v/>
      </c>
      <c r="PH8" t="str">
        <f t="shared" si="56"/>
        <v/>
      </c>
      <c r="PI8" t="str">
        <f t="shared" si="57"/>
        <v/>
      </c>
      <c r="PJ8" t="str">
        <f t="shared" si="58"/>
        <v/>
      </c>
      <c r="PK8" t="str">
        <f t="shared" si="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60"/>
        <v/>
      </c>
      <c r="PN8" s="161" t="e">
        <f t="shared" si="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C64394E-6CDE-47A8-8F10-C13AC0E44753}"/>
    </customSheetView>
  </customSheetViews>
  <phoneticPr fontId="33" type="noConversion"/>
  <conditionalFormatting sqref="D2:D8">
    <cfRule type="cellIs" dxfId="343" priority="26747" operator="equal">
      <formula>"PROCESO PARCIAL DE ATENCIÓN"</formula>
    </cfRule>
    <cfRule type="cellIs" dxfId="342" priority="26748" operator="equal">
      <formula>"PROCESO COMPLETO DE ATENCIÓN"</formula>
    </cfRule>
    <cfRule type="cellIs" dxfId="341" priority="26746" operator="equal">
      <formula>"SIN ATENCIÓN"</formula>
    </cfRule>
    <cfRule type="cellIs" dxfId="340" priority="26745" operator="equal">
      <formula>"SIN DATO"</formula>
    </cfRule>
  </conditionalFormatting>
  <conditionalFormatting sqref="P2:P8">
    <cfRule type="containsText" dxfId="339" priority="27223" operator="containsText" text="SI">
      <formula>NOT(ISERROR(SEARCH("SI",P2)))</formula>
    </cfRule>
    <cfRule type="containsText" dxfId="338" priority="27224" operator="containsText" text="NO">
      <formula>NOT(ISERROR(SEARCH("NO",P2)))</formula>
    </cfRule>
    <cfRule type="containsText" dxfId="337" priority="27225" operator="containsText" text="NA">
      <formula>NOT(ISERROR(SEARCH("NA",P2)))</formula>
    </cfRule>
  </conditionalFormatting>
  <conditionalFormatting sqref="Q2:Q8">
    <cfRule type="containsText" dxfId="335" priority="26929" operator="containsText" text="SE TRASLADO DE EPS">
      <formula>NOT(ISERROR(SEARCH("SE TRASLADO DE EPS",Q2)))</formula>
    </cfRule>
    <cfRule type="containsText" dxfId="334" priority="26934" operator="containsText" text="INMIGRANTE VENEZOLANA">
      <formula>NOT(ISERROR(SEARCH("INMIGRANTE VENEZOLANA",Q2)))</formula>
    </cfRule>
    <cfRule type="containsText" dxfId="333" priority="26935" operator="containsText" text="SIN AFILIACIÓN A EPS">
      <formula>NOT(ISERROR(SEARCH("SIN AFILIACIÓN A EPS",Q2)))</formula>
    </cfRule>
    <cfRule type="containsText" dxfId="332" priority="27218" operator="containsText" text="NOVEDAD">
      <formula>NOT(ISERROR(SEARCH("NOVEDAD",Q2)))</formula>
    </cfRule>
    <cfRule type="containsText" dxfId="331" priority="27219" operator="containsText" text="IDENTIDAD">
      <formula>NOT(ISERROR(SEARCH("IDENTIDAD",Q2)))</formula>
    </cfRule>
    <cfRule type="containsText" dxfId="330" priority="27221" operator="containsText" text="VIENE">
      <formula>NOT(ISERROR(SEARCH("VIENE",Q2)))</formula>
    </cfRule>
    <cfRule type="containsText" dxfId="329" priority="27220" operator="containsText" text="CPN">
      <formula>NOT(ISERROR(SEARCH("CPN",Q2)))</formula>
    </cfRule>
    <cfRule type="cellIs" dxfId="328" priority="27222" operator="equal">
      <formula>"TRAMITE DE PORTABILIDAD"</formula>
    </cfRule>
  </conditionalFormatting>
  <conditionalFormatting sqref="AC2:AC8">
    <cfRule type="containsText" dxfId="327" priority="27216" operator="containsText" text="PRIMARIA INCOMPLETA">
      <formula>NOT(ISERROR(SEARCH("PRIMARIA INCOMPLETA",AC2)))</formula>
    </cfRule>
    <cfRule type="cellIs" dxfId="326" priority="27217" operator="equal">
      <formula>"ANALFABETA"</formula>
    </cfRule>
    <cfRule type="containsText" dxfId="325" priority="27214" operator="containsText" text="SABE">
      <formula>NOT(ISERROR(SEARCH("SABE",AC2)))</formula>
    </cfRule>
    <cfRule type="containsText" dxfId="324" priority="27215" operator="containsText" text="SECUNDARIA">
      <formula>NOT(ISERROR(SEARCH("SECUNDARIA",AC2)))</formula>
    </cfRule>
  </conditionalFormatting>
  <conditionalFormatting sqref="AE2:AF5">
    <cfRule type="containsText" dxfId="323" priority="26550" operator="containsText" text="SI">
      <formula>NOT(ISERROR(SEARCH("SI",AE2)))</formula>
    </cfRule>
    <cfRule type="containsText" dxfId="322" priority="26549" operator="containsText" text="NO">
      <formula>NOT(ISERROR(SEARCH("NO",AE2)))</formula>
    </cfRule>
  </conditionalFormatting>
  <conditionalFormatting sqref="AG2:AH8 AJ2:AJ8 AL2:BI8 BV2:BW8 BY2:BY8">
    <cfRule type="cellIs" dxfId="321" priority="27289" operator="equal">
      <formula>"NO"</formula>
    </cfRule>
    <cfRule type="cellIs" dxfId="320" priority="27279" operator="equal">
      <formula>"SD"</formula>
    </cfRule>
    <cfRule type="cellIs" dxfId="319" priority="27290" operator="equal">
      <formula>"SI"</formula>
    </cfRule>
  </conditionalFormatting>
  <conditionalFormatting sqref="AI2:AI8">
    <cfRule type="containsText" dxfId="318" priority="26991" operator="containsText" text="DISCAPACIDAD">
      <formula>NOT(ISERROR(SEARCH("DISCAPACIDAD",AI2)))</formula>
    </cfRule>
    <cfRule type="containsText" dxfId="317" priority="26989" operator="containsText" text="NINGUNO">
      <formula>NOT(ISERROR(SEARCH("NINGUNO",AI2)))</formula>
    </cfRule>
    <cfRule type="containsText" dxfId="316" priority="26990" operator="containsText" text="MIGRATORIA">
      <formula>NOT(ISERROR(SEARCH("MIGRATORIA",AI2)))</formula>
    </cfRule>
    <cfRule type="containsText" dxfId="315" priority="26992" operator="containsText" text="DESPLAZADA">
      <formula>NOT(ISERROR(SEARCH("DESPLAZADA",AI2)))</formula>
    </cfRule>
  </conditionalFormatting>
  <conditionalFormatting sqref="AK2:AK8">
    <cfRule type="containsText" dxfId="314" priority="26993" operator="containsText" text="CON RIESGO">
      <formula>NOT(ISERROR(SEARCH("CON RIESGO",AK2)))</formula>
    </cfRule>
    <cfRule type="containsText" dxfId="313" priority="26994" operator="containsText" text="SIN RIESGO">
      <formula>NOT(ISERROR(SEARCH("SIN RIESGO",AK2)))</formula>
    </cfRule>
  </conditionalFormatting>
  <conditionalFormatting sqref="AV2:AV8">
    <cfRule type="cellIs" dxfId="312" priority="27210" operator="equal">
      <formula>"3 O MAS"</formula>
    </cfRule>
    <cfRule type="cellIs" dxfId="311" priority="27211" operator="equal">
      <formula>2</formula>
    </cfRule>
    <cfRule type="cellIs" dxfId="310" priority="27209" operator="equal">
      <formula>1</formula>
    </cfRule>
  </conditionalFormatting>
  <conditionalFormatting sqref="BL2:BL8">
    <cfRule type="cellIs" dxfId="309" priority="27208" operator="equal">
      <formula>"CORREGIDA"</formula>
    </cfRule>
    <cfRule type="cellIs" dxfId="308" priority="27207" operator="equal">
      <formula>"SI"</formula>
    </cfRule>
    <cfRule type="cellIs" dxfId="307" priority="27206" operator="equal">
      <formula>"NO"</formula>
    </cfRule>
  </conditionalFormatting>
  <conditionalFormatting sqref="BO1:BO1048576">
    <cfRule type="cellIs" dxfId="306" priority="26753" operator="equal">
      <formula>"SIN SEMANAS X ECO"</formula>
    </cfRule>
  </conditionalFormatting>
  <conditionalFormatting sqref="BP2:BP8">
    <cfRule type="cellIs" dxfId="305" priority="27201" operator="equal">
      <formula>"DEFINIR CON ECO"</formula>
    </cfRule>
    <cfRule type="cellIs" dxfId="304" priority="27205" operator="equal">
      <formula>"I TRIM"</formula>
    </cfRule>
    <cfRule type="cellIs" dxfId="303" priority="27204" operator="equal">
      <formula>"II TRIM"</formula>
    </cfRule>
    <cfRule type="cellIs" dxfId="302" priority="27203" operator="equal">
      <formula>"III TRIM"</formula>
    </cfRule>
    <cfRule type="cellIs" dxfId="301" priority="27202" operator="equal">
      <formula>"ERROR FUM O INGRESO O ECO"</formula>
    </cfRule>
  </conditionalFormatting>
  <conditionalFormatting sqref="BX2:BX8">
    <cfRule type="cellIs" dxfId="300" priority="26744" operator="equal">
      <formula>"CEFÁLICA"</formula>
    </cfRule>
    <cfRule type="cellIs" dxfId="299" priority="26743" operator="equal">
      <formula>"PODÁLICA"</formula>
    </cfRule>
    <cfRule type="cellIs" dxfId="297" priority="26741" operator="equal">
      <formula>"OBLICUA"</formula>
    </cfRule>
    <cfRule type="cellIs" dxfId="296" priority="26740" operator="equal">
      <formula>"SD"</formula>
    </cfRule>
  </conditionalFormatting>
  <conditionalFormatting sqref="CD2:CD8">
    <cfRule type="containsText" dxfId="295" priority="27196" operator="containsText" text="NORMAL">
      <formula>NOT(ISERROR(SEARCH("NORMAL",CD2)))</formula>
    </cfRule>
    <cfRule type="containsText" dxfId="294" priority="27195" operator="containsText" text="SOBREPESO">
      <formula>NOT(ISERROR(SEARCH("SOBREPESO",CD2)))</formula>
    </cfRule>
    <cfRule type="containsText" dxfId="293" priority="27200" operator="containsText" text="INGRESAR">
      <formula>NOT(ISERROR(SEARCH("INGRESAR",CD2)))</formula>
    </cfRule>
    <cfRule type="containsText" dxfId="292" priority="27199" operator="containsText" text="PREGESTACION">
      <formula>NOT(ISERROR(SEARCH("PREGESTACION",CD2)))</formula>
    </cfRule>
    <cfRule type="containsText" dxfId="291" priority="27198" operator="containsText" text="BAJO PESO">
      <formula>NOT(ISERROR(SEARCH("BAJO PESO",CD2)))</formula>
    </cfRule>
    <cfRule type="containsText" dxfId="290" priority="27197" operator="containsText" text="OBESIDAD">
      <formula>NOT(ISERROR(SEARCH("OBESIDAD",CD2)))</formula>
    </cfRule>
  </conditionalFormatting>
  <conditionalFormatting sqref="CI2:CI8">
    <cfRule type="containsText" dxfId="289" priority="27194" operator="containsText" text="REGISTRAR">
      <formula>NOT(ISERROR(SEARCH("REGISTRAR",CI2)))</formula>
    </cfRule>
    <cfRule type="containsText" dxfId="288" priority="27193" operator="containsText" text="NORMAL">
      <formula>NOT(ISERROR(SEARCH("NORMAL",CI2)))</formula>
    </cfRule>
    <cfRule type="containsText" dxfId="287" priority="27192" operator="containsText" text="BAJO PESO">
      <formula>NOT(ISERROR(SEARCH("BAJO PESO",CI2)))</formula>
    </cfRule>
    <cfRule type="containsText" dxfId="286" priority="27190" operator="containsText" text="SOBREPESO">
      <formula>NOT(ISERROR(SEARCH("SOBREPESO",CI2)))</formula>
    </cfRule>
    <cfRule type="containsText" dxfId="285" priority="27189" operator="containsText" text="REVISAR">
      <formula>NOT(ISERROR(SEARCH("REVISAR",CI2)))</formula>
    </cfRule>
    <cfRule type="containsText" dxfId="284" priority="27191" operator="containsText" text="OBESIDAD">
      <formula>NOT(ISERROR(SEARCH("OBESIDAD",CI2)))</formula>
    </cfRule>
  </conditionalFormatting>
  <conditionalFormatting sqref="CN2:CO5">
    <cfRule type="containsText" dxfId="283" priority="27185" operator="containsText" text="OBESIDAD">
      <formula>NOT(ISERROR(SEARCH("OBESIDAD",CN2)))</formula>
    </cfRule>
    <cfRule type="containsText" dxfId="282" priority="27186" operator="containsText" text="SOBREPESO">
      <formula>NOT(ISERROR(SEARCH("SOBREPESO",CN2)))</formula>
    </cfRule>
    <cfRule type="containsText" dxfId="281" priority="27187" operator="containsText" text="REVISAR">
      <formula>NOT(ISERROR(SEARCH("REVISAR",CN2)))</formula>
    </cfRule>
    <cfRule type="containsText" dxfId="280" priority="27188" operator="containsText" text="REGISTRAR">
      <formula>NOT(ISERROR(SEARCH("REGISTRAR",CN2)))</formula>
    </cfRule>
    <cfRule type="containsText" dxfId="279" priority="27184" operator="containsText" text="NORMAL">
      <formula>NOT(ISERROR(SEARCH("NORMAL",CN2)))</formula>
    </cfRule>
    <cfRule type="containsText" dxfId="278" priority="27183" operator="containsText" text="BAJO PESO">
      <formula>NOT(ISERROR(SEARCH("BAJO PESO",CN2)))</formula>
    </cfRule>
  </conditionalFormatting>
  <conditionalFormatting sqref="CO2:CO8">
    <cfRule type="containsText" dxfId="277" priority="26998" operator="containsText" text="INGRESAR">
      <formula>NOT(ISERROR(SEARCH("INGRESAR",CO2)))</formula>
    </cfRule>
  </conditionalFormatting>
  <conditionalFormatting sqref="CR2:CR8">
    <cfRule type="containsText" dxfId="276" priority="27182" operator="containsText" text="HTA">
      <formula>NOT(ISERROR(SEARCH("HTA",CR2)))</formula>
    </cfRule>
    <cfRule type="containsText" dxfId="275" priority="27181" operator="containsText" text="NORMAL">
      <formula>NOT(ISERROR(SEARCH("NORMAL",CR2)))</formula>
    </cfRule>
    <cfRule type="containsText" dxfId="274" priority="27180" operator="containsText" text="HIPOTENSION">
      <formula>NOT(ISERROR(SEARCH("HIPOTENSION",CR2)))</formula>
    </cfRule>
  </conditionalFormatting>
  <conditionalFormatting sqref="CU2:CU8">
    <cfRule type="containsText" dxfId="273" priority="27179" operator="containsText" text="HTA">
      <formula>NOT(ISERROR(SEARCH("HTA",CU2)))</formula>
    </cfRule>
    <cfRule type="containsText" dxfId="272" priority="27178" operator="containsText" text="NORMAL">
      <formula>NOT(ISERROR(SEARCH("NORMAL",CU2)))</formula>
    </cfRule>
    <cfRule type="containsText" dxfId="271" priority="27177" operator="containsText" text="VIGILAR">
      <formula>NOT(ISERROR(SEARCH("VIGILAR",CU2)))</formula>
    </cfRule>
    <cfRule type="containsText" dxfId="270" priority="27176" operator="containsText" text="HIPOTENSION">
      <formula>NOT(ISERROR(SEARCH("HIPOTENSION",CU2)))</formula>
    </cfRule>
  </conditionalFormatting>
  <conditionalFormatting sqref="CZ2:CZ8 HP2:HP8">
    <cfRule type="containsText" dxfId="269" priority="27173" operator="containsText" text="NORMAL">
      <formula>NOT(ISERROR(SEARCH("NORMAL",CZ2)))</formula>
    </cfRule>
    <cfRule type="containsText" dxfId="268" priority="27175" operator="containsText" text="HTA">
      <formula>NOT(ISERROR(SEARCH("HTA",CZ2)))</formula>
    </cfRule>
    <cfRule type="containsText" dxfId="267" priority="27174" operator="containsText" text="VIGILAR">
      <formula>NOT(ISERROR(SEARCH("VIGILAR",CZ2)))</formula>
    </cfRule>
  </conditionalFormatting>
  <conditionalFormatting sqref="DO2:DO8">
    <cfRule type="cellIs" dxfId="266" priority="26591" operator="between">
      <formula>0</formula>
      <formula>3</formula>
    </cfRule>
    <cfRule type="containsBlanks" priority="26588" stopIfTrue="1">
      <formula>LEN(TRIM(DO2))=0</formula>
    </cfRule>
    <cfRule type="cellIs" dxfId="265" priority="26589" operator="greaterThanOrEqual">
      <formula>6</formula>
    </cfRule>
    <cfRule type="cellIs" dxfId="264" priority="26590" operator="between">
      <formula>4</formula>
      <formula>5</formula>
    </cfRule>
  </conditionalFormatting>
  <conditionalFormatting sqref="DQ2:DQ8">
    <cfRule type="cellIs" dxfId="263" priority="26583" operator="equal">
      <formula>"SALE PROGRAMA ANTES SEMANA 35"</formula>
    </cfRule>
    <cfRule type="cellIs" dxfId="262" priority="26584" operator="equal">
      <formula>"EN ESPERA"</formula>
    </cfRule>
    <cfRule type="cellIs" dxfId="261" priority="26585" operator="equal">
      <formula>"CONCERTAR PLAN DE PARTO INMEDIATO"</formula>
    </cfRule>
    <cfRule type="cellIs" dxfId="260" priority="26586" operator="equal">
      <formula>"PLANEAR PLAN DE PARTO"</formula>
    </cfRule>
    <cfRule type="cellIs" dxfId="259" priority="26587" operator="equal">
      <formula>"PLAN REALIZADO ANTES III TRIM"</formula>
    </cfRule>
    <cfRule type="cellIs" dxfId="258" priority="26582" operator="equal">
      <formula>"SALE SIN PLAN DE PARTO"</formula>
    </cfRule>
    <cfRule type="cellIs" dxfId="257" priority="26580" operator="between">
      <formula>28</formula>
      <formula>44</formula>
    </cfRule>
  </conditionalFormatting>
  <conditionalFormatting sqref="DR2:DR8 HR2:HR8">
    <cfRule type="containsText" dxfId="256" priority="27162" operator="containsText" text="seguimiento">
      <formula>NOT(ISERROR(SEARCH("seguimiento",DR2)))</formula>
    </cfRule>
    <cfRule type="containsText" dxfId="255" priority="27161" operator="containsText" text="Activa ingreso">
      <formula>NOT(ISERROR(SEARCH("Activa ingreso",DR2)))</formula>
    </cfRule>
    <cfRule type="containsText" dxfId="254" priority="27164" operator="containsText" text="sale">
      <formula>NOT(ISERROR(SEARCH("sale",DR2)))</formula>
    </cfRule>
    <cfRule type="containsText" dxfId="253" priority="27163" operator="containsText" text="salio">
      <formula>NOT(ISERROR(SEARCH("salio",DR2)))</formula>
    </cfRule>
    <cfRule type="containsText" dxfId="252" priority="27160" operator="containsText" text="activa sin">
      <formula>NOT(ISERROR(SEARCH("activa sin",DR2)))</formula>
    </cfRule>
  </conditionalFormatting>
  <conditionalFormatting sqref="DT2:DT8 HQ2:HQ8">
    <cfRule type="containsText" dxfId="251" priority="27154" operator="containsText" text="MES">
      <formula>NOT(ISERROR(SEARCH("MES",DT2)))</formula>
    </cfRule>
    <cfRule type="containsText" dxfId="250" priority="26957" operator="containsText" text="DEFINIR">
      <formula>NOT(ISERROR(SEARCH("DEFINIR",DT2)))</formula>
    </cfRule>
    <cfRule type="containsText" dxfId="249" priority="27155" operator="containsText" text="SEMANA">
      <formula>NOT(ISERROR(SEARCH("SEMANA",DT2)))</formula>
    </cfRule>
    <cfRule type="containsText" dxfId="248" priority="27156" operator="containsText" text="DIA">
      <formula>NOT(ISERROR(SEARCH("DIA",DT2)))</formula>
    </cfRule>
    <cfRule type="containsText" dxfId="247" priority="27157" operator="containsText" text="FUERA">
      <formula>NOT(ISERROR(SEARCH("FUERA",DT2)))</formula>
    </cfRule>
    <cfRule type="containsText" dxfId="246" priority="27158" operator="containsText" text="BUSCAR">
      <formula>NOT(ISERROR(SEARCH("BUSCAR",DT2)))</formula>
    </cfRule>
    <cfRule type="containsText" dxfId="245" priority="27159" operator="containsText" text="INASISTENTE">
      <formula>NOT(ISERROR(SEARCH("INASISTENTE",DT2)))</formula>
    </cfRule>
  </conditionalFormatting>
  <conditionalFormatting sqref="DT2:DT8">
    <cfRule type="containsText" dxfId="244" priority="26579" operator="containsText" text="DILIGENCIAR">
      <formula>NOT(ISERROR(SEARCH("DILIGENCIAR",DT2)))</formula>
    </cfRule>
  </conditionalFormatting>
  <conditionalFormatting sqref="EL2:EL8 EQ2:EQ8">
    <cfRule type="containsText" dxfId="243" priority="27172" operator="containsText" text="ANEMIA">
      <formula>NOT(ISERROR(SEARCH("ANEMIA",EL2)))</formula>
    </cfRule>
    <cfRule type="containsText" dxfId="242" priority="27171" operator="containsText" text="NORMAL">
      <formula>NOT(ISERROR(SEARCH("NORMAL",EL2)))</formula>
    </cfRule>
    <cfRule type="containsText" dxfId="241" priority="27170" operator="containsText" text="DAR">
      <formula>NOT(ISERROR(SEARCH("DAR",EL2)))</formula>
    </cfRule>
  </conditionalFormatting>
  <conditionalFormatting sqref="EU2:EU8">
    <cfRule type="containsText" dxfId="240" priority="27165" operator="containsText" text="NO">
      <formula>NOT(ISERROR(SEARCH("NO",EU2)))</formula>
    </cfRule>
    <cfRule type="containsText" dxfId="239" priority="27166" operator="containsText" text="RIESGO">
      <formula>NOT(ISERROR(SEARCH("RIESGO",EU2)))</formula>
    </cfRule>
  </conditionalFormatting>
  <conditionalFormatting sqref="FB2:FB8">
    <cfRule type="containsText" dxfId="238" priority="26865" operator="containsText" text="PROGRAMAR">
      <formula>NOT(ISERROR(SEARCH("PROGRAMAR",FB2)))</formula>
    </cfRule>
    <cfRule type="containsText" dxfId="237" priority="26866" operator="containsText" text="NORMAL">
      <formula>NOT(ISERROR(SEARCH("NORMAL",FB2)))</formula>
    </cfRule>
    <cfRule type="containsText" dxfId="236" priority="26867" operator="containsText" text="DIABETES">
      <formula>NOT(ISERROR(SEARCH("DIABETES",FB2)))</formula>
    </cfRule>
    <cfRule type="containsText" dxfId="235" priority="26868" operator="containsText" text="TOMAR">
      <formula>NOT(ISERROR(SEARCH("TOMAR",FB2)))</formula>
    </cfRule>
    <cfRule type="containsText" dxfId="234" priority="26907" operator="containsText" text="COMPLETA">
      <formula>NOT(ISERROR(SEARCH("COMPLETA",FB2)))</formula>
    </cfRule>
    <cfRule type="containsText" dxfId="233" priority="26864" operator="containsText" text="NORMAL,">
      <formula>NOT(ISERROR(SEARCH("NORMAL,",FB2)))</formula>
    </cfRule>
  </conditionalFormatting>
  <conditionalFormatting sqref="FE2:FE8">
    <cfRule type="containsText" dxfId="232" priority="26693" operator="containsText" text="NEGATIVA">
      <formula>NOT(ISERROR(SEARCH("NEGATIVA",FE2)))</formula>
    </cfRule>
    <cfRule type="containsText" dxfId="231" priority="26692" operator="containsText" text="POSITIVA CASO SIFILIS">
      <formula>NOT(ISERROR(SEARCH("POSITIVA CASO SIFILIS",FE2)))</formula>
    </cfRule>
    <cfRule type="containsText" dxfId="230" priority="26691" operator="containsText" text="POSITIVA CICATRIZ">
      <formula>NOT(ISERROR(SEARCH("POSITIVA CICATRIZ",FE2)))</formula>
    </cfRule>
  </conditionalFormatting>
  <conditionalFormatting sqref="FG2:FG8">
    <cfRule type="containsText" dxfId="229" priority="26662" operator="containsText" text="INMEDIATA">
      <formula>NOT(ISERROR(SEARCH("INMEDIATA",FG2)))</formula>
    </cfRule>
    <cfRule type="containsText" dxfId="228" priority="26661" operator="containsText" text="RANGO">
      <formula>NOT(ISERROR(SEARCH("RANGO",FG2)))</formula>
    </cfRule>
    <cfRule type="cellIs" dxfId="227" priority="26659" operator="between">
      <formula>0</formula>
      <formula>13</formula>
    </cfRule>
    <cfRule type="containsText" dxfId="226" priority="26658" operator="containsText" text="REGISTRAR">
      <formula>NOT(ISERROR(SEARCH("REGISTRAR",FG2)))</formula>
    </cfRule>
    <cfRule type="containsText" dxfId="225" priority="26657" operator="containsText" text="PIERDE">
      <formula>NOT(ISERROR(SEARCH("PIERDE",FG2)))</formula>
    </cfRule>
    <cfRule type="containsText" dxfId="224" priority="26656" operator="containsText" text="NO APLICA">
      <formula>NOT(ISERROR(SEARCH("NO APLICA",FG2)))</formula>
    </cfRule>
    <cfRule type="containsText" dxfId="223" priority="26660" operator="containsText" text="EN ESPERA">
      <formula>NOT(ISERROR(SEARCH("EN ESPERA",FG2)))</formula>
    </cfRule>
  </conditionalFormatting>
  <conditionalFormatting sqref="FH2:FH8 FK2:FK8 FN2:FN8">
    <cfRule type="containsText" dxfId="222" priority="26654" operator="containsText" text="POSITIVA CASO SIFILIS">
      <formula>NOT(ISERROR(SEARCH("POSITIVA CASO SIFILIS",FH2)))</formula>
    </cfRule>
    <cfRule type="containsText" dxfId="221" priority="26655" operator="containsText" text="NEGATIVA">
      <formula>NOT(ISERROR(SEARCH("NEGATIVA",FH2)))</formula>
    </cfRule>
    <cfRule type="containsText" dxfId="220" priority="26653" operator="containsText" text="POSITIVA CICATRIZ">
      <formula>NOT(ISERROR(SEARCH("POSITIVA CICATRIZ",FH2)))</formula>
    </cfRule>
    <cfRule type="containsText" dxfId="219" priority="26652" operator="containsText" text="DILUCIONES ESTABLES">
      <formula>NOT(ISERROR(SEARCH("DILUCIONES ESTABLES",FH2)))</formula>
    </cfRule>
    <cfRule type="containsText" dxfId="218" priority="26651" operator="containsText" text="DILUCIONES DISMINUYEN">
      <formula>NOT(ISERROR(SEARCH("DILUCIONES DISMINUYEN",FH2)))</formula>
    </cfRule>
    <cfRule type="containsText" dxfId="217" priority="26650" operator="containsText" text="REINFECCIÓN">
      <formula>NOT(ISERROR(SEARCH("REINFECCIÓN",FH2)))</formula>
    </cfRule>
  </conditionalFormatting>
  <conditionalFormatting sqref="FJ2:FJ8 FM2:FM8">
    <cfRule type="containsText" dxfId="216" priority="26644" operator="containsText" text="PIERDE">
      <formula>NOT(ISERROR(SEARCH("PIERDE",FJ2)))</formula>
    </cfRule>
    <cfRule type="containsText" dxfId="215" priority="26645" operator="containsText" text="REGISTRAR">
      <formula>NOT(ISERROR(SEARCH("REGISTRAR",FJ2)))</formula>
    </cfRule>
    <cfRule type="containsText" dxfId="214" priority="26649" operator="containsText" text="INMEDIATA">
      <formula>NOT(ISERROR(SEARCH("INMEDIATA",FJ2)))</formula>
    </cfRule>
    <cfRule type="containsText" dxfId="213" priority="26648" operator="containsText" text="RANGO">
      <formula>NOT(ISERROR(SEARCH("RANGO",FJ2)))</formula>
    </cfRule>
    <cfRule type="containsText" dxfId="212" priority="26643" operator="containsText" text="NO APLICA">
      <formula>NOT(ISERROR(SEARCH("NO APLICA",FJ2)))</formula>
    </cfRule>
  </conditionalFormatting>
  <conditionalFormatting sqref="FJ2:FJ8">
    <cfRule type="cellIs" dxfId="211" priority="26577" operator="between">
      <formula>12</formula>
      <formula>28</formula>
    </cfRule>
  </conditionalFormatting>
  <conditionalFormatting sqref="FM2:FM8 FJ2:FJ8">
    <cfRule type="containsText" dxfId="210" priority="26647" operator="containsText" text="EN ESPERA">
      <formula>NOT(ISERROR(SEARCH("EN ESPERA",FJ2)))</formula>
    </cfRule>
  </conditionalFormatting>
  <conditionalFormatting sqref="FM2:FM8">
    <cfRule type="cellIs" dxfId="209" priority="26646" operator="between">
      <formula>28</formula>
      <formula>44</formula>
    </cfRule>
  </conditionalFormatting>
  <conditionalFormatting sqref="FP2:FP8">
    <cfRule type="containsText" dxfId="208" priority="27125" operator="containsText" text="GESTACIONAL">
      <formula>NOT(ISERROR(SEARCH("GESTACIONAL",FP2)))</formula>
    </cfRule>
  </conditionalFormatting>
  <conditionalFormatting sqref="FT2:FT8 GN2:GN8 GQ2:GR8 GW2:GW8">
    <cfRule type="containsText" dxfId="207" priority="27124" operator="containsText" text="NEGATIVO">
      <formula>NOT(ISERROR(SEARCH("NEGATIVO",FT2)))</formula>
    </cfRule>
    <cfRule type="containsText" dxfId="206" priority="27123" operator="containsText" text="POSITIVO">
      <formula>NOT(ISERROR(SEARCH("POSITIVO",FT2)))</formula>
    </cfRule>
  </conditionalFormatting>
  <conditionalFormatting sqref="FY2:FY8 GB2:GB8 GE2:GE8 GH2:GH8 GJ2:GJ8">
    <cfRule type="containsText" dxfId="205" priority="27122" operator="containsText" text="ELISA REACTIVA">
      <formula>NOT(ISERROR(SEARCH("ELISA REACTIVA",FY2)))</formula>
    </cfRule>
    <cfRule type="containsText" dxfId="204" priority="27121" operator="containsText" text="NO REACTIVA">
      <formula>NOT(ISERROR(SEARCH("NO REACTIVA",FY2)))</formula>
    </cfRule>
    <cfRule type="containsText" dxfId="203" priority="27120" operator="containsText" text="P.R REACTIVA">
      <formula>NOT(ISERROR(SEARCH("P.R REACTIVA",FY2)))</formula>
    </cfRule>
  </conditionalFormatting>
  <conditionalFormatting sqref="GA2:GA8">
    <cfRule type="containsText" dxfId="202" priority="26636" operator="containsText" text="NO APLICA">
      <formula>NOT(ISERROR(SEARCH("NO APLICA",GA2)))</formula>
    </cfRule>
    <cfRule type="containsText" dxfId="201" priority="26637" operator="containsText" text="PIERDE">
      <formula>NOT(ISERROR(SEARCH("PIERDE",GA2)))</formula>
    </cfRule>
    <cfRule type="containsText" dxfId="200" priority="26638" operator="containsText" text="REGISTRAR">
      <formula>NOT(ISERROR(SEARCH("REGISTRAR",GA2)))</formula>
    </cfRule>
    <cfRule type="cellIs" dxfId="199" priority="26639" operator="between">
      <formula>0</formula>
      <formula>13</formula>
    </cfRule>
    <cfRule type="containsText" dxfId="198" priority="26640" operator="containsText" text="EN ESPERA">
      <formula>NOT(ISERROR(SEARCH("EN ESPERA",GA2)))</formula>
    </cfRule>
    <cfRule type="containsText" dxfId="197" priority="26641" operator="containsText" text="RANGO">
      <formula>NOT(ISERROR(SEARCH("RANGO",GA2)))</formula>
    </cfRule>
    <cfRule type="containsText" dxfId="196" priority="26642" operator="containsText" text="INMEDIATA">
      <formula>NOT(ISERROR(SEARCH("INMEDIATA",GA2)))</formula>
    </cfRule>
  </conditionalFormatting>
  <conditionalFormatting sqref="GD2:GD8">
    <cfRule type="containsText" dxfId="195" priority="26629" operator="containsText" text="NO APLICA">
      <formula>NOT(ISERROR(SEARCH("NO APLICA",GD2)))</formula>
    </cfRule>
    <cfRule type="containsText" dxfId="194" priority="26635" operator="containsText" text="INMEDIATA">
      <formula>NOT(ISERROR(SEARCH("INMEDIATA",GD2)))</formula>
    </cfRule>
    <cfRule type="containsText" dxfId="193" priority="26634" operator="containsText" text="RANGO">
      <formula>NOT(ISERROR(SEARCH("RANGO",GD2)))</formula>
    </cfRule>
    <cfRule type="containsText" dxfId="192" priority="26633" operator="containsText" text="EN ESPERA">
      <formula>NOT(ISERROR(SEARCH("EN ESPERA",GD2)))</formula>
    </cfRule>
    <cfRule type="cellIs" dxfId="191" priority="26632" operator="between">
      <formula>12</formula>
      <formula>28</formula>
    </cfRule>
    <cfRule type="containsText" dxfId="190" priority="26631" operator="containsText" text="REGISTRAR">
      <formula>NOT(ISERROR(SEARCH("REGISTRAR",GD2)))</formula>
    </cfRule>
    <cfRule type="containsText" dxfId="189" priority="26630" operator="containsText" text="PIERDE">
      <formula>NOT(ISERROR(SEARCH("PIERDE",GD2)))</formula>
    </cfRule>
  </conditionalFormatting>
  <conditionalFormatting sqref="GG2:GG8">
    <cfRule type="containsText" dxfId="188" priority="26623" operator="containsText" text="PIERDE">
      <formula>NOT(ISERROR(SEARCH("PIERDE",GG2)))</formula>
    </cfRule>
    <cfRule type="containsText" dxfId="187" priority="26624" operator="containsText" text="REGISTRAR">
      <formula>NOT(ISERROR(SEARCH("REGISTRAR",GG2)))</formula>
    </cfRule>
    <cfRule type="cellIs" dxfId="186" priority="26625" operator="between">
      <formula>28</formula>
      <formula>44</formula>
    </cfRule>
    <cfRule type="containsText" dxfId="185" priority="26626" operator="containsText" text="EN ESPERA">
      <formula>NOT(ISERROR(SEARCH("EN ESPERA",GG2)))</formula>
    </cfRule>
    <cfRule type="containsText" dxfId="184" priority="26627" operator="containsText" text="RANGO">
      <formula>NOT(ISERROR(SEARCH("RANGO",GG2)))</formula>
    </cfRule>
    <cfRule type="containsText" dxfId="183" priority="26622" operator="containsText" text="NO APLICA">
      <formula>NOT(ISERROR(SEARCH("NO APLICA",GG2)))</formula>
    </cfRule>
    <cfRule type="containsText" dxfId="182" priority="26628" operator="containsText" text="INMEDIATA">
      <formula>NOT(ISERROR(SEARCH("INMEDIATA",GG2)))</formula>
    </cfRule>
  </conditionalFormatting>
  <conditionalFormatting sqref="GL2:GL8">
    <cfRule type="containsText" dxfId="181" priority="27104" operator="containsText" text="NO APLICA">
      <formula>NOT(ISERROR(SEARCH("NO APLICA",GL2)))</formula>
    </cfRule>
    <cfRule type="containsText" dxfId="180" priority="27105" operator="containsText" text="NO CONLUYENTE">
      <formula>NOT(ISERROR(SEARCH("NO CONLUYENTE",GL2)))</formula>
    </cfRule>
    <cfRule type="containsText" dxfId="179" priority="27106" operator="containsText" text="NEGATIVA">
      <formula>NOT(ISERROR(SEARCH("NEGATIVA",GL2)))</formula>
    </cfRule>
    <cfRule type="containsText" dxfId="178" priority="27107" operator="containsText" text="POSITIVA">
      <formula>NOT(ISERROR(SEARCH("POSITIVA",GL2)))</formula>
    </cfRule>
  </conditionalFormatting>
  <conditionalFormatting sqref="GS2:GS8">
    <cfRule type="containsText" dxfId="177" priority="27095" operator="containsText" text="Igm">
      <formula>NOT(ISERROR(SEARCH("Igm",GS2)))</formula>
    </cfRule>
    <cfRule type="containsText" dxfId="176" priority="27096" operator="containsText" text="REMITIR">
      <formula>NOT(ISERROR(SEARCH("REMITIR",GS2)))</formula>
    </cfRule>
    <cfRule type="containsText" dxfId="175" priority="27097" operator="containsText" text="EXCLUYE">
      <formula>NOT(ISERROR(SEARCH("EXCLUYE",GS2)))</formula>
    </cfRule>
  </conditionalFormatting>
  <conditionalFormatting sqref="GY2:GY8">
    <cfRule type="containsText" dxfId="174" priority="27092" operator="containsText" text="NEGATIVA">
      <formula>NOT(ISERROR(SEARCH("NEGATIVA",GY2)))</formula>
    </cfRule>
    <cfRule type="containsText" dxfId="173" priority="27089" operator="containsText" text="CARCINOMA">
      <formula>NOT(ISERROR(SEARCH("CARCINOMA",GY2)))</formula>
    </cfRule>
    <cfRule type="containsText" dxfId="172" priority="27091" operator="containsText" text="NIC">
      <formula>NOT(ISERROR(SEARCH("NIC",GY2)))</formula>
    </cfRule>
    <cfRule type="containsText" dxfId="171" priority="27090" operator="containsText" text="VPH">
      <formula>NOT(ISERROR(SEARCH("VPH",GY2)))</formula>
    </cfRule>
  </conditionalFormatting>
  <conditionalFormatting sqref="HC2:HC8">
    <cfRule type="containsText" dxfId="170" priority="27087" operator="containsText" text="COLPOSCOPIA">
      <formula>NOT(ISERROR(SEARCH("COLPOSCOPIA",HC2)))</formula>
    </cfRule>
    <cfRule type="containsText" dxfId="169" priority="27088" operator="containsText" text="ESQUEMA">
      <formula>NOT(ISERROR(SEARCH("ESQUEMA",HC2)))</formula>
    </cfRule>
  </conditionalFormatting>
  <conditionalFormatting sqref="HD2:HD8">
    <cfRule type="containsText" dxfId="168" priority="26617" operator="containsText" text="INDETERMINADO">
      <formula>NOT(ISERROR(SEARCH("INDETERMINADO",HD2)))</formula>
    </cfRule>
    <cfRule type="cellIs" dxfId="166" priority="26620" operator="equal">
      <formula>"NEGATIVO"</formula>
    </cfRule>
    <cfRule type="cellIs" dxfId="165" priority="26621" operator="equal">
      <formula>"POSITIVO"</formula>
    </cfRule>
    <cfRule type="containsText" dxfId="164" priority="26618" operator="containsText" text="NO TOMADO">
      <formula>NOT(ISERROR(SEARCH("NO TOMADO",HD2)))</formula>
    </cfRule>
  </conditionalFormatting>
  <conditionalFormatting sqref="HF2:HF8">
    <cfRule type="containsText" dxfId="163" priority="26597" operator="containsText" text="INDETERMINADO">
      <formula>NOT(ISERROR(SEARCH("INDETERMINADO",HF2)))</formula>
    </cfRule>
    <cfRule type="containsText" dxfId="162" priority="26598" operator="containsText" text="NO TOMADO">
      <formula>NOT(ISERROR(SEARCH("NO TOMADO",HF2)))</formula>
    </cfRule>
    <cfRule type="cellIs" dxfId="160" priority="26600" operator="equal">
      <formula>"NEGATIVO"</formula>
    </cfRule>
    <cfRule type="cellIs" dxfId="159" priority="26601" operator="equal">
      <formula>"POSITIVO"</formula>
    </cfRule>
  </conditionalFormatting>
  <conditionalFormatting sqref="HH2:HH8">
    <cfRule type="cellIs" dxfId="158" priority="26595" operator="equal">
      <formula>"NEGATIVO"</formula>
    </cfRule>
    <cfRule type="containsText" dxfId="157" priority="26593" operator="containsText" text="NO TOMADO">
      <formula>NOT(ISERROR(SEARCH("NO TOMADO",HH2)))</formula>
    </cfRule>
    <cfRule type="containsText" dxfId="156" priority="26592" operator="containsText" text="INDETERMINADO">
      <formula>NOT(ISERROR(SEARCH("INDETERMINADO",HH2)))</formula>
    </cfRule>
    <cfRule type="cellIs" dxfId="154" priority="26596" operator="equal">
      <formula>"POSITIVO"</formula>
    </cfRule>
  </conditionalFormatting>
  <conditionalFormatting sqref="HJ2:HJ8">
    <cfRule type="containsText" dxfId="153" priority="26756" operator="containsText" text="COVID19 SEGUNDO TRIMESTRE">
      <formula>NOT(ISERROR(SEARCH("COVID19 SEGUNDO TRIMESTRE",HJ2)))</formula>
    </cfRule>
    <cfRule type="containsText" dxfId="152" priority="26758" operator="containsText" text="FACTOR DE RIESGO">
      <formula>NOT(ISERROR(SEARCH("FACTOR DE RIESGO",HJ2)))</formula>
    </cfRule>
    <cfRule type="containsText" dxfId="151" priority="26759" operator="containsText" text="SIN INFECCIÓN">
      <formula>NOT(ISERROR(SEARCH("SIN INFECCIÓN",HJ2)))</formula>
    </cfRule>
    <cfRule type="containsText" dxfId="150" priority="26760" operator="containsText" text="NO SE EVALUA RIESGO INFECCIÓN COVID19">
      <formula>NOT(ISERROR(SEARCH("NO SE EVALUA RIESGO INFECCIÓN COVID19",HJ2)))</formula>
    </cfRule>
    <cfRule type="containsText" dxfId="149" priority="26755" operator="containsText" text="COVID19 TERCER TRIMESTRE">
      <formula>NOT(ISERROR(SEARCH("COVID19 TERCER TRIMESTRE",HJ2)))</formula>
    </cfRule>
    <cfRule type="containsText" dxfId="148" priority="26754" operator="containsText" text="COVID19 PUERPERIO">
      <formula>NOT(ISERROR(SEARCH("COVID19 PUERPERIO",HJ2)))</formula>
    </cfRule>
    <cfRule type="containsText" dxfId="147" priority="26757" operator="containsText" text="COVID19 PRIMER TRIMESTRE">
      <formula>NOT(ISERROR(SEARCH("COVID19 PRIMER TRIMESTRE",HJ2)))</formula>
    </cfRule>
  </conditionalFormatting>
  <conditionalFormatting sqref="HK2:HK8">
    <cfRule type="cellIs" dxfId="146" priority="26948" operator="equal">
      <formula>"******"</formula>
    </cfRule>
  </conditionalFormatting>
  <conditionalFormatting sqref="HK2:HL5">
    <cfRule type="notContainsBlanks" dxfId="145" priority="26954">
      <formula>LEN(TRIM(HK2))&gt;0</formula>
    </cfRule>
  </conditionalFormatting>
  <conditionalFormatting sqref="HL2:HL8">
    <cfRule type="cellIs" dxfId="144" priority="26947" operator="equal">
      <formula>"************"</formula>
    </cfRule>
  </conditionalFormatting>
  <conditionalFormatting sqref="HM2:HM8">
    <cfRule type="cellIs" dxfId="143" priority="26949" operator="equal">
      <formula>"CON RIESGO"</formula>
    </cfRule>
    <cfRule type="containsText" dxfId="142" priority="26951" operator="containsText" text="BAJO">
      <formula>NOT(ISERROR(SEARCH("BAJO",HM2)))</formula>
    </cfRule>
    <cfRule type="containsText" dxfId="141" priority="26952" operator="containsText" text="ALTO">
      <formula>NOT(ISERROR(SEARCH("ALTO",HM2)))</formula>
    </cfRule>
  </conditionalFormatting>
  <conditionalFormatting sqref="HN2:HN8">
    <cfRule type="notContainsBlanks" dxfId="140" priority="26695">
      <formula>LEN(TRIM(HN2))&gt;0</formula>
    </cfRule>
    <cfRule type="cellIs" dxfId="139" priority="26694" operator="equal">
      <formula>"********************************"</formula>
    </cfRule>
  </conditionalFormatting>
  <conditionalFormatting sqref="HO2:HO8">
    <cfRule type="cellIs" dxfId="138" priority="26945" operator="equal">
      <formula>"SIN ANTECEDENTES DE RIESGO"</formula>
    </cfRule>
    <cfRule type="containsText" dxfId="137" priority="26953" operator="containsText" text="ASA">
      <formula>NOT(ISERROR(SEARCH("ASA",HO2)))</formula>
    </cfRule>
  </conditionalFormatting>
  <conditionalFormatting sqref="HQ2:HQ8">
    <cfRule type="containsText" dxfId="136" priority="26578" operator="containsText" text="DILIGENCIAR">
      <formula>NOT(ISERROR(SEARCH("DILIGENCIAR",HQ2)))</formula>
    </cfRule>
  </conditionalFormatting>
  <conditionalFormatting sqref="HS2:HT5">
    <cfRule type="cellIs" dxfId="135" priority="27234" operator="equal">
      <formula>"SD"</formula>
    </cfRule>
    <cfRule type="cellIs" dxfId="134" priority="27236" operator="equal">
      <formula>"NO"</formula>
    </cfRule>
    <cfRule type="cellIs" dxfId="133" priority="27237" operator="equal">
      <formula>"SI"</formula>
    </cfRule>
  </conditionalFormatting>
  <conditionalFormatting sqref="HV2:HV8 HX2:HX8 HZ2:HZ8">
    <cfRule type="containsText" dxfId="132" priority="27066" operator="containsText" text="IRREGULAR">
      <formula>NOT(ISERROR(SEARCH("IRREGULAR",HV2)))</formula>
    </cfRule>
    <cfRule type="containsText" dxfId="131" priority="27067" operator="containsText" text="ADECUADO">
      <formula>NOT(ISERROR(SEARCH("ADECUADO",HV2)))</formula>
    </cfRule>
    <cfRule type="containsText" dxfId="130" priority="27065" operator="containsText" text="OTRO">
      <formula>NOT(ISERROR(SEARCH("OTRO",HV2)))</formula>
    </cfRule>
    <cfRule type="containsText" dxfId="129" priority="26958" operator="containsText" text="NO SE FORMULA">
      <formula>NOT(ISERROR(SEARCH("NO SE FORMULA",HV2)))</formula>
    </cfRule>
  </conditionalFormatting>
  <conditionalFormatting sqref="IK2:IK8 AE2:AF8 IA2:IA8 ID2:IE8">
    <cfRule type="cellIs" dxfId="128" priority="27262" operator="equal">
      <formula>"SD"</formula>
    </cfRule>
  </conditionalFormatting>
  <conditionalFormatting sqref="IK2:IK8 IA2:IA8 ID2:IE8">
    <cfRule type="cellIs" dxfId="127" priority="27263" operator="equal">
      <formula>"SI"</formula>
    </cfRule>
    <cfRule type="cellIs" dxfId="126" priority="27264" operator="equal">
      <formula>"NO"</formula>
    </cfRule>
  </conditionalFormatting>
  <conditionalFormatting sqref="IK2:IK8">
    <cfRule type="containsText" dxfId="125" priority="26576" operator="containsText" text="PROGRAMAR">
      <formula>NOT(ISERROR(SEARCH("PROGRAMAR",IK2)))</formula>
    </cfRule>
    <cfRule type="containsText" dxfId="124" priority="26575" operator="containsText" text="PENDIENTE">
      <formula>NOT(ISERROR(SEARCH("PENDIENTE",IK2)))</formula>
    </cfRule>
    <cfRule type="cellIs" dxfId="123" priority="26750" operator="equal">
      <formula>"NO ACEPTA VACUNA Y NO FIRMA DISCENTIMIENTO"</formula>
    </cfRule>
    <cfRule type="cellIs" dxfId="122" priority="26751" operator="equal">
      <formula>"CON REFUERZO"</formula>
    </cfRule>
    <cfRule type="cellIs" dxfId="121" priority="26749" operator="equal">
      <formula>"Error en Fecha x No Acepta no Firma"</formula>
    </cfRule>
    <cfRule type="cellIs" dxfId="120" priority="26752" operator="equal">
      <formula>"FIRMA DISENTIMIENTO"</formula>
    </cfRule>
  </conditionalFormatting>
  <conditionalFormatting sqref="IN2:IN8">
    <cfRule type="containsText" dxfId="119" priority="26877" operator="containsText" text="APLICADA ANTES">
      <formula>NOT(ISERROR(SEARCH("APLICADA ANTES",IN2)))</formula>
    </cfRule>
    <cfRule type="containsText" dxfId="118" priority="26884" operator="containsText" text="ESPERA">
      <formula>NOT(ISERROR(SEARCH("ESPERA",IN2)))</formula>
    </cfRule>
    <cfRule type="containsText" dxfId="117" priority="26883" operator="containsText" text="COLOCACIÓN">
      <formula>NOT(ISERROR(SEARCH("COLOCACIÓN",IN2)))</formula>
    </cfRule>
    <cfRule type="containsText" dxfId="116" priority="26882" operator="containsText" text="INASISTENTE">
      <formula>NOT(ISERROR(SEARCH("INASISTENTE",IN2)))</formula>
    </cfRule>
    <cfRule type="containsText" dxfId="115" priority="26881" operator="containsText" text="SEMANA 27">
      <formula>NOT(ISERROR(SEARCH("SEMANA 27",IN2)))</formula>
    </cfRule>
    <cfRule type="containsText" dxfId="114" priority="26880" operator="containsText" text="SEMANA 26">
      <formula>NOT(ISERROR(SEARCH("SEMANA 26",IN2)))</formula>
    </cfRule>
    <cfRule type="containsText" dxfId="113" priority="26879" operator="containsText" text="SALE">
      <formula>NOT(ISERROR(SEARCH("SALE",IN2)))</formula>
    </cfRule>
    <cfRule type="containsText" dxfId="112" priority="26878" operator="containsText" text="EDAD">
      <formula>NOT(ISERROR(SEARCH("EDAD",IN2)))</formula>
    </cfRule>
  </conditionalFormatting>
  <conditionalFormatting sqref="IR2:IR8">
    <cfRule type="containsText" dxfId="111" priority="27057" operator="containsText" text="PENDIENTE">
      <formula>NOT(ISERROR(SEARCH("PENDIENTE",IR2)))</formula>
    </cfRule>
    <cfRule type="containsText" dxfId="110" priority="27059" operator="containsText" text="MENOS">
      <formula>NOT(ISERROR(SEARCH("MENOS",IR2)))</formula>
    </cfRule>
    <cfRule type="containsText" dxfId="109" priority="27058" operator="containsText" text="SEMANA">
      <formula>NOT(ISERROR(SEARCH("SEMANA",IR2)))</formula>
    </cfRule>
    <cfRule type="containsText" dxfId="108" priority="27060" operator="containsText" text="POSIBLEMENTE">
      <formula>NOT(ISERROR(SEARCH("POSIBLEMENTE",IR2)))</formula>
    </cfRule>
  </conditionalFormatting>
  <conditionalFormatting sqref="IT2:IT8">
    <cfRule type="containsText" dxfId="107" priority="27056" operator="containsText" text="PARTO">
      <formula>NOT(ISERROR(SEARCH("PARTO",IT2)))</formula>
    </cfRule>
    <cfRule type="containsText" dxfId="106" priority="27055" operator="containsText" text="CESAREA">
      <formula>NOT(ISERROR(SEARCH("CESAREA",IT2)))</formula>
    </cfRule>
    <cfRule type="containsText" dxfId="105" priority="27054" operator="containsText" text="ABORTO">
      <formula>NOT(ISERROR(SEARCH("ABORTO",IT2)))</formula>
    </cfRule>
    <cfRule type="containsText" dxfId="104" priority="27051" operator="containsText" text="CAMBIO">
      <formula>NOT(ISERROR(SEARCH("CAMBIO",IT2)))</formula>
    </cfRule>
    <cfRule type="containsText" dxfId="103" priority="27052" operator="containsText" text="NEGACION">
      <formula>NOT(ISERROR(SEARCH("NEGACION",IT2)))</formula>
    </cfRule>
    <cfRule type="containsText" dxfId="102" priority="27053" operator="containsText" text="IVE">
      <formula>NOT(ISERROR(SEARCH("IVE",IT2)))</formula>
    </cfRule>
  </conditionalFormatting>
  <conditionalFormatting sqref="IU2:IU8">
    <cfRule type="cellIs" dxfId="101" priority="27048" operator="equal">
      <formula>"MUERTE Y MORBILIDAD MATERNA EXTREMA"</formula>
    </cfRule>
    <cfRule type="containsText" dxfId="100" priority="27047" operator="containsText" text="MME">
      <formula>NOT(ISERROR(SEARCH("MME",IU2)))</formula>
    </cfRule>
    <cfRule type="containsText" dxfId="99" priority="27049" operator="containsText" text="MUERTE">
      <formula>NOT(ISERROR(SEARCH("MUERTE",IU2)))</formula>
    </cfRule>
    <cfRule type="cellIs" dxfId="98" priority="26564" operator="equal">
      <formula>"MORBILIDAD MATERNA EXTREMA"</formula>
    </cfRule>
    <cfRule type="containsText" dxfId="97" priority="27050" operator="containsText" text="SANA">
      <formula>NOT(ISERROR(SEARCH("SANA",IU2)))</formula>
    </cfRule>
  </conditionalFormatting>
  <conditionalFormatting sqref="IV2:IV8">
    <cfRule type="containsText" dxfId="96" priority="27046" operator="containsText" text="SANO">
      <formula>NOT(ISERROR(SEARCH("SANO",IV2)))</formula>
    </cfRule>
    <cfRule type="containsText" dxfId="95" priority="27045" operator="containsText" text="HOSPITALIZACION">
      <formula>NOT(ISERROR(SEARCH("HOSPITALIZACION",IV2)))</formula>
    </cfRule>
    <cfRule type="containsText" dxfId="94" priority="27044" operator="containsText" text="UCI">
      <formula>NOT(ISERROR(SEARCH("UCI",IV2)))</formula>
    </cfRule>
    <cfRule type="containsText" dxfId="93" priority="27043" operator="containsText" text="MUERTE">
      <formula>NOT(ISERROR(SEARCH("MUERTE",IV2)))</formula>
    </cfRule>
    <cfRule type="containsText" dxfId="92" priority="27042" operator="containsText" text="MALFORMACIÓN">
      <formula>NOT(ISERROR(SEARCH("MALFORMACIÓN",IV2)))</formula>
    </cfRule>
    <cfRule type="containsText" dxfId="91" priority="27041" operator="containsText" text="SIFILIS">
      <formula>NOT(ISERROR(SEARCH("SIFILIS",IV2)))</formula>
    </cfRule>
    <cfRule type="cellIs" dxfId="90" priority="26563" operator="equal">
      <formula>"MUERTE PERINATAL Y MALFORMACIÓN CONGÉNITA"</formula>
    </cfRule>
  </conditionalFormatting>
  <conditionalFormatting sqref="IX2:IX8">
    <cfRule type="containsText" dxfId="89" priority="27039" operator="containsText" text="DOMICILIO">
      <formula>NOT(ISERROR(SEARCH("DOMICILIO",IX2)))</formula>
    </cfRule>
    <cfRule type="containsText" dxfId="88" priority="27037" operator="containsText" text="NO APLICA">
      <formula>NOT(ISERROR(SEARCH("NO APLICA",IX2)))</formula>
    </cfRule>
    <cfRule type="containsText" dxfId="87" priority="27038" operator="containsText" text="OTRO">
      <formula>NOT(ISERROR(SEARCH("OTRO",IX2)))</formula>
    </cfRule>
    <cfRule type="containsText" dxfId="86" priority="27040" operator="containsText" text="INSTITUCIONAL">
      <formula>NOT(ISERROR(SEARCH("INSTITUCIONAL",IX2)))</formula>
    </cfRule>
  </conditionalFormatting>
  <conditionalFormatting sqref="IY2:IY8">
    <cfRule type="cellIs" dxfId="85" priority="26572" operator="between">
      <formula>33</formula>
      <formula>"&lt;37"</formula>
    </cfRule>
    <cfRule type="cellIs" dxfId="84" priority="26570" operator="between">
      <formula>37</formula>
      <formula>40.5</formula>
    </cfRule>
    <cfRule type="cellIs" dxfId="83" priority="26573" operator="between">
      <formula>22</formula>
      <formula>"&lt;33"</formula>
    </cfRule>
    <cfRule type="cellIs" dxfId="82" priority="26574" operator="between">
      <formula>1</formula>
      <formula>21</formula>
    </cfRule>
    <cfRule type="containsBlanks" priority="26562" stopIfTrue="1">
      <formula>LEN(TRIM(IY2))=0</formula>
    </cfRule>
    <cfRule type="cellIs" dxfId="81" priority="26571" operator="between">
      <formula>"&gt;40,5"</formula>
      <formula>42</formula>
    </cfRule>
    <cfRule type="cellIs" dxfId="80" priority="26569" operator="greaterThanOrEqual">
      <formula>43</formula>
    </cfRule>
  </conditionalFormatting>
  <conditionalFormatting sqref="JA2:JA8">
    <cfRule type="containsText" dxfId="79" priority="27033" operator="containsText" text="NO APLICA">
      <formula>NOT(ISERROR(SEARCH("NO APLICA",JA2)))</formula>
    </cfRule>
    <cfRule type="containsText" dxfId="78" priority="27034" operator="containsText" text="ALTA">
      <formula>NOT(ISERROR(SEARCH("ALTA",JA2)))</formula>
    </cfRule>
    <cfRule type="containsText" dxfId="77" priority="27036" operator="containsText" text="BAJA">
      <formula>NOT(ISERROR(SEARCH("BAJA",JA2)))</formula>
    </cfRule>
    <cfRule type="containsText" dxfId="76" priority="27035" operator="containsText" text="MEDIANA">
      <formula>NOT(ISERROR(SEARCH("MEDIANA",JA2)))</formula>
    </cfRule>
  </conditionalFormatting>
  <conditionalFormatting sqref="JB2 JB3:JC5">
    <cfRule type="containsText" dxfId="75" priority="27027" operator="containsText" text="SIN">
      <formula>NOT(ISERROR(SEARCH("SIN",JB2)))</formula>
    </cfRule>
    <cfRule type="containsText" dxfId="74" priority="27030" operator="containsText" text="PARTERA">
      <formula>NOT(ISERROR(SEARCH("PARTERA",JB2)))</formula>
    </cfRule>
    <cfRule type="containsText" dxfId="73" priority="27031" operator="containsText" text="TÉCNICO">
      <formula>NOT(ISERROR(SEARCH("TÉCNICO",JB2)))</formula>
    </cfRule>
    <cfRule type="containsText" dxfId="72" priority="27032" operator="containsText" text="PROFESIONAL">
      <formula>NOT(ISERROR(SEARCH("PROFESIONAL",JB2)))</formula>
    </cfRule>
    <cfRule type="containsText" dxfId="71" priority="27028" operator="containsText" text="EQUIPO">
      <formula>NOT(ISERROR(SEARCH("EQUIPO",JB2)))</formula>
    </cfRule>
    <cfRule type="containsText" dxfId="70" priority="27029" operator="containsText" text="MEDICO TRADICIONAL">
      <formula>NOT(ISERROR(SEARCH("MEDICO TRADICIONAL",JB2)))</formula>
    </cfRule>
  </conditionalFormatting>
  <conditionalFormatting sqref="JB3:JC5 JB2">
    <cfRule type="containsText" dxfId="69" priority="27026" operator="containsText" text="NO APLICA">
      <formula>NOT(ISERROR(SEARCH("NO APLICA",JB2)))</formula>
    </cfRule>
  </conditionalFormatting>
  <conditionalFormatting sqref="JC2">
    <cfRule type="containsText" dxfId="68" priority="26565" operator="containsText" text="SIN DATO">
      <formula>NOT(ISERROR(SEARCH("SIN DATO",JC2)))</formula>
    </cfRule>
  </conditionalFormatting>
  <conditionalFormatting sqref="JC2:JC8">
    <cfRule type="containsText" dxfId="67" priority="26568" operator="containsText" text="ESPONTÁNEO">
      <formula>NOT(ISERROR(SEARCH("ESPONTÁNEO",JC2)))</formula>
    </cfRule>
    <cfRule type="containsText" dxfId="66" priority="26566" operator="containsText" text="LE HACEN CESÁREA SIN INICIO TRABAJO DE PARTO">
      <formula>NOT(ISERROR(SEARCH("LE HACEN CESÁREA SIN INICIO TRABAJO DE PARTO",JC2)))</formula>
    </cfRule>
    <cfRule type="containsText" dxfId="65" priority="26567" operator="containsText" text="LE HACEN INDUCCIÓN">
      <formula>NOT(ISERROR(SEARCH("LE HACEN INDUCCIÓN",JC2)))</formula>
    </cfRule>
  </conditionalFormatting>
  <conditionalFormatting sqref="JD2:JI5 KJ2:KL5">
    <cfRule type="cellIs" dxfId="64" priority="27254" operator="equal">
      <formula>"NO"</formula>
    </cfRule>
    <cfRule type="cellIs" dxfId="63" priority="27252" operator="equal">
      <formula>"SD"</formula>
    </cfRule>
    <cfRule type="cellIs" dxfId="62" priority="27253" operator="equal">
      <formula>"NO APLICA"</formula>
    </cfRule>
    <cfRule type="cellIs" dxfId="61" priority="27255" operator="equal">
      <formula>"SI"</formula>
    </cfRule>
  </conditionalFormatting>
  <conditionalFormatting sqref="JJ2:JJ8">
    <cfRule type="containsText" dxfId="60" priority="27023" operator="containsText" text="SIN DATO">
      <formula>NOT(ISERROR(SEARCH("SIN DATO",JJ2)))</formula>
    </cfRule>
    <cfRule type="containsText" dxfId="59" priority="27024" operator="containsText" text="SIN COMPLICACION">
      <formula>NOT(ISERROR(SEARCH("SIN COMPLICACION",JJ2)))</formula>
    </cfRule>
    <cfRule type="notContainsBlanks" dxfId="58" priority="27300">
      <formula>LEN(TRIM(JJ2))&gt;0</formula>
    </cfRule>
  </conditionalFormatting>
  <conditionalFormatting sqref="JN2:JN8 JX2:JX8">
    <cfRule type="containsText" dxfId="57" priority="27021" operator="containsText" text="ADECUADO">
      <formula>NOT(ISERROR(SEARCH("ADECUADO",JN2)))</formula>
    </cfRule>
    <cfRule type="containsText" dxfId="56" priority="27022" operator="containsText" text="BAJO">
      <formula>NOT(ISERROR(SEARCH("BAJO",JN2)))</formula>
    </cfRule>
    <cfRule type="containsText" dxfId="55" priority="27020" operator="containsText" text="GRANDE">
      <formula>NOT(ISERROR(SEARCH("GRANDE",JN2)))</formula>
    </cfRule>
    <cfRule type="containsText" dxfId="54" priority="27019" operator="containsText" text="PREMATURO">
      <formula>NOT(ISERROR(SEARCH("PREMATURO",JN2)))</formula>
    </cfRule>
  </conditionalFormatting>
  <conditionalFormatting sqref="JP2:JP8 JZ2:JZ8">
    <cfRule type="containsText" dxfId="53" priority="27012" operator="containsText" text="SIN DATO">
      <formula>NOT(ISERROR(SEARCH("SIN DATO",JP2)))</formula>
    </cfRule>
    <cfRule type="containsText" dxfId="52" priority="27014" operator="containsText" text="NORMAL">
      <formula>NOT(ISERROR(SEARCH("NORMAL",JP2)))</formula>
    </cfRule>
    <cfRule type="containsText" dxfId="51" priority="27013" operator="containsText" text="ANORMAL">
      <formula>NOT(ISERROR(SEARCH("ANORMAL",JP2)))</formula>
    </cfRule>
  </conditionalFormatting>
  <conditionalFormatting sqref="JR2:JR8 KB2:KB8">
    <cfRule type="containsText" dxfId="50" priority="27008" operator="containsText" text="NO APLICA">
      <formula>NOT(ISERROR(SEARCH("NO APLICA",JR2)))</formula>
    </cfRule>
    <cfRule type="containsText" dxfId="49" priority="27009" operator="containsText" text="SIN DATO">
      <formula>NOT(ISERROR(SEARCH("SIN DATO",JR2)))</formula>
    </cfRule>
    <cfRule type="containsText" dxfId="48" priority="27011" operator="containsText" text="SI">
      <formula>NOT(ISERROR(SEARCH("SI",JR2)))</formula>
    </cfRule>
    <cfRule type="containsText" dxfId="47" priority="27010" operator="containsText" text="NO">
      <formula>NOT(ISERROR(SEARCH("NO",JR2)))</formula>
    </cfRule>
  </conditionalFormatting>
  <conditionalFormatting sqref="KG2:KG8 KI2:KI8">
    <cfRule type="containsText" dxfId="46" priority="26928" operator="containsText" text="INASISTENTE">
      <formula>NOT(ISERROR(SEARCH("INASISTENTE",KG2)))</formula>
    </cfRule>
  </conditionalFormatting>
  <conditionalFormatting sqref="KG2:KG8">
    <cfRule type="containsText" dxfId="45" priority="26552" operator="containsText" text="INCONSISTENCIA">
      <formula>NOT(ISERROR(SEARCH("INCONSISTENCIA",KG2)))</formula>
    </cfRule>
  </conditionalFormatting>
  <conditionalFormatting sqref="KI2:KI8">
    <cfRule type="containsText" dxfId="44" priority="26551" operator="containsText" text="INCONSISTENCIA">
      <formula>NOT(ISERROR(SEARCH("INCONSISTENCIA",KI2)))</formula>
    </cfRule>
  </conditionalFormatting>
  <conditionalFormatting sqref="AE6:AF8">
    <cfRule type="containsText" dxfId="21" priority="1" operator="containsText" text="NO">
      <formula>NOT(ISERROR(SEARCH("NO",AE6)))</formula>
    </cfRule>
    <cfRule type="containsText" dxfId="22" priority="2" operator="containsText" text="SI">
      <formula>NOT(ISERROR(SEARCH("SI",AE6)))</formula>
    </cfRule>
  </conditionalFormatting>
  <conditionalFormatting sqref="CN6:CO8">
    <cfRule type="containsText" dxfId="15" priority="11" operator="containsText" text="BAJO PESO">
      <formula>NOT(ISERROR(SEARCH("BAJO PESO",CN6)))</formula>
    </cfRule>
    <cfRule type="containsText" dxfId="16" priority="12" operator="containsText" text="NORMAL">
      <formula>NOT(ISERROR(SEARCH("NORMAL",CN6)))</formula>
    </cfRule>
    <cfRule type="containsText" dxfId="20" priority="13" operator="containsText" text="OBESIDAD">
      <formula>NOT(ISERROR(SEARCH("OBESIDAD",CN6)))</formula>
    </cfRule>
    <cfRule type="containsText" dxfId="19" priority="14" operator="containsText" text="SOBREPESO">
      <formula>NOT(ISERROR(SEARCH("SOBREPESO",CN6)))</formula>
    </cfRule>
    <cfRule type="containsText" dxfId="18" priority="15" operator="containsText" text="REVISAR">
      <formula>NOT(ISERROR(SEARCH("REVISAR",CN6)))</formula>
    </cfRule>
    <cfRule type="containsText" dxfId="17" priority="16" operator="containsText" text="REGISTRAR">
      <formula>NOT(ISERROR(SEARCH("REGISTRAR",CN6)))</formula>
    </cfRule>
  </conditionalFormatting>
  <conditionalFormatting sqref="HK6:HL8">
    <cfRule type="notContainsBlanks" dxfId="14" priority="3">
      <formula>LEN(TRIM(HK6))&gt;0</formula>
    </cfRule>
  </conditionalFormatting>
  <conditionalFormatting sqref="HS6:HT8">
    <cfRule type="cellIs" dxfId="13" priority="17" operator="equal">
      <formula>"SD"</formula>
    </cfRule>
    <cfRule type="cellIs" dxfId="12" priority="18" operator="equal">
      <formula>"NO"</formula>
    </cfRule>
    <cfRule type="cellIs" dxfId="11" priority="19" operator="equal">
      <formula>"SI"</formula>
    </cfRule>
  </conditionalFormatting>
  <conditionalFormatting sqref="JB6:JC8">
    <cfRule type="containsText" dxfId="10" priority="5" operator="containsText" text="SIN">
      <formula>NOT(ISERROR(SEARCH("SIN",JB6)))</formula>
    </cfRule>
    <cfRule type="containsText" dxfId="6" priority="6" operator="containsText" text="EQUIPO">
      <formula>NOT(ISERROR(SEARCH("EQUIPO",JB6)))</formula>
    </cfRule>
    <cfRule type="containsText" dxfId="5" priority="7" operator="containsText" text="MEDICO TRADICIONAL">
      <formula>NOT(ISERROR(SEARCH("MEDICO TRADICIONAL",JB6)))</formula>
    </cfRule>
    <cfRule type="containsText" dxfId="9" priority="8" operator="containsText" text="PARTERA">
      <formula>NOT(ISERROR(SEARCH("PARTERA",JB6)))</formula>
    </cfRule>
    <cfRule type="containsText" dxfId="8" priority="9" operator="containsText" text="TÉCNICO">
      <formula>NOT(ISERROR(SEARCH("TÉCNICO",JB6)))</formula>
    </cfRule>
    <cfRule type="containsText" dxfId="7" priority="10" operator="containsText" text="PROFESIONAL">
      <formula>NOT(ISERROR(SEARCH("PROFESIONAL",JB6)))</formula>
    </cfRule>
  </conditionalFormatting>
  <conditionalFormatting sqref="JB6:JC8">
    <cfRule type="containsText" dxfId="4" priority="4" operator="containsText" text="NO APLICA">
      <formula>NOT(ISERROR(SEARCH("NO APLICA",JB6)))</formula>
    </cfRule>
  </conditionalFormatting>
  <conditionalFormatting sqref="JD6:JI8 KJ6:KL8">
    <cfRule type="cellIs" dxfId="2" priority="20" operator="equal">
      <formula>"SD"</formula>
    </cfRule>
    <cfRule type="cellIs" dxfId="1" priority="21" operator="equal">
      <formula>"NO APLICA"</formula>
    </cfRule>
    <cfRule type="cellIs" dxfId="3" priority="22" operator="equal">
      <formula>"NO"</formula>
    </cfRule>
    <cfRule type="cellIs" dxfId="0" priority="23" operator="equal">
      <formula>"SI"</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43" priority="5">
      <formula>LEN(TRIM(IY4))&gt;0</formula>
    </cfRule>
  </conditionalFormatting>
  <conditionalFormatting sqref="JN4">
    <cfRule type="notContainsBlanks" dxfId="42" priority="4">
      <formula>LEN(TRIM(JN4))&gt;0</formula>
    </cfRule>
  </conditionalFormatting>
  <conditionalFormatting sqref="JX4">
    <cfRule type="notContainsBlanks" dxfId="41" priority="3">
      <formula>LEN(TRIM(JX4))&gt;0</formula>
    </cfRule>
  </conditionalFormatting>
  <conditionalFormatting sqref="KG4">
    <cfRule type="notContainsBlanks" dxfId="40" priority="2">
      <formula>LEN(TRIM(KG4))&gt;0</formula>
    </cfRule>
  </conditionalFormatting>
  <conditionalFormatting sqref="KI4">
    <cfRule type="notContainsBlanks" dxfId="39"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58" t="s">
        <v>812</v>
      </c>
      <c r="C13" s="259"/>
      <c r="D13" s="260" t="s">
        <v>833</v>
      </c>
      <c r="E13" s="261"/>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4" t="str">
        <f>IFERROR((SUM(B14/B15)),"")</f>
        <v/>
      </c>
      <c r="D14" s="227">
        <f>COUNTIFS(Tabla1[GESTANTES ACTUALES],"ACTIVA INGRESO A CPN",Tabla1[RIESGO BIOPSICOSOCIAL],"ALTO RIESGO",Tabla1[FECHA ASISTENCIA PRIMERA VEZ CON GINECOLOGÍA],"&lt;&gt;")</f>
        <v>0</v>
      </c>
      <c r="E14" s="254"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5"/>
      <c r="D15" s="227">
        <f>COUNTIFS(Tabla1[GESTANTES ACTUALES],"ACTIVA INGRESO A CPN",Tabla1[RIESGO BIOPSICOSOCIAL],"ALTO RIESGO")</f>
        <v>0</v>
      </c>
      <c r="E15" s="255"/>
      <c r="F15" s="103"/>
      <c r="G15" s="103"/>
      <c r="H15" s="103"/>
      <c r="I15" s="103"/>
      <c r="J15" s="103"/>
      <c r="K15" s="103"/>
      <c r="L15" s="103"/>
      <c r="M15" s="103"/>
    </row>
    <row r="16" spans="1:13" ht="19.5" thickBot="1" x14ac:dyDescent="0.35">
      <c r="B16" s="258" t="s">
        <v>812</v>
      </c>
      <c r="C16" s="259"/>
      <c r="D16" s="260" t="s">
        <v>833</v>
      </c>
      <c r="E16" s="261"/>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6" t="str">
        <f>IFERROR(SUM(B17/B18),"")</f>
        <v/>
      </c>
      <c r="D17" s="227">
        <f>COUNTIFS(Tabla1[GESTANTES ACTUALES],"ACTIVA INGRESO A CPN",Tabla1['# DE MUJERES CON SUMINISTRO ADECUADO DE MICRONUTRIENTES],"COMPLETO")</f>
        <v>0</v>
      </c>
      <c r="E17" s="256"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7"/>
      <c r="D18" s="227">
        <f>COUNTIFS(Tabla1[GESTANTES ACTUALES],"ACTIVA INGRESO A CPN")</f>
        <v>0</v>
      </c>
      <c r="E18" s="257"/>
      <c r="F18" s="103"/>
      <c r="G18" s="103"/>
      <c r="H18" s="103"/>
      <c r="I18" s="103"/>
      <c r="J18" s="103"/>
      <c r="K18" s="103"/>
      <c r="L18" s="103"/>
      <c r="M18" s="103"/>
    </row>
    <row r="19" spans="1:13" ht="19.5" thickBot="1" x14ac:dyDescent="0.35">
      <c r="B19" s="258" t="s">
        <v>812</v>
      </c>
      <c r="C19" s="259"/>
      <c r="D19" s="260" t="s">
        <v>833</v>
      </c>
      <c r="E19" s="261"/>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62" t="str">
        <f>IFERROR(SUM(B20/B21),"")</f>
        <v/>
      </c>
      <c r="D20" s="227">
        <f>COUNTIFS(Tabla1[GESTANTES ACTUALES],"ACTIVA INGRESO A CPN",Tabla1[Alarma de apoyo Tamizaje Sífilis],"COMPLETO")</f>
        <v>0</v>
      </c>
      <c r="E20" s="262"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63"/>
      <c r="D21" s="227">
        <f>COUNTIFS(Tabla1[GESTANTES ACTUALES],"ACTIVA INGRESO A CPN")</f>
        <v>0</v>
      </c>
      <c r="E21" s="263"/>
      <c r="F21" s="103"/>
      <c r="G21" s="103"/>
      <c r="H21" s="103"/>
      <c r="I21" s="103"/>
      <c r="J21" s="103"/>
      <c r="K21" s="103"/>
      <c r="L21" s="103"/>
      <c r="M21" s="103"/>
    </row>
    <row r="22" spans="1:13" ht="19.5" thickBot="1" x14ac:dyDescent="0.35">
      <c r="B22" s="258" t="s">
        <v>812</v>
      </c>
      <c r="C22" s="259"/>
      <c r="D22" s="260" t="s">
        <v>833</v>
      </c>
      <c r="E22" s="261"/>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62" t="str">
        <f>IFERROR(SUM(B23/B24),"")</f>
        <v/>
      </c>
      <c r="D23" s="227">
        <f>COUNTIFS(Tabla1[GESTANTES ACTUALES],"ACTIVA INGRESO A CPN",Tabla1[Alarma de apoyo Tamizaje VIH],"COMPLETO")</f>
        <v>0</v>
      </c>
      <c r="E23" s="262"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63"/>
      <c r="D24" s="227">
        <f>COUNTIFS(Tabla1[GESTANTES ACTUALES],"ACTIVA INGRESO A CPN")</f>
        <v>0</v>
      </c>
      <c r="E24" s="263"/>
      <c r="F24" s="103"/>
      <c r="G24" s="103"/>
      <c r="H24" s="103"/>
      <c r="I24" s="103"/>
      <c r="J24" s="103"/>
      <c r="K24" s="103"/>
      <c r="L24" s="103"/>
      <c r="M24" s="103"/>
    </row>
    <row r="25" spans="1:13" ht="19.5" thickBot="1" x14ac:dyDescent="0.35">
      <c r="B25" s="258" t="s">
        <v>812</v>
      </c>
      <c r="C25" s="259"/>
      <c r="D25" s="260" t="s">
        <v>833</v>
      </c>
      <c r="E25" s="261"/>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62" t="str">
        <f>IFERROR(SUM(B26/B27),"")</f>
        <v/>
      </c>
      <c r="D26" s="227">
        <f>COUNTIFS(Tabla1[GESTANTES ACTUALES],"ACTIVA INGRESO A CPN",Tabla1[SEMANAS DE GESTACION ACTUALIZADAS],"&gt;36",Tabla1[SEMANAS DE GESTACION ACTUALIZADAS],"&lt;44",Tabla1[FECHA DE CONCERTACIÓN PLAN DE PARTO (Soporte HC)],"&lt;&gt;")</f>
        <v>0</v>
      </c>
      <c r="E26" s="262"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63"/>
      <c r="D27" s="227">
        <f>COUNTIFS(Tabla1[GESTANTES ACTUALES],"ACTIVA INGRESO A CPN",Tabla1[SEMANAS DE GESTACION ACTUALIZADAS],"&gt;36",Tabla1[SEMANAS DE GESTACION ACTUALIZADAS],"&lt;44")</f>
        <v>0</v>
      </c>
      <c r="E27" s="263"/>
      <c r="F27" s="103"/>
      <c r="G27" s="103"/>
      <c r="H27" s="103"/>
      <c r="I27" s="103"/>
      <c r="J27" s="103"/>
      <c r="K27" s="103"/>
      <c r="L27" s="103"/>
      <c r="M27" s="103"/>
    </row>
    <row r="28" spans="1:13" ht="19.5" thickBot="1" x14ac:dyDescent="0.35">
      <c r="B28" s="258" t="s">
        <v>812</v>
      </c>
      <c r="C28" s="259"/>
      <c r="D28" s="260" t="s">
        <v>833</v>
      </c>
      <c r="E28" s="261"/>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62" t="str">
        <f>IFERROR(SUM(B29/B30),"")</f>
        <v/>
      </c>
      <c r="D29" s="227">
        <f>COUNTIFS(Tabla1[GESTANTES ACTUALES],"ACTIVA INGRESO A CPN",Tabla1[SEMANAS DE GESTACION ACTUALIZADAS],"&gt;36",Tabla1[SEMANAS DE GESTACION ACTUALIZADAS],"&lt;44",Tabla1[FECHA VACUNA DPT ACELULAR],"&lt;&gt;")</f>
        <v>0</v>
      </c>
      <c r="E29" s="262"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63"/>
      <c r="D30" s="227">
        <f>COUNTIFS(Tabla1[GESTANTES ACTUALES],"ACTIVA INGRESO A CPN",Tabla1[SEMANAS DE GESTACION ACTUALIZADAS],"&gt;36",Tabla1[SEMANAS DE GESTACION ACTUALIZADAS],"&lt;44")</f>
        <v>0</v>
      </c>
      <c r="E30" s="263"/>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4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4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0"/>
      <c r="C133" s="251"/>
      <c r="D133" s="251"/>
      <c r="E133" s="251"/>
      <c r="F133" s="251"/>
      <c r="G133" s="251"/>
      <c r="H133" s="251"/>
      <c r="I133" s="251"/>
      <c r="J133" s="251"/>
      <c r="K133" s="251"/>
      <c r="L133" s="251"/>
      <c r="M133" s="25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0"/>
      <c r="C135" s="251"/>
      <c r="D135" s="251"/>
      <c r="E135" s="251"/>
      <c r="F135" s="251"/>
      <c r="G135" s="251"/>
      <c r="H135" s="251"/>
      <c r="I135" s="251"/>
      <c r="J135" s="251"/>
      <c r="K135" s="251"/>
      <c r="L135" s="251"/>
      <c r="M135" s="25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2"/>
      <c r="C137" s="253"/>
      <c r="D137" s="253"/>
      <c r="E137" s="253"/>
      <c r="F137" s="253"/>
      <c r="G137" s="253"/>
      <c r="H137" s="253"/>
      <c r="I137" s="253"/>
      <c r="J137" s="253"/>
      <c r="K137" s="253"/>
      <c r="L137" s="253"/>
      <c r="M137" s="253"/>
      <c r="N137" s="205" t="str">
        <f>IF(N$128=0,"",SUM((N136/N$128)*100000))</f>
        <v/>
      </c>
    </row>
    <row r="138" spans="1:14" ht="26.25" thickBot="1" x14ac:dyDescent="0.3">
      <c r="A138" s="201" t="s">
        <v>746</v>
      </c>
      <c r="B138" s="252" t="str">
        <f t="shared" ref="B138:N138" si="45">IF(B$136=0,"",SUM(B134/B136))</f>
        <v/>
      </c>
      <c r="C138" s="253" t="str">
        <f t="shared" si="45"/>
        <v/>
      </c>
      <c r="D138" s="253" t="str">
        <f t="shared" si="45"/>
        <v/>
      </c>
      <c r="E138" s="253" t="str">
        <f t="shared" si="45"/>
        <v/>
      </c>
      <c r="F138" s="253" t="str">
        <f t="shared" si="45"/>
        <v/>
      </c>
      <c r="G138" s="253" t="str">
        <f t="shared" si="45"/>
        <v/>
      </c>
      <c r="H138" s="253" t="str">
        <f t="shared" si="45"/>
        <v/>
      </c>
      <c r="I138" s="253" t="str">
        <f t="shared" si="45"/>
        <v/>
      </c>
      <c r="J138" s="253" t="str">
        <f t="shared" si="45"/>
        <v/>
      </c>
      <c r="K138" s="253" t="str">
        <f t="shared" si="45"/>
        <v/>
      </c>
      <c r="L138" s="253" t="str">
        <f t="shared" si="45"/>
        <v/>
      </c>
      <c r="M138" s="25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46" t="str">
        <f>IF(B$139=0,"",SUM(B136/B139))</f>
        <v/>
      </c>
      <c r="C140" s="247"/>
      <c r="D140" s="247"/>
      <c r="E140" s="247"/>
      <c r="F140" s="247"/>
      <c r="G140" s="247"/>
      <c r="H140" s="247"/>
      <c r="I140" s="247"/>
      <c r="J140" s="247"/>
      <c r="K140" s="247"/>
      <c r="L140" s="247"/>
      <c r="M140" s="24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8" priority="45" operator="containsText" text="SE TRASLADO DE EPS">
      <formula>NOT(ISERROR(SEARCH("SE TRASLADO DE EPS",A33)))</formula>
    </cfRule>
    <cfRule type="containsText" dxfId="37" priority="46" operator="containsText" text="INMIGRANTE VENEZOLANA">
      <formula>NOT(ISERROR(SEARCH("INMIGRANTE VENEZOLANA",A33)))</formula>
    </cfRule>
    <cfRule type="containsText" dxfId="36" priority="47" operator="containsText" text="SIN AFILIACIÓN A EPS">
      <formula>NOT(ISERROR(SEARCH("SIN AFILIACIÓN A EPS",A33)))</formula>
    </cfRule>
    <cfRule type="containsText" dxfId="35" priority="48" operator="containsText" text="NOVEDAD">
      <formula>NOT(ISERROR(SEARCH("NOVEDAD",A33)))</formula>
    </cfRule>
    <cfRule type="containsText" dxfId="34" priority="49" operator="containsText" text="IDENTIDAD">
      <formula>NOT(ISERROR(SEARCH("IDENTIDAD",A33)))</formula>
    </cfRule>
    <cfRule type="containsText" dxfId="33" priority="50" operator="containsText" text="CPN">
      <formula>NOT(ISERROR(SEARCH("CPN",A33)))</formula>
    </cfRule>
    <cfRule type="containsText" dxfId="32" priority="51" operator="containsText" text="VIENE">
      <formula>NOT(ISERROR(SEARCH("VIENE",A33)))</formula>
    </cfRule>
    <cfRule type="cellIs" dxfId="31" priority="52" operator="equal">
      <formula>"TRAMITE DE PORTABILIDAD"</formula>
    </cfRule>
  </conditionalFormatting>
  <conditionalFormatting sqref="A39">
    <cfRule type="containsText" dxfId="30" priority="9" operator="containsText" text="SE TRASLADO DE EPS">
      <formula>NOT(ISERROR(SEARCH("SE TRASLADO DE EPS",A39)))</formula>
    </cfRule>
    <cfRule type="containsText" dxfId="29" priority="10" operator="containsText" text="INMIGRANTE VENEZOLANA">
      <formula>NOT(ISERROR(SEARCH("INMIGRANTE VENEZOLANA",A39)))</formula>
    </cfRule>
    <cfRule type="containsText" dxfId="28" priority="11" operator="containsText" text="SIN AFILIACIÓN A EPS">
      <formula>NOT(ISERROR(SEARCH("SIN AFILIACIÓN A EPS",A39)))</formula>
    </cfRule>
    <cfRule type="containsText" dxfId="27" priority="12" operator="containsText" text="NOVEDAD">
      <formula>NOT(ISERROR(SEARCH("NOVEDAD",A39)))</formula>
    </cfRule>
    <cfRule type="containsText" dxfId="26" priority="13" operator="containsText" text="IDENTIDAD">
      <formula>NOT(ISERROR(SEARCH("IDENTIDAD",A39)))</formula>
    </cfRule>
    <cfRule type="containsText" dxfId="25" priority="14" operator="containsText" text="CPN">
      <formula>NOT(ISERROR(SEARCH("CPN",A39)))</formula>
    </cfRule>
    <cfRule type="containsText" dxfId="24" priority="15" operator="containsText" text="VIENE">
      <formula>NOT(ISERROR(SEARCH("VIENE",A39)))</formula>
    </cfRule>
    <cfRule type="cellIs" dxfId="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