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4A52AB69-4AAF-40A6-8620-E8E25A8BF406}" xr6:coauthVersionLast="47" xr6:coauthVersionMax="47" xr10:uidLastSave="{00000000-0000-0000-0000-000000000000}"/>
  <bookViews>
    <workbookView xWindow="-120" yWindow="-120" windowWidth="29040" windowHeight="15720" tabRatio="740" xr2:uid="{00000000-000D-0000-FFFF-FFFF00000000}"/>
  </bookViews>
  <sheets>
    <sheet name="CPN 2022" sheetId="5" r:id="rId1"/>
    <sheet name="INDICADORES" sheetId="30" r:id="rId2"/>
    <sheet name="INSTRUCTIVO " sheetId="32" r:id="rId3"/>
  </sheets>
  <externalReferences>
    <externalReference r:id="rId4"/>
  </externalReferences>
  <definedNames>
    <definedName name="_06_05_2011" localSheetId="2">'[1]CPN 2022'!#REF!</definedName>
    <definedName name="_06_05_2011">'CPN 2022'!#REF!</definedName>
    <definedName name="_29_11_1984" localSheetId="2">'[1]CPN 2022'!#REF!</definedName>
    <definedName name="_29_11_1984">'CPN 2022'!#REF!</definedName>
    <definedName name="_xlnm._FilterDatabase" localSheetId="0" hidden="1">'CPN 2022'!#REF!</definedName>
    <definedName name="AIC" localSheetId="2">'[1]CPN 2022'!#REF!</definedName>
    <definedName name="AIC">'CPN 2022'!#REF!</definedName>
    <definedName name="AIDA" localSheetId="2">'[1]CPN 2022'!#REF!</definedName>
    <definedName name="AIDA">'CPN 2022'!#REF!</definedName>
    <definedName name="CC" localSheetId="2">'[1]CPN 2022'!#REF!</definedName>
    <definedName name="CC">'CPN 2022'!#REF!</definedName>
    <definedName name="CCC" localSheetId="2">'[1]CPN 2022'!#REF!</definedName>
    <definedName name="CCC">'CPN 2022'!#REF!</definedName>
    <definedName name="CHOCUE" localSheetId="2">'[1]CPN 2022'!#REF!</definedName>
    <definedName name="CHOCUE">'CPN 2022'!#REF!</definedName>
    <definedName name="EL_HOGAR" localSheetId="2">'[1]CPN 2022'!#REF!</definedName>
    <definedName name="EL_HOGAR">'CPN 2022'!#REF!</definedName>
    <definedName name="INDIGENA" localSheetId="2">'[1]CPN 2022'!#REF!</definedName>
    <definedName name="INDIGENA">'CPN 2022'!#REF!</definedName>
    <definedName name="LA_PLAYA_MIRASOLES" localSheetId="2">'[1]CPN 2022'!#REF!</definedName>
    <definedName name="LA_PLAYA_MIRASOLES">'CPN 2022'!#REF!</definedName>
    <definedName name="LORENA" localSheetId="2">'[1]CPN 2022'!#REF!</definedName>
    <definedName name="LORENA">'CPN 2022'!#REF!</definedName>
    <definedName name="MESTIZA" localSheetId="2">'[1]CPN 2022'!#REF!</definedName>
    <definedName name="MESTIZA">'CPN 2022'!#REF!</definedName>
    <definedName name="RIVERA" localSheetId="2">'[1]CPN 2022'!#REF!</definedName>
    <definedName name="RIVERA">'CPN 2022'!#REF!</definedName>
    <definedName name="RURAL" localSheetId="2">'[1]CPN 2022'!#REF!</definedName>
    <definedName name="RURAL">'CPN 2022'!#REF!</definedName>
    <definedName name="SIN_RIESGO_POR_EDAD" localSheetId="2">'[1]CPN 2022'!#REF!</definedName>
    <definedName name="SIN_RIESGO_POR_EDAD">'CPN 2022'!#REF!</definedName>
    <definedName name="SUB" localSheetId="2">'[1]CPN 2022'!#REF!</definedName>
    <definedName name="SUB">'CPN 2022'!#REF!</definedName>
    <definedName name="UNION_L" localSheetId="2">'[1]CPN 2022'!#REF!</definedName>
    <definedName name="UNION_L">'CPN 2022'!#REF!</definedName>
    <definedName name="Z_87C82D0B_BF3B_4D48_8D40_9A69123EBFA4_.wvu.Cols" localSheetId="0"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0" hidden="1">'CPN 2022'!$D$1:$KN$10</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3" i="5" l="1"/>
  <c r="KI4" i="5"/>
  <c r="KI5" i="5"/>
  <c r="KI6" i="5"/>
  <c r="KI7" i="5"/>
  <c r="KI8" i="5"/>
  <c r="KI9" i="5"/>
  <c r="KI10" i="5"/>
  <c r="KG3" i="5"/>
  <c r="KG4" i="5"/>
  <c r="KG5" i="5"/>
  <c r="KG6" i="5"/>
  <c r="KG7" i="5"/>
  <c r="KG8" i="5"/>
  <c r="KG9" i="5"/>
  <c r="KG10" i="5"/>
  <c r="IY3" i="5"/>
  <c r="IY4" i="5"/>
  <c r="IY5" i="5"/>
  <c r="IY6" i="5"/>
  <c r="IY7" i="5"/>
  <c r="IY8" i="5"/>
  <c r="IY9" i="5"/>
  <c r="IY10" i="5"/>
  <c r="IP3" i="5"/>
  <c r="IP4" i="5"/>
  <c r="IP5" i="5"/>
  <c r="IP6" i="5"/>
  <c r="IP7" i="5"/>
  <c r="IP8" i="5"/>
  <c r="IP9" i="5"/>
  <c r="IP10" i="5"/>
  <c r="HK3" i="5"/>
  <c r="HR3" i="5"/>
  <c r="HK4" i="5"/>
  <c r="HR4" i="5"/>
  <c r="HK5" i="5"/>
  <c r="HR5" i="5"/>
  <c r="HK6" i="5"/>
  <c r="HR6" i="5"/>
  <c r="HK7" i="5"/>
  <c r="HR7" i="5"/>
  <c r="HK8" i="5"/>
  <c r="HR8" i="5"/>
  <c r="HK9" i="5"/>
  <c r="HR9" i="5"/>
  <c r="HK10" i="5"/>
  <c r="HR10" i="5"/>
  <c r="HA3" i="5"/>
  <c r="HB3" i="5" s="1"/>
  <c r="HC3" i="5"/>
  <c r="HA4" i="5"/>
  <c r="HB4" i="5" s="1"/>
  <c r="HC4" i="5"/>
  <c r="HA5" i="5"/>
  <c r="HB5" i="5" s="1"/>
  <c r="HC5" i="5"/>
  <c r="HA6" i="5"/>
  <c r="HB6" i="5" s="1"/>
  <c r="HC6" i="5"/>
  <c r="HA7" i="5"/>
  <c r="HB7" i="5" s="1"/>
  <c r="HC7" i="5"/>
  <c r="HA8" i="5"/>
  <c r="HB8" i="5" s="1"/>
  <c r="HC8" i="5"/>
  <c r="HA9" i="5"/>
  <c r="HB9" i="5" s="1"/>
  <c r="HC9" i="5"/>
  <c r="HA10" i="5"/>
  <c r="HB10" i="5" s="1"/>
  <c r="HC10" i="5"/>
  <c r="GS3" i="5"/>
  <c r="GS4" i="5"/>
  <c r="GS5" i="5"/>
  <c r="GS6" i="5"/>
  <c r="GS7" i="5"/>
  <c r="GS8" i="5"/>
  <c r="GS9" i="5"/>
  <c r="GS10" i="5"/>
  <c r="FP3" i="5"/>
  <c r="FP4" i="5"/>
  <c r="FP5" i="5"/>
  <c r="FP6" i="5"/>
  <c r="FP7" i="5"/>
  <c r="FP8" i="5"/>
  <c r="FP9" i="5"/>
  <c r="FP10" i="5"/>
  <c r="EU3" i="5"/>
  <c r="EU4" i="5"/>
  <c r="EU5" i="5"/>
  <c r="EU6" i="5"/>
  <c r="EU7" i="5"/>
  <c r="EU8" i="5"/>
  <c r="EU9" i="5"/>
  <c r="EU10" i="5"/>
  <c r="EQ3" i="5"/>
  <c r="EQ4" i="5"/>
  <c r="EQ5" i="5"/>
  <c r="EQ6" i="5"/>
  <c r="EQ7" i="5"/>
  <c r="EQ8" i="5"/>
  <c r="EQ9" i="5"/>
  <c r="EQ10" i="5"/>
  <c r="EL3" i="5"/>
  <c r="EL4" i="5"/>
  <c r="EL5" i="5"/>
  <c r="EL6" i="5"/>
  <c r="EL7" i="5"/>
  <c r="EL8" i="5"/>
  <c r="EL9" i="5"/>
  <c r="EL10" i="5"/>
  <c r="DU3" i="5"/>
  <c r="DV3" i="5" s="1"/>
  <c r="DW3" i="5"/>
  <c r="DX3" i="5" s="1"/>
  <c r="DU4" i="5"/>
  <c r="DV4" i="5" s="1"/>
  <c r="DW4" i="5"/>
  <c r="DX4" i="5" s="1"/>
  <c r="DU5" i="5"/>
  <c r="DV5" i="5" s="1"/>
  <c r="DW5" i="5"/>
  <c r="DX5" i="5" s="1"/>
  <c r="DU6" i="5"/>
  <c r="DV6" i="5" s="1"/>
  <c r="DW6" i="5"/>
  <c r="DX6" i="5" s="1"/>
  <c r="DU7" i="5"/>
  <c r="DV7" i="5" s="1"/>
  <c r="DW7" i="5"/>
  <c r="DX7" i="5" s="1"/>
  <c r="DU8" i="5"/>
  <c r="DV8" i="5" s="1"/>
  <c r="DW8" i="5"/>
  <c r="DX8" i="5" s="1"/>
  <c r="DU9" i="5"/>
  <c r="DV9" i="5" s="1"/>
  <c r="DW9" i="5"/>
  <c r="DX9" i="5" s="1"/>
  <c r="DU10" i="5"/>
  <c r="DV10" i="5" s="1"/>
  <c r="DW10" i="5"/>
  <c r="DX10" i="5" s="1"/>
  <c r="DR3" i="5"/>
  <c r="DR4" i="5"/>
  <c r="DR5" i="5"/>
  <c r="DR6" i="5"/>
  <c r="DR7" i="5"/>
  <c r="DR8" i="5"/>
  <c r="DR9" i="5"/>
  <c r="DR10" i="5"/>
  <c r="CZ3" i="5"/>
  <c r="CZ4" i="5"/>
  <c r="CZ5" i="5"/>
  <c r="CZ6" i="5"/>
  <c r="CZ7" i="5"/>
  <c r="CZ8" i="5"/>
  <c r="CZ9" i="5"/>
  <c r="CZ10" i="5"/>
  <c r="CU3" i="5"/>
  <c r="CU4" i="5"/>
  <c r="CU5" i="5"/>
  <c r="CU6" i="5"/>
  <c r="CU7" i="5"/>
  <c r="CU8" i="5"/>
  <c r="CU9" i="5"/>
  <c r="CU10" i="5"/>
  <c r="CR3" i="5"/>
  <c r="CR4" i="5"/>
  <c r="CR5" i="5"/>
  <c r="HP5" i="5" s="1"/>
  <c r="CR6" i="5"/>
  <c r="CR7" i="5"/>
  <c r="CR8" i="5"/>
  <c r="CR9" i="5"/>
  <c r="CR10" i="5"/>
  <c r="CL3" i="5"/>
  <c r="CM3" i="5"/>
  <c r="CN3" i="5" s="1"/>
  <c r="CL4" i="5"/>
  <c r="CM4" i="5"/>
  <c r="CL5" i="5"/>
  <c r="CM5" i="5"/>
  <c r="CL6" i="5"/>
  <c r="CM6" i="5"/>
  <c r="CN6" i="5" s="1"/>
  <c r="CL7" i="5"/>
  <c r="CM7" i="5"/>
  <c r="CL8" i="5"/>
  <c r="CM8" i="5"/>
  <c r="CL9" i="5"/>
  <c r="CM9" i="5"/>
  <c r="CL10" i="5"/>
  <c r="CM10" i="5"/>
  <c r="CN10" i="5" s="1"/>
  <c r="CG3" i="5"/>
  <c r="CH3" i="5"/>
  <c r="CI3" i="5" s="1"/>
  <c r="CG4" i="5"/>
  <c r="CH4" i="5"/>
  <c r="CG5" i="5"/>
  <c r="CH5" i="5"/>
  <c r="CG6" i="5"/>
  <c r="CH6" i="5"/>
  <c r="CI6" i="5" s="1"/>
  <c r="CG7" i="5"/>
  <c r="CH7" i="5"/>
  <c r="CG8" i="5"/>
  <c r="CH8" i="5"/>
  <c r="CG9" i="5"/>
  <c r="CH9" i="5"/>
  <c r="CI9" i="5" s="1"/>
  <c r="CG10" i="5"/>
  <c r="CH10" i="5"/>
  <c r="CI10" i="5" s="1"/>
  <c r="CC3" i="5"/>
  <c r="CD3" i="5" s="1"/>
  <c r="CC4" i="5"/>
  <c r="CD4" i="5" s="1"/>
  <c r="CC5" i="5"/>
  <c r="CD5" i="5" s="1"/>
  <c r="CC6" i="5"/>
  <c r="CD6" i="5" s="1"/>
  <c r="CC7" i="5"/>
  <c r="CD7" i="5" s="1"/>
  <c r="CC8" i="5"/>
  <c r="CD8" i="5" s="1"/>
  <c r="CC9" i="5"/>
  <c r="CD9" i="5" s="1"/>
  <c r="CC10" i="5"/>
  <c r="CD10" i="5" s="1"/>
  <c r="BM3" i="5"/>
  <c r="BN3" i="5"/>
  <c r="BO3" i="5"/>
  <c r="DY3" i="5" s="1"/>
  <c r="BQ3" i="5"/>
  <c r="BM4" i="5"/>
  <c r="BO4" i="5"/>
  <c r="DY4" i="5" s="1"/>
  <c r="BQ4" i="5"/>
  <c r="BM5" i="5"/>
  <c r="BO5" i="5"/>
  <c r="DY5" i="5" s="1"/>
  <c r="BQ5" i="5"/>
  <c r="BM6" i="5"/>
  <c r="BN6" i="5"/>
  <c r="BO6" i="5"/>
  <c r="DY6" i="5" s="1"/>
  <c r="BQ6" i="5"/>
  <c r="BM7" i="5"/>
  <c r="BO7" i="5"/>
  <c r="DY7" i="5" s="1"/>
  <c r="BQ7" i="5"/>
  <c r="BM8" i="5"/>
  <c r="BO8" i="5"/>
  <c r="DY8" i="5" s="1"/>
  <c r="BQ8" i="5"/>
  <c r="BM9" i="5"/>
  <c r="BO9" i="5"/>
  <c r="DY9" i="5" s="1"/>
  <c r="DZ9" i="5" s="1"/>
  <c r="BQ9" i="5"/>
  <c r="BM10" i="5"/>
  <c r="BO10" i="5"/>
  <c r="DY10" i="5" s="1"/>
  <c r="BQ10" i="5"/>
  <c r="P3" i="5"/>
  <c r="P4" i="5"/>
  <c r="P5" i="5"/>
  <c r="P6" i="5"/>
  <c r="P7" i="5"/>
  <c r="P8" i="5"/>
  <c r="P9" i="5"/>
  <c r="P10" i="5"/>
  <c r="N3" i="5"/>
  <c r="N4" i="5"/>
  <c r="N5" i="5"/>
  <c r="N6" i="5"/>
  <c r="N7" i="5"/>
  <c r="N8" i="5"/>
  <c r="N9" i="5"/>
  <c r="N10" i="5"/>
  <c r="HP7" i="5" l="1"/>
  <c r="HP6" i="5"/>
  <c r="HP8" i="5"/>
  <c r="HP10" i="5"/>
  <c r="HP9" i="5"/>
  <c r="HP4" i="5"/>
  <c r="HP3" i="5"/>
  <c r="DZ8" i="5"/>
  <c r="DZ4" i="5"/>
  <c r="DZ3" i="5"/>
  <c r="DZ7" i="5"/>
  <c r="JN10" i="5"/>
  <c r="JX10" i="5"/>
  <c r="JN9" i="5"/>
  <c r="JX9" i="5"/>
  <c r="JN8" i="5"/>
  <c r="JX8" i="5"/>
  <c r="JN7" i="5"/>
  <c r="JX7" i="5"/>
  <c r="JN6" i="5"/>
  <c r="JX6" i="5"/>
  <c r="JN5" i="5"/>
  <c r="JX5" i="5"/>
  <c r="JN4" i="5"/>
  <c r="JX4" i="5"/>
  <c r="JN3" i="5"/>
  <c r="JX3" i="5"/>
  <c r="DZ5" i="5"/>
  <c r="DZ6" i="5"/>
  <c r="DZ10" i="5"/>
  <c r="CO3" i="5"/>
  <c r="HL3" i="5" s="1"/>
  <c r="CO10" i="5"/>
  <c r="HL10" i="5" s="1"/>
  <c r="CO6" i="5"/>
  <c r="HL6" i="5" s="1"/>
  <c r="HM2" i="5" l="1"/>
  <c r="KG2" i="5"/>
  <c r="KI2" i="5"/>
  <c r="BP3" i="5"/>
  <c r="BP4" i="5"/>
  <c r="BP5" i="5"/>
  <c r="BP6" i="5"/>
  <c r="BP7" i="5"/>
  <c r="BP8" i="5"/>
  <c r="BP9" i="5"/>
  <c r="BP10" i="5"/>
  <c r="IC7" i="5" l="1"/>
  <c r="IQ7" i="5"/>
  <c r="IR7" i="5" s="1"/>
  <c r="IC6" i="5"/>
  <c r="IQ6" i="5"/>
  <c r="IR6" i="5" s="1"/>
  <c r="IC8" i="5"/>
  <c r="IQ8" i="5"/>
  <c r="IR8" i="5" s="1"/>
  <c r="IQ5" i="5"/>
  <c r="IR5" i="5" s="1"/>
  <c r="IC5" i="5"/>
  <c r="IC4" i="5"/>
  <c r="IQ4" i="5"/>
  <c r="IR4" i="5" s="1"/>
  <c r="IC3" i="5"/>
  <c r="IQ3" i="5"/>
  <c r="IR3" i="5" s="1"/>
  <c r="IQ10" i="5"/>
  <c r="IR10" i="5" s="1"/>
  <c r="IC10" i="5"/>
  <c r="IQ9" i="5"/>
  <c r="IR9" i="5" s="1"/>
  <c r="IC9" i="5"/>
  <c r="GU6" i="5"/>
  <c r="GV6" i="5" s="1"/>
  <c r="GP6" i="5"/>
  <c r="GU5" i="5"/>
  <c r="GV5" i="5" s="1"/>
  <c r="GP5" i="5"/>
  <c r="GU4" i="5"/>
  <c r="GV4" i="5" s="1"/>
  <c r="GP4" i="5"/>
  <c r="GU3" i="5"/>
  <c r="GV3" i="5" s="1"/>
  <c r="GP3" i="5"/>
  <c r="GU10" i="5"/>
  <c r="GV10" i="5" s="1"/>
  <c r="GP10" i="5"/>
  <c r="GU8" i="5"/>
  <c r="GV8" i="5" s="1"/>
  <c r="GP8" i="5"/>
  <c r="GU9" i="5"/>
  <c r="GV9" i="5" s="1"/>
  <c r="GP9" i="5"/>
  <c r="GU7" i="5"/>
  <c r="GV7" i="5" s="1"/>
  <c r="GP7" i="5"/>
  <c r="GG10" i="5"/>
  <c r="GD10" i="5"/>
  <c r="GD3" i="5"/>
  <c r="GG3" i="5"/>
  <c r="GD9" i="5"/>
  <c r="GG9" i="5"/>
  <c r="GD8" i="5"/>
  <c r="GG8" i="5"/>
  <c r="GD7" i="5"/>
  <c r="GG7" i="5"/>
  <c r="GD6" i="5"/>
  <c r="GG6" i="5"/>
  <c r="GD5" i="5"/>
  <c r="GG5" i="5"/>
  <c r="GG4" i="5"/>
  <c r="GD4" i="5"/>
  <c r="FV3" i="5"/>
  <c r="GA3" i="5"/>
  <c r="FV10" i="5"/>
  <c r="GA10" i="5"/>
  <c r="FV9" i="5"/>
  <c r="GA9" i="5"/>
  <c r="FV8" i="5"/>
  <c r="GA8" i="5"/>
  <c r="FV7" i="5"/>
  <c r="GA7" i="5"/>
  <c r="FV6" i="5"/>
  <c r="GA6" i="5"/>
  <c r="FV5" i="5"/>
  <c r="GA5" i="5"/>
  <c r="FV4" i="5"/>
  <c r="GA4" i="5"/>
  <c r="FS5" i="5"/>
  <c r="FS3" i="5"/>
  <c r="FS4" i="5"/>
  <c r="FS10" i="5"/>
  <c r="FS9" i="5"/>
  <c r="FS8" i="5"/>
  <c r="FS7" i="5"/>
  <c r="FS6" i="5"/>
  <c r="FJ6" i="5"/>
  <c r="FM6" i="5"/>
  <c r="FJ5" i="5"/>
  <c r="FM5" i="5"/>
  <c r="FJ3" i="5"/>
  <c r="FM3" i="5"/>
  <c r="FJ10" i="5"/>
  <c r="FM10" i="5"/>
  <c r="FJ4" i="5"/>
  <c r="FM4" i="5"/>
  <c r="FJ9" i="5"/>
  <c r="FM9" i="5"/>
  <c r="FJ8" i="5"/>
  <c r="FM8" i="5"/>
  <c r="FJ7" i="5"/>
  <c r="FM7" i="5"/>
  <c r="FG9" i="5"/>
  <c r="FD9" i="5"/>
  <c r="FB9" i="5" s="1"/>
  <c r="EX9" i="5"/>
  <c r="FD10" i="5"/>
  <c r="FB10" i="5" s="1"/>
  <c r="EX10" i="5"/>
  <c r="FG10" i="5"/>
  <c r="FD8" i="5"/>
  <c r="FB8" i="5" s="1"/>
  <c r="EX8" i="5"/>
  <c r="FG8" i="5"/>
  <c r="FD7" i="5"/>
  <c r="FB7" i="5" s="1"/>
  <c r="EX7" i="5"/>
  <c r="FG7" i="5"/>
  <c r="FD6" i="5"/>
  <c r="FB6" i="5" s="1"/>
  <c r="EX6" i="5"/>
  <c r="FG6" i="5"/>
  <c r="FD5" i="5"/>
  <c r="FB5" i="5" s="1"/>
  <c r="EX5" i="5"/>
  <c r="FG5" i="5"/>
  <c r="FD4" i="5"/>
  <c r="FB4" i="5" s="1"/>
  <c r="EX4" i="5"/>
  <c r="FG4" i="5"/>
  <c r="FD3" i="5"/>
  <c r="FB3" i="5" s="1"/>
  <c r="EX3" i="5"/>
  <c r="FG3" i="5"/>
  <c r="EP5" i="5"/>
  <c r="ET5" i="5"/>
  <c r="EP4" i="5"/>
  <c r="ET4" i="5"/>
  <c r="EP3" i="5"/>
  <c r="ET3" i="5"/>
  <c r="EP10" i="5"/>
  <c r="ET10" i="5"/>
  <c r="EP9" i="5"/>
  <c r="ET9" i="5"/>
  <c r="EP6" i="5"/>
  <c r="ET6" i="5"/>
  <c r="EP8" i="5"/>
  <c r="ET8" i="5"/>
  <c r="EP7" i="5"/>
  <c r="ET7" i="5"/>
  <c r="DQ3" i="5"/>
  <c r="EK3" i="5"/>
  <c r="EM3" i="5" s="1"/>
  <c r="DQ4" i="5"/>
  <c r="EK4" i="5"/>
  <c r="EM4" i="5" s="1"/>
  <c r="DQ10" i="5"/>
  <c r="EK10" i="5"/>
  <c r="EM10" i="5" s="1"/>
  <c r="DQ9" i="5"/>
  <c r="EK9" i="5"/>
  <c r="EM9" i="5" s="1"/>
  <c r="DQ8" i="5"/>
  <c r="EK8" i="5"/>
  <c r="EM8" i="5" s="1"/>
  <c r="DQ6" i="5"/>
  <c r="EK6" i="5"/>
  <c r="EM6" i="5" s="1"/>
  <c r="DQ7" i="5"/>
  <c r="EK7" i="5"/>
  <c r="EM7" i="5" s="1"/>
  <c r="DQ5" i="5"/>
  <c r="EK5" i="5"/>
  <c r="EM5" i="5" s="1"/>
  <c r="OG2" i="5"/>
  <c r="OF6" i="5"/>
  <c r="OF2" i="5" l="1"/>
  <c r="OF3" i="5"/>
  <c r="OF4" i="5"/>
  <c r="OF5" i="5"/>
  <c r="OF7" i="5"/>
  <c r="OF8" i="5"/>
  <c r="OF9" i="5"/>
  <c r="OF10" i="5"/>
  <c r="OA2" i="5"/>
  <c r="XFD105" i="30"/>
  <c r="IY2" i="5" l="1"/>
  <c r="OE2" i="5" l="1"/>
  <c r="OD2" i="5"/>
  <c r="NM2" i="5"/>
  <c r="HN2" i="5"/>
  <c r="NZ2" i="5" l="1"/>
  <c r="NZ3" i="5"/>
  <c r="NZ4" i="5"/>
  <c r="NZ5" i="5"/>
  <c r="NZ6" i="5"/>
  <c r="NZ7" i="5"/>
  <c r="NZ8" i="5"/>
  <c r="NZ9" i="5"/>
  <c r="NZ10" i="5"/>
  <c r="NJ2" i="5" l="1"/>
  <c r="NJ3" i="5"/>
  <c r="NJ4" i="5"/>
  <c r="NJ5" i="5"/>
  <c r="NJ6" i="5"/>
  <c r="NJ7" i="5"/>
  <c r="NJ8" i="5"/>
  <c r="NJ9" i="5"/>
  <c r="NJ10" i="5"/>
  <c r="NL2" i="5" l="1"/>
  <c r="NL3" i="5"/>
  <c r="NL4" i="5"/>
  <c r="NL5" i="5"/>
  <c r="NL6" i="5"/>
  <c r="NL7" i="5"/>
  <c r="NL8" i="5"/>
  <c r="NL9" i="5"/>
  <c r="NL10" i="5"/>
  <c r="NK2" i="5"/>
  <c r="NK3" i="5"/>
  <c r="NK4" i="5"/>
  <c r="NK5" i="5"/>
  <c r="NK6" i="5"/>
  <c r="NK7" i="5"/>
  <c r="NK8" i="5"/>
  <c r="NK9" i="5"/>
  <c r="NK10" i="5"/>
  <c r="FP2" i="5"/>
  <c r="DR2" i="5" l="1"/>
  <c r="PO2" i="5"/>
  <c r="PL3" i="5"/>
  <c r="PL4" i="5"/>
  <c r="PL5" i="5"/>
  <c r="PL6" i="5"/>
  <c r="PL7" i="5"/>
  <c r="PL8" i="5"/>
  <c r="PL9" i="5"/>
  <c r="PL10" i="5"/>
  <c r="PL2" i="5"/>
  <c r="PN2" i="5" s="1"/>
  <c r="PQ4" i="5"/>
  <c r="PQ5" i="5"/>
  <c r="PQ8" i="5"/>
  <c r="NR2" i="5" l="1"/>
  <c r="DS3" i="5"/>
  <c r="DS4" i="5"/>
  <c r="DS5" i="5"/>
  <c r="DS6" i="5"/>
  <c r="DS7" i="5"/>
  <c r="DS8" i="5"/>
  <c r="DS9" i="5"/>
  <c r="DS10" i="5"/>
  <c r="B29" i="30" l="1"/>
  <c r="B18" i="30"/>
  <c r="D29" i="30"/>
  <c r="D30" i="30"/>
  <c r="B30" i="30"/>
  <c r="B27" i="30"/>
  <c r="D27" i="30"/>
  <c r="B26" i="30"/>
  <c r="D26" i="30"/>
  <c r="D24" i="30"/>
  <c r="B24" i="30"/>
  <c r="D21" i="30"/>
  <c r="B17" i="30"/>
  <c r="D18" i="30"/>
  <c r="B21" i="30"/>
  <c r="D17" i="30"/>
  <c r="OA10" i="5"/>
  <c r="OA7" i="5"/>
  <c r="OA8" i="5"/>
  <c r="OA5" i="5"/>
  <c r="OA9" i="5"/>
  <c r="OA4" i="5"/>
  <c r="OA3" i="5"/>
  <c r="NR3" i="5"/>
  <c r="NR9" i="5"/>
  <c r="NR10" i="5"/>
  <c r="NR8" i="5"/>
  <c r="NR7" i="5"/>
  <c r="NR6" i="5"/>
  <c r="NR5" i="5"/>
  <c r="NR4" i="5"/>
  <c r="PN3" i="5"/>
  <c r="PM3" i="5"/>
  <c r="PO3" i="5"/>
  <c r="PP3" i="5" s="1"/>
  <c r="PQ3" i="5" s="1"/>
  <c r="PN4" i="5"/>
  <c r="PM4" i="5"/>
  <c r="PO4" i="5"/>
  <c r="PP4" i="5" s="1"/>
  <c r="PN5" i="5"/>
  <c r="PM5" i="5"/>
  <c r="PO5" i="5"/>
  <c r="PP5" i="5" s="1"/>
  <c r="PN6" i="5"/>
  <c r="PM6" i="5"/>
  <c r="PO6" i="5"/>
  <c r="PP6" i="5" s="1"/>
  <c r="PQ6" i="5" s="1"/>
  <c r="PN7" i="5"/>
  <c r="PM7" i="5"/>
  <c r="PO7" i="5"/>
  <c r="PP7" i="5" s="1"/>
  <c r="PQ7" i="5" s="1"/>
  <c r="PN8" i="5"/>
  <c r="PM8" i="5"/>
  <c r="PO8" i="5"/>
  <c r="PP8" i="5" s="1"/>
  <c r="PN9" i="5"/>
  <c r="PM9" i="5"/>
  <c r="PO9" i="5"/>
  <c r="PP9" i="5" s="1"/>
  <c r="PQ9" i="5" s="1"/>
  <c r="PN10" i="5"/>
  <c r="PM10" i="5"/>
  <c r="PO10" i="5"/>
  <c r="PP10" i="5" s="1"/>
  <c r="PQ10"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OH6" i="5"/>
  <c r="OI6" i="5"/>
  <c r="OJ6" i="5"/>
  <c r="OK6" i="5"/>
  <c r="OL6" i="5"/>
  <c r="OM6" i="5"/>
  <c r="ON6" i="5"/>
  <c r="OO6" i="5"/>
  <c r="OP6" i="5"/>
  <c r="OQ6" i="5"/>
  <c r="OR6" i="5"/>
  <c r="OS6" i="5"/>
  <c r="OT6" i="5"/>
  <c r="OU6" i="5"/>
  <c r="OV6" i="5"/>
  <c r="OW6" i="5"/>
  <c r="OX6" i="5"/>
  <c r="OY6" i="5"/>
  <c r="OZ6" i="5"/>
  <c r="PA6" i="5"/>
  <c r="PB6" i="5"/>
  <c r="PC6" i="5"/>
  <c r="PD6" i="5"/>
  <c r="PE6" i="5"/>
  <c r="PF6" i="5"/>
  <c r="PG6" i="5"/>
  <c r="PH6" i="5"/>
  <c r="PI6" i="5"/>
  <c r="PJ6" i="5"/>
  <c r="PK6" i="5"/>
  <c r="OH7" i="5"/>
  <c r="OI7" i="5"/>
  <c r="OJ7" i="5"/>
  <c r="OK7" i="5"/>
  <c r="OL7" i="5"/>
  <c r="OM7" i="5"/>
  <c r="ON7" i="5"/>
  <c r="OO7" i="5"/>
  <c r="OP7" i="5"/>
  <c r="OQ7" i="5"/>
  <c r="OR7" i="5"/>
  <c r="OS7" i="5"/>
  <c r="OT7" i="5"/>
  <c r="OU7" i="5"/>
  <c r="OV7" i="5"/>
  <c r="OW7" i="5"/>
  <c r="OX7" i="5"/>
  <c r="OY7" i="5"/>
  <c r="OZ7" i="5"/>
  <c r="PA7" i="5"/>
  <c r="PB7" i="5"/>
  <c r="PC7" i="5"/>
  <c r="PD7" i="5"/>
  <c r="PE7" i="5"/>
  <c r="PF7" i="5"/>
  <c r="PG7" i="5"/>
  <c r="PH7" i="5"/>
  <c r="PI7" i="5"/>
  <c r="PJ7" i="5"/>
  <c r="PK7" i="5"/>
  <c r="OH8" i="5"/>
  <c r="OI8" i="5"/>
  <c r="OJ8" i="5"/>
  <c r="OK8" i="5"/>
  <c r="OL8" i="5"/>
  <c r="OM8" i="5"/>
  <c r="ON8" i="5"/>
  <c r="OO8" i="5"/>
  <c r="OP8" i="5"/>
  <c r="OQ8" i="5"/>
  <c r="OR8" i="5"/>
  <c r="OS8" i="5"/>
  <c r="OT8" i="5"/>
  <c r="OU8" i="5"/>
  <c r="OV8" i="5"/>
  <c r="OW8" i="5"/>
  <c r="OX8" i="5"/>
  <c r="OY8" i="5"/>
  <c r="OZ8" i="5"/>
  <c r="PA8" i="5"/>
  <c r="PB8" i="5"/>
  <c r="PC8" i="5"/>
  <c r="PD8" i="5"/>
  <c r="PE8" i="5"/>
  <c r="PF8" i="5"/>
  <c r="PG8" i="5"/>
  <c r="PH8" i="5"/>
  <c r="PI8" i="5"/>
  <c r="PJ8" i="5"/>
  <c r="PK8" i="5"/>
  <c r="OH9" i="5"/>
  <c r="OI9" i="5"/>
  <c r="OJ9" i="5"/>
  <c r="OK9" i="5"/>
  <c r="OL9" i="5"/>
  <c r="OM9" i="5"/>
  <c r="ON9" i="5"/>
  <c r="OO9" i="5"/>
  <c r="OP9" i="5"/>
  <c r="OQ9" i="5"/>
  <c r="OR9" i="5"/>
  <c r="OS9" i="5"/>
  <c r="OT9" i="5"/>
  <c r="OU9" i="5"/>
  <c r="OV9" i="5"/>
  <c r="OW9" i="5"/>
  <c r="OX9" i="5"/>
  <c r="OY9" i="5"/>
  <c r="OZ9" i="5"/>
  <c r="PA9" i="5"/>
  <c r="PB9" i="5"/>
  <c r="PC9" i="5"/>
  <c r="PD9" i="5"/>
  <c r="PE9" i="5"/>
  <c r="PF9" i="5"/>
  <c r="PG9" i="5"/>
  <c r="PH9" i="5"/>
  <c r="PI9" i="5"/>
  <c r="PJ9" i="5"/>
  <c r="PK9" i="5"/>
  <c r="OH10" i="5"/>
  <c r="OI10" i="5"/>
  <c r="OJ10" i="5"/>
  <c r="OK10" i="5"/>
  <c r="OL10" i="5"/>
  <c r="OM10" i="5"/>
  <c r="ON10" i="5"/>
  <c r="OO10" i="5"/>
  <c r="OP10" i="5"/>
  <c r="OQ10" i="5"/>
  <c r="OR10" i="5"/>
  <c r="OS10" i="5"/>
  <c r="OT10" i="5"/>
  <c r="OU10" i="5"/>
  <c r="OV10" i="5"/>
  <c r="OW10" i="5"/>
  <c r="OX10" i="5"/>
  <c r="OY10" i="5"/>
  <c r="OZ10" i="5"/>
  <c r="PA10" i="5"/>
  <c r="PB10" i="5"/>
  <c r="PC10" i="5"/>
  <c r="PD10" i="5"/>
  <c r="PE10" i="5"/>
  <c r="PF10" i="5"/>
  <c r="PG10" i="5"/>
  <c r="PH10" i="5"/>
  <c r="PI10" i="5"/>
  <c r="PJ10" i="5"/>
  <c r="PK10" i="5"/>
  <c r="NV3" i="5"/>
  <c r="NW3" i="5"/>
  <c r="NX3" i="5"/>
  <c r="NY3" i="5"/>
  <c r="NV4" i="5"/>
  <c r="NW4" i="5"/>
  <c r="NX4" i="5"/>
  <c r="NY4" i="5"/>
  <c r="NV5" i="5"/>
  <c r="NW5" i="5"/>
  <c r="NX5" i="5"/>
  <c r="NY5" i="5"/>
  <c r="NV6" i="5"/>
  <c r="NW6" i="5"/>
  <c r="NX6" i="5"/>
  <c r="NV7" i="5"/>
  <c r="NW7" i="5"/>
  <c r="NX7" i="5"/>
  <c r="NY7" i="5"/>
  <c r="NV8" i="5"/>
  <c r="NW8" i="5"/>
  <c r="NX8" i="5"/>
  <c r="NV9" i="5"/>
  <c r="NW9" i="5"/>
  <c r="NX9" i="5"/>
  <c r="NY9" i="5"/>
  <c r="NV10" i="5"/>
  <c r="NW10" i="5"/>
  <c r="NX10" i="5"/>
  <c r="NY10" i="5"/>
  <c r="NS3" i="5"/>
  <c r="NT3" i="5"/>
  <c r="NU3" i="5"/>
  <c r="NS4" i="5"/>
  <c r="NT4" i="5"/>
  <c r="NU4" i="5"/>
  <c r="NS5" i="5"/>
  <c r="NT5" i="5"/>
  <c r="NU5" i="5"/>
  <c r="NS6" i="5"/>
  <c r="NT6" i="5"/>
  <c r="NU6" i="5"/>
  <c r="NS7" i="5"/>
  <c r="NT7" i="5"/>
  <c r="NU7" i="5"/>
  <c r="NS8" i="5"/>
  <c r="NT8" i="5"/>
  <c r="NU8" i="5"/>
  <c r="NS9" i="5"/>
  <c r="NT9" i="5"/>
  <c r="NU9" i="5"/>
  <c r="NS10" i="5"/>
  <c r="NT10" i="5"/>
  <c r="NU10" i="5"/>
  <c r="NO3" i="5"/>
  <c r="IN3" i="5" s="1"/>
  <c r="NP3" i="5"/>
  <c r="AK3" i="5" s="1"/>
  <c r="NQ3" i="5"/>
  <c r="NO4" i="5"/>
  <c r="IN4" i="5" s="1"/>
  <c r="NP4" i="5"/>
  <c r="AK4" i="5" s="1"/>
  <c r="NQ4" i="5"/>
  <c r="BN4" i="5" s="1"/>
  <c r="NO5" i="5"/>
  <c r="IN5" i="5" s="1"/>
  <c r="NP5" i="5"/>
  <c r="AK5" i="5" s="1"/>
  <c r="NQ5" i="5"/>
  <c r="BN5" i="5" s="1"/>
  <c r="NO6" i="5"/>
  <c r="IN6" i="5" s="1"/>
  <c r="NP6" i="5"/>
  <c r="AK6" i="5" s="1"/>
  <c r="NQ6" i="5"/>
  <c r="NO7" i="5"/>
  <c r="IN7" i="5" s="1"/>
  <c r="NP7" i="5"/>
  <c r="AK7" i="5" s="1"/>
  <c r="NQ7" i="5"/>
  <c r="BN7" i="5" s="1"/>
  <c r="NO8" i="5"/>
  <c r="IN8" i="5" s="1"/>
  <c r="NP8" i="5"/>
  <c r="AK8" i="5" s="1"/>
  <c r="NQ8" i="5"/>
  <c r="BN8" i="5" s="1"/>
  <c r="NO9" i="5"/>
  <c r="IN9" i="5" s="1"/>
  <c r="NP9" i="5"/>
  <c r="AK9" i="5" s="1"/>
  <c r="NQ9" i="5"/>
  <c r="BN9" i="5" s="1"/>
  <c r="NO10" i="5"/>
  <c r="IN10" i="5" s="1"/>
  <c r="NP10" i="5"/>
  <c r="AK10" i="5" s="1"/>
  <c r="NQ10" i="5"/>
  <c r="BN10" i="5" s="1"/>
  <c r="NG3" i="5"/>
  <c r="NI3" i="5"/>
  <c r="NG4" i="5"/>
  <c r="NI4" i="5"/>
  <c r="NG5" i="5"/>
  <c r="NI5" i="5"/>
  <c r="NG6" i="5"/>
  <c r="NI6" i="5"/>
  <c r="NG7" i="5"/>
  <c r="NI7" i="5"/>
  <c r="NG8" i="5"/>
  <c r="NI8" i="5"/>
  <c r="NG9" i="5"/>
  <c r="NI9" i="5"/>
  <c r="NG10" i="5"/>
  <c r="NI10" i="5"/>
  <c r="NC3" i="5"/>
  <c r="ND3" i="5"/>
  <c r="NE3" i="5"/>
  <c r="NF3" i="5"/>
  <c r="NC4" i="5"/>
  <c r="ND4" i="5"/>
  <c r="NE4" i="5"/>
  <c r="NF4" i="5"/>
  <c r="NC5" i="5"/>
  <c r="ND5" i="5"/>
  <c r="NE5" i="5"/>
  <c r="NF5" i="5"/>
  <c r="NC6" i="5"/>
  <c r="ND6" i="5"/>
  <c r="NE6" i="5"/>
  <c r="NF6" i="5"/>
  <c r="NC7" i="5"/>
  <c r="ND7" i="5"/>
  <c r="NE7" i="5"/>
  <c r="NF7" i="5"/>
  <c r="NC8" i="5"/>
  <c r="ND8" i="5"/>
  <c r="NE8" i="5"/>
  <c r="NF8" i="5"/>
  <c r="NC9" i="5"/>
  <c r="ND9" i="5"/>
  <c r="NE9" i="5"/>
  <c r="NF9" i="5"/>
  <c r="NC10" i="5"/>
  <c r="ND10" i="5"/>
  <c r="NE10" i="5"/>
  <c r="NF10" i="5"/>
  <c r="MZ3" i="5"/>
  <c r="NA3" i="5" s="1"/>
  <c r="MZ4" i="5"/>
  <c r="NN4" i="5" s="1"/>
  <c r="HO4" i="5" s="1"/>
  <c r="MZ5" i="5"/>
  <c r="NN5" i="5" s="1"/>
  <c r="HO5" i="5" s="1"/>
  <c r="MZ6" i="5"/>
  <c r="NB6" i="5" s="1"/>
  <c r="MZ7" i="5"/>
  <c r="NN7" i="5" s="1"/>
  <c r="HO7" i="5" s="1"/>
  <c r="MZ8" i="5"/>
  <c r="NB8" i="5" s="1"/>
  <c r="MZ9" i="5"/>
  <c r="NB9" i="5" s="1"/>
  <c r="MZ10" i="5"/>
  <c r="NN10" i="5" s="1"/>
  <c r="HO10" i="5" s="1"/>
  <c r="MU3" i="5"/>
  <c r="MV3" i="5"/>
  <c r="MW3" i="5"/>
  <c r="MY3" i="5" s="1"/>
  <c r="MX3" i="5"/>
  <c r="MU4" i="5"/>
  <c r="MV4" i="5"/>
  <c r="MW4" i="5"/>
  <c r="MY4" i="5" s="1"/>
  <c r="MX4" i="5"/>
  <c r="MU5" i="5"/>
  <c r="MV5" i="5"/>
  <c r="MW5" i="5"/>
  <c r="MY5" i="5" s="1"/>
  <c r="MX5" i="5"/>
  <c r="MU6" i="5"/>
  <c r="MV6" i="5"/>
  <c r="MW6" i="5"/>
  <c r="MY6" i="5" s="1"/>
  <c r="MX6" i="5"/>
  <c r="MU7" i="5"/>
  <c r="MV7" i="5"/>
  <c r="MW7" i="5"/>
  <c r="MY7" i="5" s="1"/>
  <c r="MX7" i="5"/>
  <c r="MU8" i="5"/>
  <c r="MV8" i="5"/>
  <c r="MW8" i="5"/>
  <c r="MY8" i="5" s="1"/>
  <c r="MX8" i="5"/>
  <c r="MU9" i="5"/>
  <c r="MV9" i="5"/>
  <c r="MW9" i="5"/>
  <c r="MY9" i="5" s="1"/>
  <c r="MX9" i="5"/>
  <c r="MU10" i="5"/>
  <c r="MV10" i="5"/>
  <c r="MW10" i="5"/>
  <c r="MY10" i="5" s="1"/>
  <c r="MX10" i="5"/>
  <c r="MQ3" i="5"/>
  <c r="MR3" i="5"/>
  <c r="MT3" i="5"/>
  <c r="MQ4" i="5"/>
  <c r="MR4" i="5"/>
  <c r="MT4" i="5"/>
  <c r="MQ5" i="5"/>
  <c r="MR5" i="5"/>
  <c r="MT5" i="5"/>
  <c r="MQ6" i="5"/>
  <c r="MR6" i="5"/>
  <c r="MT6" i="5"/>
  <c r="MQ7" i="5"/>
  <c r="MR7" i="5"/>
  <c r="MT7" i="5"/>
  <c r="MQ8" i="5"/>
  <c r="MR8" i="5"/>
  <c r="MT8" i="5"/>
  <c r="MQ9" i="5"/>
  <c r="MR9" i="5"/>
  <c r="MT9" i="5"/>
  <c r="MQ10" i="5"/>
  <c r="MR10" i="5"/>
  <c r="MT10" i="5"/>
  <c r="NH3" i="5"/>
  <c r="NH4" i="5"/>
  <c r="NH5" i="5"/>
  <c r="NH6" i="5"/>
  <c r="NH7" i="5"/>
  <c r="NH8" i="5"/>
  <c r="NH9" i="5"/>
  <c r="NH10" i="5"/>
  <c r="C17" i="30" l="1"/>
  <c r="IK10" i="5"/>
  <c r="IK4" i="5"/>
  <c r="HN3" i="5"/>
  <c r="CN5" i="5"/>
  <c r="IK6" i="5"/>
  <c r="IK5" i="5"/>
  <c r="IK9" i="5"/>
  <c r="IK3" i="5"/>
  <c r="IK7" i="5"/>
  <c r="IK8" i="5"/>
  <c r="DT7" i="5"/>
  <c r="HQ7" i="5"/>
  <c r="DT10" i="5"/>
  <c r="HQ10" i="5"/>
  <c r="DT3" i="5"/>
  <c r="HQ3" i="5"/>
  <c r="DT4" i="5"/>
  <c r="HQ4" i="5"/>
  <c r="DT9" i="5"/>
  <c r="HQ9" i="5"/>
  <c r="DT5" i="5"/>
  <c r="HQ5" i="5"/>
  <c r="DT6" i="5"/>
  <c r="HQ6" i="5"/>
  <c r="DT8" i="5"/>
  <c r="HQ8" i="5"/>
  <c r="CN7" i="5"/>
  <c r="CN9" i="5"/>
  <c r="CO9" i="5" s="1"/>
  <c r="HL9" i="5" s="1"/>
  <c r="CN8" i="5"/>
  <c r="CN4" i="5"/>
  <c r="CI5" i="5"/>
  <c r="CI7" i="5"/>
  <c r="CI8" i="5"/>
  <c r="CI4" i="5"/>
  <c r="C29" i="30"/>
  <c r="E17" i="30"/>
  <c r="C26" i="30"/>
  <c r="E29" i="30"/>
  <c r="OG5" i="5"/>
  <c r="OG10" i="5"/>
  <c r="E26" i="30"/>
  <c r="OG7" i="5"/>
  <c r="OG4" i="5"/>
  <c r="OG9" i="5"/>
  <c r="OG8" i="5"/>
  <c r="OG3" i="5"/>
  <c r="OB4" i="5"/>
  <c r="OD4" i="5" s="1"/>
  <c r="OB5" i="5"/>
  <c r="OD5" i="5" s="1"/>
  <c r="OB7" i="5"/>
  <c r="OD7" i="5" s="1"/>
  <c r="OB9" i="5"/>
  <c r="OD9" i="5" s="1"/>
  <c r="OC4" i="5"/>
  <c r="OE4" i="5" s="1"/>
  <c r="OB10" i="5"/>
  <c r="OD10" i="5" s="1"/>
  <c r="NA5" i="5"/>
  <c r="HN5" i="5" s="1"/>
  <c r="NY8" i="5"/>
  <c r="NN3" i="5"/>
  <c r="HO3" i="5" s="1"/>
  <c r="NA9" i="5"/>
  <c r="HN9" i="5" s="1"/>
  <c r="NN9" i="5"/>
  <c r="HO9" i="5" s="1"/>
  <c r="NA8" i="5"/>
  <c r="HN8" i="5" s="1"/>
  <c r="NN8" i="5"/>
  <c r="HO8" i="5" s="1"/>
  <c r="NA6" i="5"/>
  <c r="HN6" i="5" s="1"/>
  <c r="NB5" i="5"/>
  <c r="NN6" i="5"/>
  <c r="HO6" i="5" s="1"/>
  <c r="NA10" i="5"/>
  <c r="NM10" i="5" s="1"/>
  <c r="HM10" i="5" s="1"/>
  <c r="NB10" i="5"/>
  <c r="NA4" i="5"/>
  <c r="NM4" i="5" s="1"/>
  <c r="NB4" i="5"/>
  <c r="NA7" i="5"/>
  <c r="NM7" i="5" s="1"/>
  <c r="NB7" i="5"/>
  <c r="NB3" i="5"/>
  <c r="PP2" i="5"/>
  <c r="PQ2" i="5" s="1"/>
  <c r="PM2" i="5"/>
  <c r="NO2" i="5"/>
  <c r="CO7" i="5" l="1"/>
  <c r="HL7" i="5" s="1"/>
  <c r="HM7" i="5" s="1"/>
  <c r="CO8" i="5"/>
  <c r="HL8" i="5" s="1"/>
  <c r="CO5" i="5"/>
  <c r="HL5" i="5" s="1"/>
  <c r="HN4" i="5"/>
  <c r="HN7" i="5"/>
  <c r="HN10" i="5"/>
  <c r="CO4" i="5"/>
  <c r="HL4" i="5" s="1"/>
  <c r="HM4" i="5" s="1"/>
  <c r="NY6" i="5"/>
  <c r="OA6" i="5"/>
  <c r="NM9" i="5"/>
  <c r="HM9" i="5" s="1"/>
  <c r="NM5" i="5"/>
  <c r="HM5" i="5" s="1"/>
  <c r="NM3" i="5"/>
  <c r="HM3" i="5" s="1"/>
  <c r="OC9" i="5"/>
  <c r="OE9" i="5" s="1"/>
  <c r="OC10" i="5"/>
  <c r="OE10" i="5" s="1"/>
  <c r="OC3" i="5"/>
  <c r="OE3" i="5" s="1"/>
  <c r="OC7" i="5"/>
  <c r="OE7" i="5" s="1"/>
  <c r="OC5" i="5"/>
  <c r="OE5" i="5" s="1"/>
  <c r="OB3" i="5"/>
  <c r="OD3" i="5" s="1"/>
  <c r="OB8" i="5"/>
  <c r="OD8" i="5" s="1"/>
  <c r="BO2" i="5"/>
  <c r="OG6" i="5" l="1"/>
  <c r="NM8" i="5"/>
  <c r="HM8" i="5" s="1"/>
  <c r="OC8" i="5"/>
  <c r="OE8" i="5" s="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OC6" i="5" l="1"/>
  <c r="OE6" i="5" s="1"/>
  <c r="NM6" i="5"/>
  <c r="HM6" i="5" s="1"/>
  <c r="OB6" i="5"/>
  <c r="OD6" i="5" s="1"/>
  <c r="IK2" i="5"/>
  <c r="MS4" i="5"/>
  <c r="MS6" i="5"/>
  <c r="MS9" i="5"/>
  <c r="MS7" i="5"/>
  <c r="MS5" i="5"/>
  <c r="MS8" i="5"/>
  <c r="MS3" i="5"/>
  <c r="MS10"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<sst xmlns="http://schemas.openxmlformats.org/spreadsheetml/2006/main" count="1893" uniqueCount="951">
  <si>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</si>
  <si>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</si>
  <si>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</si>
  <si>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</si>
  <si>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</si>
  <si>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</si>
  <si>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</si>
  <si>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</si>
  <si>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</si>
  <si>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</si>
  <si>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</si>
  <si>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</si>
  <si>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</si>
  <si>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</si>
  <si>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</si>
  <si>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</si>
  <si>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</si>
  <si>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</si>
  <si>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</si>
  <si>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</si>
  <si>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</si>
  <si>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</si>
  <si>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</si>
  <si>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</si>
  <si>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</si>
  <si>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</si>
  <si>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</si>
  <si>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</si>
  <si>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</si>
  <si>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</si>
  <si>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</si>
  <si>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</si>
  <si>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</si>
  <si>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</si>
  <si>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</si>
  <si>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</si>
  <si>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</si>
  <si>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</si>
  <si>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</si>
  <si>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</si>
  <si>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</si>
  <si>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</si>
  <si>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</si>
  <si>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</si>
  <si>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</si>
  <si>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</si>
  <si>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</si>
  <si>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</si>
  <si>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</si>
  <si>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</si>
  <si>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</si>
  <si>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</si>
  <si>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</si>
  <si>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</si>
  <si>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</si>
  <si>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</si>
  <si>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</si>
  <si>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</si>
  <si>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</si>
  <si>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</si>
  <si>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</si>
  <si>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</si>
  <si>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</si>
  <si>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</si>
  <si>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</si>
  <si>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</si>
  <si>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</si>
  <si>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</si>
  <si>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</si>
  <si>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</si>
  <si>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</si>
  <si>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</si>
  <si>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</si>
  <si>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</si>
  <si>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</si>
  <si>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</si>
  <si>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</si>
  <si>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</si>
  <si>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</si>
  <si>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</si>
  <si>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</si>
  <si>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</si>
  <si>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</si>
  <si>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</si>
  <si>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</si>
  <si>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</si>
  <si>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</si>
  <si>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</si>
  <si>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</si>
  <si>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</si>
  <si>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</si>
  <si>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</si>
  <si>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</si>
  <si>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</si>
  <si>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</si>
  <si>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</si>
  <si>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</si>
  <si>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</si>
  <si>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</si>
  <si>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</si>
  <si>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</si>
  <si>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</si>
  <si>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</si>
  <si>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</si>
  <si>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</si>
  <si>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</si>
  <si>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</si>
  <si>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</si>
  <si>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</si>
  <si>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</si>
  <si>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</si>
  <si>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</si>
  <si>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</si>
  <si>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</si>
  <si>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</si>
  <si>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</si>
  <si>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</si>
  <si>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</si>
  <si>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</si>
  <si>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</si>
  <si>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</si>
  <si>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</si>
  <si>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</si>
  <si>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</si>
  <si>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</si>
  <si>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</si>
  <si>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</si>
  <si>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</si>
  <si>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</si>
  <si>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</si>
  <si>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</si>
  <si>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</si>
  <si>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</si>
  <si>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</si>
  <si>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</si>
  <si>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</si>
  <si>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</si>
  <si>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</si>
  <si>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</si>
  <si>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</si>
  <si>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</si>
  <si>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</si>
  <si>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</si>
  <si>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</si>
  <si>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</si>
  <si>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</si>
  <si>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</si>
  <si>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</si>
  <si>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</si>
  <si>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</si>
  <si>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</si>
  <si>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</si>
  <si>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</si>
  <si>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</si>
  <si>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</si>
  <si>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</si>
  <si>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</si>
  <si>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</si>
  <si>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</si>
  <si>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</si>
  <si>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</si>
  <si>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</si>
  <si>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</si>
  <si>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</si>
  <si>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</si>
  <si>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</si>
  <si>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</si>
  <si>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</si>
  <si>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</si>
  <si>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</si>
  <si>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</si>
  <si>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</si>
  <si>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</si>
  <si>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</si>
  <si>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</si>
  <si>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</si>
  <si>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</si>
  <si>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</si>
  <si>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</si>
  <si>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</si>
  <si>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</si>
  <si>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</si>
  <si>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</si>
  <si>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</si>
  <si>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</si>
  <si>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</si>
  <si>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</si>
  <si>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</si>
  <si>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</si>
  <si>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</si>
  <si>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</si>
  <si>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</si>
  <si>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</si>
  <si>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</si>
  <si>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</si>
  <si>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</si>
  <si>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</si>
  <si>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</si>
  <si>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</si>
  <si>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</si>
  <si>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</si>
  <si>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</si>
  <si>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</si>
  <si>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</si>
  <si>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</si>
  <si>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</si>
  <si>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</si>
  <si>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</si>
  <si>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</si>
  <si>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</si>
  <si>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</si>
  <si>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</si>
  <si>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</si>
  <si>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</si>
  <si>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</si>
  <si>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</si>
  <si>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</si>
  <si>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</si>
  <si>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</si>
  <si>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</si>
  <si>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</si>
  <si>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</si>
  <si>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</si>
  <si>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</si>
  <si>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</si>
  <si>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</si>
  <si>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</si>
  <si>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</si>
  <si>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</si>
  <si>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</si>
  <si>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</si>
  <si>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</si>
  <si>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</si>
  <si>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</si>
  <si>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</si>
  <si>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</si>
  <si>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</si>
  <si>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</si>
  <si>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</si>
  <si>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</si>
  <si>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</si>
  <si>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</si>
  <si>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</si>
  <si>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</si>
  <si>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</si>
  <si>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</si>
  <si>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</si>
  <si>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</si>
  <si>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</si>
  <si>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</si>
  <si>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</si>
  <si>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</si>
  <si>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</si>
  <si>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</si>
  <si>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</si>
  <si>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</si>
  <si>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</si>
  <si>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</si>
  <si>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</si>
  <si>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</si>
  <si>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</si>
  <si>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</si>
  <si>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</si>
  <si>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</si>
  <si>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</si>
  <si>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</si>
  <si>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</si>
  <si>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</si>
  <si>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</si>
  <si>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</si>
  <si>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</si>
  <si>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</si>
  <si>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</si>
  <si>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</si>
  <si>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</si>
  <si>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</si>
  <si>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</si>
  <si>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</si>
  <si>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</si>
  <si>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</si>
  <si>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</si>
  <si>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</si>
  <si>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</si>
  <si>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</si>
  <si>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</si>
  <si>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</si>
  <si>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</si>
  <si>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</si>
  <si>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</si>
  <si>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</si>
  <si>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</si>
  <si>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</si>
  <si>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</si>
  <si>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</si>
  <si>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</si>
  <si>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</si>
  <si>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</si>
  <si>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</si>
  <si>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</si>
  <si>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</si>
  <si>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</si>
  <si>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</si>
  <si>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</si>
  <si>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</si>
  <si>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</si>
  <si>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</si>
  <si>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</si>
  <si>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</si>
  <si>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</si>
  <si>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</si>
  <si>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</si>
  <si>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</si>
  <si>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</si>
  <si>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</si>
  <si>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</si>
  <si>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</si>
  <si>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</si>
  <si>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</si>
  <si>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</si>
  <si>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</si>
  <si>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</si>
  <si>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</si>
  <si>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</si>
  <si>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</si>
  <si>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</si>
  <si>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</si>
  <si>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</si>
  <si>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</si>
  <si>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</si>
  <si>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</si>
  <si>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</si>
  <si>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</si>
  <si>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</si>
  <si>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</si>
  <si>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</si>
  <si>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</si>
  <si>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</si>
  <si>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</si>
  <si>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</si>
  <si>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</si>
  <si>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</si>
  <si>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</si>
  <si>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</si>
  <si>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</si>
  <si>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</si>
  <si>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</si>
  <si>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</si>
  <si>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</si>
  <si>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</si>
  <si>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</si>
  <si>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</si>
  <si>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</si>
  <si>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</si>
  <si>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</si>
  <si>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</si>
  <si>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</si>
  <si>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</si>
  <si>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</si>
  <si>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</si>
  <si>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</si>
  <si>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</si>
  <si>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</si>
  <si>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</si>
  <si>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</si>
  <si>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</si>
  <si>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</si>
  <si>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</si>
  <si>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</si>
  <si>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</si>
  <si>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</si>
  <si>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</si>
  <si>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</si>
  <si>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</si>
  <si>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</si>
  <si>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</si>
  <si>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</si>
  <si>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</si>
  <si>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</si>
  <si>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</si>
  <si>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</si>
  <si>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</si>
  <si>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</si>
  <si>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</si>
  <si>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</si>
  <si>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</si>
  <si>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</si>
  <si>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</si>
  <si>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</si>
  <si>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</si>
  <si>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</si>
  <si>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</si>
  <si>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</si>
  <si>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</si>
  <si>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</si>
  <si>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</si>
  <si>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</si>
  <si>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</si>
  <si>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</si>
  <si>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</si>
  <si>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</si>
  <si>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</si>
  <si>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</si>
  <si>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</si>
  <si>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</si>
  <si>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</si>
  <si>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</si>
  <si>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</si>
  <si>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</si>
  <si>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</si>
  <si>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</si>
  <si>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</si>
  <si>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</si>
  <si>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</si>
  <si>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</si>
  <si>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</si>
  <si>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</si>
  <si>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</si>
  <si>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</si>
  <si>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</si>
  <si>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</si>
  <si>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</si>
  <si>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</si>
  <si>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</si>
  <si>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</si>
  <si>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</si>
  <si>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</si>
  <si>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</si>
  <si>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</si>
  <si>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</si>
  <si>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</si>
  <si>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</si>
  <si>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</si>
  <si>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</si>
  <si>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</si>
  <si>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</si>
  <si>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</si>
  <si>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</si>
  <si>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</si>
  <si>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</si>
  <si>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</si>
  <si>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</si>
  <si>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</si>
  <si>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</si>
  <si>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</si>
  <si>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</si>
  <si>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</si>
  <si>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</si>
  <si>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</si>
  <si>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</si>
  <si>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</si>
  <si>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</si>
  <si>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</si>
  <si>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</si>
  <si>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</si>
  <si>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</si>
  <si>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</si>
  <si>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</si>
  <si>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</si>
  <si>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</si>
  <si>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</si>
  <si>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</si>
  <si>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</si>
  <si>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</si>
  <si>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</si>
  <si>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</si>
  <si>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</si>
  <si>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</si>
  <si>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</si>
  <si>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</si>
  <si>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</si>
  <si>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</si>
  <si>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</si>
  <si>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</si>
  <si>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</si>
  <si>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</si>
  <si>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</si>
  <si>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</si>
  <si>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</si>
  <si>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</si>
  <si>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</si>
  <si>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</si>
  <si>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</si>
  <si>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</si>
  <si>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</si>
  <si>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</si>
  <si>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</si>
  <si>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</si>
  <si>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</si>
  <si>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</si>
  <si>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</si>
  <si>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</si>
  <si>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</si>
  <si>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</si>
  <si>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</si>
  <si>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</si>
  <si>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</si>
  <si>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</si>
  <si>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</si>
  <si>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</si>
  <si>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</si>
  <si>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</si>
  <si>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</si>
  <si>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</si>
  <si>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</si>
  <si>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</si>
  <si>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</si>
  <si>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</si>
  <si>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</si>
  <si>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</si>
  <si>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</si>
  <si>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</si>
  <si>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</si>
  <si>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</si>
  <si>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</si>
  <si>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</si>
  <si>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</si>
  <si>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</si>
  <si>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</si>
  <si>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</si>
  <si>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</si>
  <si>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</si>
  <si>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</si>
  <si>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</si>
  <si>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</si>
  <si>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</si>
  <si>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</si>
  <si>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</si>
  <si>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</si>
  <si>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</si>
  <si>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</si>
  <si>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</si>
  <si>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</si>
  <si>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</si>
  <si>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</si>
  <si>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</si>
  <si>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</si>
  <si>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</si>
  <si>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</si>
  <si>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</si>
  <si>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</si>
  <si>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</si>
  <si>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</si>
  <si>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</si>
  <si>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</si>
  <si>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</si>
  <si>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</si>
  <si>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</si>
  <si>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</si>
  <si>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</si>
  <si>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</si>
  <si>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</si>
  <si>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</si>
  <si>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</si>
  <si>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</si>
  <si>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</si>
  <si>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</si>
  <si>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</si>
  <si>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</si>
  <si>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</si>
  <si>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</si>
  <si>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</si>
  <si>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</si>
  <si>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</si>
  <si>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</si>
  <si>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</si>
  <si>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</si>
  <si>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</si>
  <si>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</si>
  <si>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</si>
  <si>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</si>
  <si>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</si>
  <si>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</si>
  <si>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</si>
  <si>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</si>
  <si>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</si>
  <si>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</si>
  <si>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</si>
  <si>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</si>
  <si>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</si>
  <si>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</si>
  <si>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</si>
  <si>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</si>
  <si>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</si>
  <si>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</si>
  <si>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</si>
  <si>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</si>
  <si>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</si>
  <si>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</si>
  <si>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</si>
  <si>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</si>
  <si>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</si>
  <si>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</si>
  <si>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</si>
  <si>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</si>
  <si>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</si>
  <si>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</si>
  <si>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</si>
  <si>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</si>
  <si>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</si>
  <si>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</si>
  <si>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</si>
  <si>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</si>
  <si>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</si>
  <si>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</si>
  <si>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</si>
  <si>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</si>
  <si>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</si>
  <si>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</si>
  <si>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</si>
  <si>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</si>
  <si>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</si>
  <si>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</si>
  <si>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</si>
  <si>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</si>
  <si>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</si>
  <si>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</si>
  <si>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</si>
  <si>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</si>
  <si>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</si>
  <si>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</si>
  <si>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</si>
  <si>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</si>
  <si>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</si>
  <si>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</si>
  <si>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</si>
  <si>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</si>
  <si>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</si>
  <si>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</si>
  <si>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</si>
  <si>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</si>
  <si>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</si>
  <si>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</si>
  <si>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</si>
  <si>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</si>
  <si>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</si>
  <si>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</si>
  <si>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</si>
  <si>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</si>
  <si>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</si>
  <si>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</si>
  <si>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</si>
  <si>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</si>
  <si>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</si>
  <si>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</si>
  <si>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</si>
  <si>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</si>
  <si>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</si>
  <si>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</si>
  <si>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</si>
  <si>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</si>
  <si>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</si>
  <si>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</si>
  <si>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</si>
  <si>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</si>
  <si>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</si>
  <si>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</si>
  <si>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</si>
  <si>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</si>
  <si>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</si>
  <si>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</si>
  <si>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</si>
  <si>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</si>
  <si>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</si>
  <si>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</si>
  <si>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</si>
  <si>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</si>
  <si>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</si>
  <si>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</si>
  <si>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</si>
  <si>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</si>
  <si>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</si>
  <si>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</si>
  <si>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</si>
  <si>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</si>
  <si>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</si>
  <si>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</si>
  <si>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</si>
  <si>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</si>
  <si>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</si>
  <si>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</si>
  <si>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</si>
  <si>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</si>
  <si>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</si>
  <si>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</si>
  <si>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</si>
  <si>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</si>
  <si>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</si>
  <si>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</si>
  <si>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</si>
  <si>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</si>
  <si>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</si>
  <si>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</si>
  <si>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</si>
  <si>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</si>
  <si>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</si>
  <si>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</si>
  <si>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</si>
  <si>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</si>
  <si>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</si>
  <si>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</si>
  <si>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</si>
  <si>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</si>
  <si>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</si>
  <si>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</si>
  <si>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</si>
  <si>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</si>
  <si>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</si>
  <si>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</si>
  <si>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</si>
  <si>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</si>
  <si>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</si>
  <si>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</si>
  <si>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</si>
  <si>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</si>
  <si>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</si>
  <si>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</si>
  <si>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</si>
  <si>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</si>
  <si>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</si>
  <si>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</si>
  <si>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</si>
  <si>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</si>
  <si>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</si>
  <si>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</si>
  <si>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</si>
  <si>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</si>
  <si>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</si>
  <si>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</si>
  <si>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</si>
  <si>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</si>
  <si>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</si>
  <si>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</si>
  <si>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</si>
  <si>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</si>
  <si>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</si>
  <si>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</si>
  <si>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</si>
  <si>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</si>
  <si>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</si>
  <si>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</si>
  <si>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</si>
  <si>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</si>
  <si>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</si>
  <si>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</si>
  <si>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</si>
  <si>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</si>
  <si>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</si>
  <si>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</si>
  <si>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</si>
  <si>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</si>
  <si>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</si>
  <si>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</si>
  <si>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</si>
  <si>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</si>
  <si>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</si>
  <si>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</si>
  <si>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</si>
  <si>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</si>
  <si>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</si>
  <si>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</si>
  <si>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</si>
  <si>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</si>
  <si>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</si>
  <si>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</si>
  <si>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</si>
  <si>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</si>
  <si>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</si>
  <si>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</si>
  <si>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</si>
  <si>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</si>
  <si>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</si>
  <si>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</si>
  <si>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</si>
  <si>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</si>
  <si>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</si>
  <si>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</si>
  <si>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</si>
  <si>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</si>
  <si>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</si>
  <si>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</si>
  <si>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</si>
  <si>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</si>
  <si>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</si>
  <si>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</si>
  <si>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</si>
  <si>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</si>
  <si>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</si>
  <si>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</si>
  <si>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</si>
  <si>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</si>
  <si>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</si>
  <si>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</si>
  <si>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</si>
  <si>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</si>
  <si>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</si>
  <si>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</si>
  <si>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</si>
  <si>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</si>
  <si>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</si>
  <si>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</si>
  <si>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</si>
  <si>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</si>
  <si>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</si>
  <si>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</si>
  <si>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</si>
  <si>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</si>
  <si>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</si>
  <si>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</si>
  <si>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</si>
  <si>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</si>
  <si>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</si>
  <si>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</si>
  <si>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</si>
  <si>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</si>
  <si>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</si>
  <si>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</si>
  <si>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</si>
  <si>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</si>
  <si>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</si>
  <si>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</si>
  <si>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</si>
  <si>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</si>
  <si>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</si>
  <si>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</si>
  <si>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</si>
  <si>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</si>
  <si>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</si>
  <si>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</si>
  <si>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</si>
  <si>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</si>
  <si>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</si>
  <si>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</si>
  <si>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</si>
  <si>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</si>
  <si>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</si>
  <si>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</si>
  <si>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</si>
  <si>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</si>
  <si>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</si>
  <si>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</si>
  <si>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</si>
  <si>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</si>
  <si>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</si>
  <si>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</si>
  <si>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</si>
  <si>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</si>
  <si>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</si>
  <si>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</si>
  <si>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</si>
  <si>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</si>
  <si>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</si>
  <si>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</si>
  <si>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</si>
  <si>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</si>
  <si>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</si>
  <si>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</si>
  <si>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</si>
  <si>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</si>
  <si>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</si>
  <si>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</si>
  <si>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</si>
  <si>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</si>
  <si>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</si>
  <si>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</si>
  <si>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</si>
  <si>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</si>
  <si>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</si>
  <si>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</si>
  <si>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</si>
  <si>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</si>
  <si>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</si>
  <si>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</si>
  <si>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</si>
  <si>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</si>
  <si>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</si>
  <si>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 xml:space="preserve">28/09/2022  SE REALIZA LLAMADA TELEFONICA   SE INDAGA A GESTANTE   POR INASITENCIA A EL  CONTROL PRENATAAL  REFIERE  QUE SE ACERCARA AL HOSPITAL EL DIA 05/10/2022  </t>
  </si>
  <si>
    <t>MIRANDA</t>
  </si>
  <si>
    <t>CARVAJAL</t>
  </si>
  <si>
    <t>JEYMI</t>
  </si>
  <si>
    <t>JULIANA</t>
  </si>
  <si>
    <t>BLANCA</t>
  </si>
  <si>
    <t>CAMAYO</t>
  </si>
  <si>
    <t>CAMPO</t>
  </si>
  <si>
    <t>MARYELI</t>
  </si>
  <si>
    <t>DAGUA</t>
  </si>
  <si>
    <t>CONDA</t>
  </si>
  <si>
    <t>YOLANDA</t>
  </si>
  <si>
    <t>KARELLY</t>
  </si>
  <si>
    <t>MENESES</t>
  </si>
  <si>
    <t>MORALES</t>
  </si>
  <si>
    <t>MARIA</t>
  </si>
  <si>
    <t>LIS</t>
  </si>
  <si>
    <t>16/02/2023 PACIENTE QUE ASISTE A INICIO DE CONTROL PRENATAL, CON 8 SEMANAS DE GESTACION, LA USUARIA APARECE EN BASE  POR HABER TENIDO UN EMBARAZO ANTERIOR EL 08/11/22, QUE TERMINO POR ABORTO ESPONTANEO DEL 16/11/2022</t>
  </si>
  <si>
    <t>GUEGIA</t>
  </si>
  <si>
    <t>DIZU</t>
  </si>
  <si>
    <t>GLADIS</t>
  </si>
  <si>
    <t xml:space="preserve">ELENA </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</si>
  <si>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</si>
  <si>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</si>
  <si>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</si>
  <si>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</si>
  <si>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</si>
  <si>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</si>
  <si>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</si>
  <si>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</si>
  <si>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</si>
  <si>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</si>
  <si>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</si>
  <si>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</si>
  <si>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</si>
  <si>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</si>
  <si>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</si>
  <si>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</si>
  <si>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</si>
  <si>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</si>
  <si>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EL TIGRE</t>
  </si>
  <si>
    <t xml:space="preserve">EL TIGRE </t>
  </si>
  <si>
    <t>LA CAPILLA</t>
  </si>
  <si>
    <t>PODÁLICA</t>
  </si>
  <si>
    <t>LA AURELIA</t>
  </si>
  <si>
    <t xml:space="preserve">ZONA CENTRO </t>
  </si>
  <si>
    <t>EL RECUERDO</t>
  </si>
  <si>
    <t>PRIMARIA COMPLETA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</si>
  <si>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</si>
  <si>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</si>
  <si>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</si>
  <si>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</si>
  <si>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</si>
  <si>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</si>
  <si>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</si>
  <si>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</si>
  <si>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</si>
  <si>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</si>
  <si>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NEGATIVA</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</si>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</sst>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5">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14" fontId="5" fillId="0" borderId="1" xfId="0" applyNumberFormat="1" applyFont="1" applyBorder="1" applyAlignment="1" applyProtection="1">
      <alignment horizontal="center" vertical="center" wrapText="1"/>
      <protection locked="0"/>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0">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patternFill>
          <bgColor theme="7"/>
        </patternFill>
      </fill>
    </dxf>
    <dxf>
      <fill>
        <patternFill>
          <bgColor theme="7"/>
        </patternFill>
      </fill>
    </dxf>
    <dxf>
      <font>
        <b/>
        <i val="0"/>
        <color theme="0"/>
      </font>
      <fill>
        <patternFill>
          <bgColor rgb="FFFF0000"/>
        </patternFill>
      </fill>
    </dxf>
    <dxf>
      <fill>
        <patternFill>
          <bgColor rgb="FFFF0000"/>
        </patternFill>
      </fill>
    </dxf>
    <dxf>
      <fill>
        <patternFill>
          <bgColor rgb="FF92D050"/>
        </patternFill>
      </fill>
    </dxf>
    <dxf>
      <fill>
        <patternFill>
          <bgColor theme="3" tint="0.59996337778862885"/>
        </patternFill>
      </fill>
    </dxf>
    <dxf>
      <fill>
        <patternFill>
          <bgColor theme="9" tint="0.39994506668294322"/>
        </patternFill>
      </fill>
    </dxf>
    <dxf>
      <fill>
        <patternFill>
          <bgColor rgb="FFFF0000"/>
        </patternFill>
      </fill>
    </dxf>
    <dxf>
      <fill>
        <patternFill>
          <bgColor rgb="FF92D050"/>
        </patternFill>
      </fill>
    </dxf>
    <dxf>
      <fill>
        <patternFill>
          <bgColor theme="3" tint="0.59996337778862885"/>
        </patternFill>
      </fill>
    </dxf>
    <dxf>
      <fill>
        <patternFill>
          <bgColor rgb="FFFF0000"/>
        </patternFill>
      </fill>
    </dxf>
    <dxf>
      <fill>
        <patternFill>
          <bgColor rgb="FFFFFF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1"/>
      </font>
      <fill>
        <patternFill>
          <bgColor rgb="FFFFC000"/>
        </patternFill>
      </fill>
    </dxf>
    <dxf>
      <font>
        <color rgb="FF9C0006"/>
      </font>
      <fill>
        <patternFill>
          <bgColor rgb="FFFFC7CE"/>
        </patternFill>
      </fill>
    </dxf>
    <dxf>
      <font>
        <b/>
        <i val="0"/>
        <color theme="0"/>
      </font>
      <fill>
        <patternFill>
          <bgColor rgb="FFFF0000"/>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theme="3" tint="0.59996337778862885"/>
        </patternFill>
      </fill>
    </dxf>
    <dxf>
      <fill>
        <patternFill>
          <bgColor theme="7" tint="0.59996337778862885"/>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2" tint="-0.24994659260841701"/>
        </patternFill>
      </fill>
    </dxf>
    <dxf>
      <fill>
        <patternFill>
          <bgColor theme="6" tint="-0.499984740745262"/>
        </patternFill>
      </fill>
    </dxf>
    <dxf>
      <fill>
        <patternFill>
          <bgColor theme="6" tint="0.79998168889431442"/>
        </patternFill>
      </fill>
    </dxf>
    <dxf>
      <fill>
        <patternFill>
          <bgColor theme="9" tint="-0.24994659260841701"/>
        </patternFill>
      </fill>
    </dxf>
    <dxf>
      <fill>
        <patternFill>
          <bgColor theme="3" tint="0.59996337778862885"/>
        </patternFill>
      </fill>
    </dxf>
    <dxf>
      <font>
        <b/>
        <i val="0"/>
        <color theme="0"/>
      </font>
      <fill>
        <patternFill>
          <bgColor theme="1"/>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9" tint="0.59996337778862885"/>
        </patternFill>
      </fill>
    </dxf>
    <dxf>
      <fill>
        <patternFill>
          <bgColor theme="3" tint="0.59996337778862885"/>
        </patternFill>
      </fill>
    </dxf>
    <dxf>
      <fill>
        <patternFill>
          <bgColor theme="5" tint="0.59996337778862885"/>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FFFF00"/>
        </patternFill>
      </fill>
    </dxf>
    <dxf>
      <fill>
        <patternFill>
          <bgColor theme="9" tint="0.39994506668294322"/>
        </patternFill>
      </fill>
    </dxf>
    <dxf>
      <fill>
        <patternFill>
          <bgColor rgb="FF92D050"/>
        </patternFill>
      </fill>
    </dxf>
    <dxf>
      <fill>
        <patternFill>
          <bgColor rgb="FF92D050"/>
        </patternFill>
      </fill>
    </dxf>
    <dxf>
      <font>
        <color theme="0"/>
      </font>
      <fill>
        <patternFill>
          <bgColor rgb="FFFF0000"/>
        </patternFill>
      </fill>
    </dxf>
    <dxf>
      <font>
        <b/>
        <i val="0"/>
        <color theme="0"/>
      </font>
      <fill>
        <patternFill>
          <bgColor rgb="FFC00000"/>
        </patternFill>
      </fill>
    </dxf>
    <dxf>
      <fill>
        <patternFill>
          <bgColor rgb="FFFFFF00"/>
        </patternFill>
      </fill>
    </dxf>
    <dxf>
      <font>
        <b/>
        <i val="0"/>
        <color theme="0"/>
      </font>
      <fill>
        <patternFill>
          <bgColor rgb="FFC00000"/>
        </patternFill>
      </fill>
    </dxf>
    <dxf>
      <fill>
        <patternFill>
          <bgColor rgb="FFFFFF00"/>
        </patternFill>
      </fill>
    </dxf>
    <dxf>
      <fill>
        <patternFill>
          <bgColor rgb="FFFF0000"/>
        </patternFill>
      </fill>
    </dxf>
    <dxf>
      <fill>
        <patternFill>
          <bgColor theme="8" tint="0.39994506668294322"/>
        </patternFill>
      </fill>
    </dxf>
    <dxf>
      <fill>
        <patternFill>
          <bgColor theme="7" tint="0.39994506668294322"/>
        </patternFill>
      </fill>
    </dxf>
    <dxf>
      <fill>
        <patternFill>
          <bgColor rgb="FFFFC000"/>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FFFF00"/>
        </patternFill>
      </fill>
    </dxf>
    <dxf>
      <fill>
        <patternFill>
          <bgColor rgb="FF92D050"/>
        </patternFill>
      </fill>
    </dxf>
    <dxf>
      <font>
        <b/>
        <i val="0"/>
        <color theme="0"/>
      </font>
      <fill>
        <patternFill>
          <bgColor theme="3" tint="-0.499984740745262"/>
        </patternFill>
      </fill>
    </dxf>
    <dxf>
      <font>
        <b/>
        <i val="0"/>
        <color theme="0"/>
      </font>
      <fill>
        <patternFill>
          <bgColor rgb="FFC00000"/>
        </patternFill>
      </fill>
    </dxf>
    <dxf>
      <font>
        <b/>
        <i val="0"/>
        <color theme="1"/>
      </font>
      <fill>
        <patternFill>
          <bgColor rgb="FF00B05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theme="2"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FF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theme="0"/>
      </font>
      <fill>
        <patternFill>
          <bgColor rgb="FFC00000"/>
        </patternFill>
      </fill>
    </dxf>
    <dxf>
      <fill>
        <patternFill>
          <bgColor theme="7" tint="0.39994506668294322"/>
        </patternFill>
      </fill>
    </dxf>
    <dxf>
      <fill>
        <patternFill>
          <bgColor rgb="FF92D050"/>
        </patternFill>
      </fill>
    </dxf>
    <dxf>
      <fill>
        <patternFill>
          <bgColor rgb="FFFFFF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val="0"/>
        <i val="0"/>
        <color rgb="FFC00000"/>
      </font>
      <fill>
        <patternFill patternType="solid">
          <fgColor auto="1"/>
          <bgColor rgb="FFFFCCCC"/>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rgb="FF9C0006"/>
      </font>
      <fill>
        <patternFill>
          <bgColor rgb="FFFFC7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theme="6" tint="0.79998168889431442"/>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ont>
        <b/>
        <i val="0"/>
        <color theme="0"/>
      </font>
      <fill>
        <patternFill>
          <bgColor rgb="FFFF0066"/>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theme="6" tint="0.79998168889431442"/>
        </patternFill>
      </fill>
    </dxf>
    <dxf>
      <fill>
        <patternFill>
          <bgColor rgb="FFFFFF00"/>
        </patternFill>
      </fill>
    </dxf>
    <dxf>
      <font>
        <b/>
        <i val="0"/>
        <color theme="0"/>
      </font>
      <fill>
        <patternFill>
          <bgColor rgb="FFA50021"/>
        </patternFill>
      </fill>
    </dxf>
    <dxf>
      <fill>
        <patternFill>
          <bgColor theme="7"/>
        </patternFill>
      </fill>
    </dxf>
    <dxf>
      <font>
        <b/>
        <i val="0"/>
        <color theme="0"/>
      </font>
      <fill>
        <patternFill>
          <bgColor rgb="FFFF0066"/>
        </patternFill>
      </fill>
    </dxf>
    <dxf>
      <font>
        <b/>
        <i val="0"/>
        <color theme="0"/>
      </font>
      <fill>
        <patternFill>
          <bgColor rgb="FFC00000"/>
        </patternFill>
      </fill>
    </dxf>
    <dxf>
      <fill>
        <patternFill>
          <bgColor theme="6" tint="0.39994506668294322"/>
        </patternFill>
      </fill>
    </dxf>
    <dxf>
      <fill>
        <patternFill>
          <bgColor theme="9" tint="-0.24994659260841701"/>
        </patternFill>
      </fill>
    </dxf>
    <dxf>
      <fill>
        <patternFill>
          <bgColor rgb="FFFFFF00"/>
        </patternFill>
      </fill>
    </dxf>
    <dxf>
      <fill>
        <patternFill>
          <bgColor rgb="FF92D050"/>
        </patternFill>
      </fill>
    </dxf>
    <dxf>
      <fill>
        <patternFill>
          <bgColor rgb="FFFF0000"/>
        </patternFill>
      </fill>
    </dxf>
    <dxf>
      <font>
        <b val="0"/>
        <i/>
      </font>
      <fill>
        <patternFill>
          <bgColor theme="6" tint="0.39994506668294322"/>
        </patternFill>
      </fill>
    </dxf>
    <dxf>
      <fill>
        <patternFill>
          <bgColor theme="9" tint="0.39994506668294322"/>
        </patternFill>
      </fill>
    </dxf>
    <dxf>
      <font>
        <b/>
        <i val="0"/>
        <color theme="0"/>
      </font>
      <fill>
        <patternFill>
          <bgColor rgb="FFFF0066"/>
        </patternFill>
      </fill>
    </dxf>
    <dxf>
      <fill>
        <patternFill>
          <bgColor theme="7"/>
        </patternFill>
      </fill>
    </dxf>
    <dxf>
      <fill>
        <patternFill>
          <bgColor rgb="FF92D050"/>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ont>
        <b/>
        <i val="0"/>
        <color theme="0"/>
      </font>
      <fill>
        <patternFill>
          <bgColor rgb="FF7030A0"/>
        </patternFill>
      </fill>
    </dxf>
    <dxf>
      <fill>
        <patternFill>
          <bgColor rgb="FF92D050"/>
        </patternFill>
      </fill>
    </dxf>
    <dxf>
      <font>
        <b/>
        <i val="0"/>
        <color theme="0"/>
      </font>
      <fill>
        <patternFill>
          <bgColor rgb="FFFF0000"/>
        </patternFill>
      </fill>
    </dxf>
    <dxf>
      <font>
        <b/>
        <i val="0"/>
        <color theme="0"/>
      </font>
      <fill>
        <patternFill>
          <bgColor theme="5" tint="-0.24994659260841701"/>
        </patternFill>
      </fill>
    </dxf>
    <dxf>
      <font>
        <color theme="0"/>
      </font>
      <fill>
        <patternFill>
          <bgColor theme="7" tint="0.39994506668294322"/>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ont>
        <color theme="0"/>
      </font>
      <fill>
        <patternFill>
          <bgColor rgb="FFC00000"/>
        </patternFill>
      </fill>
    </dxf>
    <dxf>
      <fill>
        <patternFill>
          <bgColor rgb="FF92D050"/>
        </patternFill>
      </fill>
    </dxf>
    <dxf>
      <fill>
        <patternFill>
          <bgColor theme="8" tint="0.39994506668294322"/>
        </patternFill>
      </fill>
    </dxf>
    <dxf>
      <fill>
        <patternFill>
          <bgColor rgb="FFFFFF00"/>
        </patternFill>
      </fill>
    </dxf>
    <dxf>
      <fill>
        <patternFill>
          <bgColor rgb="FF92D050"/>
        </patternFill>
      </fill>
    </dxf>
    <dxf>
      <font>
        <color theme="0"/>
      </font>
      <fill>
        <patternFill>
          <bgColor rgb="FFC00000"/>
        </patternFill>
      </fill>
    </dxf>
    <dxf>
      <fill>
        <patternFill>
          <bgColor theme="8" tint="0.59996337778862885"/>
        </patternFill>
      </fill>
    </dxf>
    <dxf>
      <fill>
        <patternFill>
          <bgColor rgb="FF92D050"/>
        </patternFill>
      </fill>
    </dxf>
    <dxf>
      <font>
        <color theme="0"/>
      </font>
      <fill>
        <patternFill>
          <bgColor rgb="FFC00000"/>
        </patternFill>
      </fill>
    </dxf>
    <dxf>
      <fill>
        <patternFill>
          <bgColor rgb="FFFFC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ont>
        <color theme="0"/>
      </font>
      <fill>
        <patternFill>
          <bgColor rgb="FFC00000"/>
        </patternFill>
      </fill>
    </dxf>
    <dxf>
      <fill>
        <patternFill>
          <bgColor theme="7" tint="0.39994506668294322"/>
        </patternFill>
      </fill>
    </dxf>
    <dxf>
      <fill>
        <patternFill>
          <bgColor rgb="FFFFFF00"/>
        </patternFill>
      </fill>
    </dxf>
    <dxf>
      <fill>
        <patternFill>
          <bgColor rgb="FFFF0000"/>
        </patternFill>
      </fill>
    </dxf>
    <dxf>
      <fill>
        <patternFill>
          <bgColor rgb="FF92D050"/>
        </patternFill>
      </fill>
    </dxf>
    <dxf>
      <font>
        <color theme="0"/>
      </font>
      <fill>
        <patternFill>
          <bgColor theme="7" tint="-0.24994659260841701"/>
        </patternFill>
      </fill>
    </dxf>
    <dxf>
      <font>
        <color theme="0"/>
      </font>
      <fill>
        <patternFill>
          <bgColor rgb="FFC00000"/>
        </patternFill>
      </fill>
    </dxf>
    <dxf>
      <fill>
        <patternFill>
          <bgColor rgb="FFFF0000"/>
        </patternFill>
      </fill>
    </dxf>
    <dxf>
      <font>
        <color theme="0"/>
      </font>
      <fill>
        <patternFill>
          <bgColor theme="5" tint="-0.24994659260841701"/>
        </patternFill>
      </fill>
    </dxf>
    <dxf>
      <fill>
        <patternFill>
          <bgColor rgb="FFFFC000"/>
        </patternFill>
      </fill>
    </dxf>
    <dxf>
      <fill>
        <patternFill>
          <bgColor rgb="FFFFFF00"/>
        </patternFill>
      </fill>
    </dxf>
    <dxf>
      <fill>
        <patternFill>
          <bgColor rgb="FF92D050"/>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006100"/>
      </font>
      <fill>
        <patternFill>
          <bgColor rgb="FFC6EFCE"/>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0000"/>
        </patternFill>
      </fill>
    </dxf>
    <dxf>
      <fill>
        <patternFill>
          <bgColor rgb="FF92D050"/>
        </patternFill>
      </fill>
    </dxf>
    <dxf>
      <fill>
        <patternFill>
          <bgColor rgb="FFFFC000"/>
        </patternFill>
      </fill>
    </dxf>
    <dxf>
      <font>
        <b/>
        <i val="0"/>
        <color theme="0"/>
      </font>
      <fill>
        <patternFill>
          <bgColor rgb="FFFF0000"/>
        </patternFill>
      </fill>
    </dxf>
    <dxf>
      <font>
        <color rgb="FF9C0006"/>
      </font>
      <fill>
        <patternFill>
          <bgColor rgb="FFFFC7CE"/>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0006"/>
      </font>
      <fill>
        <patternFill>
          <bgColor rgb="FFFFC7CE"/>
        </patternFill>
      </fill>
    </dxf>
    <dxf>
      <fill>
        <patternFill>
          <bgColor rgb="FFFFC000"/>
        </patternFill>
      </fill>
    </dxf>
    <dxf>
      <fill>
        <patternFill>
          <bgColor rgb="FFFFFF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09"/>
      <tableStyleElement type="firstRowStripe" dxfId="708"/>
      <tableStyleElement type="secondRowStripe" dxfId="707"/>
      <tableStyleElement type="firstColumnStripe" dxfId="706"/>
    </tableStyle>
    <tableStyle name="Estilo de tabla 2" pivot="0" count="3" xr9:uid="{00000000-0011-0000-FFFF-FFFF01000000}">
      <tableStyleElement type="headerRow" dxfId="705"/>
      <tableStyleElement type="firstRowStripe" dxfId="704"/>
      <tableStyleElement type="secondRowStripe" dxfId="703"/>
    </tableStyle>
    <tableStyle name="Estilo de tabla 3" pivot="0" count="2" xr9:uid="{00000000-0011-0000-FFFF-FFFF02000000}">
      <tableStyleElement type="headerRow" dxfId="702"/>
      <tableStyleElement type="firstRowStripe" dxfId="701"/>
    </tableStyle>
    <tableStyle name="Estilo de tabla 4" pivot="0" count="0" xr9:uid="{00000000-0011-0000-FFFF-FFFF03000000}"/>
    <tableStyle name="Estilo de tabla 5" pivot="0" count="2" xr9:uid="{00000000-0011-0000-FFFF-FFFF04000000}">
      <tableStyleElement type="wholeTable" dxfId="700"/>
      <tableStyleElement type="headerRow" dxfId="699"/>
    </tableStyle>
    <tableStyle name="Estilo de tabla 6" pivot="0" count="3" xr9:uid="{00000000-0011-0000-FFFF-FFFF05000000}">
      <tableStyleElement type="headerRow" dxfId="698"/>
      <tableStyleElement type="firstRowStripe" dxfId="697"/>
      <tableStyleElement type="secondRowStripe" dxfId="696"/>
    </tableStyle>
    <tableStyle name="Estilo de tabla 7" pivot="0" count="3" xr9:uid="{00000000-0011-0000-FFFF-FFFF06000000}">
      <tableStyleElement type="headerRow" dxfId="695"/>
      <tableStyleElement type="firstRowStripe" dxfId="694"/>
      <tableStyleElement type="secondRowStripe" dxfId="693"/>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10" totalsRowShown="0" headerRowDxfId="692" dataDxfId="691" headerRowCellStyle="Énfasis5" dataCellStyle="Normal 2">
  <autoFilter ref="A1:OG10" xr:uid="{00000000-0009-0000-0100-000001000000}"/>
  <tableColumns count="397">
    <tableColumn id="101" xr3:uid="{00000000-0010-0000-0000-000065000000}" name="OBSERVACIONES PARA SEGUIMIENTO" dataDxfId="690"/>
    <tableColumn id="1" xr3:uid="{00000000-0010-0000-0000-000001000000}" name=" RESPONSABLE DE LA ZONA" dataDxfId="689"/>
    <tableColumn id="77" xr3:uid="{00000000-0010-0000-0000-00004D000000}" name="PUNTO O CENTRO DE ATENCION" dataDxfId="688"/>
    <tableColumn id="2" xr3:uid="{00000000-0010-0000-0000-000002000000}" name="ATENCIÓN PRECONCEPCIONAL" dataDxfId="687"/>
    <tableColumn id="3" xr3:uid="{00000000-0010-0000-0000-000003000000}" name="APELLIDO" dataDxfId="686"/>
    <tableColumn id="4" xr3:uid="{00000000-0010-0000-0000-000004000000}" name="APELLIDO 2" dataDxfId="685"/>
    <tableColumn id="5" xr3:uid="{00000000-0010-0000-0000-000005000000}" name="NOMBRE 1" dataDxfId="684"/>
    <tableColumn id="6" xr3:uid="{00000000-0010-0000-0000-000006000000}" name="NOMBRE 2" dataDxfId="683"/>
    <tableColumn id="7" xr3:uid="{00000000-0010-0000-0000-000007000000}" name="TIPO DE DOCUMENTO" dataDxfId="682"/>
    <tableColumn id="8" xr3:uid="{00000000-0010-0000-0000-000008000000}" name="No DE IDENTIFICACION" dataDxfId="681"/>
    <tableColumn id="9" xr3:uid="{00000000-0010-0000-0000-000009000000}" name="ESTADO CIVIL" dataDxfId="680"/>
    <tableColumn id="10" xr3:uid="{00000000-0010-0000-0000-00000A000000}" name="OCUPACION" dataDxfId="679"/>
    <tableColumn id="11" xr3:uid="{00000000-0010-0000-0000-00000B000000}" name="FECHA DE NACIMIENTO" dataDxfId="678" dataCellStyle="Normal 2"/>
    <tableColumn id="12" xr3:uid="{00000000-0010-0000-0000-00000C000000}" name="EDAD ACTUAL" dataDxfId="677" dataCellStyle="Normal 2">
      <calculatedColumnFormula>IF(M2&gt;0,SUM(TODAY()-M2)/365,"")</calculatedColumnFormula>
    </tableColumn>
    <tableColumn id="13" xr3:uid="{00000000-0010-0000-0000-00000D000000}" name="FECHA DE IDENTIFICACION DE LA GESTANTE" dataDxfId="676" dataCellStyle="Normal 2"/>
    <tableColumn id="14" xr3:uid="{00000000-0010-0000-0000-00000E000000}" name="EFECTIVIDAD DEMANDA" dataDxfId="675"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74" dataCellStyle="Normal 2"/>
    <tableColumn id="16" xr3:uid="{00000000-0010-0000-0000-000010000000}" name="FECHA CONSULTA PRIMERA VEZ PROGRAMA CPN " dataDxfId="673" dataCellStyle="Normal 2"/>
    <tableColumn id="24" xr3:uid="{00000000-0010-0000-0000-000018000000}" name="REGIMEN" dataDxfId="672" dataCellStyle="Normal 2"/>
    <tableColumn id="25" xr3:uid="{00000000-0010-0000-0000-000019000000}" name="ASEGURADORA" dataDxfId="671" dataCellStyle="Normal 2"/>
    <tableColumn id="26" xr3:uid="{00000000-0010-0000-0000-00001A000000}" name="MUNICIPIO DE RESIDENCIA" dataDxfId="670" dataCellStyle="Normal 2"/>
    <tableColumn id="27" xr3:uid="{00000000-0010-0000-0000-00001B000000}" name="ZONA DE RESIDENCIA" dataDxfId="669" dataCellStyle="Normal 2"/>
    <tableColumn id="28" xr3:uid="{00000000-0010-0000-0000-00001C000000}" name="VEREDA/BARRIO" dataDxfId="668" dataCellStyle="Normal 2"/>
    <tableColumn id="29" xr3:uid="{00000000-0010-0000-0000-00001D000000}" name="DIRECCION - (ESPECIFICAR UBICACIÓN EN VEREDA)" dataDxfId="667" dataCellStyle="Normal 2"/>
    <tableColumn id="30" xr3:uid="{00000000-0010-0000-0000-00001E000000}" name="RESGUARDO / CORREGIMIENTO / COMUNA / LOCALIDAD" dataDxfId="666" dataCellStyle="Normal 2"/>
    <tableColumn id="31" xr3:uid="{00000000-0010-0000-0000-00001F000000}" name="TELEFONO FIJO O CELULAR" dataDxfId="665" dataCellStyle="Normal 2"/>
    <tableColumn id="32" xr3:uid="{00000000-0010-0000-0000-000020000000}" name="TIPO DE ETNIA" dataDxfId="664" dataCellStyle="Normal 2"/>
    <tableColumn id="33" xr3:uid="{00000000-0010-0000-0000-000021000000}" name="PUEBLO INDIGENA ESPECIFICO" dataDxfId="663" dataCellStyle="Normal 2"/>
    <tableColumn id="34" xr3:uid="{00000000-0010-0000-0000-000022000000}" name="ESTUDIOS" dataDxfId="662" dataCellStyle="Normal 2"/>
    <tableColumn id="68" xr3:uid="{00000000-0010-0000-0000-000044000000}" name="PROGRAMAS DE APOYO SOCIAL " dataDxfId="661" dataCellStyle="Normal 2"/>
    <tableColumn id="35" xr3:uid="{00000000-0010-0000-0000-000023000000}" name="EMBARAZO ACEPTADO Y/O  DESEADO" dataDxfId="660" dataCellStyle="Normal 2"/>
    <tableColumn id="36" xr3:uid="{00000000-0010-0000-0000-000024000000}" name="APOYO FAMILIAR" dataDxfId="659" dataCellStyle="Normal 2"/>
    <tableColumn id="37" xr3:uid="{00000000-0010-0000-0000-000025000000}" name="MUJER CABEZA DE FAMILIA" dataDxfId="658" dataCellStyle="Normal 2"/>
    <tableColumn id="38" xr3:uid="{00000000-0010-0000-0000-000026000000}" name="ANSIEDAD (Tensión emocional, Humor depresivo y sx angustia)." dataDxfId="657" dataCellStyle="Normal 2"/>
    <tableColumn id="39" xr3:uid="{00000000-0010-0000-0000-000027000000}" name="GRUPO DE POBLACION ESPECIAL" dataDxfId="656" dataCellStyle="Normal 2"/>
    <tableColumn id="40" xr3:uid="{00000000-0010-0000-0000-000028000000}" name="HA SIDO VICTIMA DE VIOLENCIA BASADA EN GENERO" dataDxfId="655" dataCellStyle="Normal 2"/>
    <tableColumn id="41" xr3:uid="{00000000-0010-0000-0000-000029000000}" name="RIESGO PSICOSOCIAL" dataDxfId="654">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3" dataCellStyle="Normal 2"/>
    <tableColumn id="44" xr3:uid="{00000000-0010-0000-0000-00002C000000}" name="ANTECEDENTE. RETENCION PLACENTARIA O HEMORRAGIA POSTPARTO" dataDxfId="652" dataCellStyle="Normal 2"/>
    <tableColumn id="45" xr3:uid="{00000000-0010-0000-0000-00002D000000}" name="ANTECEDENTE. PESO BEBE MAYOR A 4000 o MENOR A  2500" dataDxfId="651" dataCellStyle="Normal 2"/>
    <tableColumn id="47" xr3:uid="{00000000-0010-0000-0000-00002F000000}" name="ANTECEDENTE. EMBARAZO GEMELAR" dataDxfId="650" dataCellStyle="Normal 2"/>
    <tableColumn id="48" xr3:uid="{00000000-0010-0000-0000-000030000000}" name="ANTECEDENTE. Trabajo de Parto PROLONGADO/PARTO DIFICIL" dataDxfId="649" dataCellStyle="Normal 2"/>
    <tableColumn id="49" xr3:uid="{00000000-0010-0000-0000-000031000000}" name="ANTECEDENTE. FLIAR PREECLAMPSIA" dataDxfId="648" dataCellStyle="Normal 2"/>
    <tableColumn id="51" xr3:uid="{00000000-0010-0000-0000-000033000000}" name="ANTECEDENTE GRAVIDA" dataDxfId="647" dataCellStyle="Normal 2"/>
    <tableColumn id="52" xr3:uid="{00000000-0010-0000-0000-000034000000}" name="ANTECEDENTE PARTOS" dataDxfId="646" dataCellStyle="Normal 2"/>
    <tableColumn id="53" xr3:uid="{00000000-0010-0000-0000-000035000000}" name="ANTECEDENTE ABORTOS" dataDxfId="645" dataCellStyle="Normal 2"/>
    <tableColumn id="54" xr3:uid="{00000000-0010-0000-0000-000036000000}" name="ANTE. 3 ABORTOS SEGUIDOS O INFERTILIDAD" dataDxfId="644" dataCellStyle="Normal 2"/>
    <tableColumn id="55" xr3:uid="{00000000-0010-0000-0000-000037000000}" name="ANTECEDENTE CESAREAS" dataDxfId="643" dataCellStyle="Normal 2"/>
    <tableColumn id="56" xr3:uid="{00000000-0010-0000-0000-000038000000}" name="ANTECEDENTE OBITO FETAL Y/O MUERTE PERINATAL NEONATAL TEMPRANA" dataDxfId="642" dataCellStyle="Normal 2"/>
    <tableColumn id="57" xr3:uid="{00000000-0010-0000-0000-000039000000}" name="ANTECEDENTE EMBARAZO ECTOPICO O CX UTERINA (MIOMECTOMIA)" dataDxfId="641" dataCellStyle="Normal 2"/>
    <tableColumn id="58" xr3:uid="{00000000-0010-0000-0000-00003A000000}" name="ANTECEDENTE EMBARAZO MOLAR" dataDxfId="640" dataCellStyle="Normal 2"/>
    <tableColumn id="59" xr3:uid="{00000000-0010-0000-0000-00003B000000}" name="ANTECEDENTE MUERTE NEONATAL TARDIA" dataDxfId="639" dataCellStyle="Normal 2"/>
    <tableColumn id="64" xr3:uid="{00000000-0010-0000-0000-000040000000}" name="TIENE ENFERMEDADES AUTOINMUNES" dataDxfId="638" dataCellStyle="Normal 2"/>
    <tableColumn id="65" xr3:uid="{00000000-0010-0000-0000-000041000000}" name="TIENE DIABETES MELLITUS" dataDxfId="637" dataCellStyle="Normal 2"/>
    <tableColumn id="66" xr3:uid="{00000000-0010-0000-0000-000042000000}" name="TIENE ENFERMEDAD CARDIACA" dataDxfId="636" dataCellStyle="Normal 2"/>
    <tableColumn id="315" xr3:uid="{00000000-0010-0000-0000-00003B010000}" name="TIENE HTA CRONICA" dataDxfId="635" dataCellStyle="Normal 2"/>
    <tableColumn id="305" xr3:uid="{00000000-0010-0000-0000-000031010000}" name="TIENE ENF RENAL CRONICA" dataDxfId="634" dataCellStyle="Normal 2"/>
    <tableColumn id="74" xr3:uid="{00000000-0010-0000-0000-00004A000000}" name="EN EMB ACTUAL ENFERMEDADES INFECCIOSAS AGUDAS(BACTERIANAS)" dataDxfId="633" dataCellStyle="Normal 2"/>
    <tableColumn id="76" xr3:uid="{00000000-0010-0000-0000-00004C000000}" name="EN EMB ACTUAL RPM" dataDxfId="632" dataCellStyle="Normal 2"/>
    <tableColumn id="79" xr3:uid="{00000000-0010-0000-0000-00004F000000}" name=" EN EMB ACTUAL HEMORRAGIA VAGINAL &gt; 20 SEM22" dataDxfId="631" dataCellStyle="Normal 2"/>
    <tableColumn id="81" xr3:uid="{00000000-0010-0000-0000-000051000000}" name="EN EMB ACTUAL HEMORRAGIA VAGINAL &lt; 20 SEM" dataDxfId="630" dataCellStyle="Normal 2"/>
    <tableColumn id="87" xr3:uid="{00000000-0010-0000-0000-000057000000}" name="FECHA TERMINACIÓN ÚLTIMO EMBARAZO" dataDxfId="629" dataCellStyle="Normal 2"/>
    <tableColumn id="89" xr3:uid="{00000000-0010-0000-0000-000059000000}" name="FUM" dataDxfId="628" dataCellStyle="Normal 2"/>
    <tableColumn id="90" xr3:uid="{00000000-0010-0000-0000-00005A000000}" name="FUM FORMULA CONFIABLE" dataDxfId="627" dataCellStyle="Normal 2"/>
    <tableColumn id="20" xr3:uid="{00000000-0010-0000-0000-000014000000}" name="PERIODO INTERGENESICO (MESES)" dataDxfId="626" dataCellStyle="Normal 2">
      <calculatedColumnFormula>IF(OR(BJ2="SD",BK2=""),"",IF(BJ2="",0,SUM(BK2-BJ2)/30))</calculatedColumnFormula>
    </tableColumn>
    <tableColumn id="19" xr3:uid="{00000000-0010-0000-0000-000013000000}" name="FUM X ECO 1" dataDxfId="625" dataCellStyle="Normal 2">
      <calculatedColumnFormula>IF(BS2&gt;0,SUM(BR2-NQ2),"")</calculatedColumnFormula>
    </tableColumn>
    <tableColumn id="94" xr3:uid="{00000000-0010-0000-0000-00005E000000}" name="SEMANAS DE GESTACION AL INGRESO" dataDxfId="624"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3"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2" dataCellStyle="Normal 2">
      <calculatedColumnFormula>IF(SUM((TODAY()-BK2)/7)&gt;43.1,"",IF(AND(BK2&gt;0,OR(BL2="si",BL2="Corregida",BL2="NO")),SUM((TODAY()-BK2)/7),""))</calculatedColumnFormula>
    </tableColumn>
    <tableColumn id="99" xr3:uid="{00000000-0010-0000-0000-000063000000}" name="FECHA ECO 1" dataDxfId="621" dataCellStyle="Normal 2"/>
    <tableColumn id="100" xr3:uid="{00000000-0010-0000-0000-000064000000}" name="SEMANAS GESTACION ECO 1" dataDxfId="620" dataCellStyle="Normal 2"/>
    <tableColumn id="104" xr3:uid="{00000000-0010-0000-0000-000068000000}" name="FECHA ECO 2" dataDxfId="619" dataCellStyle="Normal 2"/>
    <tableColumn id="105" xr3:uid="{00000000-0010-0000-0000-000069000000}" name="SEMANAS GESTACION ECO 2" dataDxfId="618" dataCellStyle="Normal 2"/>
    <tableColumn id="279" xr3:uid="{00000000-0010-0000-0000-000017010000}" name="EN EMB. ACTUAL  RCIU" dataDxfId="617" dataCellStyle="Normal 2"/>
    <tableColumn id="280" xr3:uid="{00000000-0010-0000-0000-000018010000}" name="TIENE EMB. MUTIPLE ACTUAL " dataDxfId="616" dataCellStyle="Normal 2"/>
    <tableColumn id="287" xr3:uid="{00000000-0010-0000-0000-00001F010000}" name="PRESENTACION DEL FETO - ACTUALIZAR DESPUÉS DE LA SEMANA 32" dataDxfId="615" dataCellStyle="Normal 2"/>
    <tableColumn id="293" xr3:uid="{00000000-0010-0000-0000-000025010000}" name="TIENE POLIHIDRAMNIOS" dataDxfId="614" dataCellStyle="Normal 2"/>
    <tableColumn id="110" xr3:uid="{00000000-0010-0000-0000-00006E000000}" name="FECHA DE REGISTRO DE PESO Y/O TALLA PREGESTACIONAL O I TRIM GESTACION" dataDxfId="613" dataCellStyle="Normal 2"/>
    <tableColumn id="111" xr3:uid="{00000000-0010-0000-0000-00006F000000}" name="TALLA EN Mts     " dataDxfId="612" dataCellStyle="Normal 2"/>
    <tableColumn id="112" xr3:uid="{00000000-0010-0000-0000-000070000000}" name="PESO EN Kg INGRESO I TRIM O PRE GESTACION" dataDxfId="611" dataCellStyle="Normal 2"/>
    <tableColumn id="113" xr3:uid="{00000000-0010-0000-0000-000071000000}" name="IMC" dataDxfId="610" dataCellStyle="Normal 2">
      <calculatedColumnFormula>IF(AND(OR(O2&gt;0,R2&gt;0),CA2=""),"SD",IF(AND(OR(O2="",R2=""),CA2=""),"",IF(AND(OR(O2&gt;0,R2&gt;0),CA2&gt;0,CB2&gt;0),SUM(CB2)/(CA2*CA2),"X")))</calculatedColumnFormula>
    </tableColumn>
    <tableColumn id="114" xr3:uid="{00000000-0010-0000-0000-000072000000}" name="CLASIFICACION NUTRICIONAL 1" dataDxfId="609"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08" dataCellStyle="Normal 2"/>
    <tableColumn id="117" xr3:uid="{00000000-0010-0000-0000-000075000000}" name="IMC5 II TRIM" dataDxfId="607" dataCellStyle="Normal 2">
      <calculatedColumnFormula>IF(AND(OR(O2&gt;0,R2&gt;0),CA2=""),"SD",IF(AND(OR(O2="",R2=""),CA2=""),"",IF(AND(OR(O2&gt;0,R2&gt;0),CA2&gt;0),SUM(CF2)/(CA2*CA2),"X")))</calculatedColumnFormula>
    </tableColumn>
    <tableColumn id="118" xr3:uid="{00000000-0010-0000-0000-000076000000}" name="SEMANAS DE GESTACION II TRIM" dataDxfId="606" dataCellStyle="Normal 2">
      <calculatedColumnFormula>IF(AND(CE2="",BK2=""),"",IF(AND(BK2&gt;0,CE2=""),"NA",IF(CE2&lt;BK2,"REVISAR FUM O FECHA PESO",IF(CE2&gt;0,INT(SUM(CE2-BK2)/7)))))</calculatedColumnFormula>
    </tableColumn>
    <tableColumn id="119" xr3:uid="{00000000-0010-0000-0000-000077000000}" name="CLASIFICACION SEGÚN CURVA ATALAH - II TRIM" dataDxfId="605"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04" dataCellStyle="Normal 2"/>
    <tableColumn id="121" xr3:uid="{00000000-0010-0000-0000-000079000000}" name="PESO EN Kg (29 A 42 SEMANAS)" dataDxfId="603" dataCellStyle="Normal 2"/>
    <tableColumn id="123" xr3:uid="{00000000-0010-0000-0000-00007B000000}" name="IMC8 III TRIM" dataDxfId="602" dataCellStyle="Normal 2">
      <calculatedColumnFormula>IF(AND(OR(O2&gt;0,R2&gt;0),CA2=""),"SD",IF(AND(OR(O2="",R2=""),CA2=""),"",IF(AND(OR(O2&gt;0,R2&gt;0),CA2&gt;0),SUM(CK2)/(CA2*CA2),"X")))</calculatedColumnFormula>
    </tableColumn>
    <tableColumn id="124" xr3:uid="{00000000-0010-0000-0000-00007C000000}" name="SEMANAS DE GESTACION9 III TRIM" dataDxfId="601"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0"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599"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598" dataCellStyle="Normal 2"/>
    <tableColumn id="127" xr3:uid="{00000000-0010-0000-0000-00007F000000}" name="T.A. DIASTOLICA - ANTES DE SEMANA 12" dataDxfId="597" dataCellStyle="Normal 2"/>
    <tableColumn id="128" xr3:uid="{00000000-0010-0000-0000-000080000000}" name="ALARMA 1 T.A.  ANTES 12 SEMANAS" dataDxfId="596"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595" dataCellStyle="Normal 2"/>
    <tableColumn id="130" xr3:uid="{00000000-0010-0000-0000-000082000000}" name="T.A. DIATOLICA (Entre semana 20 y 26)" dataDxfId="594" dataCellStyle="Normal 2"/>
    <tableColumn id="131" xr3:uid="{00000000-0010-0000-0000-000083000000}" name="ALARMA 2 T.A.  ENTRE SEMANA 20 Y 26 " dataDxfId="593"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2"/>
    <tableColumn id="133" xr3:uid="{00000000-0010-0000-0000-000085000000}" name="TA. DIASTOLICA SEM 30 A 34" dataDxfId="591" dataCellStyle="Normal 2"/>
    <tableColumn id="134" xr3:uid="{00000000-0010-0000-0000-000086000000}" name="TA SISTOLICA SEM 35 A 37 ULTIMO CONTROL" dataDxfId="590" dataCellStyle="Normal 2"/>
    <tableColumn id="135" xr3:uid="{00000000-0010-0000-0000-000087000000}" name="TA DIASTOLICA SEM 35 A 37 ULTIMO CONTROL" dataDxfId="589" dataCellStyle="Normal 2"/>
    <tableColumn id="136" xr3:uid="{00000000-0010-0000-0000-000088000000}" name="ALARMA 3 T.A.  III TRIMESTRE" dataDxfId="588"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87" dataCellStyle="Normal 2"/>
    <tableColumn id="138" xr3:uid="{00000000-0010-0000-0000-00008A000000}" name="FECHA ASESORIA EN ANTICONCEPCION DURANTE CPN" dataDxfId="586" dataCellStyle="Normal 2"/>
    <tableColumn id="139" xr3:uid="{00000000-0010-0000-0000-00008B000000}" name="FECHA C2" dataDxfId="585" dataCellStyle="Normal 2"/>
    <tableColumn id="144" xr3:uid="{00000000-0010-0000-0000-000090000000}" name="FECHA C3" dataDxfId="584" dataCellStyle="Normal 2"/>
    <tableColumn id="145" xr3:uid="{00000000-0010-0000-0000-000091000000}" name="FECHA C4" dataDxfId="583" dataCellStyle="Normal 2"/>
    <tableColumn id="146" xr3:uid="{00000000-0010-0000-0000-000092000000}" name="FECHA C5" dataDxfId="582" dataCellStyle="Normal 2"/>
    <tableColumn id="147" xr3:uid="{00000000-0010-0000-0000-000093000000}" name="FECHA C6" dataDxfId="581" dataCellStyle="Normal 2"/>
    <tableColumn id="148" xr3:uid="{00000000-0010-0000-0000-000094000000}" name="FECHA C7" dataDxfId="580" dataCellStyle="Normal 2"/>
    <tableColumn id="149" xr3:uid="{00000000-0010-0000-0000-000095000000}" name="FECHA C8" dataDxfId="579" dataCellStyle="Normal 2"/>
    <tableColumn id="150" xr3:uid="{00000000-0010-0000-0000-000096000000}" name="FECHA C9" dataDxfId="578" dataCellStyle="Normal 2"/>
    <tableColumn id="151" xr3:uid="{00000000-0010-0000-0000-000097000000}" name="FECHA C10" dataDxfId="577" dataCellStyle="Normal 2"/>
    <tableColumn id="152" xr3:uid="{00000000-0010-0000-0000-000098000000}" name="FECHA C11" dataDxfId="576" dataCellStyle="Normal 2"/>
    <tableColumn id="153" xr3:uid="{00000000-0010-0000-0000-000099000000}" name="FECHA C12" dataDxfId="575" dataCellStyle="Normal 2"/>
    <tableColumn id="83" xr3:uid="{00000000-0010-0000-0000-000053000000}" name="FECHA C13" dataDxfId="574" dataCellStyle="Normal 2"/>
    <tableColumn id="341" xr3:uid="{00000000-0010-0000-0000-000055010000}" name="CURSO DE MATERNIDAD Y PATERNIDAD" dataDxfId="573" dataCellStyle="Normal 2"/>
    <tableColumn id="342" xr3:uid="{00000000-0010-0000-0000-000056010000}" name="FECHA DE CONCERTACIÓN PLAN DE PARTO (Soporte HC)" dataDxfId="572" dataCellStyle="Normal 2"/>
    <tableColumn id="343" xr3:uid="{00000000-0010-0000-0000-000057010000}" name="ALERTA DE PLAN DE PARTO" dataDxfId="571"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0"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69"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68"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67"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66"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65" dataCellStyle="Normal 2">
      <calculatedColumnFormula>IF(R2&gt;0,SUM(COUNTA(DC2:DN2)+COUNTA(Tabla1[[#This Row],[FECHA CONSULTA PRIMERA VEZ PROGRAMA CPN ]])),"")</calculatedColumnFormula>
    </tableColumn>
    <tableColumn id="155" xr3:uid="{00000000-0010-0000-0000-00009B000000}" name="ADHERENCIA AL CPN" dataDxfId="564" dataCellStyle="Normal 2">
      <calculatedColumnFormula>IF(AND(DW2&gt;=0,DW2&lt;4),"NO",IF(AND(DW2&gt;=4,DW2&lt;12),"SI",""))</calculatedColumnFormula>
    </tableColumn>
    <tableColumn id="156" xr3:uid="{00000000-0010-0000-0000-00009C000000}" name="CONTROLES PROGRAMADOS " dataDxfId="563" dataCellStyle="Normal 2">
      <calculatedColumnFormula>IF(BO2="","",IF(BO2&gt;0,INT(SUM(((40-BO2)/4)+2)),"X"))</calculatedColumnFormula>
    </tableColumn>
    <tableColumn id="157" xr3:uid="{00000000-0010-0000-0000-00009D000000}" name="% CUMPLIM INDIVIDUAL" dataDxfId="562" dataCellStyle="Normal 2">
      <calculatedColumnFormula>IF(DY2="","",IF(DW2&gt;0,SUM(DW2/DY2),"X"))</calculatedColumnFormula>
    </tableColumn>
    <tableColumn id="158" xr3:uid="{00000000-0010-0000-0000-00009E000000}" name="FECHA  REMISION PSICOLOGIA" dataDxfId="561" dataCellStyle="Normal 2"/>
    <tableColumn id="159" xr3:uid="{00000000-0010-0000-0000-00009F000000}" name="FECHA ASISTENCIA A CONSULTA PSICOLOGIA" dataDxfId="560" dataCellStyle="Normal 2"/>
    <tableColumn id="160" xr3:uid="{00000000-0010-0000-0000-0000A0000000}" name="FECHA  REMISION NUTRICION" dataDxfId="559" dataCellStyle="Normal 2"/>
    <tableColumn id="161" xr3:uid="{00000000-0010-0000-0000-0000A1000000}" name="FECHA ASISTENCIA A CONSULTA NUTRICION" dataDxfId="558" dataCellStyle="Normal 2"/>
    <tableColumn id="162" xr3:uid="{00000000-0010-0000-0000-0000A2000000}" name="FECHA  REMISION GINECOLOGO" dataDxfId="557" dataCellStyle="Normal 2"/>
    <tableColumn id="163" xr3:uid="{00000000-0010-0000-0000-0000A3000000}" name="FECHA ASISTENCIA PRIMERA VEZ CON GINECOLOGÍA" dataDxfId="556" dataCellStyle="Normal 2"/>
    <tableColumn id="250" xr3:uid="{00000000-0010-0000-0000-0000FA000000}" name="FECHA ULTIMA ASISTENCIA A CONSULTA GINECO" dataDxfId="555" dataCellStyle="Normal 2"/>
    <tableColumn id="164" xr3:uid="{00000000-0010-0000-0000-0000A4000000}" name="No CONSULTAS GINECOLOGO" dataDxfId="554" dataCellStyle="Normal 2"/>
    <tableColumn id="165" xr3:uid="{00000000-0010-0000-0000-0000A5000000}" name="RESULTADO HEMOGLOBINA INGRESO" dataDxfId="553" dataCellStyle="Normal 2"/>
    <tableColumn id="167" xr3:uid="{00000000-0010-0000-0000-0000A7000000}" name="FECHA RESULTADO HB" dataDxfId="552" dataCellStyle="Normal 2"/>
    <tableColumn id="168" xr3:uid="{00000000-0010-0000-0000-0000A8000000}" name="EDAD GESTACIONAL HB" dataDxfId="551"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0"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49"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48" dataCellStyle="Normal 2"/>
    <tableColumn id="171" xr3:uid="{00000000-0010-0000-0000-0000AB000000}" name="FECHA RESULTADO HB SEM 28" dataDxfId="547" dataCellStyle="Normal 2"/>
    <tableColumn id="172" xr3:uid="{00000000-0010-0000-0000-0000AC000000}" name="EDAD GESTACIONAL HB - SEM 28" dataDxfId="546"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45"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44" dataCellStyle="Normal 2"/>
    <tableColumn id="175" xr3:uid="{00000000-0010-0000-0000-0000AF000000}" name="FECHA RESULTADO GRUPO SANGUINEO" dataDxfId="543" dataCellStyle="Normal 2"/>
    <tableColumn id="176" xr3:uid="{00000000-0010-0000-0000-0000B0000000}" name="EDAD GESTACIONAL GRUPO SANGUINEO" dataDxfId="542"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1"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0" dataCellStyle="Normal 2"/>
    <tableColumn id="179" xr3:uid="{00000000-0010-0000-0000-0000B3000000}" name="FECHA GLICEMIA" dataDxfId="539" dataCellStyle="Normal 2"/>
    <tableColumn id="180" xr3:uid="{00000000-0010-0000-0000-0000B4000000}" name="EDAD GESTACIONAL GLICEMIA" dataDxfId="538"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37" dataCellStyle="Normal 2"/>
    <tableColumn id="185" xr3:uid="{00000000-0010-0000-0000-0000B9000000}" name="PTOG. carga 75 gr 1 HORA - VALOR" dataDxfId="536" dataCellStyle="Normal 2"/>
    <tableColumn id="186" xr3:uid="{00000000-0010-0000-0000-0000BA000000}" name="PTOG. carga 75 gr 2 HORA - VALOR" dataDxfId="535" dataCellStyle="Normal 2"/>
    <tableColumn id="187" xr3:uid="{00000000-0010-0000-0000-0000BB000000}" name="PTOG. carga 75 gr - RESULTADO" dataDxfId="534"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3" dataCellStyle="Normal 2"/>
    <tableColumn id="189" xr3:uid="{00000000-0010-0000-0000-0000BD000000}" name="EDAD GESTACIONAL P.T.O.G" dataDxfId="532"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1" dataCellStyle="Normal 2"/>
    <tableColumn id="200" xr3:uid="{00000000-0010-0000-0000-0000C8000000}" name="FECHA RESULTADO I TRIM" dataDxfId="530" dataCellStyle="Normal 2"/>
    <tableColumn id="201" xr3:uid="{00000000-0010-0000-0000-0000C9000000}" name="ALARMA TAMIZAJE SIFILIS I TRIMESTRE" dataDxfId="529"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28" dataCellStyle="Normal 2"/>
    <tableColumn id="203" xr3:uid="{00000000-0010-0000-0000-0000CB000000}" name="FECHA RESULTADO PR-  II TRIM" dataDxfId="527" dataCellStyle="Normal 2"/>
    <tableColumn id="204" xr3:uid="{00000000-0010-0000-0000-0000CC000000}" name="ALARMA TAMIZAJE SIFILIS II TRIMESTRE2" dataDxfId="526"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25" dataCellStyle="Normal 2"/>
    <tableColumn id="206" xr3:uid="{00000000-0010-0000-0000-0000CE000000}" name="FECHA RESULTADO PR-  III TRIM" dataDxfId="524" dataCellStyle="Normal 2"/>
    <tableColumn id="207" xr3:uid="{00000000-0010-0000-0000-0000CF000000}" name="ALARMA TAMIZAJE SIFILIS III TRIMESTRE22" dataDxfId="523"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2" dataCellStyle="Normal 2"/>
    <tableColumn id="209" xr3:uid="{00000000-0010-0000-0000-0000D1000000}" name="FECHA RESULTADO PR INTRAPARTO" dataDxfId="521" dataCellStyle="Normal 2"/>
    <tableColumn id="210" xr3:uid="{00000000-0010-0000-0000-0000D2000000}" name="ALARMA CONSOLIDADA CASOS SIFILIS GESTACIONAL" dataDxfId="520"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19" dataCellStyle="Normal 2"/>
    <tableColumn id="216" xr3:uid="{00000000-0010-0000-0000-0000D8000000}" name="FECHA RESULTADO UROANALISIS ULTIMO" dataDxfId="518" dataCellStyle="Normal 2"/>
    <tableColumn id="217" xr3:uid="{00000000-0010-0000-0000-0000D9000000}" name="EDAD GESTACIONAL UROANALSIS ULTIMO" dataDxfId="517"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16" dataCellStyle="Normal 2"/>
    <tableColumn id="219" xr3:uid="{00000000-0010-0000-0000-0000DB000000}" name="FECHA RESULTADO UROCULTIVO" dataDxfId="515" dataCellStyle="Normal 2"/>
    <tableColumn id="220" xr3:uid="{00000000-0010-0000-0000-0000DC000000}" name="EDAD GESTACIONAL UROCULTIVO" dataDxfId="514"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3"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2" dataCellStyle="Normal 2"/>
    <tableColumn id="223" xr3:uid="{00000000-0010-0000-0000-0000DF000000}" name="TAMIZAJE  PARA VIH I TRIM" dataDxfId="511" dataCellStyle="Normal 2"/>
    <tableColumn id="224" xr3:uid="{00000000-0010-0000-0000-0000E0000000}" name="FECHA RESULTADO TAMIZAJE VIH I TRIMESTRE" dataDxfId="510" dataCellStyle="Normal 2"/>
    <tableColumn id="225" xr3:uid="{00000000-0010-0000-0000-0000E1000000}" name="ALARMA TAMIZAJE VIH - I TRIM" dataDxfId="509"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08" dataCellStyle="Normal 2"/>
    <tableColumn id="103" xr3:uid="{00000000-0010-0000-0000-000067000000}" name="FECHA RESULTADO TAMIZAJE VIH II TRIM" dataDxfId="507" dataCellStyle="Normal 2"/>
    <tableColumn id="345" xr3:uid="{00000000-0010-0000-0000-000059010000}" name="ALARMA TAMIZAJE VIH - II TRIM" dataDxfId="506"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05" dataCellStyle="Normal 2"/>
    <tableColumn id="228" xr3:uid="{00000000-0010-0000-0000-0000E4000000}" name="FECHA RESULTADO TAMIZAJE VIH III TRIM" dataDxfId="504" dataCellStyle="Normal 2"/>
    <tableColumn id="229" xr3:uid="{00000000-0010-0000-0000-0000E5000000}" name="ALARMA TAMIZAJE VIH - III TRIM" dataDxfId="503"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2" dataCellStyle="Normal 2"/>
    <tableColumn id="91" xr3:uid="{00000000-0010-0000-0000-00005B000000}" name="FECHA RESULTADO TAMIZAJE INTRAPARTO" dataDxfId="501" dataCellStyle="Normal 2"/>
    <tableColumn id="84" xr3:uid="{00000000-0010-0000-0000-000054000000}" name="SEGUNDA PRUEBA ELISA O PR PARA DEFINIR DIAGNOSTICO VIH SEGÚN PROTOCOLO INS" dataDxfId="500" dataCellStyle="Normal 2"/>
    <tableColumn id="140" xr3:uid="{00000000-0010-0000-0000-00008C000000}" name="FECHA RESULTADO SEGUNDA PRUEBA ELISA O PR PARA DEFINIR DIAGNOSTICO VIH SEGÚN PROTOCOLO INS" dataDxfId="499" dataCellStyle="Normal 2"/>
    <tableColumn id="141" xr3:uid="{00000000-0010-0000-0000-00008D000000}" name="RESULTADO CARGA VIRAL SEGÚN PROTOCOLO INS" dataDxfId="498" dataCellStyle="Normal 2"/>
    <tableColumn id="142" xr3:uid="{00000000-0010-0000-0000-00008E000000}" name="FECHA RESULTADO CARGA VIRAL SEGÚN PROTOCOLO INS" dataDxfId="497" dataCellStyle="Normal 2"/>
    <tableColumn id="143" xr3:uid="{00000000-0010-0000-0000-00008F000000}" name="RESULTADO HEP B ANTIGENO SUPERFICIE" dataDxfId="496" dataCellStyle="Normal 2"/>
    <tableColumn id="232" xr3:uid="{00000000-0010-0000-0000-0000E8000000}" name="FECHA RESULTADO H ASB" dataDxfId="495" dataCellStyle="Normal 2"/>
    <tableColumn id="233" xr3:uid="{00000000-0010-0000-0000-0000E9000000}" name="EDAD GESTACIONAL18" dataDxfId="494"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3" dataCellStyle="Normal 2"/>
    <tableColumn id="236" xr3:uid="{00000000-0010-0000-0000-0000EC000000}" name="RESULTADO CONFIRM. TOXO. IgM" dataDxfId="492" dataCellStyle="Normal 2"/>
    <tableColumn id="237" xr3:uid="{00000000-0010-0000-0000-0000ED000000}" name="ALARMA TOXOPLASMOSIS" dataDxfId="491"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0" dataCellStyle="Normal 2"/>
    <tableColumn id="239" xr3:uid="{00000000-0010-0000-0000-0000EF000000}" name="EDAD GESTACIONAL21" dataDxfId="489"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88"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87" dataCellStyle="Normal 2"/>
    <tableColumn id="243" xr3:uid="{00000000-0010-0000-0000-0000F3000000}" name="NUMERO VECES TOMA TOXOPLASMA IgM - Control" dataDxfId="486" dataCellStyle="Normal 2"/>
    <tableColumn id="244" xr3:uid="{00000000-0010-0000-0000-0000F4000000}" name="RESULTADO ULTIMA CITOLOGIA (SEGÚN NORMA Y VIGENTE)" dataDxfId="485" dataCellStyle="Normal 2"/>
    <tableColumn id="245" xr3:uid="{00000000-0010-0000-0000-0000F5000000}" name="FECHA RESULTADO2" dataDxfId="484" dataCellStyle="Normal 2"/>
    <tableColumn id="246" xr3:uid="{00000000-0010-0000-0000-0000F6000000}" name="TIEMPO DE LA TOMA" dataDxfId="483" dataCellStyle="Normal 2">
      <calculatedColumnFormula>IF(GZ2&gt;0,SUM(GZ2-BK2)/7,"")</calculatedColumnFormula>
    </tableColumn>
    <tableColumn id="247" xr3:uid="{00000000-0010-0000-0000-0000F7000000}" name="CLASIFICACION TIEMPO TOMA" dataDxfId="482"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1"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0" dataCellStyle="Normal 2"/>
    <tableColumn id="368" xr3:uid="{00000000-0010-0000-0000-000070010000}" name="FECHA RESULTADO TAMIZAJE CHAGAS" dataDxfId="479" dataCellStyle="Normal 2"/>
    <tableColumn id="356" xr3:uid="{00000000-0010-0000-0000-000064010000}" name="TAMIZAJE INICIAL DE GOTA GRUESA PARA MALARIA (En zonas endémicas)" dataDxfId="478" dataCellStyle="Normal 2"/>
    <tableColumn id="352" xr3:uid="{00000000-0010-0000-0000-000060010000}" name="FECHA RESULTADO TAMIZAJE INICIAL GOTA GRUESA PARA MALARIA" dataDxfId="477" dataCellStyle="Normal 2"/>
    <tableColumn id="351" xr3:uid="{00000000-0010-0000-0000-00005F010000}" name="RESULTADO ULTIMO TAMIZAJE GOTA GRUESA (Para Zonas endémicas)" dataDxfId="476" dataCellStyle="Normal 2"/>
    <tableColumn id="346" xr3:uid="{00000000-0010-0000-0000-00005A010000}" name="NUMERO TAMIZAJES TOMADOS DE GOTA GRUESA PARA MALARIA (Debe ser mensual para zonas endémicas)" dataDxfId="475" dataCellStyle="Normal 2"/>
    <tableColumn id="249" xr3:uid="{00000000-0010-0000-0000-0000F9000000}" name="DIAGNOSTICO POSITIVO COVID19 - INFECCIÓN POR SARS CoV2" dataDxfId="474" dataCellStyle="Normal 2"/>
    <tableColumn id="252" xr3:uid="{00000000-0010-0000-0000-0000FC000000}" name="ENFERMEDADES PROPIAS O CULTURALES" dataDxfId="473"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2"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1"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70"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69"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68"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67"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6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65" dataCellStyle="Normal 2"/>
    <tableColumn id="102" xr3:uid="{00000000-0010-0000-0000-000066000000}" name="SUMINISTRO DE ASA SEGÚN GPC" dataDxfId="464" dataCellStyle="Normal 2"/>
    <tableColumn id="23" xr3:uid="{00000000-0010-0000-0000-000017000000}" name="FECHA INICIO SUMINISTRO CALCIO" dataDxfId="463" dataCellStyle="Normal 2"/>
    <tableColumn id="181" xr3:uid="{00000000-0010-0000-0000-0000B5000000}" name="SUMINISTRO CALCIO " dataDxfId="462" dataCellStyle="Normal 2"/>
    <tableColumn id="60" xr3:uid="{00000000-0010-0000-0000-00003C000000}" name="FECHA INICIO SUMINISTRO ACIDO FOLICO " dataDxfId="461" dataCellStyle="Normal 2"/>
    <tableColumn id="241" xr3:uid="{00000000-0010-0000-0000-0000F1000000}" name="SUMINISTRO DE ACIDO FOLICO " dataDxfId="460" dataCellStyle="Normal 2"/>
    <tableColumn id="256" xr3:uid="{00000000-0010-0000-0000-000000010000}" name="FECHA INICIO SUMINISTRO SULFATO FERROSO " dataDxfId="459" dataCellStyle="Normal 2"/>
    <tableColumn id="254" xr3:uid="{00000000-0010-0000-0000-0000FE000000}" name="SUMINISTRO DE SULFATO FERROSO " dataDxfId="458" dataCellStyle="Normal 2"/>
    <tableColumn id="257" xr3:uid="{00000000-0010-0000-0000-000001010000}" name="SUPLEMENTACION ALIMENTARIA  O DIRECCIONAMIENTO A AUTONOMIA ALIMENTARIA" dataDxfId="457" dataCellStyle="Normal 2"/>
    <tableColumn id="63" xr3:uid="{00000000-0010-0000-0000-00003F000000}" name="FECHA CONSULTA DE 1RA VEZ POR ODONTOLOGIA" dataDxfId="456" dataCellStyle="Normal 2"/>
    <tableColumn id="258" xr3:uid="{00000000-0010-0000-0000-000002010000}" name="SEMANAS DE GESTACION A LA CONSULTA ODONTOLOGICA" dataDxfId="455"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54" dataCellStyle="Normal 2"/>
    <tableColumn id="388" xr3:uid="{00000000-0010-0000-0000-000084010000}" name="Tipo Biológico Vacuna anti COVID-19 (Disentimiento)" dataDxfId="453"/>
    <tableColumn id="386" xr3:uid="{00000000-0010-0000-0000-000082010000}" name="Fecha 1ra Dosis Anti COVID-19" dataDxfId="452"/>
    <tableColumn id="336" xr3:uid="{00000000-0010-0000-0000-000050010000}" name="Tipo Biológico Vacuna anti COVID-19 (2da Dosis)" dataDxfId="451"/>
    <tableColumn id="382" xr3:uid="{00000000-0010-0000-0000-00007E010000}" name="Fecha 2da Dosis Anti COVID-19" dataDxfId="450"/>
    <tableColumn id="339" xr3:uid="{00000000-0010-0000-0000-000053010000}" name="Tipo Biológico Vacuna anti COVID-19 (Refuerzo)" dataDxfId="449"/>
    <tableColumn id="335" xr3:uid="{00000000-0010-0000-0000-00004F010000}" name="Fecha Refuerzo Anti COVID-20" dataDxfId="448"/>
    <tableColumn id="381" xr3:uid="{00000000-0010-0000-0000-00007D010000}" name="Alarma Vacunación Anti COVID-19" dataDxfId="447">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46" dataCellStyle="Normal 2"/>
    <tableColumn id="268" xr3:uid="{00000000-0010-0000-0000-00000C010000}" name="FECHA VACUNA DPT ACELULAR" dataDxfId="445" dataCellStyle="Normal 2"/>
    <tableColumn id="269" xr3:uid="{00000000-0010-0000-0000-00000D010000}" name="ALARMA DPT ACELULAR" dataDxfId="444"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43" dataCellStyle="Normal 2"/>
    <tableColumn id="271" xr3:uid="{00000000-0010-0000-0000-00000F010000}" name="FPP2" dataDxfId="442" dataCellStyle="Normal 2">
      <calculatedColumnFormula>IF(OR(BL2="SI",BL2="Corregida",BL2="NO"),(BK2+280),IF(BL2="Sin Dato","DEFINIR FPP POR ECO",""))</calculatedColumnFormula>
    </tableColumn>
    <tableColumn id="72" xr3:uid="{00000000-0010-0000-0000-000048000000}" name="DIAS PARA EL PARTO2" dataDxfId="441" dataCellStyle="Normal 2">
      <calculatedColumnFormula>IF(OR(IP2="DEFINIR FPP POR ECO",BP2="ERROR FUM O INGRESO"),"SIN DEFINIR",IF(IP2="","",IF(IP2&gt;0,SUM(IP2-TODAY()),"X")))</calculatedColumnFormula>
    </tableColumn>
    <tableColumn id="70" xr3:uid="{00000000-0010-0000-0000-000046000000}" name="ALERTA PARA PARTO3" dataDxfId="440"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39" dataCellStyle="Normal 2"/>
    <tableColumn id="273" xr3:uid="{00000000-0010-0000-0000-000011010000}" name="SALE DEL PROGRAMA POR" dataDxfId="438" dataCellStyle="Normal 2"/>
    <tableColumn id="275" xr3:uid="{00000000-0010-0000-0000-000013010000}" name=" EVENTO DE INTERES EN SALUD PÚBLICA DE LA MADRE" dataDxfId="437" dataCellStyle="Normal 2"/>
    <tableColumn id="276" xr3:uid="{00000000-0010-0000-0000-000014010000}" name=" EVENTO DE INTERES EN SALUD PÚBLICA DEL RECIÉN NACIDO2" dataDxfId="436" dataCellStyle="Normal 2"/>
    <tableColumn id="277" xr3:uid="{00000000-0010-0000-0000-000015010000}" name="FECHA DE SALIDA  DEL PROGRAMA" dataDxfId="435" dataCellStyle="Normal 2"/>
    <tableColumn id="278" xr3:uid="{00000000-0010-0000-0000-000016010000}" name="LUGAR DE ATENCION DEL PARTO" dataDxfId="434" dataCellStyle="Normal 2"/>
    <tableColumn id="281" xr3:uid="{00000000-0010-0000-0000-000019010000}" name="EDAD GESTACIONAL SALIDA PROGRAMA" dataDxfId="433" dataCellStyle="Normal 2">
      <calculatedColumnFormula>IF(AND(IW2&gt;0,IT2&lt;&gt;""),SUM(IW2-BK2)/7,"")</calculatedColumnFormula>
    </tableColumn>
    <tableColumn id="282" xr3:uid="{00000000-0010-0000-0000-00001A010000}" name="NOMBRE DE LA INSTITUCION DONDE SE ATENDIO EL PARTO O LUGAR ESPECIFICO DEL PARTO SI APLICA" dataDxfId="432" dataCellStyle="Normal 2"/>
    <tableColumn id="283" xr3:uid="{00000000-0010-0000-0000-00001B010000}" name="NIVEL DE COMPLEJIDAD DE LA ATENCION DE LA INSTITUCION DONDE SE ATENDIO EL PARTO" dataDxfId="431" dataCellStyle="Normal 2"/>
    <tableColumn id="284" xr3:uid="{00000000-0010-0000-0000-00001C010000}" name="PROFESIONAL O PERSONA QUE ATIENDE EL PARTO" dataDxfId="430" dataCellStyle="Normal 2"/>
    <tableColumn id="373" xr3:uid="{00000000-0010-0000-0000-000075010000}" name="INICIO TRABAJO DE PARTO" dataDxfId="429" dataCellStyle="Normal 2"/>
    <tableColumn id="285" xr3:uid="{00000000-0010-0000-0000-00001D010000}" name="ACOMPAÑAMIENTO POR PERSONA DE CONFIANZA DURANTE TRABAJO DE PARTO Y PARTO" dataDxfId="428" dataCellStyle="Normal 2"/>
    <tableColumn id="251" xr3:uid="{00000000-0010-0000-0000-0000FB000000}" name="DILIGENCIAMIENTO DE PARTOGRAMA (NO APLICA EN EXPULSIVO)" dataDxfId="427" dataCellStyle="Normal 2"/>
    <tableColumn id="261" xr3:uid="{00000000-0010-0000-0000-000005010000}" name="MANEJO ACTIVO DEL TERCER PERIODO DEL PARTO (USO OXITOCINA,MASAJE UTERINO Y TRACCIÓN SOSTENIDA DE CORDÓN)2" dataDxfId="426" dataCellStyle="Normal 2"/>
    <tableColumn id="262" xr3:uid="{00000000-0010-0000-0000-000006010000}" name="CONTACTO PIEL A PIEL DURANTE MÍNIMO 30 MINUTOS " dataDxfId="425" dataCellStyle="Normal 2"/>
    <tableColumn id="263" xr3:uid="{00000000-0010-0000-0000-000007010000}" name="INICIO DE LACTANCIA MATERNA DURANTE EL CONTACTO PIEL A PIEL O EN LA PRIMERA HORA DE VIDA" dataDxfId="424" dataCellStyle="Normal 2"/>
    <tableColumn id="92" xr3:uid="{00000000-0010-0000-0000-00005C000000}" name="MONITORIA CADA 15 MINUTOS DE SIGNOS VITALES DURANTES LAS PRIMERAS DOS HORAS POSTPARTO (SOPORTE EN HC - 8 VALORACIONES EN LAS PRIMERAS 2 HORAS)" dataDxfId="423" dataCellStyle="Normal 2"/>
    <tableColumn id="264" xr3:uid="{00000000-0010-0000-0000-000008010000}" name="COMPLICACIONES POSTPARTO - HASTA 42 DÍAS" dataDxfId="422" dataCellStyle="Normal 2"/>
    <tableColumn id="286" xr3:uid="{00000000-0010-0000-0000-00001E010000}" name="NUMERO NACIDOS VIVOS" dataDxfId="421" dataCellStyle="Normal 2"/>
    <tableColumn id="288" xr3:uid="{00000000-0010-0000-0000-000020010000}" name="SEXO RN" dataDxfId="420" dataCellStyle="Normal 2"/>
    <tableColumn id="289" xr3:uid="{00000000-0010-0000-0000-000021010000}" name="PESO RN  EN GRAMOS" dataDxfId="419" dataCellStyle="Normal 2"/>
    <tableColumn id="290" xr3:uid="{00000000-0010-0000-0000-000022010000}" name="PESO AL NACER POR EDAD GESTACIONAL" dataDxfId="418"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17" dataCellStyle="Normal 2"/>
    <tableColumn id="294" xr3:uid="{00000000-0010-0000-0000-000026010000}" name="RESULTADO TSH" dataDxfId="416" dataCellStyle="Normal 2"/>
    <tableColumn id="295" xr3:uid="{00000000-0010-0000-0000-000027010000}" name=" FECHA RESULTADO TSH" dataDxfId="415" dataCellStyle="Normal 2"/>
    <tableColumn id="296" xr3:uid="{00000000-0010-0000-0000-000028010000}" name="APLICACIÓN DE VIT K" dataDxfId="414" dataCellStyle="Normal 2"/>
    <tableColumn id="297" xr3:uid="{00000000-0010-0000-0000-000029010000}" name="GRUPO SANGUINEO RN" dataDxfId="413" dataCellStyle="Normal 2"/>
    <tableColumn id="298" xr3:uid="{00000000-0010-0000-0000-00002A010000}" name="FECHA APLICACIÓN VACUNA HEPATITIS B" dataDxfId="412" dataCellStyle="Normal 2"/>
    <tableColumn id="299" xr3:uid="{00000000-0010-0000-0000-00002B010000}" name="FECHA APLICACIÓN VACUNA BCG" dataDxfId="411" dataCellStyle="Normal 2"/>
    <tableColumn id="300" xr3:uid="{00000000-0010-0000-0000-00002C010000}" name="SEXO RN 2" dataDxfId="410" dataCellStyle="Normal 2"/>
    <tableColumn id="301" xr3:uid="{00000000-0010-0000-0000-00002D010000}" name="PESO RN 2 EN GRAMOS2" dataDxfId="409" dataCellStyle="Normal 2"/>
    <tableColumn id="302" xr3:uid="{00000000-0010-0000-0000-00002E010000}" name="PESO AL NACER POR EDAD GESTACIONAL RN 2" dataDxfId="408"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07" dataCellStyle="Normal 2"/>
    <tableColumn id="306" xr3:uid="{00000000-0010-0000-0000-000032010000}" name="RESULTADO TSH 2" dataDxfId="406" dataCellStyle="Normal 2"/>
    <tableColumn id="307" xr3:uid="{00000000-0010-0000-0000-000033010000}" name=" FECHA RESULTADO TSH 2" dataDxfId="405" dataCellStyle="Normal 2"/>
    <tableColumn id="308" xr3:uid="{00000000-0010-0000-0000-000034010000}" name="APLICACIÓN DE VIT K 2" dataDxfId="404" dataCellStyle="Normal 2"/>
    <tableColumn id="309" xr3:uid="{00000000-0010-0000-0000-000035010000}" name="GRUPO SANGUINEO RN 2" dataDxfId="403" dataCellStyle="Normal 2"/>
    <tableColumn id="310" xr3:uid="{00000000-0010-0000-0000-000036010000}" name="FECHA APLICACIÓN VACUNA HEPATITIS B 2" dataDxfId="402" dataCellStyle="Normal 2"/>
    <tableColumn id="311" xr3:uid="{00000000-0010-0000-0000-000037010000}" name="FECHA APLICACIÓN VACUNA BCG 2" dataDxfId="401" dataCellStyle="Normal 2"/>
    <tableColumn id="312" xr3:uid="{00000000-0010-0000-0000-000038010000}" name="CONTROL RN FECHA ASISTIO " dataDxfId="400" dataCellStyle="Normal 2"/>
    <tableColumn id="313" xr3:uid="{00000000-0010-0000-0000-000039010000}" name="ALARMA 1 CONTROL RN" dataDxfId="399"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398" dataCellStyle="Normal 2"/>
    <tableColumn id="316" xr3:uid="{00000000-0010-0000-0000-00003C010000}" name="ALARMA CONTROL PUERPERIO" dataDxfId="397"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396" dataCellStyle="Normal 2"/>
    <tableColumn id="265" xr3:uid="{00000000-0010-0000-0000-000009010000}" name="ASESORIA EN PLANIFICACIÓN FAMILIAR POST EVENTO OBSTETRICO EN AMBITO HOSPITALARIO" dataDxfId="395" dataCellStyle="Normal 2"/>
    <tableColumn id="240" xr3:uid="{00000000-0010-0000-0000-0000F0000000}" name="PUERPERA SALE CON PLANIFICACIÓN FAMILIAR POST EVENTO OBSTETRICO " dataDxfId="394" dataCellStyle="Normal 2"/>
    <tableColumn id="97" xr3:uid="{00000000-0010-0000-0000-000061000000}" name="FECHA INSCRIPCION A PLANIFICACION FAMILIAR2" dataDxfId="393" dataCellStyle="Normal 2"/>
    <tableColumn id="319" xr3:uid="{00000000-0010-0000-0000-00003F010000}" name="METODO DE ANTICONCEPCION INICIADO POSTPARTO" dataDxfId="392" dataCellStyle="Normal 2"/>
    <tableColumn id="320" xr3:uid="{00000000-0010-0000-0000-000040010000}" name="TIPO DE APOYO REALIZADO POR LA EPS" dataDxfId="391" dataCellStyle="Normal 2"/>
    <tableColumn id="321" xr3:uid="{00000000-0010-0000-0000-000041010000}" name="TIPO DE APOYO REALIZADO POR LA IPS PRIMARIA" dataDxfId="390" dataCellStyle="Normal 2"/>
    <tableColumn id="322" xr3:uid="{00000000-0010-0000-0000-000042010000}" name="FECHA SEGUIMIENTO INICIAL POR PERSONAL DE SALUD EN TERRENO" dataDxfId="389" dataCellStyle="Normal 2"/>
    <tableColumn id="304" xr3:uid="{00000000-0010-0000-0000-000030010000}" name="FECHA ÚLTIMO SEGUIMIENTO" dataDxfId="388" dataCellStyle="Normal 2"/>
    <tableColumn id="318" xr3:uid="{00000000-0010-0000-0000-00003E010000}" name="NÚMERO DE SEGUIMIENTOS CPN" dataDxfId="387" dataCellStyle="Normal 2"/>
    <tableColumn id="183" xr3:uid="{00000000-0010-0000-0000-0000B7000000}" name="HALLAZGO GESTACIÓN SEGUIMIENTO POR VISITA DOMICILIARIA" dataDxfId="386" dataCellStyle="Normal 2"/>
    <tableColumn id="332" xr3:uid="{00000000-0010-0000-0000-00004C010000}" name="FECHA SEGUIMIENTOS TELÉFONICOS" dataDxfId="385" dataCellStyle="Normal 2"/>
    <tableColumn id="266" xr3:uid="{00000000-0010-0000-0000-00000A010000}" name="NÚMERO SEGUIMIENTOS TELÉFONCOS" dataDxfId="384" dataCellStyle="Normal 2"/>
    <tableColumn id="267" xr3:uid="{00000000-0010-0000-0000-00000B010000}" name="OBSERVACIÓN SEGUIMIENTO TELÉFONCO" dataDxfId="383" dataCellStyle="Normal 2"/>
    <tableColumn id="272" xr3:uid="{00000000-0010-0000-0000-000010010000}" name="FECHA SEGUIMIENTO POR PERSONAL DE SALUD EN TERRENO  EN PUERPERIO" dataDxfId="382" dataCellStyle="Normal 2"/>
    <tableColumn id="344" xr3:uid="{00000000-0010-0000-0000-000058010000}" name="HALLAZGOS ACOMPAÑAMIENTO PERSONAL DE SALUD PUERPERA" dataDxfId="381" dataCellStyle="Normal 2"/>
    <tableColumn id="347" xr3:uid="{00000000-0010-0000-0000-00005B010000}" name="HALLAZGOS ACOMPAÑAMIENTO PERSONAL DE SALUD RECIEN NACIDO" dataDxfId="380" dataCellStyle="Normal 2"/>
    <tableColumn id="348" xr3:uid="{00000000-0010-0000-0000-00005C010000}" name="FECHA ULTIMO SEGUIMIENTO POR PERSONAL DE SALUD EN TERRENO  EN PUERPERIO" dataDxfId="379" dataCellStyle="Normal 2"/>
    <tableColumn id="349" xr3:uid="{00000000-0010-0000-0000-00005D010000}" name="NÚMERO DE SEGUIMIENTOS EN PUERPERIO" dataDxfId="378" dataCellStyle="Normal 2"/>
    <tableColumn id="350" xr3:uid="{00000000-0010-0000-0000-00005E010000}" name="FECHA PRIMER ACOMPAÑAMIENTO SABEDOR ANCESTRAL" dataDxfId="377" dataCellStyle="Normal 2"/>
    <tableColumn id="22" xr3:uid="{00000000-0010-0000-0000-000016000000}" name="TIPO DE SABEDOR" dataDxfId="376" dataCellStyle="Normal 2"/>
    <tableColumn id="191" xr3:uid="{00000000-0010-0000-0000-0000BF000000}" name="NECESIDAD O DESARMONIA DESDE LO PROPIO 1" dataDxfId="375" dataCellStyle="Normal 2"/>
    <tableColumn id="353" xr3:uid="{00000000-0010-0000-0000-000061010000}" name="ACTIVIDAD O RITUALIDAD REALIZADA1" dataDxfId="374" dataCellStyle="Normal 2"/>
    <tableColumn id="93" xr3:uid="{00000000-0010-0000-0000-00005D000000}" name="FECHA  ACOMPAÑAMIENTO SABEDOR ANCESTRAL2" dataDxfId="373" dataCellStyle="Normal 2"/>
    <tableColumn id="354" xr3:uid="{00000000-0010-0000-0000-000062010000}" name="TIPO DE SABEDOR2" dataDxfId="372" dataCellStyle="Normal 2"/>
    <tableColumn id="355" xr3:uid="{00000000-0010-0000-0000-000063010000}" name="NECESIDAD O DESARMONIA DESDE LO PROPIO 12" dataDxfId="371" dataCellStyle="Normal 2"/>
    <tableColumn id="107" xr3:uid="{00000000-0010-0000-0000-00006B000000}" name="ACTIVIDAD O RITUALIDAD REALIZADA13" dataDxfId="370" dataCellStyle="Normal 2"/>
    <tableColumn id="357" xr3:uid="{00000000-0010-0000-0000-000065010000}" name="FECHA ACOMPAÑAMIENTO SABEDOR ANCESTRAL3" dataDxfId="369" dataCellStyle="Normal 2"/>
    <tableColumn id="358" xr3:uid="{00000000-0010-0000-0000-000066010000}" name="TIPO DE SABEDOR3" dataDxfId="368" dataCellStyle="Normal 2"/>
    <tableColumn id="359" xr3:uid="{00000000-0010-0000-0000-000067010000}" name="NECESIDAD O DESARMONIA DESDE LO PROPIO 13" dataDxfId="367" dataCellStyle="Normal 2"/>
    <tableColumn id="360" xr3:uid="{00000000-0010-0000-0000-000068010000}" name="ACTIVIDAD O RITUALIDAD REALIZADA14" dataDxfId="366" dataCellStyle="Normal 2"/>
    <tableColumn id="361" xr3:uid="{00000000-0010-0000-0000-000069010000}" name="FECHA ACOMPAÑAMIENTO SABEDOR ANCESTRAL4" dataDxfId="365" dataCellStyle="Normal 2"/>
    <tableColumn id="109" xr3:uid="{00000000-0010-0000-0000-00006D000000}" name="TIPO DE SABEDOR4" dataDxfId="364" dataCellStyle="Normal 2"/>
    <tableColumn id="362" xr3:uid="{00000000-0010-0000-0000-00006A010000}" name="NECESIDAD O DESARMONIA DESDE LO PROPIO 14" dataDxfId="363" dataCellStyle="Normal 2"/>
    <tableColumn id="364" xr3:uid="{00000000-0010-0000-0000-00006C010000}" name="ACTIVIDAD O RITUALIDAD REALIZADA15" dataDxfId="362" dataCellStyle="Normal 2"/>
    <tableColumn id="365" xr3:uid="{00000000-0010-0000-0000-00006D010000}" name="FECHA ACOMPAÑAMIENTO SABEDOR ANCESTRAL5" dataDxfId="361" dataCellStyle="Normal 2"/>
    <tableColumn id="366" xr3:uid="{00000000-0010-0000-0000-00006E010000}" name="TIPO DE SABEDOR5" dataDxfId="360" dataCellStyle="Normal 2"/>
    <tableColumn id="367" xr3:uid="{00000000-0010-0000-0000-00006F010000}" name="NECESIDAD O DESARMONIA DESDE LO PROPIO 15" dataDxfId="359" dataCellStyle="Normal 2"/>
    <tableColumn id="369" xr3:uid="{00000000-0010-0000-0000-000071010000}" name="ACTIVIDAD O RITUALIDAD REALIZADA16" dataDxfId="358" dataCellStyle="Normal 2"/>
    <tableColumn id="370" xr3:uid="{00000000-0010-0000-0000-000072010000}" name="FECHA ACOMPAÑAMIENTO SABEDOR ANCESTRAL PUERPERIO Y RECIEN NACIDO" dataDxfId="357" dataCellStyle="Normal 2"/>
    <tableColumn id="371" xr3:uid="{00000000-0010-0000-0000-000073010000}" name="TIPO DE SABEDOR6" dataDxfId="356" dataCellStyle="Normal 2"/>
    <tableColumn id="372" xr3:uid="{00000000-0010-0000-0000-000074010000}" name="NECESIDAD O DESARMONIA DESDE LO PROPIO 16" dataDxfId="355" dataCellStyle="Normal 2"/>
    <tableColumn id="69" xr3:uid="{00000000-0010-0000-0000-000045000000}" name="ACTIVIDAD O RITUALIDAD REALIZADA 6" dataDxfId="354" dataCellStyle="Normal 2"/>
    <tableColumn id="374" xr3:uid="{00000000-0010-0000-0000-000076010000}" name="FECHA ACOMPAÑAMIENTO SABEDOR ANCESTRAL PUERPERIO Y RECIEN NACIDO2" dataDxfId="353" dataCellStyle="Normal 2"/>
    <tableColumn id="182" xr3:uid="{00000000-0010-0000-0000-0000B6000000}" name="TIPO DE SABEDOR7" dataDxfId="352" dataCellStyle="Normal 2"/>
    <tableColumn id="274" xr3:uid="{00000000-0010-0000-0000-000012010000}" name="NECESIDAD O DESARMONIA DESDE LO PROPIO 17" dataDxfId="351" dataCellStyle="Normal 2"/>
    <tableColumn id="292" xr3:uid="{00000000-0010-0000-0000-000024010000}" name="ACTIVIDAD O RITUALIDAD REALIZADA18" dataDxfId="350" dataCellStyle="Normal 2"/>
    <tableColumn id="323" xr3:uid="{00000000-0010-0000-0000-000043010000}" name="FECHA ACOMPAÑAMIENTO SABEDOR ANCESTRAL PUERPERIO Y RECIEN NACIDO22" dataDxfId="349" dataCellStyle="Normal 2"/>
    <tableColumn id="324" xr3:uid="{00000000-0010-0000-0000-000044010000}" name="TIPO DE SABEDOR73" dataDxfId="348" dataCellStyle="Normal 2"/>
    <tableColumn id="325" xr3:uid="{00000000-0010-0000-0000-000045010000}" name="NECESIDAD O DESARMONIA DESDE LO PROPIO 174" dataDxfId="347" dataCellStyle="Normal 2"/>
    <tableColumn id="326" xr3:uid="{00000000-0010-0000-0000-000046010000}" name="ACTIVIDAD O RITUALIDAD REALIZADA185" dataDxfId="346" dataCellStyle="Normal 2"/>
    <tableColumn id="327" xr3:uid="{00000000-0010-0000-0000-000047010000}" name="FECHA ACOMPAÑAMIENTO SABEDOR ANCESTRAL PUERPERIO Y RECIEN NACIDO222" dataDxfId="345" dataCellStyle="Normal 2"/>
    <tableColumn id="328" xr3:uid="{00000000-0010-0000-0000-000048010000}" name="TIPO DE SABEDOR733" dataDxfId="344" dataCellStyle="Normal 2"/>
    <tableColumn id="329" xr3:uid="{00000000-0010-0000-0000-000049010000}" name="NECESIDAD O DESARMONIA DESDE LO PROPIO 1744" dataDxfId="343" dataCellStyle="Normal 2"/>
    <tableColumn id="330" xr3:uid="{00000000-0010-0000-0000-00004A010000}" name="ACTIVIDAD O RITUALIDAD REALIZADA1855" dataDxfId="342" dataCellStyle="Normal 2"/>
    <tableColumn id="331" xr3:uid="{00000000-0010-0000-0000-00004B010000}" name="FECHA ACOMPAÑAMIENTO SABEDOR ANCESTRAL PUERPERIO Y RECIEN NACIDO2222" dataDxfId="341" dataCellStyle="Normal 2"/>
    <tableColumn id="375" xr3:uid="{00000000-0010-0000-0000-000077010000}" name="TIPO DE SABEDOR7333" dataDxfId="340" dataCellStyle="Normal 2"/>
    <tableColumn id="376" xr3:uid="{00000000-0010-0000-0000-000078010000}" name="NECESIDAD O DESARMONIA DESDE LO PROPIO 17444" dataDxfId="339" dataCellStyle="Normal 2"/>
    <tableColumn id="377" xr3:uid="{00000000-0010-0000-0000-000079010000}" name="ACTIVIDAD O RITUALIDAD REALIZADA18555" dataDxfId="338" dataCellStyle="Normal 2"/>
    <tableColumn id="383" xr3:uid="{00000000-0010-0000-0000-00007F010000}" name="TOTAL SEGUIMIENTOS POR PARTERA" dataDxfId="337">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36">
      <calculatedColumnFormula>IF(BX2="","",IF(OR(BX2="CEFÁLICA",BX2="SD"),0,IF(OR(BX2="PODÁLICA",BX2="TRANSVERSA O DE FRENTE",BX2="OBLICUA"),3,"")))</calculatedColumnFormula>
    </tableColumn>
    <tableColumn id="379" xr3:uid="{00000000-0010-0000-0000-00007B010000}" name="PUNTAJE TAMIZAJE CHAGAS RBPS5" dataDxfId="335">
      <calculatedColumnFormula>IF(HD2="","",IF(HD2="POSITIVO",2,"0"))</calculatedColumnFormula>
    </tableColumn>
    <tableColumn id="380" xr3:uid="{00000000-0010-0000-0000-00007C010000}" name="PUNTAJE TAMIZAJE MALARIA RBPS6" dataDxfId="334">
      <calculatedColumnFormula>IF(AND(HF2="",HH2=""),"",IF(OR(HF2="POSITIVO",HH2="POSITIVO"),3,0))</calculatedColumnFormula>
    </tableColumn>
    <tableColumn id="231" xr3:uid="{00000000-0010-0000-0000-0000E7000000}" name="PUNTAJE TOTAL ERBPS2" dataDxfId="333">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32">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31">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30">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29"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28"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27"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26" dataCellStyle="Normal 2">
      <calculatedColumnFormula>COUNT(FG2,FJ2,FM2,FO2)</calculatedColumnFormula>
    </tableColumn>
    <tableColumn id="392" xr3:uid="{00000000-0010-0000-0000-000088010000}" name="# DE TAMIZAJES VIH TOMADOS " dataDxfId="325" dataCellStyle="Normal 2">
      <calculatedColumnFormula>COUNT(GA2,GD2,GG2,GI2)</calculatedColumnFormula>
    </tableColumn>
    <tableColumn id="396" xr3:uid="{00000000-0010-0000-0000-00008C010000}" name="Alarma de apoyo Tamizaje Sífilis" dataDxfId="324"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23"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22"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21"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10"/>
  <sheetViews>
    <sheetView tabSelected="1" zoomScale="70" zoomScaleNormal="70" zoomScaleSheetLayoutView="76" workbookViewId="0">
      <pane ySplit="1" topLeftCell="A2" activePane="bottomLeft" state="frozen"/>
      <selection pane="bottomLeft" activeCell="H22" sqref="H22"/>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313</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4"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34.5" customHeight="1" x14ac:dyDescent="0.25">
      <c r="A2" s="187" t="s">
        <v>851</v>
      </c>
      <c r="B2" s="68"/>
      <c r="C2" s="68"/>
      <c r="D2" s="187"/>
      <c r="E2" s="68"/>
      <c r="F2" s="68"/>
      <c r="G2" s="68"/>
      <c r="H2" s="68"/>
      <c r="I2" s="145"/>
      <c r="J2" s="146"/>
      <c r="K2" s="68"/>
      <c r="L2" s="68"/>
      <c r="M2" s="35"/>
      <c r="N2" s="38" t="str">
        <f t="shared" ref="N2:N10" ca="1" si="0">IF(M2&gt;0,SUM(TODAY()-M2)/365,"")</f>
        <v/>
      </c>
      <c r="O2" s="35"/>
      <c r="P2" s="39" t="str">
        <f t="shared" ref="P2:P10"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 si="2">IF(OR(BJ2="SD",BK2=""),"",IF(BJ2="",0,SUM(BK2-BJ2)/30))</f>
        <v/>
      </c>
      <c r="BN2" s="57" t="str">
        <f t="shared" ref="BN2" si="3">IF(BS2&gt;0,SUM(BR2-NQ2),"")</f>
        <v/>
      </c>
      <c r="BO2" s="44" t="str">
        <f t="shared" ref="BO2" si="4">IF(AND(BL2="Corregida",BK2&gt;0,R2&gt;0,ISBLANK(BS2)),"SIN SEMANAS X ECO",IF(AND(BL2="Corregida",BK2&gt;0,R2&gt;0),SUM(R2-BN2)/7,IF(AND(OR(BL2="SI",BL2="NO"),BK2&gt;0,R2&gt;0),SUM(R2-BK2)/7,"")))</f>
        <v/>
      </c>
      <c r="BP2" s="31" t="str">
        <f t="shared" ref="BP2" si="5">IF(AND(BO2="",IP2=""),"",IF(AND(BO2="",IP2="DEFINIR FPP POR ECO"),"SIN DATO",IF(BO2&lt;0,"ERROR FUM O INGRESO O ECO",IF(BL2="NO","DEFINIR CON ECO",IF(BO2&lt;12,"I TRIM",IF(BO2&lt;27,"II TRIM",IF(AND(BO2&gt;26,BO2&lt;45),"III TRIM","ERROR FUM O INGRESO O ECO")))))))</f>
        <v/>
      </c>
      <c r="BQ2" s="39" t="str">
        <f t="shared" ref="BQ2" ca="1" si="6">IF(SUM((TODAY()-BK2)/7)&gt;43.1,"",IF(AND(BK2&gt;0,OR(BL2="si",BL2="Corregida",BL2="NO")),SUM((TODAY()-BK2)/7),""))</f>
        <v/>
      </c>
      <c r="BR2" s="35"/>
      <c r="BS2" s="43"/>
      <c r="BT2" s="35"/>
      <c r="BU2" s="31"/>
      <c r="BV2" s="40"/>
      <c r="BW2" s="40"/>
      <c r="BX2" s="40"/>
      <c r="BY2" s="40"/>
      <c r="BZ2" s="35"/>
      <c r="CA2" s="31"/>
      <c r="CB2" s="31"/>
      <c r="CC2" s="39" t="str">
        <f t="shared" ref="CC2" si="7">IF(AND(OR(O2&gt;0,R2&gt;0),CA2=""),"SD",IF(AND(OR(O2="",R2=""),CA2=""),"",IF(AND(OR(O2&gt;0,R2&gt;0),CA2&gt;0,CB2&gt;0),SUM(CB2)/(CA2*CA2),"X")))</f>
        <v/>
      </c>
      <c r="CD2" s="45" t="str">
        <f t="shared" ref="CD2" si="8">IF(AND(CC2&lt;10,CB2="SD"),"SIN DATO PESO PREGESTACION O I TRIM",IF(AND(OR(R2&gt;0,O2&gt;0),CC2="X"),"INGRESAR DATO DE PESO",IF(CC2="SD","INGRESAR DATO DE TALLA Y PESO",IF(CC2&lt;18.5,"BAJO PESO",IF(CC2&lt;25,"NORMAL",IF(CC2&lt;30,"SOBREPESO",IF(AND(CC2&gt;=30,CC2&lt;50),"OBESIDAD","")))))))</f>
        <v/>
      </c>
      <c r="CE2" s="35"/>
      <c r="CF2" s="31"/>
      <c r="CG2" s="39" t="str">
        <f t="shared" ref="CG2" si="9">IF(AND(OR(O2&gt;0,R2&gt;0),CA2=""),"SD",IF(AND(OR(O2="",R2=""),CA2=""),"",IF(AND(OR(O2&gt;0,R2&gt;0),CA2&gt;0),SUM(CF2)/(CA2*CA2),"X")))</f>
        <v/>
      </c>
      <c r="CH2" s="31" t="str">
        <f t="shared" ref="CH2"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 si="11">IF(AND(OR(O2&gt;0,R2&gt;0),CA2=""),"SD",IF(AND(OR(O2="",R2=""),CA2=""),"",IF(AND(OR(O2&gt;0,R2&gt;0),CA2&gt;0),SUM(CK2)/(CA2*CA2),"X")))</f>
        <v/>
      </c>
      <c r="CM2" s="31" t="str">
        <f t="shared" ref="CM2" si="12">IF(AND(CJ2="",BK2=""),"",IF(AND(BK2&gt;0,CJ2=""),"NA",IF(CJ2&lt;BK2,"REVISAR FUM O FECHA PESO",IF(CJ2&gt;0,INT(SUM(CJ2-BK2)/7)))))</f>
        <v/>
      </c>
      <c r="CN2" s="31" t="str">
        <f>IF(OR(CM2="",CM2="NA"),"",IF(AND(CM2&gt;0,CM2&lt;=28),"REGISTRAR EN  TRIM RESPECTIVO",IF(CM2&gt;0,HLOOKUP(CM2,$OI$1:PK2,OH2),"")))</f>
        <v/>
      </c>
      <c r="CO2" s="31" t="str">
        <f t="shared" ref="CO2" si="13">IF(AND(OR(O2&gt;0,R2&gt;0),CD2&lt;&gt;"",CI2&lt;&gt;"",CN2&lt;&gt;""),CN2,IF(AND(OR(O2&gt;0,R2&gt;0),CD2&lt;&gt;"",CI2&lt;&gt;"",CN2=""),CI2,IF(AND(OR(O2&gt;0,R2&gt;0),CD2&lt;&gt;"",CI2="",CN2=""),CD2,IF(AND(OR(O2&gt;0,R2&gt;0),CD2&lt;&gt;"",CI2="",CN2&lt;&gt;""),CN2,""))))</f>
        <v/>
      </c>
      <c r="CP2" s="31"/>
      <c r="CQ2" s="31"/>
      <c r="CR2" s="37" t="str">
        <f t="shared" ref="CR2:CR10"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10"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10"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 si="20">IF(AND(DU2="",BK2="",R2=""),"",IF(AND(R2="",BK2&gt;0,DU2=""),"",IF(AND(R2&gt;0,DU2&lt;BK2),"REVISAR FUM O FECHA PESO",IF(AND(R2&gt;0,DU2&gt;0,BK2=""),"SD",IF(AND(R2&gt;0,DU2&gt;0,BK2&gt;0),INT(SUM(DU2-BK2)/7))))))</f>
        <v/>
      </c>
      <c r="DW2" s="43" t="str">
        <f>IF(R2&gt;0,SUM(COUNTA(DC2:DN2)+COUNTA(Tabla1[[#This Row],[FECHA CONSULTA PRIMERA VEZ PROGRAMA CPN ]])),"")</f>
        <v/>
      </c>
      <c r="DX2" s="43" t="str">
        <f t="shared" ref="DX2" si="21">IF(AND(DW2&gt;=0,DW2&lt;4),"NO",IF(AND(DW2&gt;=4,DW2&lt;12),"SI",""))</f>
        <v/>
      </c>
      <c r="DY2" s="39" t="str">
        <f t="shared" ref="DY2" si="22">IF(BO2="","",IF(BO2&gt;0,INT(SUM(((40-BO2)/4)+2)),"X"))</f>
        <v/>
      </c>
      <c r="DZ2" s="47" t="str">
        <f t="shared" ref="DZ2" si="23">IF(DY2="","",IF(DW2&gt;0,SUM(DW2/DY2),"X"))</f>
        <v/>
      </c>
      <c r="EA2" s="35"/>
      <c r="EB2" s="35"/>
      <c r="EC2" s="35"/>
      <c r="ED2" s="35"/>
      <c r="EE2" s="35"/>
      <c r="EF2" s="35"/>
      <c r="EG2" s="35"/>
      <c r="EH2" s="31"/>
      <c r="EI2" s="31"/>
      <c r="EJ2" s="35"/>
      <c r="EK2" s="43" t="str">
        <f t="shared" ref="EK2" si="24">IF(AND(BP2="ERROR FUM O INGRESO",EJ2&gt;0),"ERROR FUM O INGRESO",IF(AND(EJ2="",R2="",O2=""),"",IF(OR(AND(EJ2&lt;&gt;"",EJ2&lt;BK2),AND(EJ2&lt;&gt;"",SUM((EJ2-BK2)/7)&gt;40)),"CORREGIR FECHA RESULTADO",IF(AND(EJ2="",OR(O2&gt;0,R2&gt;0)),"TOMAR EXAMEN",IF(EJ2&gt;0,SUM(EJ2-BK2)/7,"")))))</f>
        <v/>
      </c>
      <c r="EL2" s="39" t="str">
        <f t="shared" ref="EL2" si="25">IF(AND(OR(O2&gt;0,R2&gt;0),EI2=""),"",IF(AND(OR(O2&gt;0,R2&gt;0),EI2&gt;0,EI2&lt;11),"MANEJO MD POR ANEMIA FERROPENICA",IF(AND(OR(O2&gt;0,R2&gt;0),EI2&lt;=14),"NORMAL- SUMINISTRAR SULFATO FERROSO",IF(AND(OR(O2&gt;0,R2&gt;0),EI2&lt;20),"NO DAR SULFATO FERROSO",""))))</f>
        <v/>
      </c>
      <c r="EM2" s="31" t="str">
        <f t="shared" ref="EM2" si="26">IF(AND(EK2="",BP2=""),"",IF(AND(EK2&lt;&gt;"",BP2="SIN DATO"),"SIN DATO",IF(AND(EK2="",BP2&lt;&gt;""),"",IF(AND(EK2&lt;0,BP2&gt;0),"ERROR FUM O INGRESO",IF(EK2&lt;=13,"I TRIM",IF(EK2&lt;28,"II TRIM",IF(AND(EK2&gt;27,EK2&lt;45),"III TRIM","POR DEFINIR")))))))</f>
        <v/>
      </c>
      <c r="EN2" s="37"/>
      <c r="EO2" s="35"/>
      <c r="EP2" s="44" t="str">
        <f t="shared" ref="EP2" si="27">IF(AND(BP2="ERROR FUM O INGRESO",EO2&gt;0),"ERROR FUM O INGRESO",IF(AND(EO2="",R2="",O2=""),"",IF(OR(AND(EO2&lt;&gt;"",EO2&lt;BK2),AND(EO2&lt;&gt;"",SUM((EO2-BK2)/7)&gt;40)),"CORREGIR FECHA RESULTADO",IF(AND(EO2="",OR(O2&gt;0,R2&gt;0)),"TOMAR EXAMEN",IF(EO2&gt;0,SUM(EO2-BK2)/7,"")))))</f>
        <v/>
      </c>
      <c r="EQ2" s="39" t="str">
        <f t="shared" ref="EQ2" si="28">IF(AND(OR(O2&gt;0,R2&gt;0),EN2=""),"",IF(AND(OR(O2&gt;0,R2&gt;0),EN2&gt;0,EN2&lt;10.5),"MANEJO MD POR ANEMIA FERROPENICA",IF(AND(OR(O2&gt;0,R2&gt;0),EN2&lt;14),"NORMAL- SUMINISTRAR SULFATO FERROSO",IF(AND(OR(O2&gt;0,R2&gt;0),EN2&lt;20),"NO DAR SULFATO FERROSO",""))))</f>
        <v/>
      </c>
      <c r="ER2" s="37"/>
      <c r="ES2" s="35"/>
      <c r="ET2" s="44" t="str">
        <f t="shared" ref="ET2" si="29">IF(AND(BP2="ERROR FUM O INGRESO",ES2&gt;0),"ERROR FUM O INGRESO",IF(AND(ES2="",R2="",O2=""),"",IF(OR(AND(ES2&lt;&gt;"",ES2&lt;BK2),AND(ES2&lt;&gt;"",SUM((ES2-BK2)/7)&gt;40)),"CORREGIR FECHA RESULTADO",IF(AND(ES2="",OR(O2&gt;0,R2&gt;0)),"TOMAR EXAMEN",IF(ES2&gt;0,SUM(ES2-BK2)/7,"")))))</f>
        <v/>
      </c>
      <c r="EU2" s="39" t="str">
        <f t="shared" ref="EU2"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10" si="31">IF(AND(BP2="ERROR FUM O INGRESO",EW2&gt;0),"ERROR FUM O INGRESO",IF(AND(EW2="",R2="",O2=""),"",IF(OR(AND(EW2&lt;&gt;"",EW2&lt;BK2),AND(EW2&lt;&gt;"",SUM((EW2-BK2)/7)&gt;40)),"CORREGIR FECHA RESULTADO",IF(AND(EW2="",OR(O2&gt;0,R2&gt;0)),"TOMAR EXAMEN",IF(EW2&gt;0,SUM(EW2-BK2)/7,"")))))</f>
        <v/>
      </c>
      <c r="EY2" s="44"/>
      <c r="EZ2" s="44"/>
      <c r="FA2" s="44"/>
      <c r="FB2" s="31" t="str">
        <f t="shared" ref="FB2:FB10"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10" si="33">IF(AND(BP2="ERROR FUM O INGRESO",FC2&gt;0),"ERROR FUM O INGRESO",IF(AND(FC2="",R2="",O2=""),"",IF(OR(AND(FC2&lt;&gt;"",FC2&lt;BK2),AND(FC2&lt;&gt;"",SUM((FC2-BK2)/7)&gt;40)),"CORREGIR FECHA RESULTADO",IF(AND(FC2="",OR(O2&gt;0,R2&gt;0)),"TOMAR EXAMEN",IF(FC2&gt;0,SUM(FC2-BK2)/7,"")))))</f>
        <v/>
      </c>
      <c r="FE2" s="35"/>
      <c r="FF2" s="35"/>
      <c r="FG2" s="44" t="str">
        <f t="shared" ref="FG2:FG10"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10"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10"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10" si="37">IF(AND(BP2="ERROR FUM O INGRESO",FR2&gt;0),"ERROR FUM O INGRESO",IF(AND(FR2="",R2="",O2=""),"",IF(OR(AND(FR2&lt;&gt;"",FR2&lt;BK2),AND(FR2&lt;&gt;"",SUM((FR2-BK2)/7)&gt;40)),"CORREGIR FECHA RESULTADO",IF(AND(FR2="",OR(O2&gt;0,R2&gt;0)),"TOMAR EXAMEN",IF(FR2&gt;0,SUM(FR2-BK2)/7,"")))))</f>
        <v/>
      </c>
      <c r="FT2" s="43"/>
      <c r="FU2" s="35"/>
      <c r="FV2" s="44" t="str">
        <f t="shared" ref="FV2:FV10" si="38">IF(AND(BP2="ERROR FUM O INGRESO",FU2&gt;0),"ERROR FUM O INGRESO",IF(AND(FU2="",R2="",O2=""),"",IF(OR(AND(FU2&lt;&gt;"",FU2&lt;BK2),AND(FU2&lt;&gt;"",SUM((FU2-BK2)/7)&gt;40)),"CORREGIR FECHA RESULTADO",IF(AND(FU2="",OR(O2&gt;0,R2&gt;0)),"TOMAR EXAMEN",IF(FU2&gt;0,SUM(FU2-BK2)/7,"")))))</f>
        <v/>
      </c>
      <c r="FW2" s="35"/>
      <c r="FX2" s="35"/>
      <c r="FY2" s="35"/>
      <c r="FZ2" s="35"/>
      <c r="GA2" s="44" t="str">
        <f t="shared" ref="GA2:GA10"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10"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10"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10" si="42">IF(AND(BP2="ERROR FUM O INGRESO",GO2&gt;0),"ERROR FUM O INGRESO",IF(AND(GO2="",R2="",O2=""),"",IF(OR(AND(GO2&lt;&gt;"",GO2&lt;BK2),AND(GO2&lt;&gt;"",SUM((GO2-BK2)/7)&gt;40)),"CORREGIR FECHA RESULTADO",IF(AND(GO2="",OR(O2&gt;0,R2&gt;0)),"TOMAR EXAMEN",IF(GO2&gt;0,SUM(GO2-BK2)/7,"")))))</f>
        <v/>
      </c>
      <c r="GQ2" s="43"/>
      <c r="GR2" s="43"/>
      <c r="GS2" s="35" t="str">
        <f t="shared" ref="GS2:GS10" si="43">IF(GQ2="NEGATIVO","CONTROL Igm",IF(AND(GQ2="POSITIVO",GR2="NEGATIVO"),"SE EXCLUYE INFECCION",IF(AND(GQ2="POSITIVO",GR2="POSITIVO"),"TOXOPLASMOSIS, REMITIR PARA MANEJO","")))</f>
        <v/>
      </c>
      <c r="GT2" s="35"/>
      <c r="GU2" s="44" t="str">
        <f t="shared" ref="GU2" si="44">IF(AND(BP2="ERROR FUM O INGRESO",GT2&gt;0),"ERROR FUM O INGRESO",IF(AND(GT2="",R2="",O2=""),"",IF(OR(AND(GT2&lt;&gt;"",GT2&lt;BK2),AND(GT2&lt;&gt;"",SUM((GT2-BK2)/7)&gt;40)),"CORREGIR FECHA RESULTADO",IF(AND(GT2="",OR(O2&gt;0,R2&gt;0)),"TOMAR EXAMEN",IF(GT2&gt;0,SUM(GT2-BK2)/7,"")))))</f>
        <v/>
      </c>
      <c r="GV2" s="31" t="str">
        <f t="shared" ref="GV2" si="45">IF(AND(GU2="",BP2=""),"",IF(AND(GU2&lt;&gt;"",BP2="SIN DATO"),"SIN DATO",IF(AND(GU2="",BP2&lt;&gt;""),"",IF(AND(GU2&lt;0,BP2&gt;0),"ERROR FUM O INGRESO",IF(GU2&lt;=13,"I TRIM",IF(GU2&lt;28,"II TRIM",IF(AND(GU2&gt;27,GU2&lt;45),"III TRIM","POR DEFINIR")))))))</f>
        <v/>
      </c>
      <c r="GW2" s="43"/>
      <c r="GX2" s="46"/>
      <c r="GY2" s="31"/>
      <c r="GZ2" s="35"/>
      <c r="HA2" s="43" t="str">
        <f t="shared" ref="HA2" si="46">IF(GZ2&gt;0,SUM(GZ2-BK2)/7,"")</f>
        <v/>
      </c>
      <c r="HB2" s="31" t="str">
        <f t="shared" ref="HB2" si="47">IF(HA2&lt;0,"ANTES DEL EMBARAZO",IF(AND(HA2&gt;0,HA2&lt;13),"I TRIM",IF(AND(HA2&gt;12,HA2&lt;28),"II TRIM",IF(AND(HA2&gt;27,HA2&lt;41),"III TRIM",""))))</f>
        <v/>
      </c>
      <c r="HC2" s="31" t="str">
        <f t="shared" ref="HC2"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10"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10"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 si="58">IF(OR(BL2="SI",BL2="Corregida",BL2="NO"),(BK2+280),IF(BL2="Sin Dato","DEFINIR FPP POR ECO",""))</f>
        <v/>
      </c>
      <c r="IQ2" s="44" t="str">
        <f t="shared" ref="IQ2" ca="1" si="59">IF(OR(IP2="DEFINIR FPP POR ECO",BP2="ERROR FUM O INGRESO"),"SIN DEFINIR",IF(IP2="","",IF(IP2&gt;0,SUM(IP2-TODAY()),"X")))</f>
        <v/>
      </c>
      <c r="IR2" s="35" t="str">
        <f t="shared" ref="IR2" ca="1" si="60">IF(IQ2&lt;0,"POSIBLEMENTE NACIO",IF(IQ2="SIN DEFINIR","SIN DATO",IF(AND(IQ2&gt;=0,IQ2&lt;=7),"SEMANA DE PARTO",IF(AND(IQ2&gt;=8,IQ2&lt;=28),"MENOS DE 4 SEMANAS",IF(AND(IQ2&gt;=29,IQ2&lt;=280),"PENDIENTE","")))))</f>
        <v/>
      </c>
      <c r="IS2" s="35"/>
      <c r="IT2" s="31"/>
      <c r="IU2" s="31"/>
      <c r="IV2" s="51"/>
      <c r="IW2" s="35"/>
      <c r="IX2" s="31"/>
      <c r="IY2" s="44" t="str">
        <f t="shared" ref="IY2:IY10" si="61">IF(AND(IW2&gt;0,IT2&lt;&gt;""),SUM(IW2-BK2)/7,"")</f>
        <v/>
      </c>
      <c r="IZ2" s="52"/>
      <c r="JA2" s="31"/>
      <c r="JB2" s="31"/>
      <c r="JC2" s="31"/>
      <c r="JD2" s="31"/>
      <c r="JE2" s="31"/>
      <c r="JF2" s="31"/>
      <c r="JG2" s="31"/>
      <c r="JH2" s="31"/>
      <c r="JI2" s="31"/>
      <c r="JJ2" s="31"/>
      <c r="JK2" s="46"/>
      <c r="JL2" s="31"/>
      <c r="JM2" s="53"/>
      <c r="JN2" s="31" t="str">
        <f t="shared" ref="JN2:JN10"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10"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10" si="64">IF(AND(KF2&lt;&gt;"",KF2&lt;IW2),"INCONSISTENCIA FECHA CONTROL",IF(AND(OR(IT2="Parto",IT2="Cesarea"),KF2&gt;0,IW2&gt;0),SUM(KF2-IW2),IF(AND(OR(IT2="Parto",IT2="Cesarea"),KF2="",IW2&gt;0),"INASISTENTE","")))</f>
        <v/>
      </c>
      <c r="KH2" s="50"/>
      <c r="KI2" s="43" t="str">
        <f t="shared" ref="KI2:KI10"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 si="66">SUM(COUNTIF(LD2,"PARTERO (A)"),COUNTIF(LH2,"PARTERO (A)"),COUNTIF(LL2,"PARTERO (A)"),COUNTIF(LP2,"PARTERO (A)"),COUNTIF(LT2,"PARTERO (A)"),COUNTIF(LX2,"PARTERO (A)"),COUNTIF(MN2,"PARTERO (A)"))</f>
        <v>0</v>
      </c>
      <c r="MR2" t="str">
        <f t="shared" ref="MR2:MR10" si="67">IF(AND(R2="",O2=""),"",IF(AND(OR(O2&gt;0,R2&gt;0),LC2&gt;0),SUM(LC2-BK2)/7,""))</f>
        <v/>
      </c>
      <c r="MS2" t="str">
        <f t="shared" ref="MS2:MS10" si="68">IF(AND(MR2="",BP2=""),"",IF(AND(MR2&lt;&gt;"",BP2="SIN DATO"),"SIN DATO",IF(AND(MR2="",BP2&lt;&gt;""),"",IF(AND(MR2&lt;0,BP2&gt;0),"ERROR FUM O INGRESO",IF(MR2&lt;=13,"I TRIM",IF(MR2&lt;28,"II TRIM",IF(AND(MR2&gt;27,MR2&lt;45),"III TRIM","POR DEFINIR")))))))</f>
        <v/>
      </c>
      <c r="MT2">
        <f t="shared" ref="MT2"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10" si="70">IF(AND(O2&gt;0,BK2&gt;0),SUM(O2-BK2)/7,"")</f>
        <v/>
      </c>
      <c r="MW2" t="str">
        <f t="shared" ref="MW2:MW10" si="71">IF(R2&gt;0,MONTH(R2),"")</f>
        <v/>
      </c>
      <c r="MX2" t="str">
        <f t="shared" ref="MX2:MX10" si="72">IF(R2&gt;0,YEAR(R2),"")</f>
        <v/>
      </c>
      <c r="MY2" t="str">
        <f t="shared" ref="MY2" si="73">IF(AND(MW2&gt;=1,MW2&lt;=3),"I TRIMESTRE AÑO",IF(AND(MW2&gt;=4,MW2&lt;=6),"II TRIMESTRE AÑO",IF(AND(MW2&gt;=7,MW2&lt;=9),"III TRIMESTRE AÑO",IF(AND(MW2&gt;=10,MW2&lt;=12),"IV TRIMESTRE AÑO",""))))</f>
        <v/>
      </c>
      <c r="MZ2" t="str">
        <f t="shared" ref="MZ2:MZ10" si="74">IF(AND(M2&gt;0,R2&gt;0),DAYS360(M2,R2)/30.44/12,IF(AND(M2&gt;0,O2&gt;0,R2=""),DAYS360(M2,O2)/30.44/12,""))</f>
        <v/>
      </c>
      <c r="NA2" t="str">
        <f t="shared" ref="NA2" si="75">IF(AND(MZ2&gt;7,MZ2&lt;14),2,IF(MZ2&lt;16,1,IF(MZ2&lt;=35,0,IF(AND(MZ2&gt;35,MZ2&lt;50),2,""))))</f>
        <v/>
      </c>
      <c r="NB2" t="str">
        <f t="shared" ref="NB2" si="76">+IF(MZ2="","",IF(MZ2&lt;14,"MENOR 14 AÑOS",IF(MZ2&lt;20,"DE 14 A 19AÑOS",IF(MZ2&lt;25," DE 20 A 24 AÑOS",IF(MZ2&lt;30," DE 25 A 29 AÑOS",IF(MZ2&lt;35," DE 30 A 34 AÑOS",IF(MZ2&lt;40," DE 35 A 39 AÑOS"," DE 40 Y MAS")))))))</f>
        <v/>
      </c>
      <c r="NC2" t="str">
        <f t="shared" ref="NC2:NC10" si="77">IF(AW2="SI",1,IF(AW2="NO",0,""))</f>
        <v/>
      </c>
      <c r="ND2" t="str">
        <f t="shared" ref="ND2:ND10" si="78">IF(AS2="","",IF(AS2=0,1,IF(AND(AS2&gt;=1,AS2&lt;=4),0,IF(AS2&gt;=5,2,"X"))))</f>
        <v/>
      </c>
      <c r="NE2" t="str">
        <f t="shared" ref="NE2:NE10" si="79">IF(AV2="","",IF(AV2=0,0,IF(AV2=1,1,IF(OR(AV2=2,AV2="3 O MAS"),2,"X"))))</f>
        <v/>
      </c>
      <c r="NF2" t="str">
        <f t="shared" ref="NF2:NF10" si="80">IF(AX2="SI",1,IF(AX2="NO",0,""))</f>
        <v/>
      </c>
      <c r="NG2" t="str">
        <f t="shared" ref="NG2:NG10" si="81">IF(OR(AND(EI2&gt;0,EI2&lt;11),AND(EN2&gt;0,EN2&lt;10.5)),1,"")</f>
        <v/>
      </c>
      <c r="NH2" t="str">
        <f t="shared" ref="NH2:NH10" ca="1" si="82">IF(AND(AND(BQ2&gt;40.9,BQ2&lt;43),IW2=""),1,"")</f>
        <v/>
      </c>
      <c r="NI2" t="str">
        <f t="shared" ref="NI2:NI10" si="83">IF(AND(FY2="",GB2="",GE2="",GH2=""),"",IF(OR(OR(FY2="P.R REACTIVA",FY2="ELISA REACTIVA"),OR(GB2="P.R REACTIVA",GB2="ELISA REACTIVA"),OR(GE2="P.R REACTIVA",GE2="ELISA REACTIVA"),OR(GH2="P.R REACTIVA",GH2="ELISA REACTIVA")),3,""))</f>
        <v/>
      </c>
      <c r="NJ2" t="str">
        <f t="shared" ref="NJ2:NJ10" si="84">IF(BX2="","",IF(OR(BX2="CEFÁLICA",BX2="SD"),0,IF(OR(BX2="PODÁLICA",BX2="TRANSVERSA O DE FRENTE",BX2="OBLICUA"),3,"")))</f>
        <v/>
      </c>
      <c r="NK2" t="str">
        <f t="shared" ref="NK2:NK10" si="85">IF(HD2="","",IF(HD2="POSITIVO",2,"0"))</f>
        <v/>
      </c>
      <c r="NL2" t="str">
        <f t="shared" ref="NL2:NL10" si="86">IF(AND(HF2="",HH2=""),"",IF(OR(HF2="POSITIVO",HH2="POSITIVO"),3,0))</f>
        <v/>
      </c>
      <c r="NM2" t="str">
        <f t="shared" ref="NM2:NM10"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10" si="88">IF(AND(R2="",O2=""),"",IF(AND(OR(O2&gt;0,R2&gt;0),BK2=""),"SD",IF(AND(OR(O2&gt;0,R2&gt;0),IM2&gt;0),SUM(IM2-BK2)/7,"")))</f>
        <v/>
      </c>
      <c r="NP2" t="str">
        <f t="shared" ref="NP2:NP10"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10"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10" si="91">IF(AND(O2&gt;0,R2=""),"NO CPN",IF(AND(O2="",R2=""),"",IF(AND(R2&gt;0,EF2&gt;0,EE2&gt;0),_xlfn.DAYS(EF2,EE2),IF(AND(R2&gt;0,EF2&gt;0,EE2=""),"NO CITA","X"))))</f>
        <v/>
      </c>
      <c r="NV2" t="str">
        <f t="shared" ref="NV2:NV10"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10" si="93">IF(AND(BO2="",IP2=""),"",IF(AND(BO2="",IP2="DEFINIR FPP POR ECO"),"SIN DATO",IF(BO2&lt;0,"ERROR FUM O INGRESO",IF(BL2="NO","DEFINIR CON ECO",IF(BO2&lt;10,"I TRIM",IF(BO2&lt;27,"II TRIM",IF(AND(BO2&gt;26,BO2&lt;45),"III TRIM","ERROR FUM O INGRESO")))))))</f>
        <v/>
      </c>
      <c r="NZ2" s="1" t="str">
        <f t="shared" ref="NZ2:NZ9" si="94">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10" si="95">COUNT(FG2,FJ2,FM2,FO2)</f>
        <v>0</v>
      </c>
      <c r="OC2" s="1">
        <f t="shared" ref="OC2:OC10" si="96">COUNT(GA2,GD2,GG2,GI2)</f>
        <v>0</v>
      </c>
      <c r="OD2" s="1" t="str">
        <f>IF(OA2="","",IF(OA2="REVISAR FUM O FECHA SALIDA PROGRAMA","POR DEFINIR",IF(OR(OA2=OB2,OB2&gt;OA2),"COMPLETO",IF(OB2&lt;OA2,"INCOMPLETO",""))))</f>
        <v/>
      </c>
      <c r="OE2" s="1" t="str">
        <f t="shared" ref="OE2:OE10" si="97">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1" t="str">
        <f t="shared" ref="OG2:OG10" si="98">IF(AND(O2="",R2=""),"",IF(OR(IN2="VACUNA APLICADA ENTRE SEMANA 20 Y SEMANA 26",IN2="VACUNA APLICADA ENTRE SEMANA 27 Y EL PARTO",IN2="VACUNA APLICADA ANTES SEMANA 20"),"VACUNADA","SIN VACUNAR"))</f>
        <v/>
      </c>
      <c r="OH2" s="148">
        <f>ROW(Tabla1[[#This Row],[SEMANAS DE GESTACION II TRIM]])</f>
        <v>2</v>
      </c>
      <c r="OI2" t="str">
        <f t="shared" ref="OI2:OI10" si="99">IF(AND(CH2=$OI$1,CG2&gt;10,CG2&lt;20.8),"BAJO PESO",IF(AND(CH2=$OI$1,CG2&gt;20.7,CG2&lt;25.8),"NORMAL",IF(AND(CH2=$OI$1,CG2&gt;25.7,CG2&lt;30.6),"SOBREPESO",IF(AND(CH2=$OI$1,CG2&gt;30.5,CG2&lt;50),"OBESIDAD",""))))</f>
        <v/>
      </c>
      <c r="OJ2" t="str">
        <f t="shared" ref="OJ2:OJ10" si="100">IF(AND(CH2=$OJ$1,CG2&gt;10,CG2&lt;20.9),"BAJO PESO",IF(AND(CH2=$OJ$1,CG2&gt;20.8,CG2&lt;25.9),"NORMAL",IF(AND(CH2=$OJ$1,CG2&gt;25.8,CG2&lt;30.7),"SOBREPESO",IF(AND(CH2=$OJ$1,CG2&gt;30.6,CG2&lt;50),"OBESIDAD",""))))</f>
        <v/>
      </c>
      <c r="OK2" t="str">
        <f t="shared" ref="OK2:OK10" si="101">IF(AND(CH2=$OK$1,CG2&gt;10,CG2&lt;21.1),"BAJO PESO",IF(AND(CH2=$OK$1,CG2&gt;21,CG2&lt;26),"NORMAL",IF(AND(CH2=$OK$1,CG2&gt;25.9,CG2&lt;30.8),"SOBREPESO",IF(AND(CH2=$OK$1,CG2&gt;30.7,CG2&lt;50),"OBESIDAD",""))))</f>
        <v/>
      </c>
      <c r="OL2" t="str">
        <f t="shared" ref="OL2:OL10" si="102">IF(AND(CH2=$OL$1,CG2&gt;10,CG2&lt;21.2),"BAJO PESO",IF(AND(CH2=$OL$1,CG2&gt;21.1,CG2&lt;26.1),"NORMAL",IF(AND(CH2=$OL$1,CG2&gt;26,CG2&lt;31.9),"SOBREPESO",IF(AND(CH2=$OL$1,CG2&gt;30.8,CG2&lt;50),"OBESIDAD",""))))</f>
        <v/>
      </c>
      <c r="OM2" t="str">
        <f t="shared" ref="OM2:OM10" si="103">IF(AND(CH2=$OM$1,CG2&gt;10,CG2&lt;21.3),"BAJO PESO",IF(AND(CH2=$OM$1,CG2&gt;21.2,CG2&lt;26.2),"NORMAL",IF(AND(CH2=$OM$1,CG2&gt;26.1,CG2&lt;31),"SOBREPESO",IF(AND(CH2=$OM$1,CG2&gt;30.9,CG2&lt;50),"OBESIDAD",""))))</f>
        <v/>
      </c>
      <c r="ON2" t="str">
        <f t="shared" ref="ON2:ON10" si="104">IF(AND(CH2=$ON$1,CG2&gt;10,CG2&lt;21.5),"BAJO PESO",IF(AND(CH2=$ON$1,CG2&gt;21.4,CG2&lt;26.3),"NORMAL",IF(AND(CH2=$ON$1,CG2&gt;26.2,CG2&lt;31),"SOBREPESO",IF(AND(CH2=$ON$1,CG2&gt;30.9,CG2&lt;50),"OBESIDAD",""))))</f>
        <v/>
      </c>
      <c r="OO2" t="str">
        <f t="shared" ref="OO2:OO10" si="105">IF(AND(CH2=$OO$1,CG2&gt;10,CG2&lt;21.6),"BAJO PESO",IF(AND(CH2=$OO$1,CG2&gt;21.5,CG2&lt;26.4),"NORMAL",IF(AND(CH2=$OO$1,CG2&gt;26.3,CG2&lt;31.1),"SOBREPESO",IF(AND(CH2=$OO$1,CG2&gt;31,CG2&lt;50),"OBESIDAD",""))))</f>
        <v/>
      </c>
      <c r="OP2" t="str">
        <f t="shared" ref="OP2:OP10" si="106">IF(AND(CH2=$OP$1,CG2&gt;10,CG2&lt;21.8),"BAJO PESO",IF(AND(CH2=$OP$1,CG2&gt;21.7,CG2&lt;26.5),"NORMAL",IF(AND(CH2=$OP$1,CG2&gt;26.4,CG2&lt;31.2),"SOBREPESO",IF(AND(CH2=$OP$1,CG2&gt;31.1,CG2&lt;50),"OBESIDAD",""))))</f>
        <v/>
      </c>
      <c r="OQ2" t="str">
        <f t="shared" ref="OQ2:OQ10" si="107">IF(AND(CH2=$OQ$1,CG2&gt;10,CG2&lt;21.9),"BAJO PESO",IF(AND(CH2=$OQ$1,CG2&gt;21.8,CG2&lt;26.7),"NORMAL",IF(AND(CH2=$OQ$1,CG2&gt;26.6,CG2&lt;31.3),"SOBREPESO",IF(AND(CH2=$OQ$1,CG2&gt;31.2,CG2&lt;50),"OBESIDAD",""))))</f>
        <v/>
      </c>
      <c r="OR2" t="str">
        <f t="shared" ref="OR2:OR10" si="108">IF(AND(CH2=$OR$1,CG2&gt;10,CG2&lt;22.1),"BAJO PESO",IF(AND(CH2=$OR$1,CG2&gt;22,CG2&lt;26.8),"NORMAL",IF(AND(CH2=$OR$1,CG2&gt;26.7,CG2&lt;31.4),"SOBREPESO",IF(AND(CH2=$OR$1,CG2&gt;31.3,CG2&lt;50),"OBESIDAD",""))))</f>
        <v/>
      </c>
      <c r="OS2" t="str">
        <f t="shared" ref="OS2:OS10" si="109">IF(AND(CH2=$OS$1,CG2&gt;10,CG2&lt;22.3),"BAJO PESO",IF(AND(CH2=$OS$1,CG2&gt;22.2,CG2&lt;27),"NORMAL",IF(AND(CH2=$OS$1,CG2&gt;26.9,CG2&lt;31.6),"SOBREPESO",IF(AND(CH2=$OS$1,CG2&gt;31.5,CG2&lt;50),"OBESIDAD",""))))</f>
        <v/>
      </c>
      <c r="OT2" t="str">
        <f t="shared" ref="OT2:OT10" si="110">IF(AND(CH2=$OT$1,$CG2&gt;10,CG2&lt;22.5),"BAJO PESO",IF(AND(CH2=$OT$1,CG2&gt;22.4,CG2&lt;27.1),"NORMAL",IF(AND(CH2=$OT$1,CG2&gt;27,CG2&lt;31.7),"SOBREPESO",IF(AND(CH2=$OT$1,CG2&gt;31.6,CG2&lt;50),"OBESIDAD",""))))</f>
        <v/>
      </c>
      <c r="OU2" t="str">
        <f t="shared" ref="OU2:OU10" si="111">IF(AND(CH2=$OU$1,CG2&gt;10,CG2&lt;22.7),"BAJO PESO",IF(AND(CH2=$OU$1,CG2&gt;22.6,CG2&lt;27.3),"NORMAL",IF(AND(CH2=$OU$1,CG2&gt;27.1,CG2&lt;31.8),"SOBREPESO",IF(AND(CH2=$OU$1,CG2&gt;31.7,CG2&lt;50),"OBESIDAD",""))))</f>
        <v/>
      </c>
      <c r="OV2" t="str">
        <f t="shared" ref="OV2:OV10" si="112">IF(AND(CH2=$OV$1,CG2&gt;10,CG2&lt;22.8),"BAJO PESO",IF(AND(CH2=$OV$1,CG2&gt;22.7,CG2&lt;27.4),"NORMAL",IF(AND(CH2=$OV$1,CG2&gt;27.3,CG2&lt;31.9),"SOBREPESO",IF(AND(CH2=$OV$1,CG2&gt;31.8,CG2&lt;50),"OBESIDAD",""))))</f>
        <v/>
      </c>
      <c r="OW2" t="str">
        <f t="shared" ref="OW2:OW10" si="113">IF(AND(CH2=$OW$1,CG2&gt;10,CG2&lt;23),"BAJO PESO",IF(AND(CH2=$OW$1,CG2&gt;22.9,CG2&lt;27.6),"NORMAL",IF(AND(CH2=$OW$1,CG2&gt;27.5,CG2&lt;32),"SOBREPESO",IF(AND(CH2=$OW$1,CG2&gt;31.9,CG2&lt;50),"OBESIDAD",""))))</f>
        <v/>
      </c>
      <c r="OX2" t="str">
        <f t="shared" ref="OX2:OX10" si="114">IF(AND(CM2=$OX$1,CL2&gt;10,CL2&lt;23.2),"BAJO PESO",IF(AND(CM2=$OX$1,CL2&gt;23.1,CL2&lt;27.7),"NORMAL",IF(AND(CM2=$OX$1,CL2&gt;27.6,CL2&lt;32.1),"SOBREPESO",IF(AND(CM2=$OX$1,CL2&gt;32,CL2&lt;50),"OBESIDAD",""))))</f>
        <v/>
      </c>
      <c r="OY2" t="str">
        <f t="shared" ref="OY2:OY10" si="115">IF(AND(CM2=$OY$1,CL2&gt;10,CL2&lt;23.4),"BAJO PESO",IF(AND(CM2=$OY$1,CL2&gt;23.3,CL2&lt;27.9),"NORMAL",IF(AND(CM2=$OY$1,CL2&gt;27.8,CL2&lt;32.2),"SOBREPESO",IF(AND(CM2=$OY$1,CL2&gt;32.1,CL2&lt;50),"OBESIDAD",""))))</f>
        <v/>
      </c>
      <c r="OZ2" t="str">
        <f t="shared" ref="OZ2:OZ10" si="116">IF(AND(CM2=$OZ$1,CL2&gt;10,CL2&lt;23.5),"BAJO PESO",IF(AND(CM2=$OZ$1,CL2&gt;23.4,CL2&lt;28),"NORMAL",IF(AND(CM2=$OZ$1,CL2&gt;27.9,CL2&lt;32.1),"SOBREPESO",IF(AND(CM2=$OZ$1,CL2&gt;32.2,CL2&lt;50),"OBESIDAD",""))))</f>
        <v/>
      </c>
      <c r="PA2" t="str">
        <f t="shared" ref="PA2:PA10" si="117">IF(AND(CM2=$PA$1,CL2&gt;10,CL2&lt;23.7),"BAJO PESO",IF(AND(CM2=$PA$1,CL2&gt;23.6,CL2&lt;28.1),"NORMAL",IF(AND(CM2=$PA$1,CL2&gt;28,CL2&lt;33.4),"SOBREPESO",IF(AND(CM2=$PA$1,CL2&gt;33.3,CL2&lt;50),"OBESIDAD",""))))</f>
        <v/>
      </c>
      <c r="PB2" t="str">
        <f t="shared" ref="PB2:PB10" si="118">IF(AND(CM2=$PB$1,CL2&gt;10,CL2&lt;23.9),"BAJO PESO",IF(AND(CM2=$PB$1,CL2&gt;23.8,CL2&lt;28.2),"NORMAL",IF(AND(CM2=$PB$1,CL2&gt;28.1,CL2&lt;33.5),"SOBREPESO",IF(AND(CM2=$PB$1,CL2&gt;33.4,CL2&lt;50),"OBESIDAD",""))))</f>
        <v/>
      </c>
      <c r="PC2" t="str">
        <f t="shared" ref="PC2:PC10" si="119">IF(AND(CM2=$PC$1,CL2&gt;10,CL2&lt;24),"BAJO PESO",IF(AND(CM2=$PC$1,CL2&gt;23.9,CL2&lt;28.4),"NORMAL",IF(AND(CM2=$PC$1,CL2&gt;28.3,CL2&lt;33.6),"SOBREPESO",IF(AND(CM2=$PC$1,CL2&gt;33.5,CL2&lt;50),"OBESIDAD",""))))</f>
        <v/>
      </c>
      <c r="PD2" t="str">
        <f t="shared" ref="PD2:PD10" si="120">IF(AND(CM2=$PD$1,CL2&gt;10,CL2&lt;24.2),"BAJO PESO",IF(AND(CM2=$PD$1,CL2&gt;24.1,CL2&lt;28.5),"NORMAL",IF(AND(CM2=$PD$1,CL2&gt;28.4,CL2&lt;33.7),"SOBREPESO",IF(AND(CM2=$PD$1,CL2&gt;33.6,CL2&lt;50),"OBESIDAD",""))))</f>
        <v/>
      </c>
      <c r="PE2" t="str">
        <f t="shared" ref="PE2:PE10" si="121">IF(AND(CM2=$PE$1,CL2&gt;10,CL2&lt;24.3),"BAJO PESO",IF(AND(CM2=$PE$1,CL2&gt;24.2,CL2&lt;28.6),"NORMAL",IF(AND(CM2=$PE$1,CL2&gt;28.5,CL2&lt;33.8),"SOBREPESO",IF(AND(CM2=$PE$1,CL2&gt;33.7,CL2&lt;50),"OBESIDAD",""))))</f>
        <v/>
      </c>
      <c r="PF2" t="str">
        <f t="shared" ref="PF2:PF10" si="122">IF(AND(CM2=$PF$1,CL2&gt;10,CL2&lt;24.5),"BAJO PESO",IF(AND(CM2=$PF$1,CL2&gt;24.4,CL2&lt;28.8),"NORMAL",IF(AND(CM2=$PF$1,CL2&gt;28.7,CL2&lt;32.9),"SOBREPESO",IF(AND(CM2=$PF$1,CL2&gt;32.8,CL2&lt;50),"OBESIDAD",""))))</f>
        <v/>
      </c>
      <c r="PG2" t="str">
        <f t="shared" ref="PG2:PG10" si="123">IF(AND(CM2=$PG$1,CL2&gt;10,CL2&lt;24.6),"BAJO PESO",IF(AND(CM2=$PG$1,CL2&gt;24.5,CL2&lt;28.9),"NORMAL",IF(AND(CM2=$PG$1,CL2&gt;28.8,CL2&lt;33),"SOBREPESO",IF(AND(CM2=$PG$1,CL2&gt;32.9,CL2&lt;50),"OBESIDAD",""))))</f>
        <v/>
      </c>
      <c r="PH2" t="str">
        <f t="shared" ref="PH2:PH10" si="124">IF(AND(CM2=$PH$1,CL2&gt;10,CL2&lt;24.8),"BAJO PESO",IF(AND(CM2=$PH$1,CL2&gt;24.7,CL2&lt;29),"NORMAL",IF(AND(CM2=$PH$1,CL2&gt;28.9,CL2&lt;33.1),"SOBREPESO",IF(AND(CM2=$PH$1,CL2&gt;33,CL2&lt;50),"OBESIDAD",""))))</f>
        <v/>
      </c>
      <c r="PI2" t="str">
        <f t="shared" ref="PI2:PI10" si="125">IF(AND(CM2=$PI$1,CL2&gt;10,CL2&lt;25),"BAJO PESO",IF(AND(CM2=$PI$1,CL2&gt;24.9,CL2&lt;29.2),"NORMAL",IF(AND(CM2=$PI$1,CL2&gt;29.1,CL2&lt;33.2),"SOBREPESO",IF(AND(CM2=$PI$1,CL2&gt;33.1,CL2&lt;50),"OBESIDAD",""))))</f>
        <v/>
      </c>
      <c r="PJ2" t="str">
        <f t="shared" ref="PJ2:PJ10" si="126">IF(AND(CM2=$PJ$1,CL2&gt;10,CL2&lt;25.1),"BAJO PESO",IF(AND(CM2=$PJ$1,CL2&gt;25,CL2&lt;29.3),"NORMAL",IF(AND(CM2=$PJ$1,CL2&gt;29.2,CL2&lt;33.3),"SOBREPESO",IF(AND(CM2=$PJ$1,CL2&gt;33.2,CL2&lt;50),"OBESIDAD",""))))</f>
        <v/>
      </c>
      <c r="PK2" t="str">
        <f t="shared" ref="PK2:PK10" si="127">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10" si="128">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854</v>
      </c>
      <c r="C3" s="68" t="s">
        <v>855</v>
      </c>
      <c r="D3" s="187" t="s">
        <v>856</v>
      </c>
      <c r="E3" s="68" t="s">
        <v>857</v>
      </c>
      <c r="F3" s="68" t="s">
        <v>858</v>
      </c>
      <c r="G3" s="68" t="s">
        <v>859</v>
      </c>
      <c r="H3" s="68"/>
      <c r="I3" s="145" t="s">
        <v>860</v>
      </c>
      <c r="J3" s="146">
        <v>1002952263</v>
      </c>
      <c r="K3" s="68" t="s">
        <v>861</v>
      </c>
      <c r="L3" s="68" t="s">
        <v>862</v>
      </c>
      <c r="M3" s="35">
        <v>37247</v>
      </c>
      <c r="N3" s="38">
        <f t="shared" ca="1" si="0"/>
        <v>21.857534246575341</v>
      </c>
      <c r="O3" s="35">
        <v>44662</v>
      </c>
      <c r="P3" s="39" t="str">
        <f t="shared" si="1"/>
        <v>SI</v>
      </c>
      <c r="Q3" s="40" t="s">
        <v>898</v>
      </c>
      <c r="R3" s="35">
        <v>44662</v>
      </c>
      <c r="S3" s="31" t="s">
        <v>899</v>
      </c>
      <c r="T3" s="37" t="s">
        <v>800</v>
      </c>
      <c r="U3" s="31" t="s">
        <v>900</v>
      </c>
      <c r="V3" s="31" t="s">
        <v>901</v>
      </c>
      <c r="W3" s="31" t="s">
        <v>902</v>
      </c>
      <c r="X3" s="31" t="s">
        <v>902</v>
      </c>
      <c r="Y3" s="31" t="s">
        <v>903</v>
      </c>
      <c r="Z3" s="31">
        <v>3044779923</v>
      </c>
      <c r="AA3" s="31" t="s">
        <v>904</v>
      </c>
      <c r="AB3" s="41" t="s">
        <v>905</v>
      </c>
      <c r="AC3" s="40" t="s">
        <v>906</v>
      </c>
      <c r="AD3" s="55" t="s">
        <v>907</v>
      </c>
      <c r="AE3" s="40" t="s">
        <v>897</v>
      </c>
      <c r="AF3" s="40" t="s">
        <v>897</v>
      </c>
      <c r="AG3" s="36" t="s">
        <v>908</v>
      </c>
      <c r="AH3" s="36" t="s">
        <v>908</v>
      </c>
      <c r="AI3" s="37" t="s">
        <v>907</v>
      </c>
      <c r="AJ3" s="36" t="s">
        <v>908</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908</v>
      </c>
      <c r="AM3" s="40" t="s">
        <v>908</v>
      </c>
      <c r="AN3" s="40" t="s">
        <v>908</v>
      </c>
      <c r="AO3" s="40" t="s">
        <v>908</v>
      </c>
      <c r="AP3" s="40" t="s">
        <v>908</v>
      </c>
      <c r="AQ3" s="40" t="s">
        <v>908</v>
      </c>
      <c r="AR3" s="31">
        <v>1</v>
      </c>
      <c r="AS3" s="31">
        <v>0</v>
      </c>
      <c r="AT3" s="31">
        <v>1</v>
      </c>
      <c r="AU3" s="40" t="s">
        <v>908</v>
      </c>
      <c r="AV3" s="31">
        <v>0</v>
      </c>
      <c r="AW3" s="40" t="s">
        <v>908</v>
      </c>
      <c r="AX3" s="40" t="s">
        <v>908</v>
      </c>
      <c r="AY3" s="40" t="s">
        <v>908</v>
      </c>
      <c r="AZ3" s="40" t="s">
        <v>908</v>
      </c>
      <c r="BA3" s="40" t="s">
        <v>908</v>
      </c>
      <c r="BB3" s="40" t="s">
        <v>908</v>
      </c>
      <c r="BC3" s="40" t="s">
        <v>908</v>
      </c>
      <c r="BD3" s="40" t="s">
        <v>908</v>
      </c>
      <c r="BE3" s="40" t="s">
        <v>908</v>
      </c>
      <c r="BF3" s="40" t="s">
        <v>908</v>
      </c>
      <c r="BG3" s="40" t="s">
        <v>908</v>
      </c>
      <c r="BH3" s="40" t="s">
        <v>908</v>
      </c>
      <c r="BI3" s="40" t="s">
        <v>908</v>
      </c>
      <c r="BJ3" s="35">
        <v>44053</v>
      </c>
      <c r="BK3" s="35">
        <v>44657</v>
      </c>
      <c r="BL3" s="31" t="s">
        <v>897</v>
      </c>
      <c r="BM3" s="43">
        <f t="shared" ref="BM3:BM10" si="129">IF(OR(BJ3="SD",BK3=""),"",IF(BJ3="",0,SUM(BK3-BJ3)/30))</f>
        <v>20.133333333333333</v>
      </c>
      <c r="BN3" s="57" t="str">
        <f t="shared" ref="BN3:BN10" si="130">IF(BS3&gt;0,SUM(BR3-NQ3),"")</f>
        <v/>
      </c>
      <c r="BO3" s="44">
        <f t="shared" ref="BO3:BO10" si="131">IF(AND(BL3="Corregida",BK3&gt;0,R3&gt;0,ISBLANK(BS3)),"SIN SEMANAS X ECO",IF(AND(BL3="Corregida",BK3&gt;0,R3&gt;0),SUM(R3-BN3)/7,IF(AND(OR(BL3="SI",BL3="NO"),BK3&gt;0,R3&gt;0),SUM(R3-BK3)/7,"")))</f>
        <v>0.7142857142857143</v>
      </c>
      <c r="BP3" s="31" t="str">
        <f t="shared" ref="BP3:BP10" si="132">IF(AND(BO3="",IP3=""),"",IF(AND(BO3="",IP3="DEFINIR FPP POR ECO"),"SIN DATO",IF(BO3&lt;0,"ERROR FUM O INGRESO O ECO",IF(BL3="NO","DEFINIR CON ECO",IF(BO3&lt;12,"I TRIM",IF(BO3&lt;27,"II TRIM",IF(AND(BO3&gt;26,BO3&lt;45),"III TRIM","ERROR FUM O INGRESO O ECO")))))))</f>
        <v>I TRIM</v>
      </c>
      <c r="BQ3" s="39" t="str">
        <f t="shared" ref="BQ3:BQ10" ca="1" si="133">IF(SUM((TODAY()-BK3)/7)&gt;43.1,"",IF(AND(BK3&gt;0,OR(BL3="si",BL3="Corregida",BL3="NO")),SUM((TODAY()-BK3)/7),""))</f>
        <v/>
      </c>
      <c r="BR3" s="35"/>
      <c r="BS3" s="43"/>
      <c r="BT3" s="35"/>
      <c r="BU3" s="31"/>
      <c r="BV3" s="40" t="s">
        <v>908</v>
      </c>
      <c r="BW3" s="40" t="s">
        <v>908</v>
      </c>
      <c r="BX3" s="40" t="s">
        <v>909</v>
      </c>
      <c r="BY3" s="40" t="s">
        <v>909</v>
      </c>
      <c r="BZ3" s="35">
        <v>44662</v>
      </c>
      <c r="CA3" s="31">
        <v>1.6</v>
      </c>
      <c r="CB3" s="31">
        <v>65</v>
      </c>
      <c r="CC3" s="39">
        <f t="shared" ref="CC3:CC10" si="134">IF(AND(OR(O3&gt;0,R3&gt;0),CA3=""),"SD",IF(AND(OR(O3="",R3=""),CA3=""),"",IF(AND(OR(O3&gt;0,R3&gt;0),CA3&gt;0,CB3&gt;0),SUM(CB3)/(CA3*CA3),"X")))</f>
        <v>25.390624999999996</v>
      </c>
      <c r="CD3" s="45" t="str">
        <f t="shared" ref="CD3:CD10" si="135">IF(AND(CC3&lt;10,CB3="SD"),"SIN DATO PESO PREGESTACION O I TRIM",IF(AND(OR(R3&gt;0,O3&gt;0),CC3="X"),"INGRESAR DATO DE PESO",IF(CC3="SD","INGRESAR DATO DE TALLA Y PESO",IF(CC3&lt;18.5,"BAJO PESO",IF(CC3&lt;25,"NORMAL",IF(CC3&lt;30,"SOBREPESO",IF(AND(CC3&gt;=30,CC3&lt;50),"OBESIDAD","")))))))</f>
        <v>SOBREPESO</v>
      </c>
      <c r="CE3" s="35"/>
      <c r="CF3" s="31"/>
      <c r="CG3" s="39">
        <f t="shared" ref="CG3:CG10" si="136">IF(AND(OR(O3&gt;0,R3&gt;0),CA3=""),"SD",IF(AND(OR(O3="",R3=""),CA3=""),"",IF(AND(OR(O3&gt;0,R3&gt;0),CA3&gt;0),SUM(CF3)/(CA3*CA3),"X")))</f>
        <v>0</v>
      </c>
      <c r="CH3" s="31" t="str">
        <f t="shared" ref="CH3:CH10" si="137">IF(AND(CE3="",BK3=""),"",IF(AND(BK3&gt;0,CE3=""),"NA",IF(CE3&lt;BK3,"REVISAR FUM O FECHA PESO",IF(CE3&gt;0,INT(SUM(CE3-BK3)/7)))))</f>
        <v>NA</v>
      </c>
      <c r="CI3" s="31" t="str">
        <f>IF(OR(CH3="",CH3="NA"),"",IF(AND(CH3&gt;=29,CH3&lt;=42),"REGISTRAR EN III TRIM",IF(AND(CH3&gt;0,CH3&lt;=13),"REGISTRAR EN I TRIM",IF(CH3="REVISAR FUM O FECHA PESO","REVISAR",IF(CH3&gt;0,HLOOKUP(CH3,$OI$1:PK3,OH3),"")))))</f>
        <v/>
      </c>
      <c r="CJ3" s="35"/>
      <c r="CK3" s="31"/>
      <c r="CL3" s="39">
        <f t="shared" ref="CL3:CL10" si="138">IF(AND(OR(O3&gt;0,R3&gt;0),CA3=""),"SD",IF(AND(OR(O3="",R3=""),CA3=""),"",IF(AND(OR(O3&gt;0,R3&gt;0),CA3&gt;0),SUM(CK3)/(CA3*CA3),"X")))</f>
        <v>0</v>
      </c>
      <c r="CM3" s="31" t="str">
        <f t="shared" ref="CM3:CM10" si="139">IF(AND(CJ3="",BK3=""),"",IF(AND(BK3&gt;0,CJ3=""),"NA",IF(CJ3&lt;BK3,"REVISAR FUM O FECHA PESO",IF(CJ3&gt;0,INT(SUM(CJ3-BK3)/7)))))</f>
        <v>NA</v>
      </c>
      <c r="CN3" s="31" t="str">
        <f>IF(OR(CM3="",CM3="NA"),"",IF(AND(CM3&gt;0,CM3&lt;=28),"REGISTRAR EN  TRIM RESPECTIVO",IF(CM3&gt;0,HLOOKUP(CM3,$OI$1:PK3,OH3),"")))</f>
        <v/>
      </c>
      <c r="CO3" s="31" t="str">
        <f t="shared" ref="CO3:CO10" si="140">IF(AND(OR(O3&gt;0,R3&gt;0),CD3&lt;&gt;"",CI3&lt;&gt;"",CN3&lt;&gt;""),CN3,IF(AND(OR(O3&gt;0,R3&gt;0),CD3&lt;&gt;"",CI3&lt;&gt;"",CN3=""),CI3,IF(AND(OR(O3&gt;0,R3&gt;0),CD3&lt;&gt;"",CI3="",CN3=""),CD3,IF(AND(OR(O3&gt;0,R3&gt;0),CD3&lt;&gt;"",CI3="",CN3&lt;&gt;""),CN3,""))))</f>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ref="DQ3:DQ10" ca="1" si="141">IF(AND(BP3="ERROR FUM O INGRESO",DP3&gt;0),"ERROR FUM O INGRESO",IF(AND(DP3="",R3="",O3=""),"",IF(OR(AND(DP3&lt;&gt;"",DP3&lt;BK3),AND(DP3&lt;&gt;"",AND(SUM((DP3-BK3)/7)&gt;0,SUM((DP3-BK3)/7)&lt;28))),"PLAN REALIZADO ANTES III TRIM", IF(AND(DP3="",OR(O3&gt;0,R3&gt;0),AND(BQ3&gt;=28, BQ3&lt;35,DR3="ACTIVA INGRESO A CPN")),"PLANEAR PLAN DE PARTO", IF(AND(DP3="",OR(O3&gt;0,R3&gt;0),BQ3&gt;=35,DR3="ACTIVA INGRESO A CPN"),"CONCERTAR PLAN DE PARTO INMEDIATO", IF(AND(DP3="",OR(O3&gt;0,R3&gt;0),AND(BQ3&gt;0, BQ3&lt;28),OR(DR3="ACTIVA INGRESO A CPN", DR3=" ACTIVA SIN INGRESO CPN")),"EN ESPERA", IF(AND(DP3="",OR(O3&gt;0,R3&gt;0),AND(IY3&gt;0, IY3&lt;28)),"NO APLICA SALE PROGRAMA ANTES III TRIM", IF(AND(DP3="",OR(O3&gt;0,R3&gt;0),AND(IY3&gt;=28, IY3&lt;35)),"SALE PROGRAMA ANTES SEMANA 35", IF(AND(DP3="",OR(O3&gt;0,R3&gt;0),IY3&gt;35),"SALE SIN PLAN DE PARTO",IF(DP3&gt;0,SUM(DP3-BK3)/7,""))))))))))</f>
        <v>SALE SIN PLAN DE PARTO</v>
      </c>
      <c r="DR3" s="46" t="str">
        <f t="shared" ref="DR3:DR10" si="142">IF(AND(R3&lt;&gt;"",IT3="CAMBIO DE RESIDENCIA"),"SEGUIMIENTO REPORTE EPS",IF(AND(R3&lt;&gt;"",OR(IT3&lt;&gt;"",IW3&lt;&gt;"")),"SALIO PROGRAMA",IF(AND(AND(R3="",O3&gt;0),OR(IT3&lt;&gt;"",IW3&lt;&gt;"")),"SALE SIN INGRESO CPN",IF(AND(R3="",O3&gt;0,IT3="",IW3=""),"ACTIVA SIN INGRESO CPN",IF(AND(R3&lt;&gt;"",OR(IT3="",IW3="")),"ACTIVA INGRESO A CPN","")))))</f>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ref="DT3:DT10" ca="1" si="143">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DU3" s="35">
        <f>IF(R3="","",IF(R3&gt;0,MAX(Tabla1[[#This Row],[FECHA C2]:[FECHA C13]],Tabla1[[#This Row],[FECHA CONSULTA PRIMERA VEZ PROGRAMA CPN ]])))</f>
        <v>44662</v>
      </c>
      <c r="DV3" s="31">
        <f t="shared" ref="DV3:DV10" si="144">IF(AND(DU3="",BK3="",R3=""),"",IF(AND(R3="",BK3&gt;0,DU3=""),"",IF(AND(R3&gt;0,DU3&lt;BK3),"REVISAR FUM O FECHA PESO",IF(AND(R3&gt;0,DU3&gt;0,BK3=""),"SD",IF(AND(R3&gt;0,DU3&gt;0,BK3&gt;0),INT(SUM(DU3-BK3)/7))))))</f>
        <v>0</v>
      </c>
      <c r="DW3" s="43">
        <f>IF(R3&gt;0,SUM(COUNTA(DC3:DN3)+COUNTA(Tabla1[[#This Row],[FECHA CONSULTA PRIMERA VEZ PROGRAMA CPN ]])),"")</f>
        <v>1</v>
      </c>
      <c r="DX3" s="43" t="str">
        <f t="shared" ref="DX3:DX10" si="145">IF(AND(DW3&gt;=0,DW3&lt;4),"NO",IF(AND(DW3&gt;=4,DW3&lt;12),"SI",""))</f>
        <v>NO</v>
      </c>
      <c r="DY3" s="39">
        <f t="shared" ref="DY3:DY10" si="146">IF(BO3="","",IF(BO3&gt;0,INT(SUM(((40-BO3)/4)+2)),"X"))</f>
        <v>11</v>
      </c>
      <c r="DZ3" s="47">
        <f t="shared" ref="DZ3:DZ10" si="147">IF(DY3="","",IF(DW3&gt;0,SUM(DW3/DY3),"X"))</f>
        <v>9.0909090909090912E-2</v>
      </c>
      <c r="EA3" s="35">
        <v>44662</v>
      </c>
      <c r="EB3" s="35">
        <v>44662</v>
      </c>
      <c r="EC3" s="35">
        <v>44662</v>
      </c>
      <c r="ED3" s="35"/>
      <c r="EE3" s="35">
        <v>44662</v>
      </c>
      <c r="EF3" s="35"/>
      <c r="EG3" s="35"/>
      <c r="EH3" s="31"/>
      <c r="EI3" s="31">
        <v>14</v>
      </c>
      <c r="EJ3" s="35">
        <v>44662</v>
      </c>
      <c r="EK3" s="43">
        <f t="shared" ref="EK3:EK10" si="148">IF(AND(BP3="ERROR FUM O INGRESO",EJ3&gt;0),"ERROR FUM O INGRESO",IF(AND(EJ3="",R3="",O3=""),"",IF(OR(AND(EJ3&lt;&gt;"",EJ3&lt;BK3),AND(EJ3&lt;&gt;"",SUM((EJ3-BK3)/7)&gt;40)),"CORREGIR FECHA RESULTADO",IF(AND(EJ3="",OR(O3&gt;0,R3&gt;0)),"TOMAR EXAMEN",IF(EJ3&gt;0,SUM(EJ3-BK3)/7,"")))))</f>
        <v>0.7142857142857143</v>
      </c>
      <c r="EL3" s="39" t="str">
        <f t="shared" ref="EL3:EL10" si="149">IF(AND(OR(O3&gt;0,R3&gt;0),EI3=""),"",IF(AND(OR(O3&gt;0,R3&gt;0),EI3&gt;0,EI3&lt;11),"MANEJO MD POR ANEMIA FERROPENICA",IF(AND(OR(O3&gt;0,R3&gt;0),EI3&lt;=14),"NORMAL- SUMINISTRAR SULFATO FERROSO",IF(AND(OR(O3&gt;0,R3&gt;0),EI3&lt;20),"NO DAR SULFATO FERROSO",""))))</f>
        <v>NORMAL- SUMINISTRAR SULFATO FERROSO</v>
      </c>
      <c r="EM3" s="31" t="str">
        <f t="shared" ref="EM3:EM10" si="150">IF(AND(EK3="",BP3=""),"",IF(AND(EK3&lt;&gt;"",BP3="SIN DATO"),"SIN DATO",IF(AND(EK3="",BP3&lt;&gt;""),"",IF(AND(EK3&lt;0,BP3&gt;0),"ERROR FUM O INGRESO",IF(EK3&lt;=13,"I TRIM",IF(EK3&lt;28,"II TRIM",IF(AND(EK3&gt;27,EK3&lt;45),"III TRIM","POR DEFINIR")))))))</f>
        <v>I TRIM</v>
      </c>
      <c r="EN3" s="37"/>
      <c r="EO3" s="35"/>
      <c r="EP3" s="44" t="str">
        <f t="shared" ref="EP3:EP10" si="151">IF(AND(BP3="ERROR FUM O INGRESO",EO3&gt;0),"ERROR FUM O INGRESO",IF(AND(EO3="",R3="",O3=""),"",IF(OR(AND(EO3&lt;&gt;"",EO3&lt;BK3),AND(EO3&lt;&gt;"",SUM((EO3-BK3)/7)&gt;40)),"CORREGIR FECHA RESULTADO",IF(AND(EO3="",OR(O3&gt;0,R3&gt;0)),"TOMAR EXAMEN",IF(EO3&gt;0,SUM(EO3-BK3)/7,"")))))</f>
        <v>TOMAR EXAMEN</v>
      </c>
      <c r="EQ3" s="39" t="str">
        <f t="shared" ref="EQ3:EQ10" si="152">IF(AND(OR(O3&gt;0,R3&gt;0),EN3=""),"",IF(AND(OR(O3&gt;0,R3&gt;0),EN3&gt;0,EN3&lt;10.5),"MANEJO MD POR ANEMIA FERROPENICA",IF(AND(OR(O3&gt;0,R3&gt;0),EN3&lt;14),"NORMAL- SUMINISTRAR SULFATO FERROSO",IF(AND(OR(O3&gt;0,R3&gt;0),EN3&lt;20),"NO DAR SULFATO FERROSO",""))))</f>
        <v/>
      </c>
      <c r="ER3" s="37" t="s">
        <v>923</v>
      </c>
      <c r="ES3" s="35">
        <v>44662</v>
      </c>
      <c r="ET3" s="44">
        <f t="shared" ref="ET3:ET10" si="153">IF(AND(BP3="ERROR FUM O INGRESO",ES3&gt;0),"ERROR FUM O INGRESO",IF(AND(ES3="",R3="",O3=""),"",IF(OR(AND(ES3&lt;&gt;"",ES3&lt;BK3),AND(ES3&lt;&gt;"",SUM((ES3-BK3)/7)&gt;40)),"CORREGIR FECHA RESULTADO",IF(AND(ES3="",OR(O3&gt;0,R3&gt;0)),"TOMAR EXAMEN",IF(ES3&gt;0,SUM(ES3-BK3)/7,"")))))</f>
        <v>0.7142857142857143</v>
      </c>
      <c r="EU3" s="39" t="str">
        <f t="shared" ref="EU3:EU10" si="154">IF(ER3="A-","RIESGO DE INCOMPATIBILIDAD RH",IF(ER3="B-","RIESGO DE INCOMPATIBILIDAD RH",IF(ER3="O-","RIESGO DE INCOMPATIBILIDAD RH",IF(ER3="AB-","RIESGO DE INCOMPATIBILIDAD RH",IF(OR(ER3="A+",ER3="A--"),"NO HAY RIESGO POR RH",IF(OR(ER3="B+",ER3="B--"),"NO HAY RIESGO POR RH",IF(OR(ER3="O+",ER3="O--"),"NO HAY RIESGO POR RH",IF(OR(ER3="AB+",ER3="AB--"),"NO HAY RIESGO POR RH",IF(ER3=0,"")))))))))</f>
        <v>NO HAY RIESGO POR RH</v>
      </c>
      <c r="EV3" s="31">
        <v>95</v>
      </c>
      <c r="EW3" s="35">
        <v>44662</v>
      </c>
      <c r="EX3" s="44">
        <f t="shared" si="31"/>
        <v>0.7142857142857143</v>
      </c>
      <c r="EY3" s="44"/>
      <c r="EZ3" s="44"/>
      <c r="FA3" s="44"/>
      <c r="FB3" s="31" t="str">
        <f t="shared" ca="1" si="32"/>
        <v/>
      </c>
      <c r="FC3" s="48"/>
      <c r="FD3" s="44" t="str">
        <f t="shared" si="33"/>
        <v>TOMAR EXAMEN</v>
      </c>
      <c r="FE3" s="35" t="s">
        <v>924</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925</v>
      </c>
      <c r="FU3" s="35">
        <v>44662</v>
      </c>
      <c r="FV3" s="44">
        <f t="shared" si="38"/>
        <v>0.7142857142857143</v>
      </c>
      <c r="FW3" s="35">
        <v>44662</v>
      </c>
      <c r="FX3" s="35">
        <v>44662</v>
      </c>
      <c r="FY3" s="35" t="s">
        <v>926</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905</v>
      </c>
      <c r="GK3" s="35"/>
      <c r="GL3" s="35" t="s">
        <v>905</v>
      </c>
      <c r="GM3" s="35"/>
      <c r="GN3" s="43" t="s">
        <v>925</v>
      </c>
      <c r="GO3" s="35">
        <v>44662</v>
      </c>
      <c r="GP3" s="44">
        <f t="shared" si="42"/>
        <v>0.7142857142857143</v>
      </c>
      <c r="GQ3" s="43" t="s">
        <v>925</v>
      </c>
      <c r="GR3" s="43" t="s">
        <v>925</v>
      </c>
      <c r="GS3" s="35" t="str">
        <f t="shared" si="43"/>
        <v>CONTROL Igm</v>
      </c>
      <c r="GT3" s="35">
        <v>44662</v>
      </c>
      <c r="GU3" s="44">
        <f t="shared" ref="GU3:GU10" si="155">IF(AND(BP3="ERROR FUM O INGRESO",GT3&gt;0),"ERROR FUM O INGRESO",IF(AND(GT3="",R3="",O3=""),"",IF(OR(AND(GT3&lt;&gt;"",GT3&lt;BK3),AND(GT3&lt;&gt;"",SUM((GT3-BK3)/7)&gt;40)),"CORREGIR FECHA RESULTADO",IF(AND(GT3="",OR(O3&gt;0,R3&gt;0)),"TOMAR EXAMEN",IF(GT3&gt;0,SUM(GT3-BK3)/7,"")))))</f>
        <v>0.7142857142857143</v>
      </c>
      <c r="GV3" s="31" t="str">
        <f t="shared" ref="GV3:GV10" si="156">IF(AND(GU3="",BP3=""),"",IF(AND(GU3&lt;&gt;"",BP3="SIN DATO"),"SIN DATO",IF(AND(GU3="",BP3&lt;&gt;""),"",IF(AND(GU3&lt;0,BP3&gt;0),"ERROR FUM O INGRESO",IF(GU3&lt;=13,"I TRIM",IF(GU3&lt;28,"II TRIM",IF(AND(GU3&gt;27,GU3&lt;45),"III TRIM","POR DEFINIR")))))))</f>
        <v>I TRIM</v>
      </c>
      <c r="GW3" s="43"/>
      <c r="GX3" s="46"/>
      <c r="GY3" s="31"/>
      <c r="GZ3" s="35"/>
      <c r="HA3" s="43" t="str">
        <f t="shared" ref="HA3:HA10" si="157">IF(GZ3&gt;0,SUM(GZ3-BK3)/7,"")</f>
        <v/>
      </c>
      <c r="HB3" s="31" t="str">
        <f t="shared" ref="HB3:HB10" si="158">IF(HA3&lt;0,"ANTES DEL EMBARAZO",IF(AND(HA3&gt;0,HA3&lt;13),"I TRIM",IF(AND(HA3&gt;12,HA3&lt;28),"II TRIM",IF(AND(HA3&gt;27,HA3&lt;41),"III TRIM",""))))</f>
        <v/>
      </c>
      <c r="HC3" s="31" t="str">
        <f t="shared" ref="HC3:HC10" si="159">IF(GY3="","",IF(GY3="CARCINOMA ESCAMOCELULAR","CITAR PARA COLPOSCOPIA Y PATOLOGIA",IF(GY3="ASCUS","CITAR PARA COLPOSCOPIA",IF(GY3="ACSI","CITAR PARA COLPOSCOPIA",IF(GY3="INFECCION VPH","CITAR PARA COLPOSCOPIA",IF(GY3="NIC I","CITAR PARA COLPOSCOPIA",IF(GY3="NIC I VPH","CITAR PARA COLPOSCOPIA",IF(GY3="NIC II","CITAR PARA COLPOSCOPIA",IF(GY3="NIC III","CITAR PARA COLPOSCOPIA",IF(GY3="CAMBIOS INFLAMATORIOS","CONSULTA CON MÉDICO GENERAL",IF(GY3="INFECCION","CONSULTA CON MÉDICO GENERAL",IF(GY3="NEGATIVA PARA NEOPLASIA","CITA PARA CITOLOGIA SEGÚN ESQUEMA1-1-3",IF(GY3="MUESTRA INADECUADA","REPETIR CITOLOGIA",IF(GY3=0,"SD"))))))))))))))</f>
        <v/>
      </c>
      <c r="HD3" s="31" t="s">
        <v>927</v>
      </c>
      <c r="HE3" s="31"/>
      <c r="HF3" s="31" t="s">
        <v>928</v>
      </c>
      <c r="HG3" s="31"/>
      <c r="HH3" s="31" t="s">
        <v>929</v>
      </c>
      <c r="HI3" s="31">
        <v>0</v>
      </c>
      <c r="HJ3" s="35" t="s">
        <v>930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ref="HL3:HL10" si="160">IF(OR(O3&gt;0,R3&gt;0),CONCATENATE(IF(AY3="SI","ANTECEDENTE EMBARAZO MOLAR",""),"*",CONCATENATE(IF(AZ3="SI","ANTECEDENTE MUERTE NEONATAL",""),"*",CONCATENATE(IF(AND(BM3&gt;0,BM3&lt;13),"PERIODO INTERGENESICO CORTO",""),"*",CONCATENATE(IF(AND(BO3&gt;13,BO3&lt;42),"INGRESO TARDIO A CPN",""),"*",CONCATENATE(IF(CO3="BAJO PESO","BAJO PESO",""),"*",CONCATENATE(IF(CO3="SOBREPESO","SOBREPESO",""),"*",CONCATENATE(IF(CO3="OBESIDAD","OBESIDAD",""),"*",CONCATENATE(IF(GN3="POSITIVO","SEGUIMIENTO INFECCIÓN HEP B",""),"*",CONCATENATE(IF(GS3="TOXOPLASMOSIS, REMITIR PARA MANEJO","INFECCIÓN TOXOPLASMOSIS",""),"*",CONCATENATE(IF(GS3="CONTROL Igm","PREVENCIÓN CONTAGIO TOXOPLASMOSIS",""),"*",CONCATENATE(IF(OR(HJ3="COVID19 PRIMER TRIMESTRE",HJ3="COVID19 SEGUNDO TRIMESTRE",HJ3="COVID19 TERCER TRIMESTRE",HJ3="COVID19 PUERPERIO"),"INFECCIÓN SARS-CoV2 CONFIRMADA",""),"*",CONCATENATE(IF(OR(HC3="CITAR PARA COLPOSCOPIA",HC3="CITAR PARA COLPOSCOPIA Y PATOLOGIA"),"DESCARTAR CANCER DE UTERO",""),"*",)))))))))))),"")</f>
        <v>*****SOBREPESO****PREVENCIÓN CONTAGIO TOXOPLASMOSIS***</v>
      </c>
      <c r="HM3" s="35" t="str">
        <f t="shared" ref="HM3:HM10" ca="1" si="161">IF(AND(O3="",R3=""),"",IF(AND(OR(O3&lt;&gt;"",R3&lt;&gt;""),OR(HO3="RIESGO ALTO DE COMPLICACIONES HIPERTENSIVAS VER MANEJO GUIA SUMINISTRO ASA Y CALCIO",HO3="RIESGO MODERADO (2 O MAS CRITERIOS) VER MANEJO GUIA SUMINISTRO ASA Y CALCIO")),"ALTO RIESGO",IF(AND(HL3="************",OR(O3&lt;&gt;"",R3&lt;&gt;""),AND(NM3&gt;=0,NM3&lt;3)),"BAJO RIESGO",IF(AND(OR(O3&lt;&gt;"",R3&lt;&gt;""),OR(HJ3="COVID19 PRIMER TRIMESTRE",HJ3="COVID19 SEGUNDO TRIMESTRE",HJ3="COVID19 TERCER TRIMESTRE",HJ3="COVID19 PUERPERIO")),"ALTO RIESGO",IF(AND(HL3&lt;&gt;"",OR(O3&lt;&gt;"",R3&lt;&gt;""),AND(NM3&gt;=0,NM3&lt;3)),"CON RIESGO",IF(AND(OR(O3&lt;&gt;"",R3&lt;&gt;""),NM3&gt;2),"ALTO RIESGO",""))))))</f>
        <v>CON RIESGO</v>
      </c>
      <c r="HN3" s="31" t="str">
        <f t="shared" ref="HN3:HN10" ca="1" si="162">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GEMELAR",""),"*",CONCATENATE(IF(NJ3=3,"PRESENTACIÓN FETAL PODALICA O TRANSVERSA",""),"*",CONCATENATE(IF(BY3="SI","POLIHIDRAMNIOS",""),"*",CONCATENATE(IF(FB3="DIABETES, REMITIR","DIABETES GESTACIONAL",""),"*",CONCATENATE(IF(FP3&lt;&gt;"","SEGUIMIENTO PARA SIFILIS GESTACIONAL",""),"*",CONCATENATE(IF(NI3=3,"SEGUIMIENTO PARA VIH",""),"*",CONCATENATE(IF(NG3=1,"SEGUIMIENTO PARA ANEMIA",""),"*",CONCATENATE(IF(ND3=2,"MULTIPARIDAD",""),"*",CONCATENATE(IF(ND3=1,"MULTIPARIDAD",""),"*",CONCATENATE(IF(NC3=1,"ANTECEDENTE MUERTE PERINATAL",""),"*",CONCATENATE(IF(OR(NA3=2,NA3=1),"RIESGO POR EDAD",""),"*",CONCATENATE(IF(OR(NE3=1,NE3=2),"CESAREAS PREVIAS",""),"*",CONCATENATE(IF(NF3=1,"ANTECEDENTE ECTOPICO O CX UTERINA",""),"*",CONCATENATE(IF(NH3=1,"EMBARAZO PROLONGADO",""),"*",CONCATENATE(IF(NK3=2,"SEGUIMIENTO PARA CHAGAS",""),"*",CONCATENATE(IF(NL3=3,"SEGUIMIENTO PARA MALARIA",""),"*",CONCATENATE(IF(OR(HJ3="COVID19 PRIMER TRIMESTRE",HJ3="COVID19 SEGUNDO TRIMESTRE", HJ3="COVID19 TERCER TRIMESTRE",HJ3="COVID19 PUERPERIO"),"SEGUIMIENTO PARA COVID19",""),"*",CONCATENATE(IF(EU3="RIESGO DE INCOMPATIBILIDAD RH","SEGUIMIENTO PARA INCOMPATIBILIDAD RH",""),"*")))))))))))))))))))))))))))))))),"")</f>
        <v>**********************MULTIPARIDAD**********</v>
      </c>
      <c r="HO3" s="31" t="str">
        <f t="shared" ref="HO3:HO10" si="163">IF(AND(O3="",R3=""),"",IF(AND(OR(O3&gt;0,R3&gt;0),OR(AL3="SI",BD3="SI",BA3="SI",BB3="SI",BE3="SI")),"RIESGO ALTO DE COMPLICACIONES HIPERTENSIVAS VER MANEJO GUIA SUMINISTRO ASA Y CALCIO",IF(AND(OR(O3&gt;0,R3&gt;0),NN3&gt;1),"RIESGO MODERADO (2 O MAS CRITERIOS) VER MANEJO GUIA SUMINISTRO ASA Y CALCIO","SIN ANTECEDENTES DE RIESGO")))</f>
        <v>SIN ANTECEDENTES DE RIESGO</v>
      </c>
      <c r="HP3" s="37" t="str">
        <f t="shared" ref="HP3:HP10" si="164">IF(AND(O3="",R3=""),"",IF(AND(OR(O3&gt;0,R3&gt;0),CR3&lt;&gt;"",CU3&lt;&gt;"",CZ3&lt;&gt;""),CZ3,IF(AND(OR(O3&gt;0,R3&gt;0),CR3&lt;&gt;"",CU3&lt;&gt;"",CZ3=""),CU3,IF(AND(OR(O3&gt;0,R3&gt;0),CR3&lt;&gt;"",CU3="",CZ3=""),CR3,IF(AND(OR(O3&gt;0,R3&gt;0),CR3="",CU3="",CZ3&lt;&gt;""),CZ3,IF(AND(OR(O3&gt;0,R3&gt;0),CR3="",CU3&lt;&gt;"",CZ3&lt;&gt;""),CZ3,IF(AND(OR(O3&gt;0,R3&gt;0),CR3&lt;&gt;"",CU3="",CZ3&lt;&gt;""),CZ3,IF(AND(OR(O3&gt;0,R3&gt;0),CR3="",CU3&lt;&gt;"",CZ3=""),CU3,""))))))))</f>
        <v>APARENTEMENTE NORMAL</v>
      </c>
      <c r="HQ3" s="31" t="str">
        <f t="shared" ref="HQ3:HQ10" ca="1" si="165">IF(NR3="SD","",IF(AND(NR3&lt;=33,NR3&gt;=8),"MES DE CONTROL",IF(AND(NR3&gt;=1,NR3&lt;8),"SEMANA DE CONTROL",IF(NR3=0,"DIA DE CONTROL",IF(NR3&lt;0,"INASISTENTE",IF(NR3="Y","SEGUIMIENTO FUERA MUNICIPIO",IF(NR3="Z","BUSCAR PARA INGRESO A CPN",IF(NR3="W","DEFINIR FECHA CITA",IF(NR3="X","NO REALIZO CPN",IF(NR3="S","DILIGENCIAR FECHA SALIDA PROGRAMA","REVISAR FORMULA"))))))))))</f>
        <v>SEGUIMIENTO FUERA MUNICIPIO</v>
      </c>
      <c r="HR3" s="46" t="str">
        <f t="shared" ref="HR3:HR10" si="166">IF(AND(R3&lt;&gt;"",IT3="CAMBIO DE RESIDENCIA"),"SEGUIMIENTO REPORTE EPS",IF(AND(R3&lt;&gt;"",OR(IT3&lt;&gt;"",IW3&lt;&gt;"")),"SALIO PROGRAMA",IF(AND(AND(R3="",O3&gt;0),OR(IT3&lt;&gt;"",IW3&lt;&gt;"")),"SALE SIN INGRESO CPN",IF(AND(R3="",O3&gt;0,IT3="",IW3=""),"ACTIVA SIN INGRESO CPN",IF(AND(R3&lt;&gt;"",OR(IT3="",IW3="")),"ACTIVA INGRESO A CPN","")))))</f>
        <v>SEGUIMIENTO REPORTE EPS</v>
      </c>
      <c r="HS3" s="31" t="s">
        <v>897</v>
      </c>
      <c r="HT3" s="31" t="s">
        <v>905</v>
      </c>
      <c r="HU3" s="35"/>
      <c r="HV3" s="35"/>
      <c r="HW3" s="35">
        <v>44662</v>
      </c>
      <c r="HX3" s="35" t="s">
        <v>931</v>
      </c>
      <c r="HY3" s="35">
        <v>44662</v>
      </c>
      <c r="HZ3" s="35" t="s">
        <v>931</v>
      </c>
      <c r="IA3" s="40" t="s">
        <v>909</v>
      </c>
      <c r="IB3" s="35">
        <v>44662</v>
      </c>
      <c r="IC3" s="43">
        <f t="shared" si="56"/>
        <v>0.7142857142857143</v>
      </c>
      <c r="ID3" s="40" t="s">
        <v>897</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ref="IP3:IP10" si="167">IF(OR(BL3="SI",BL3="Corregida",BL3="NO"),(BK3+280),IF(BL3="Sin Dato","DEFINIR FPP POR ECO",""))</f>
        <v>44937</v>
      </c>
      <c r="IQ3" s="44">
        <f t="shared" ref="IQ3:IQ10" ca="1" si="168">IF(OR(IP3="DEFINIR FPP POR ECO",BP3="ERROR FUM O INGRESO"),"SIN DEFINIR",IF(IP3="","",IF(IP3&gt;0,SUM(IP3-TODAY()),"X")))</f>
        <v>-288</v>
      </c>
      <c r="IR3" s="35" t="str">
        <f t="shared" ref="IR3:IR10" ca="1" si="169">IF(IQ3&lt;0,"POSIBLEMENTE NACIO",IF(IQ3="SIN DEFINIR","SIN DATO",IF(AND(IQ3&gt;=0,IQ3&lt;=7),"SEMANA DE PARTO",IF(AND(IQ3&gt;=8,IQ3&lt;=28),"MENOS DE 4 SEMANAS",IF(AND(IQ3&gt;=29,IQ3&lt;=280),"PENDIENTE","")))))</f>
        <v>POSIBLEMENTE NACIO</v>
      </c>
      <c r="IS3" s="35"/>
      <c r="IT3" s="31" t="s">
        <v>934</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ref="MQ3:MQ10" si="170">SUM(COUNTIF(LD3,"PARTERO (A)"),COUNTIF(LH3,"PARTERO (A)"),COUNTIF(LL3,"PARTERO (A)"),COUNTIF(LP3,"PARTERO (A)"),COUNTIF(LT3,"PARTERO (A)"),COUNTIF(LX3,"PARTERO (A)"),COUNTIF(MN3,"PARTERO (A)"))</f>
        <v>0</v>
      </c>
      <c r="MR3" t="str">
        <f t="shared" si="67"/>
        <v/>
      </c>
      <c r="MS3" t="str">
        <f t="shared" si="68"/>
        <v/>
      </c>
      <c r="MT3">
        <f t="shared" ref="MT3:MT10" si="171">SUM(COUNTIF(LD3,"MEDICO (A) TRADICIONAL"),COUNTIF(LH3,"MEDICO (A) TRADICIONAL"),COUNTIF(LL3,"MEDICO (A) TRADICIONAL"),COUNTIF(LP3,"MEDICO (A) TRADICIONAL"),COUNTIF(LT3,"MEDICO (A) TRADICIONAL"),COUNTIF(LX3,"MEDICO (A) TRADICIONAL"),COUNTIF(MN3,"MEDICO (A) TRADICIONAL"))</f>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ref="MY3:MY10" si="172">IF(AND(MW3&gt;=1,MW3&lt;=3),"I TRIMESTRE AÑO",IF(AND(MW3&gt;=4,MW3&lt;=6),"II TRIMESTRE AÑO",IF(AND(MW3&gt;=7,MW3&lt;=9),"III TRIMESTRE AÑO",IF(AND(MW3&gt;=10,MW3&lt;=12),"IV TRIMESTRE AÑO",""))))</f>
        <v>II TRIMESTRE AÑO</v>
      </c>
      <c r="MZ3">
        <f t="shared" si="74"/>
        <v>20.009307928164695</v>
      </c>
      <c r="NA3">
        <f t="shared" ref="NA3:NA10" si="173">IF(AND(MZ3&gt;7,MZ3&lt;14),2,IF(MZ3&lt;16,1,IF(MZ3&lt;=35,0,IF(AND(MZ3&gt;35,MZ3&lt;50),2,""))))</f>
        <v>0</v>
      </c>
      <c r="NB3" t="str">
        <f t="shared" ref="NB3:NB10" si="174">+IF(MZ3="","",IF(MZ3&lt;14,"MENOR 14 AÑOS",IF(MZ3&lt;20,"DE 14 A 19AÑOS",IF(MZ3&lt;25," DE 20 A 24 AÑOS",IF(MZ3&lt;30," DE 25 A 29 AÑOS",IF(MZ3&lt;35," DE 30 A 34 AÑOS",IF(MZ3&lt;40," DE 35 A 39 AÑOS"," DE 40 Y MAS")))))))</f>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 t="shared" si="94"/>
        <v>2</v>
      </c>
      <c r="OA3" s="1" t="str">
        <f t="shared" ref="OA3:OA10" ca="1" si="175">IF(AND(O3="",R3=""),"",IF(AND(BO3&gt;0,BO3&lt;12,IY3&gt;28,IY3&lt;44),3, IF(OR(AND(BO3&gt;=12,BO3&lt;28,IY3&gt;=28,IY3&lt;44),AND(BO3&gt;0,BO3&lt;12,IY3&gt;=12,IY3&lt;29)),2,IF(OR(AND(BO3&gt;=28,BO3&lt;44),AND(BO3&gt;0,BO3&lt;12,IY3&gt;0,IY3&lt;12),AND(BO3&gt;=12,BO3&lt;28,IY3&gt;=12,IY3&lt;28)),1,IF(AND(BO3&gt;0,BO3&lt;12,BQ3&gt;=28,BQ3&lt;44,DR3="ACTIVA INGRESO A CPN"),3,IF(OR(AND(BO3&gt;0,BO3&lt;12,BQ3&gt;=12,BQ3&lt;28,DR3="ACTIVA INGRESO A CPN"),AND(BO3&gt;=12,BO3&lt;28,BQ3&gt;=28,BQ3&lt;44,DR3="ACTIVA INGRESO A CPN")),2,IF(OR(AND(BO3&gt;0,BO3&lt;12,BQ3&gt;0,BQ3&lt;12,DR3="ACTIVA INGRESO A CPN"),AND(BO3&gt;=12,BO3&lt;28,BQ3&gt;=12,BQ3&lt;28,DR3="ACTIVA INGRESO A CPN")),1,"REVISAR FUM O FECHA SALIDA PROGRAMA")))))))</f>
        <v>REVISAR FUM O FECHA SALIDA PROGRAMA</v>
      </c>
      <c r="OB3" s="213">
        <f t="shared" ca="1" si="95"/>
        <v>1</v>
      </c>
      <c r="OC3" s="1">
        <f t="shared" ca="1" si="96"/>
        <v>1</v>
      </c>
      <c r="OD3" s="1" t="str">
        <f t="shared" ref="OD3:OD10" ca="1" si="176">IF(OA3="","",IF(OA3="REVISAR FUM O FECHA SALIDA PROGRAMA","POR DEFINIR",IF(OR(OA3=OB3,OB3&gt;OA3),"COMPLETO",IF(OB3&lt;OA3,"INCOMPLETO",""))))</f>
        <v>POR DEFINIR</v>
      </c>
      <c r="OE3" s="1" t="str">
        <f t="shared" ca="1" si="97"/>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1" t="str">
        <f t="shared" ca="1" si="98"/>
        <v>SIN VACUNAR</v>
      </c>
      <c r="OH3" s="148">
        <f>ROW(Tabla1[[#This Row],[SEMANAS DE GESTACION II TRIM]])</f>
        <v>3</v>
      </c>
      <c r="OI3" t="str">
        <f t="shared" si="99"/>
        <v/>
      </c>
      <c r="OJ3" t="str">
        <f t="shared" si="100"/>
        <v/>
      </c>
      <c r="OK3" t="str">
        <f t="shared" si="101"/>
        <v/>
      </c>
      <c r="OL3" t="str">
        <f t="shared" si="102"/>
        <v/>
      </c>
      <c r="OM3" t="str">
        <f t="shared" si="103"/>
        <v/>
      </c>
      <c r="ON3" t="str">
        <f t="shared" si="104"/>
        <v/>
      </c>
      <c r="OO3" t="str">
        <f t="shared" si="105"/>
        <v/>
      </c>
      <c r="OP3" t="str">
        <f t="shared" si="106"/>
        <v/>
      </c>
      <c r="OQ3" t="str">
        <f t="shared" si="107"/>
        <v/>
      </c>
      <c r="OR3" t="str">
        <f t="shared" si="108"/>
        <v/>
      </c>
      <c r="OS3" t="str">
        <f t="shared" si="109"/>
        <v/>
      </c>
      <c r="OT3" t="str">
        <f t="shared" si="110"/>
        <v/>
      </c>
      <c r="OU3" t="str">
        <f t="shared" si="111"/>
        <v/>
      </c>
      <c r="OV3" t="str">
        <f t="shared" si="112"/>
        <v/>
      </c>
      <c r="OW3" t="str">
        <f t="shared" si="113"/>
        <v/>
      </c>
      <c r="OX3" t="str">
        <f t="shared" si="114"/>
        <v/>
      </c>
      <c r="OY3" t="str">
        <f t="shared" si="115"/>
        <v/>
      </c>
      <c r="OZ3" t="str">
        <f t="shared" si="116"/>
        <v/>
      </c>
      <c r="PA3" t="str">
        <f t="shared" si="117"/>
        <v/>
      </c>
      <c r="PB3" t="str">
        <f t="shared" si="118"/>
        <v/>
      </c>
      <c r="PC3" t="str">
        <f t="shared" si="119"/>
        <v/>
      </c>
      <c r="PD3" t="str">
        <f t="shared" si="120"/>
        <v/>
      </c>
      <c r="PE3" t="str">
        <f t="shared" si="121"/>
        <v/>
      </c>
      <c r="PF3" t="str">
        <f t="shared" si="122"/>
        <v/>
      </c>
      <c r="PG3" t="str">
        <f t="shared" si="123"/>
        <v/>
      </c>
      <c r="PH3" t="str">
        <f t="shared" si="124"/>
        <v/>
      </c>
      <c r="PI3" t="str">
        <f t="shared" si="125"/>
        <v/>
      </c>
      <c r="PJ3" t="str">
        <f t="shared" si="126"/>
        <v/>
      </c>
      <c r="PK3" t="str">
        <f t="shared" si="127"/>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8"/>
        <v/>
      </c>
      <c r="PN3" s="161" t="str">
        <f t="shared" ref="PN3:PN10" si="177">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19.452054794520549</v>
      </c>
      <c r="O4" s="35">
        <v>44734</v>
      </c>
      <c r="P4" s="39" t="str">
        <f t="shared" si="1"/>
        <v>SI</v>
      </c>
      <c r="Q4" s="40" t="s">
        <v>898</v>
      </c>
      <c r="R4" s="35">
        <v>44734</v>
      </c>
      <c r="S4" s="31" t="s">
        <v>899</v>
      </c>
      <c r="T4" s="37" t="s">
        <v>800</v>
      </c>
      <c r="U4" s="31" t="s">
        <v>900</v>
      </c>
      <c r="V4" s="31" t="s">
        <v>901</v>
      </c>
      <c r="W4" s="31" t="s">
        <v>910</v>
      </c>
      <c r="X4" s="31" t="s">
        <v>910</v>
      </c>
      <c r="Y4" s="31" t="s">
        <v>910</v>
      </c>
      <c r="Z4" s="31">
        <v>3175892519</v>
      </c>
      <c r="AA4" s="31" t="s">
        <v>904</v>
      </c>
      <c r="AB4" s="41" t="s">
        <v>905</v>
      </c>
      <c r="AC4" s="40" t="s">
        <v>911</v>
      </c>
      <c r="AD4" s="55" t="s">
        <v>912</v>
      </c>
      <c r="AE4" s="40" t="s">
        <v>897</v>
      </c>
      <c r="AF4" s="40" t="s">
        <v>897</v>
      </c>
      <c r="AG4" s="36" t="s">
        <v>908</v>
      </c>
      <c r="AH4" s="36" t="s">
        <v>908</v>
      </c>
      <c r="AI4" s="37" t="s">
        <v>907</v>
      </c>
      <c r="AJ4" s="36" t="s">
        <v>908</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908</v>
      </c>
      <c r="AM4" s="40" t="s">
        <v>908</v>
      </c>
      <c r="AN4" s="40" t="s">
        <v>908</v>
      </c>
      <c r="AO4" s="40" t="s">
        <v>908</v>
      </c>
      <c r="AP4" s="40" t="s">
        <v>908</v>
      </c>
      <c r="AQ4" s="40" t="s">
        <v>908</v>
      </c>
      <c r="AR4" s="31">
        <v>0</v>
      </c>
      <c r="AS4" s="31">
        <v>0</v>
      </c>
      <c r="AT4" s="31">
        <v>0</v>
      </c>
      <c r="AU4" s="40" t="s">
        <v>908</v>
      </c>
      <c r="AV4" s="31">
        <v>0</v>
      </c>
      <c r="AW4" s="40" t="s">
        <v>908</v>
      </c>
      <c r="AX4" s="40" t="s">
        <v>908</v>
      </c>
      <c r="AY4" s="40" t="s">
        <v>908</v>
      </c>
      <c r="AZ4" s="40" t="s">
        <v>908</v>
      </c>
      <c r="BA4" s="40" t="s">
        <v>908</v>
      </c>
      <c r="BB4" s="40" t="s">
        <v>908</v>
      </c>
      <c r="BC4" s="40" t="s">
        <v>908</v>
      </c>
      <c r="BD4" s="40" t="s">
        <v>908</v>
      </c>
      <c r="BE4" s="40" t="s">
        <v>908</v>
      </c>
      <c r="BF4" s="40" t="s">
        <v>908</v>
      </c>
      <c r="BG4" s="40" t="s">
        <v>908</v>
      </c>
      <c r="BH4" s="40" t="s">
        <v>908</v>
      </c>
      <c r="BI4" s="40" t="s">
        <v>908</v>
      </c>
      <c r="BJ4" s="35"/>
      <c r="BK4" s="35">
        <v>44664</v>
      </c>
      <c r="BL4" s="31" t="s">
        <v>897</v>
      </c>
      <c r="BM4" s="43">
        <f t="shared" si="129"/>
        <v>0</v>
      </c>
      <c r="BN4" s="57">
        <f t="shared" si="130"/>
        <v>44669</v>
      </c>
      <c r="BO4" s="44">
        <f t="shared" si="131"/>
        <v>10</v>
      </c>
      <c r="BP4" s="31" t="str">
        <f t="shared" si="132"/>
        <v>I TRIM</v>
      </c>
      <c r="BQ4" s="39" t="str">
        <f t="shared" ca="1" si="133"/>
        <v/>
      </c>
      <c r="BR4" s="35">
        <v>44767</v>
      </c>
      <c r="BS4" s="43">
        <v>14</v>
      </c>
      <c r="BT4" s="35">
        <v>44823</v>
      </c>
      <c r="BU4" s="31">
        <v>22</v>
      </c>
      <c r="BV4" s="40" t="s">
        <v>908</v>
      </c>
      <c r="BW4" s="40" t="s">
        <v>908</v>
      </c>
      <c r="BX4" s="40" t="s">
        <v>913</v>
      </c>
      <c r="BY4" s="40" t="s">
        <v>908</v>
      </c>
      <c r="BZ4" s="35">
        <v>44734</v>
      </c>
      <c r="CA4" s="31">
        <v>1.6</v>
      </c>
      <c r="CB4" s="31">
        <v>59</v>
      </c>
      <c r="CC4" s="39">
        <f t="shared" si="134"/>
        <v>23.046874999999996</v>
      </c>
      <c r="CD4" s="45" t="str">
        <f t="shared" si="135"/>
        <v>NORMAL</v>
      </c>
      <c r="CE4" s="35">
        <v>44792</v>
      </c>
      <c r="CF4" s="31">
        <v>54</v>
      </c>
      <c r="CG4" s="39">
        <f t="shared" si="136"/>
        <v>21.093749999999996</v>
      </c>
      <c r="CH4" s="31">
        <f t="shared" si="137"/>
        <v>18</v>
      </c>
      <c r="CI4" s="31" t="str">
        <f>IF(OR(CH4="",CH4="NA"),"",IF(AND(CH4&gt;=29,CH4&lt;=42),"REGISTRAR EN III TRIM",IF(AND(CH4&gt;0,CH4&lt;=13),"REGISTRAR EN I TRIM",IF(CH4="REVISAR FUM O FECHA PESO","REVISAR",IF(CH4&gt;0,HLOOKUP(CH4,$OI$1:PK4,OH4),"")))))</f>
        <v>BAJO PESO</v>
      </c>
      <c r="CJ4" s="35">
        <v>44883</v>
      </c>
      <c r="CK4" s="31">
        <v>60</v>
      </c>
      <c r="CL4" s="39">
        <f t="shared" si="138"/>
        <v>23.437499999999996</v>
      </c>
      <c r="CM4" s="31">
        <f t="shared" si="139"/>
        <v>31</v>
      </c>
      <c r="CN4" s="31" t="str">
        <f>IF(OR(CM4="",CM4="NA"),"",IF(AND(CM4&gt;0,CM4&lt;=28),"REGISTRAR EN  TRIM RESPECTIVO",IF(CM4&gt;0,HLOOKUP(CM4,$OI$1:PK4,OH4),"")))</f>
        <v>BAJO PESO</v>
      </c>
      <c r="CO4" s="31" t="str">
        <f t="shared" si="140"/>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41"/>
        <v>SALE SIN PLAN DE PARTO</v>
      </c>
      <c r="DR4" s="46" t="str">
        <f t="shared" si="142"/>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43"/>
        <v/>
      </c>
      <c r="DU4" s="35">
        <f>IF(R4="","",IF(R4&gt;0,MAX(Tabla1[[#This Row],[FECHA C2]:[FECHA C13]],Tabla1[[#This Row],[FECHA CONSULTA PRIMERA VEZ PROGRAMA CPN ]])))</f>
        <v>44923</v>
      </c>
      <c r="DV4" s="31">
        <f t="shared" si="144"/>
        <v>37</v>
      </c>
      <c r="DW4" s="43">
        <f>IF(R4&gt;0,SUM(COUNTA(DC4:DN4)+COUNTA(Tabla1[[#This Row],[FECHA CONSULTA PRIMERA VEZ PROGRAMA CPN ]])),"")</f>
        <v>6</v>
      </c>
      <c r="DX4" s="43" t="str">
        <f t="shared" si="145"/>
        <v>SI</v>
      </c>
      <c r="DY4" s="39">
        <f t="shared" si="146"/>
        <v>9</v>
      </c>
      <c r="DZ4" s="47">
        <f t="shared" si="147"/>
        <v>0.66666666666666663</v>
      </c>
      <c r="EA4" s="35">
        <v>44734</v>
      </c>
      <c r="EB4" s="35">
        <v>44734</v>
      </c>
      <c r="EC4" s="35">
        <v>44734</v>
      </c>
      <c r="ED4" s="35">
        <v>44761</v>
      </c>
      <c r="EE4" s="35">
        <v>44734</v>
      </c>
      <c r="EF4" s="35">
        <v>44767</v>
      </c>
      <c r="EG4" s="35">
        <v>44823</v>
      </c>
      <c r="EH4" s="31">
        <v>2</v>
      </c>
      <c r="EI4" s="31">
        <v>13</v>
      </c>
      <c r="EJ4" s="35">
        <v>44734</v>
      </c>
      <c r="EK4" s="43">
        <f t="shared" si="148"/>
        <v>10</v>
      </c>
      <c r="EL4" s="39" t="str">
        <f t="shared" si="149"/>
        <v>NORMAL- SUMINISTRAR SULFATO FERROSO</v>
      </c>
      <c r="EM4" s="31" t="str">
        <f t="shared" si="150"/>
        <v>I TRIM</v>
      </c>
      <c r="EN4" s="37">
        <v>15</v>
      </c>
      <c r="EO4" s="35">
        <v>44883</v>
      </c>
      <c r="EP4" s="44">
        <f t="shared" si="151"/>
        <v>31.285714285714285</v>
      </c>
      <c r="EQ4" s="39" t="str">
        <f t="shared" si="152"/>
        <v>NO DAR SULFATO FERROSO</v>
      </c>
      <c r="ER4" s="37" t="s">
        <v>923</v>
      </c>
      <c r="ES4" s="35">
        <v>44734</v>
      </c>
      <c r="ET4" s="44">
        <f t="shared" si="153"/>
        <v>10</v>
      </c>
      <c r="EU4" s="39" t="str">
        <f t="shared" si="154"/>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924</v>
      </c>
      <c r="FF4" s="35">
        <v>44734</v>
      </c>
      <c r="FG4" s="44">
        <f t="shared" ca="1" si="34"/>
        <v>10</v>
      </c>
      <c r="FH4" s="35" t="s">
        <v>924</v>
      </c>
      <c r="FI4" s="49">
        <v>44820</v>
      </c>
      <c r="FJ4" s="44">
        <f t="shared" ca="1" si="35"/>
        <v>22.285714285714285</v>
      </c>
      <c r="FK4" s="35" t="s">
        <v>924</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925</v>
      </c>
      <c r="FU4" s="35">
        <v>44734</v>
      </c>
      <c r="FV4" s="44">
        <f t="shared" si="38"/>
        <v>10</v>
      </c>
      <c r="FW4" s="35">
        <v>44734</v>
      </c>
      <c r="FX4" s="35">
        <v>44734</v>
      </c>
      <c r="FY4" s="35" t="s">
        <v>926</v>
      </c>
      <c r="FZ4" s="35">
        <v>44734</v>
      </c>
      <c r="GA4" s="44">
        <f t="shared" ca="1" si="39"/>
        <v>10</v>
      </c>
      <c r="GB4" s="35" t="s">
        <v>926</v>
      </c>
      <c r="GC4" s="35">
        <v>44820</v>
      </c>
      <c r="GD4" s="44">
        <f t="shared" ca="1" si="40"/>
        <v>22.285714285714285</v>
      </c>
      <c r="GE4" s="35" t="s">
        <v>926</v>
      </c>
      <c r="GF4" s="35">
        <v>44883</v>
      </c>
      <c r="GG4" s="44">
        <f t="shared" ca="1" si="41"/>
        <v>31.285714285714285</v>
      </c>
      <c r="GH4" s="35"/>
      <c r="GI4" s="44"/>
      <c r="GJ4" s="35" t="s">
        <v>905</v>
      </c>
      <c r="GK4" s="35"/>
      <c r="GL4" s="35" t="s">
        <v>905</v>
      </c>
      <c r="GM4" s="35"/>
      <c r="GN4" s="43" t="s">
        <v>925</v>
      </c>
      <c r="GO4" s="35">
        <v>44734</v>
      </c>
      <c r="GP4" s="44">
        <f t="shared" si="42"/>
        <v>10</v>
      </c>
      <c r="GQ4" s="43" t="s">
        <v>925</v>
      </c>
      <c r="GR4" s="43" t="s">
        <v>925</v>
      </c>
      <c r="GS4" s="35" t="str">
        <f t="shared" si="43"/>
        <v>CONTROL Igm</v>
      </c>
      <c r="GT4" s="35">
        <v>44734</v>
      </c>
      <c r="GU4" s="44">
        <f t="shared" si="155"/>
        <v>10</v>
      </c>
      <c r="GV4" s="31" t="str">
        <f t="shared" si="156"/>
        <v>I TRIM</v>
      </c>
      <c r="GW4" s="43" t="s">
        <v>925</v>
      </c>
      <c r="GX4" s="46">
        <v>5</v>
      </c>
      <c r="GY4" s="31"/>
      <c r="GZ4" s="35"/>
      <c r="HA4" s="43" t="str">
        <f t="shared" si="157"/>
        <v/>
      </c>
      <c r="HB4" s="31" t="str">
        <f t="shared" si="158"/>
        <v/>
      </c>
      <c r="HC4" s="31" t="str">
        <f t="shared" si="159"/>
        <v/>
      </c>
      <c r="HD4" s="31" t="s">
        <v>927</v>
      </c>
      <c r="HE4" s="31"/>
      <c r="HF4" s="31" t="s">
        <v>928</v>
      </c>
      <c r="HG4" s="31"/>
      <c r="HH4" s="31" t="s">
        <v>929</v>
      </c>
      <c r="HI4" s="31">
        <v>0</v>
      </c>
      <c r="HJ4" s="35" t="s">
        <v>930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160"/>
        <v>****BAJO PESO*****PREVENCIÓN CONTAGIO TOXOPLASMOSIS***</v>
      </c>
      <c r="HM4" s="35" t="str">
        <f t="shared" ca="1" si="161"/>
        <v>CON RIESGO</v>
      </c>
      <c r="HN4" s="31" t="str">
        <f t="shared" ca="1" si="162"/>
        <v>**********************MULTIPARIDAD**********</v>
      </c>
      <c r="HO4" s="31" t="str">
        <f t="shared" si="163"/>
        <v>SIN ANTECEDENTES DE RIESGO</v>
      </c>
      <c r="HP4" s="37" t="str">
        <f t="shared" si="164"/>
        <v>APARENTEMENTE NORMAL</v>
      </c>
      <c r="HQ4" s="31" t="str">
        <f t="shared" ca="1" si="165"/>
        <v/>
      </c>
      <c r="HR4" s="46" t="str">
        <f t="shared" si="166"/>
        <v>SALIO PROGRAMA</v>
      </c>
      <c r="HS4" s="31" t="s">
        <v>897</v>
      </c>
      <c r="HT4" s="31" t="s">
        <v>905</v>
      </c>
      <c r="HU4" s="35">
        <v>44848</v>
      </c>
      <c r="HV4" s="35" t="s">
        <v>931</v>
      </c>
      <c r="HW4" s="35">
        <v>44848</v>
      </c>
      <c r="HX4" s="35" t="s">
        <v>931</v>
      </c>
      <c r="HY4" s="35">
        <v>44734</v>
      </c>
      <c r="HZ4" s="35" t="s">
        <v>931</v>
      </c>
      <c r="IA4" s="40" t="s">
        <v>909</v>
      </c>
      <c r="IB4" s="35">
        <v>44734</v>
      </c>
      <c r="IC4" s="43">
        <f t="shared" si="56"/>
        <v>10</v>
      </c>
      <c r="ID4" s="40" t="s">
        <v>897</v>
      </c>
      <c r="IE4" s="40" t="s">
        <v>932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167"/>
        <v>44944</v>
      </c>
      <c r="IQ4" s="44">
        <f t="shared" ca="1" si="168"/>
        <v>-281</v>
      </c>
      <c r="IR4" s="35" t="str">
        <f t="shared" ca="1" si="169"/>
        <v>POSIBLEMENTE NACIO</v>
      </c>
      <c r="IS4" s="35"/>
      <c r="IT4" s="31" t="s">
        <v>935</v>
      </c>
      <c r="IU4" s="31" t="s">
        <v>936</v>
      </c>
      <c r="IV4" s="51" t="s">
        <v>937</v>
      </c>
      <c r="IW4" s="35">
        <v>44945</v>
      </c>
      <c r="IX4" s="31" t="s">
        <v>938</v>
      </c>
      <c r="IY4" s="44">
        <f t="shared" si="61"/>
        <v>40.142857142857146</v>
      </c>
      <c r="IZ4" s="52" t="s">
        <v>939</v>
      </c>
      <c r="JA4" s="31" t="s">
        <v>940</v>
      </c>
      <c r="JB4" s="31" t="s">
        <v>941</v>
      </c>
      <c r="JC4" s="31" t="s">
        <v>942</v>
      </c>
      <c r="JD4" s="31" t="s">
        <v>909</v>
      </c>
      <c r="JE4" s="31" t="s">
        <v>909</v>
      </c>
      <c r="JF4" s="31" t="s">
        <v>909</v>
      </c>
      <c r="JG4" s="31" t="s">
        <v>909</v>
      </c>
      <c r="JH4" s="31" t="s">
        <v>909</v>
      </c>
      <c r="JI4" s="31" t="s">
        <v>909</v>
      </c>
      <c r="JJ4" s="31" t="s">
        <v>943</v>
      </c>
      <c r="JK4" s="46">
        <v>1</v>
      </c>
      <c r="JL4" s="31" t="s">
        <v>944</v>
      </c>
      <c r="JM4" s="53">
        <v>2970</v>
      </c>
      <c r="JN4" s="31" t="str">
        <f t="shared" si="62"/>
        <v>PESO ADECUADO EDAD GESTACIONAL</v>
      </c>
      <c r="JO4" s="237">
        <v>44945</v>
      </c>
      <c r="JP4" s="31"/>
      <c r="JQ4" s="31"/>
      <c r="JR4" s="31"/>
      <c r="JS4" s="46" t="s">
        <v>923</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897</v>
      </c>
      <c r="KK4" s="31" t="s">
        <v>897</v>
      </c>
      <c r="KL4" s="31" t="s">
        <v>897</v>
      </c>
      <c r="KM4" s="54">
        <v>44945</v>
      </c>
      <c r="KN4" s="43" t="s">
        <v>945</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170"/>
        <v>0</v>
      </c>
      <c r="MR4" t="str">
        <f t="shared" si="67"/>
        <v/>
      </c>
      <c r="MS4" t="str">
        <f t="shared" si="68"/>
        <v/>
      </c>
      <c r="MT4">
        <f t="shared" si="171"/>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172"/>
        <v>II TRIMESTRE AÑO</v>
      </c>
      <c r="MZ4">
        <f t="shared" si="74"/>
        <v>17.832895313184405</v>
      </c>
      <c r="NA4">
        <f t="shared" si="173"/>
        <v>0</v>
      </c>
      <c r="NB4" t="str">
        <f t="shared" si="174"/>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 t="shared" si="94"/>
        <v/>
      </c>
      <c r="OA4" s="1">
        <f t="shared" si="175"/>
        <v>3</v>
      </c>
      <c r="OB4" s="213">
        <f t="shared" ca="1" si="95"/>
        <v>3</v>
      </c>
      <c r="OC4" s="1">
        <f t="shared" ca="1" si="96"/>
        <v>3</v>
      </c>
      <c r="OD4" s="1" t="str">
        <f t="shared" ca="1" si="176"/>
        <v>COMPLETO</v>
      </c>
      <c r="OE4" s="1" t="str">
        <f t="shared" ca="1" si="97"/>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1" t="str">
        <f t="shared" ca="1" si="98"/>
        <v>VACUNADA</v>
      </c>
      <c r="OH4" s="148">
        <f>ROW(Tabla1[[#This Row],[SEMANAS DE GESTACION II TRIM]])</f>
        <v>4</v>
      </c>
      <c r="OI4" t="str">
        <f t="shared" si="99"/>
        <v/>
      </c>
      <c r="OJ4" t="str">
        <f t="shared" si="100"/>
        <v/>
      </c>
      <c r="OK4" t="str">
        <f t="shared" si="101"/>
        <v/>
      </c>
      <c r="OL4" t="str">
        <f t="shared" si="102"/>
        <v/>
      </c>
      <c r="OM4" t="str">
        <f t="shared" si="103"/>
        <v>BAJO PESO</v>
      </c>
      <c r="ON4" t="str">
        <f t="shared" si="104"/>
        <v/>
      </c>
      <c r="OO4" t="str">
        <f t="shared" si="105"/>
        <v/>
      </c>
      <c r="OP4" t="str">
        <f t="shared" si="106"/>
        <v/>
      </c>
      <c r="OQ4" t="str">
        <f t="shared" si="107"/>
        <v/>
      </c>
      <c r="OR4" t="str">
        <f t="shared" si="108"/>
        <v/>
      </c>
      <c r="OS4" t="str">
        <f t="shared" si="109"/>
        <v/>
      </c>
      <c r="OT4" t="str">
        <f t="shared" si="110"/>
        <v/>
      </c>
      <c r="OU4" t="str">
        <f t="shared" si="111"/>
        <v/>
      </c>
      <c r="OV4" t="str">
        <f t="shared" si="112"/>
        <v/>
      </c>
      <c r="OW4" t="str">
        <f t="shared" si="113"/>
        <v/>
      </c>
      <c r="OX4" t="str">
        <f t="shared" si="114"/>
        <v/>
      </c>
      <c r="OY4" t="str">
        <f t="shared" si="115"/>
        <v/>
      </c>
      <c r="OZ4" t="str">
        <f t="shared" si="116"/>
        <v>BAJO PESO</v>
      </c>
      <c r="PA4" t="str">
        <f t="shared" si="117"/>
        <v/>
      </c>
      <c r="PB4" t="str">
        <f t="shared" si="118"/>
        <v/>
      </c>
      <c r="PC4" t="str">
        <f t="shared" si="119"/>
        <v/>
      </c>
      <c r="PD4" t="str">
        <f t="shared" si="120"/>
        <v/>
      </c>
      <c r="PE4" t="str">
        <f t="shared" si="121"/>
        <v/>
      </c>
      <c r="PF4" t="str">
        <f t="shared" si="122"/>
        <v/>
      </c>
      <c r="PG4" t="str">
        <f t="shared" si="123"/>
        <v/>
      </c>
      <c r="PH4" t="str">
        <f t="shared" si="124"/>
        <v/>
      </c>
      <c r="PI4" t="str">
        <f t="shared" si="125"/>
        <v/>
      </c>
      <c r="PJ4" t="str">
        <f t="shared" si="126"/>
        <v/>
      </c>
      <c r="PK4" t="str">
        <f t="shared" si="127"/>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8"/>
        <v/>
      </c>
      <c r="PN4" s="161" t="str">
        <f t="shared" si="177"/>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t="shared" ca="1" si="0"/>
        <v>16.383561643835616</v>
      </c>
      <c r="O5" s="35">
        <v>44737</v>
      </c>
      <c r="P5" s="39" t="str">
        <f t="shared" si="1"/>
        <v>SI</v>
      </c>
      <c r="Q5" s="40" t="s">
        <v>898</v>
      </c>
      <c r="R5" s="35">
        <v>44737</v>
      </c>
      <c r="S5" s="31" t="s">
        <v>899</v>
      </c>
      <c r="T5" s="37" t="s">
        <v>800</v>
      </c>
      <c r="U5" s="31" t="s">
        <v>900</v>
      </c>
      <c r="V5" s="31" t="s">
        <v>901</v>
      </c>
      <c r="W5" s="31" t="s">
        <v>914</v>
      </c>
      <c r="X5" s="31" t="s">
        <v>914</v>
      </c>
      <c r="Y5" s="31" t="s">
        <v>910</v>
      </c>
      <c r="Z5" s="31">
        <v>3148325692</v>
      </c>
      <c r="AA5" s="31" t="s">
        <v>904</v>
      </c>
      <c r="AB5" s="41" t="s">
        <v>905</v>
      </c>
      <c r="AC5" s="40" t="s">
        <v>911</v>
      </c>
      <c r="AD5" s="55" t="s">
        <v>907</v>
      </c>
      <c r="AE5" s="40" t="s">
        <v>897</v>
      </c>
      <c r="AF5" s="40" t="s">
        <v>897</v>
      </c>
      <c r="AG5" s="36" t="s">
        <v>908</v>
      </c>
      <c r="AH5" s="36" t="s">
        <v>908</v>
      </c>
      <c r="AI5" s="37" t="s">
        <v>907</v>
      </c>
      <c r="AJ5" s="36" t="s">
        <v>908</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908</v>
      </c>
      <c r="AM5" s="40" t="s">
        <v>908</v>
      </c>
      <c r="AN5" s="40" t="s">
        <v>908</v>
      </c>
      <c r="AO5" s="40" t="s">
        <v>908</v>
      </c>
      <c r="AP5" s="40" t="s">
        <v>908</v>
      </c>
      <c r="AQ5" s="40" t="s">
        <v>908</v>
      </c>
      <c r="AR5" s="31">
        <v>1</v>
      </c>
      <c r="AS5" s="31">
        <v>0</v>
      </c>
      <c r="AT5" s="31">
        <v>0</v>
      </c>
      <c r="AU5" s="40" t="s">
        <v>908</v>
      </c>
      <c r="AV5" s="31">
        <v>0</v>
      </c>
      <c r="AW5" s="40" t="s">
        <v>908</v>
      </c>
      <c r="AX5" s="40" t="s">
        <v>908</v>
      </c>
      <c r="AY5" s="40" t="s">
        <v>908</v>
      </c>
      <c r="AZ5" s="40" t="s">
        <v>908</v>
      </c>
      <c r="BA5" s="40" t="s">
        <v>908</v>
      </c>
      <c r="BB5" s="40" t="s">
        <v>908</v>
      </c>
      <c r="BC5" s="40" t="s">
        <v>908</v>
      </c>
      <c r="BD5" s="40" t="s">
        <v>908</v>
      </c>
      <c r="BE5" s="40" t="s">
        <v>908</v>
      </c>
      <c r="BF5" s="40" t="s">
        <v>908</v>
      </c>
      <c r="BG5" s="40" t="s">
        <v>908</v>
      </c>
      <c r="BH5" s="40" t="s">
        <v>908</v>
      </c>
      <c r="BI5" s="40" t="s">
        <v>908</v>
      </c>
      <c r="BJ5" s="35"/>
      <c r="BK5" s="35">
        <v>44667</v>
      </c>
      <c r="BL5" s="31" t="s">
        <v>897</v>
      </c>
      <c r="BM5" s="43">
        <f t="shared" si="129"/>
        <v>0</v>
      </c>
      <c r="BN5" s="57">
        <f t="shared" si="130"/>
        <v>44660.6</v>
      </c>
      <c r="BO5" s="44">
        <f t="shared" si="131"/>
        <v>10</v>
      </c>
      <c r="BP5" s="31" t="str">
        <f t="shared" si="132"/>
        <v>I TRIM</v>
      </c>
      <c r="BQ5" s="39" t="str">
        <f t="shared" ca="1" si="133"/>
        <v/>
      </c>
      <c r="BR5" s="35">
        <v>44774</v>
      </c>
      <c r="BS5" s="43">
        <v>16.2</v>
      </c>
      <c r="BT5" s="35"/>
      <c r="BU5" s="31"/>
      <c r="BV5" s="40" t="s">
        <v>908</v>
      </c>
      <c r="BW5" s="40" t="s">
        <v>908</v>
      </c>
      <c r="BX5" s="40" t="s">
        <v>909</v>
      </c>
      <c r="BY5" s="40" t="s">
        <v>909</v>
      </c>
      <c r="BZ5" s="35">
        <v>44737</v>
      </c>
      <c r="CA5" s="31">
        <v>1.53</v>
      </c>
      <c r="CB5" s="31">
        <v>58</v>
      </c>
      <c r="CC5" s="39">
        <f t="shared" si="134"/>
        <v>24.776795249690291</v>
      </c>
      <c r="CD5" s="45" t="str">
        <f t="shared" si="135"/>
        <v>NORMAL</v>
      </c>
      <c r="CE5" s="35">
        <v>44803</v>
      </c>
      <c r="CF5" s="31">
        <v>51</v>
      </c>
      <c r="CG5" s="39">
        <f t="shared" si="136"/>
        <v>21.786492374727668</v>
      </c>
      <c r="CH5" s="31">
        <f t="shared" si="137"/>
        <v>19</v>
      </c>
      <c r="CI5" s="31" t="str">
        <f>IF(OR(CH5="",CH5="NA"),"",IF(AND(CH5&gt;=29,CH5&lt;=42),"REGISTRAR EN III TRIM",IF(AND(CH5&gt;0,CH5&lt;=13),"REGISTRAR EN I TRIM",IF(CH5="REVISAR FUM O FECHA PESO","REVISAR",IF(CH5&gt;0,HLOOKUP(CH5,$OI$1:PK5,OH5),"")))))</f>
        <v>NORMAL</v>
      </c>
      <c r="CJ5" s="35">
        <v>44897</v>
      </c>
      <c r="CK5" s="31">
        <v>58</v>
      </c>
      <c r="CL5" s="39">
        <f t="shared" si="138"/>
        <v>24.776795249690291</v>
      </c>
      <c r="CM5" s="31">
        <f t="shared" si="139"/>
        <v>32</v>
      </c>
      <c r="CN5" s="31" t="str">
        <f>IF(OR(CM5="",CM5="NA"),"",IF(AND(CM5&gt;0,CM5&lt;=28),"REGISTRAR EN  TRIM RESPECTIVO",IF(CM5&gt;0,HLOOKUP(CM5,$OI$1:PK5,OH5),"")))</f>
        <v>NORMAL</v>
      </c>
      <c r="CO5" s="31" t="str">
        <f t="shared" si="140"/>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41"/>
        <v>SALE SIN PLAN DE PARTO</v>
      </c>
      <c r="DR5" s="46" t="str">
        <f t="shared" si="142"/>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43"/>
        <v/>
      </c>
      <c r="DU5" s="35">
        <f>IF(R5="","",IF(R5&gt;0,MAX(Tabla1[[#This Row],[FECHA C2]:[FECHA C13]],Tabla1[[#This Row],[FECHA CONSULTA PRIMERA VEZ PROGRAMA CPN ]])))</f>
        <v>44930</v>
      </c>
      <c r="DV5" s="31">
        <f t="shared" si="144"/>
        <v>37</v>
      </c>
      <c r="DW5" s="43">
        <f>IF(R5&gt;0,SUM(COUNTA(DC5:DN5)+COUNTA(Tabla1[[#This Row],[FECHA CONSULTA PRIMERA VEZ PROGRAMA CPN ]])),"")</f>
        <v>7</v>
      </c>
      <c r="DX5" s="43" t="str">
        <f t="shared" si="145"/>
        <v>SI</v>
      </c>
      <c r="DY5" s="39">
        <f t="shared" si="146"/>
        <v>9</v>
      </c>
      <c r="DZ5" s="47">
        <f t="shared" si="147"/>
        <v>0.77777777777777779</v>
      </c>
      <c r="EA5" s="35">
        <v>44737</v>
      </c>
      <c r="EB5" s="35">
        <v>44737</v>
      </c>
      <c r="EC5" s="35">
        <v>44737</v>
      </c>
      <c r="ED5" s="35">
        <v>44765</v>
      </c>
      <c r="EE5" s="35">
        <v>44737</v>
      </c>
      <c r="EF5" s="35">
        <v>44774</v>
      </c>
      <c r="EG5" s="35"/>
      <c r="EH5" s="31">
        <v>1</v>
      </c>
      <c r="EI5" s="31">
        <v>13</v>
      </c>
      <c r="EJ5" s="35">
        <v>44737</v>
      </c>
      <c r="EK5" s="43">
        <f t="shared" si="148"/>
        <v>10</v>
      </c>
      <c r="EL5" s="39" t="str">
        <f t="shared" si="149"/>
        <v>NORMAL- SUMINISTRAR SULFATO FERROSO</v>
      </c>
      <c r="EM5" s="31" t="str">
        <f t="shared" si="150"/>
        <v>I TRIM</v>
      </c>
      <c r="EN5" s="37">
        <v>14</v>
      </c>
      <c r="EO5" s="35">
        <v>44866</v>
      </c>
      <c r="EP5" s="44">
        <f t="shared" si="151"/>
        <v>28.428571428571427</v>
      </c>
      <c r="EQ5" s="39" t="str">
        <f t="shared" si="152"/>
        <v>NO DAR SULFATO FERROSO</v>
      </c>
      <c r="ER5" s="37" t="s">
        <v>923</v>
      </c>
      <c r="ES5" s="35">
        <v>44737</v>
      </c>
      <c r="ET5" s="44">
        <f t="shared" si="153"/>
        <v>10</v>
      </c>
      <c r="EU5" s="39" t="str">
        <f t="shared" si="154"/>
        <v>NO HAY RIESGO POR RH</v>
      </c>
      <c r="EV5" s="31">
        <v>94</v>
      </c>
      <c r="EW5" s="35">
        <v>44737</v>
      </c>
      <c r="EX5" s="44">
        <f t="shared" si="31"/>
        <v>10</v>
      </c>
      <c r="EY5" s="44">
        <v>69</v>
      </c>
      <c r="EZ5" s="44">
        <v>110</v>
      </c>
      <c r="FA5" s="44">
        <v>70</v>
      </c>
      <c r="FB5" s="31" t="str">
        <f t="shared" ca="1" si="32"/>
        <v>NORMAL</v>
      </c>
      <c r="FC5" s="48">
        <v>44835</v>
      </c>
      <c r="FD5" s="44">
        <f t="shared" si="33"/>
        <v>24</v>
      </c>
      <c r="FE5" s="35" t="s">
        <v>924</v>
      </c>
      <c r="FF5" s="35">
        <v>44737</v>
      </c>
      <c r="FG5" s="44">
        <f t="shared" ca="1" si="34"/>
        <v>10</v>
      </c>
      <c r="FH5" s="35" t="s">
        <v>924</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925</v>
      </c>
      <c r="FU5" s="35">
        <v>44737</v>
      </c>
      <c r="FV5" s="44">
        <f t="shared" si="38"/>
        <v>10</v>
      </c>
      <c r="FW5" s="35">
        <v>44737</v>
      </c>
      <c r="FX5" s="35">
        <v>44737</v>
      </c>
      <c r="FY5" s="35" t="s">
        <v>926</v>
      </c>
      <c r="FZ5" s="35">
        <v>44737</v>
      </c>
      <c r="GA5" s="44">
        <f t="shared" ca="1" si="39"/>
        <v>10</v>
      </c>
      <c r="GB5" s="35" t="s">
        <v>926</v>
      </c>
      <c r="GC5" s="35">
        <v>44803</v>
      </c>
      <c r="GD5" s="44">
        <f t="shared" ca="1" si="40"/>
        <v>19.428571428571427</v>
      </c>
      <c r="GE5" s="35"/>
      <c r="GF5" s="35"/>
      <c r="GG5" s="44" t="str">
        <f t="shared" ca="1" si="41"/>
        <v>PIERDE TOMA DE TAMIZAJE</v>
      </c>
      <c r="GH5" s="35"/>
      <c r="GI5" s="44"/>
      <c r="GJ5" s="35" t="s">
        <v>905</v>
      </c>
      <c r="GK5" s="35"/>
      <c r="GL5" s="35" t="s">
        <v>905</v>
      </c>
      <c r="GM5" s="35"/>
      <c r="GN5" s="43" t="s">
        <v>925</v>
      </c>
      <c r="GO5" s="35">
        <v>44737</v>
      </c>
      <c r="GP5" s="44">
        <f t="shared" si="42"/>
        <v>10</v>
      </c>
      <c r="GQ5" s="43" t="s">
        <v>925</v>
      </c>
      <c r="GR5" s="43" t="s">
        <v>925</v>
      </c>
      <c r="GS5" s="35" t="str">
        <f t="shared" si="43"/>
        <v>CONTROL Igm</v>
      </c>
      <c r="GT5" s="35">
        <v>44737</v>
      </c>
      <c r="GU5" s="44">
        <f t="shared" si="155"/>
        <v>10</v>
      </c>
      <c r="GV5" s="31" t="str">
        <f t="shared" si="156"/>
        <v>I TRIM</v>
      </c>
      <c r="GW5" s="43" t="s">
        <v>925</v>
      </c>
      <c r="GX5" s="46">
        <v>5</v>
      </c>
      <c r="GY5" s="31"/>
      <c r="GZ5" s="35"/>
      <c r="HA5" s="43" t="str">
        <f t="shared" si="157"/>
        <v/>
      </c>
      <c r="HB5" s="31" t="str">
        <f t="shared" si="158"/>
        <v/>
      </c>
      <c r="HC5" s="31" t="str">
        <f t="shared" si="159"/>
        <v/>
      </c>
      <c r="HD5" s="31" t="s">
        <v>927</v>
      </c>
      <c r="HE5" s="31"/>
      <c r="HF5" s="31" t="s">
        <v>928</v>
      </c>
      <c r="HG5" s="31"/>
      <c r="HH5" s="31" t="s">
        <v>929</v>
      </c>
      <c r="HI5" s="31">
        <v>0</v>
      </c>
      <c r="HJ5" s="35" t="s">
        <v>930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160"/>
        <v>*********PREVENCIÓN CONTAGIO TOXOPLASMOSIS***</v>
      </c>
      <c r="HM5" s="35" t="str">
        <f t="shared" ca="1" si="161"/>
        <v>CON RIESGO</v>
      </c>
      <c r="HN5" s="31" t="str">
        <f t="shared" ca="1" si="162"/>
        <v>**********************MULTIPARIDAD**RIESGO POR EDAD********</v>
      </c>
      <c r="HO5" s="31" t="str">
        <f t="shared" si="163"/>
        <v>SIN ANTECEDENTES DE RIESGO</v>
      </c>
      <c r="HP5" s="37" t="str">
        <f t="shared" si="164"/>
        <v>APARENTEMENTE NORMAL</v>
      </c>
      <c r="HQ5" s="31" t="str">
        <f t="shared" ca="1" si="165"/>
        <v/>
      </c>
      <c r="HR5" s="46" t="str">
        <f t="shared" si="166"/>
        <v>SALIO PROGRAMA</v>
      </c>
      <c r="HS5" s="31" t="s">
        <v>897</v>
      </c>
      <c r="HT5" s="31" t="s">
        <v>905</v>
      </c>
      <c r="HU5" s="35">
        <v>44866</v>
      </c>
      <c r="HV5" s="35" t="s">
        <v>931</v>
      </c>
      <c r="HW5" s="35">
        <v>44835</v>
      </c>
      <c r="HX5" s="35" t="s">
        <v>931</v>
      </c>
      <c r="HY5" s="35">
        <v>44866</v>
      </c>
      <c r="HZ5" s="35" t="s">
        <v>931</v>
      </c>
      <c r="IA5" s="40" t="s">
        <v>909</v>
      </c>
      <c r="IB5" s="35">
        <v>44737</v>
      </c>
      <c r="IC5" s="43">
        <f t="shared" si="56"/>
        <v>10</v>
      </c>
      <c r="ID5" s="40" t="s">
        <v>897</v>
      </c>
      <c r="IE5" s="40" t="s">
        <v>932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167"/>
        <v>44947</v>
      </c>
      <c r="IQ5" s="44">
        <f t="shared" ca="1" si="168"/>
        <v>-278</v>
      </c>
      <c r="IR5" s="35" t="str">
        <f t="shared" ca="1" si="169"/>
        <v>POSIBLEMENTE NACIO</v>
      </c>
      <c r="IS5" s="35"/>
      <c r="IT5" s="31" t="s">
        <v>946</v>
      </c>
      <c r="IU5" s="31" t="s">
        <v>936</v>
      </c>
      <c r="IV5" s="51" t="s">
        <v>947</v>
      </c>
      <c r="IW5" s="35">
        <v>44935</v>
      </c>
      <c r="IX5" s="31" t="s">
        <v>938</v>
      </c>
      <c r="IY5" s="44">
        <f t="shared" si="61"/>
        <v>38.285714285714285</v>
      </c>
      <c r="IZ5" s="52" t="s">
        <v>939</v>
      </c>
      <c r="JA5" s="31" t="s">
        <v>940</v>
      </c>
      <c r="JB5" s="31" t="s">
        <v>941</v>
      </c>
      <c r="JC5" s="31" t="s">
        <v>948</v>
      </c>
      <c r="JD5" s="31" t="s">
        <v>897</v>
      </c>
      <c r="JE5" s="31" t="s">
        <v>897</v>
      </c>
      <c r="JF5" s="31"/>
      <c r="JG5" s="31" t="s">
        <v>897</v>
      </c>
      <c r="JH5" s="31" t="s">
        <v>897</v>
      </c>
      <c r="JI5" s="31"/>
      <c r="JJ5" s="31" t="s">
        <v>949</v>
      </c>
      <c r="JK5" s="46">
        <v>1</v>
      </c>
      <c r="JL5" s="31" t="s">
        <v>950</v>
      </c>
      <c r="JM5" s="53">
        <v>2564</v>
      </c>
      <c r="JN5" s="31" t="str">
        <f t="shared" si="62"/>
        <v>PESO ADECUADO EDAD GESTACIONAL</v>
      </c>
      <c r="JO5" s="237">
        <v>44935</v>
      </c>
      <c r="JP5" s="31"/>
      <c r="JQ5" s="31"/>
      <c r="JR5" s="31"/>
      <c r="JS5" s="46" t="s">
        <v>923</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897</v>
      </c>
      <c r="KK5" s="31" t="s">
        <v>897</v>
      </c>
      <c r="KL5" s="31" t="s">
        <v>897</v>
      </c>
      <c r="KM5" s="54">
        <v>44935</v>
      </c>
      <c r="KN5" s="43" t="s">
        <v>945</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170"/>
        <v>0</v>
      </c>
      <c r="MR5" t="str">
        <f t="shared" si="67"/>
        <v/>
      </c>
      <c r="MS5" t="str">
        <f t="shared" si="68"/>
        <v/>
      </c>
      <c r="MT5">
        <f t="shared" si="171"/>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172"/>
        <v>II TRIMESTRE AÑO</v>
      </c>
      <c r="MZ5">
        <f t="shared" si="74"/>
        <v>14.818769163381516</v>
      </c>
      <c r="NA5">
        <f t="shared" si="173"/>
        <v>1</v>
      </c>
      <c r="NB5" t="str">
        <f t="shared" si="174"/>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str">
        <f t="shared" si="94"/>
        <v/>
      </c>
      <c r="OA5" s="1">
        <f t="shared" si="175"/>
        <v>3</v>
      </c>
      <c r="OB5" s="213">
        <f t="shared" ca="1" si="95"/>
        <v>2</v>
      </c>
      <c r="OC5" s="1">
        <f t="shared" ca="1" si="96"/>
        <v>2</v>
      </c>
      <c r="OD5" s="1" t="str">
        <f t="shared" ca="1" si="176"/>
        <v>INCOMPLETO</v>
      </c>
      <c r="OE5" s="1" t="str">
        <f t="shared" ca="1" si="97"/>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1" t="str">
        <f t="shared" ca="1" si="98"/>
        <v>VACUNADA</v>
      </c>
      <c r="OH5" s="148">
        <f>ROW(Tabla1[[#This Row],[SEMANAS DE GESTACION II TRIM]])</f>
        <v>5</v>
      </c>
      <c r="OI5" t="str">
        <f t="shared" si="99"/>
        <v/>
      </c>
      <c r="OJ5" t="str">
        <f t="shared" si="100"/>
        <v/>
      </c>
      <c r="OK5" t="str">
        <f t="shared" si="101"/>
        <v/>
      </c>
      <c r="OL5" t="str">
        <f t="shared" si="102"/>
        <v/>
      </c>
      <c r="OM5" t="str">
        <f t="shared" si="103"/>
        <v/>
      </c>
      <c r="ON5" t="str">
        <f t="shared" si="104"/>
        <v>NORMAL</v>
      </c>
      <c r="OO5" t="str">
        <f t="shared" si="105"/>
        <v/>
      </c>
      <c r="OP5" t="str">
        <f t="shared" si="106"/>
        <v/>
      </c>
      <c r="OQ5" t="str">
        <f t="shared" si="107"/>
        <v/>
      </c>
      <c r="OR5" t="str">
        <f t="shared" si="108"/>
        <v/>
      </c>
      <c r="OS5" t="str">
        <f t="shared" si="109"/>
        <v/>
      </c>
      <c r="OT5" t="str">
        <f t="shared" si="110"/>
        <v/>
      </c>
      <c r="OU5" t="str">
        <f t="shared" si="111"/>
        <v/>
      </c>
      <c r="OV5" t="str">
        <f t="shared" si="112"/>
        <v/>
      </c>
      <c r="OW5" t="str">
        <f t="shared" si="113"/>
        <v/>
      </c>
      <c r="OX5" t="str">
        <f t="shared" si="114"/>
        <v/>
      </c>
      <c r="OY5" t="str">
        <f t="shared" si="115"/>
        <v/>
      </c>
      <c r="OZ5" t="str">
        <f t="shared" si="116"/>
        <v/>
      </c>
      <c r="PA5" t="str">
        <f t="shared" si="117"/>
        <v>NORMAL</v>
      </c>
      <c r="PB5" t="str">
        <f t="shared" si="118"/>
        <v/>
      </c>
      <c r="PC5" t="str">
        <f t="shared" si="119"/>
        <v/>
      </c>
      <c r="PD5" t="str">
        <f t="shared" si="120"/>
        <v/>
      </c>
      <c r="PE5" t="str">
        <f t="shared" si="121"/>
        <v/>
      </c>
      <c r="PF5" t="str">
        <f t="shared" si="122"/>
        <v/>
      </c>
      <c r="PG5" t="str">
        <f t="shared" si="123"/>
        <v/>
      </c>
      <c r="PH5" t="str">
        <f t="shared" si="124"/>
        <v/>
      </c>
      <c r="PI5" t="str">
        <f t="shared" si="125"/>
        <v/>
      </c>
      <c r="PJ5" t="str">
        <f t="shared" si="126"/>
        <v/>
      </c>
      <c r="PK5" t="str">
        <f t="shared" si="127"/>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8"/>
        <v/>
      </c>
      <c r="PN5" s="161" t="str">
        <f t="shared" si="177"/>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45225</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875</v>
      </c>
      <c r="B6" s="68" t="s">
        <v>854</v>
      </c>
      <c r="C6" s="68" t="s">
        <v>855</v>
      </c>
      <c r="D6" s="187" t="s">
        <v>856</v>
      </c>
      <c r="E6" s="68" t="s">
        <v>876</v>
      </c>
      <c r="F6" s="68" t="s">
        <v>877</v>
      </c>
      <c r="G6" s="68" t="s">
        <v>878</v>
      </c>
      <c r="H6" s="68" t="s">
        <v>879</v>
      </c>
      <c r="I6" s="145" t="s">
        <v>867</v>
      </c>
      <c r="J6" s="146">
        <v>1061693429</v>
      </c>
      <c r="K6" s="68" t="s">
        <v>861</v>
      </c>
      <c r="L6" s="68" t="s">
        <v>862</v>
      </c>
      <c r="M6" s="35">
        <v>38330</v>
      </c>
      <c r="N6" s="38">
        <f t="shared" ca="1" si="0"/>
        <v>18.890410958904109</v>
      </c>
      <c r="O6" s="35">
        <v>44783</v>
      </c>
      <c r="P6" s="39" t="str">
        <f t="shared" si="1"/>
        <v>SI</v>
      </c>
      <c r="Q6" s="40" t="s">
        <v>898</v>
      </c>
      <c r="R6" s="35">
        <v>44783</v>
      </c>
      <c r="S6" s="31" t="s">
        <v>899</v>
      </c>
      <c r="T6" s="37" t="s">
        <v>800</v>
      </c>
      <c r="U6" s="31" t="s">
        <v>900</v>
      </c>
      <c r="V6" s="31" t="s">
        <v>901</v>
      </c>
      <c r="W6" s="31" t="s">
        <v>902</v>
      </c>
      <c r="X6" s="31" t="s">
        <v>902</v>
      </c>
      <c r="Y6" s="31" t="s">
        <v>902</v>
      </c>
      <c r="Z6" s="31">
        <v>3015659177</v>
      </c>
      <c r="AA6" s="31" t="s">
        <v>904</v>
      </c>
      <c r="AB6" s="41" t="s">
        <v>905</v>
      </c>
      <c r="AC6" s="40" t="s">
        <v>911</v>
      </c>
      <c r="AD6" s="55" t="s">
        <v>907</v>
      </c>
      <c r="AE6" s="40" t="s">
        <v>897</v>
      </c>
      <c r="AF6" s="40" t="s">
        <v>897</v>
      </c>
      <c r="AG6" s="36" t="s">
        <v>908</v>
      </c>
      <c r="AH6" s="36" t="s">
        <v>908</v>
      </c>
      <c r="AI6" s="37" t="s">
        <v>907</v>
      </c>
      <c r="AJ6" s="36" t="s">
        <v>908</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908</v>
      </c>
      <c r="AM6" s="40" t="s">
        <v>908</v>
      </c>
      <c r="AN6" s="40" t="s">
        <v>908</v>
      </c>
      <c r="AO6" s="40" t="s">
        <v>908</v>
      </c>
      <c r="AP6" s="40" t="s">
        <v>908</v>
      </c>
      <c r="AQ6" s="40" t="s">
        <v>908</v>
      </c>
      <c r="AR6" s="31">
        <v>1</v>
      </c>
      <c r="AS6" s="31">
        <v>0</v>
      </c>
      <c r="AT6" s="31">
        <v>0</v>
      </c>
      <c r="AU6" s="40" t="s">
        <v>908</v>
      </c>
      <c r="AV6" s="31">
        <v>0</v>
      </c>
      <c r="AW6" s="40" t="s">
        <v>908</v>
      </c>
      <c r="AX6" s="40" t="s">
        <v>908</v>
      </c>
      <c r="AY6" s="40" t="s">
        <v>908</v>
      </c>
      <c r="AZ6" s="40" t="s">
        <v>908</v>
      </c>
      <c r="BA6" s="40" t="s">
        <v>908</v>
      </c>
      <c r="BB6" s="40" t="s">
        <v>908</v>
      </c>
      <c r="BC6" s="40" t="s">
        <v>908</v>
      </c>
      <c r="BD6" s="40" t="s">
        <v>908</v>
      </c>
      <c r="BE6" s="40" t="s">
        <v>908</v>
      </c>
      <c r="BF6" s="40" t="s">
        <v>908</v>
      </c>
      <c r="BG6" s="40" t="s">
        <v>908</v>
      </c>
      <c r="BH6" s="40" t="s">
        <v>908</v>
      </c>
      <c r="BI6" s="40" t="s">
        <v>908</v>
      </c>
      <c r="BJ6" s="35"/>
      <c r="BK6" s="35">
        <v>44727</v>
      </c>
      <c r="BL6" s="31" t="s">
        <v>897</v>
      </c>
      <c r="BM6" s="43">
        <f t="shared" si="129"/>
        <v>0</v>
      </c>
      <c r="BN6" s="57" t="str">
        <f t="shared" si="130"/>
        <v/>
      </c>
      <c r="BO6" s="44">
        <f t="shared" si="131"/>
        <v>8</v>
      </c>
      <c r="BP6" s="31" t="str">
        <f t="shared" si="132"/>
        <v>I TRIM</v>
      </c>
      <c r="BQ6" s="39" t="str">
        <f t="shared" ca="1" si="133"/>
        <v/>
      </c>
      <c r="BR6" s="35"/>
      <c r="BS6" s="43"/>
      <c r="BT6" s="35"/>
      <c r="BU6" s="31"/>
      <c r="BV6" s="40" t="s">
        <v>908</v>
      </c>
      <c r="BW6" s="40" t="s">
        <v>908</v>
      </c>
      <c r="BX6" s="40" t="s">
        <v>909</v>
      </c>
      <c r="BY6" s="40" t="s">
        <v>909</v>
      </c>
      <c r="BZ6" s="35">
        <v>44783</v>
      </c>
      <c r="CA6" s="31">
        <v>1.6</v>
      </c>
      <c r="CB6" s="31">
        <v>65</v>
      </c>
      <c r="CC6" s="39">
        <f t="shared" si="134"/>
        <v>25.390624999999996</v>
      </c>
      <c r="CD6" s="45" t="str">
        <f t="shared" si="135"/>
        <v>SOBREPESO</v>
      </c>
      <c r="CE6" s="35"/>
      <c r="CF6" s="31"/>
      <c r="CG6" s="39">
        <f t="shared" si="136"/>
        <v>0</v>
      </c>
      <c r="CH6" s="31" t="str">
        <f t="shared" si="137"/>
        <v>NA</v>
      </c>
      <c r="CI6" s="31" t="str">
        <f>IF(OR(CH6="",CH6="NA"),"",IF(AND(CH6&gt;=29,CH6&lt;=42),"REGISTRAR EN III TRIM",IF(AND(CH6&gt;0,CH6&lt;=13),"REGISTRAR EN I TRIM",IF(CH6="REVISAR FUM O FECHA PESO","REVISAR",IF(CH6&gt;0,HLOOKUP(CH6,$OI$1:PK6,OH6),"")))))</f>
        <v/>
      </c>
      <c r="CJ6" s="35"/>
      <c r="CK6" s="31"/>
      <c r="CL6" s="39">
        <f t="shared" si="138"/>
        <v>0</v>
      </c>
      <c r="CM6" s="31" t="str">
        <f t="shared" si="139"/>
        <v>NA</v>
      </c>
      <c r="CN6" s="31" t="str">
        <f>IF(OR(CM6="",CM6="NA"),"",IF(AND(CM6&gt;0,CM6&lt;=28),"REGISTRAR EN  TRIM RESPECTIVO",IF(CM6&gt;0,HLOOKUP(CM6,$OI$1:PK6,OH6),"")))</f>
        <v/>
      </c>
      <c r="CO6" s="31" t="str">
        <f t="shared" si="140"/>
        <v>SOBREPESO</v>
      </c>
      <c r="CP6" s="31">
        <v>110</v>
      </c>
      <c r="CQ6" s="31">
        <v>70</v>
      </c>
      <c r="CR6" s="37" t="str">
        <f t="shared" si="14"/>
        <v>APARENTEMENTE NORMAL</v>
      </c>
      <c r="CS6" s="31"/>
      <c r="CT6" s="31"/>
      <c r="CU6" s="37" t="str">
        <f t="shared" si="15"/>
        <v/>
      </c>
      <c r="CV6" s="31"/>
      <c r="CW6" s="31"/>
      <c r="CX6" s="31"/>
      <c r="CY6" s="31"/>
      <c r="CZ6" s="37" t="str">
        <f t="shared" si="16"/>
        <v/>
      </c>
      <c r="DA6" s="35">
        <v>44783</v>
      </c>
      <c r="DB6" s="35">
        <v>44783</v>
      </c>
      <c r="DC6" s="35"/>
      <c r="DD6" s="35"/>
      <c r="DE6" s="35"/>
      <c r="DF6" s="35"/>
      <c r="DG6" s="35"/>
      <c r="DH6" s="35"/>
      <c r="DI6" s="35"/>
      <c r="DJ6" s="35"/>
      <c r="DK6" s="35"/>
      <c r="DL6" s="35"/>
      <c r="DM6" s="35"/>
      <c r="DN6" s="35"/>
      <c r="DO6" s="43"/>
      <c r="DP6" s="35"/>
      <c r="DQ6" s="31" t="str">
        <f t="shared" ca="1" si="141"/>
        <v>CONCERTAR PLAN DE PARTO INMEDIATO</v>
      </c>
      <c r="DR6" s="46" t="str">
        <f t="shared" si="142"/>
        <v>ACTIVA INGRESO A CPN</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#REF!</v>
      </c>
      <c r="DT6" s="31" t="e">
        <f t="shared" ca="1" si="143"/>
        <v>#REF!</v>
      </c>
      <c r="DU6" s="35">
        <f>IF(R6="","",IF(R6&gt;0,MAX(Tabla1[[#This Row],[FECHA C2]:[FECHA C13]],Tabla1[[#This Row],[FECHA CONSULTA PRIMERA VEZ PROGRAMA CPN ]])))</f>
        <v>44783</v>
      </c>
      <c r="DV6" s="31">
        <f t="shared" si="144"/>
        <v>8</v>
      </c>
      <c r="DW6" s="43">
        <f>IF(R6&gt;0,SUM(COUNTA(DC6:DN6)+COUNTA(Tabla1[[#This Row],[FECHA CONSULTA PRIMERA VEZ PROGRAMA CPN ]])),"")</f>
        <v>1</v>
      </c>
      <c r="DX6" s="43" t="str">
        <f t="shared" si="145"/>
        <v>NO</v>
      </c>
      <c r="DY6" s="39">
        <f t="shared" si="146"/>
        <v>10</v>
      </c>
      <c r="DZ6" s="47">
        <f t="shared" si="147"/>
        <v>0.1</v>
      </c>
      <c r="EA6" s="35">
        <v>44783</v>
      </c>
      <c r="EB6" s="35">
        <v>44783</v>
      </c>
      <c r="EC6" s="35">
        <v>44783</v>
      </c>
      <c r="ED6" s="35"/>
      <c r="EE6" s="35">
        <v>44783</v>
      </c>
      <c r="EF6" s="35"/>
      <c r="EG6" s="35"/>
      <c r="EH6" s="31"/>
      <c r="EI6" s="31">
        <v>13</v>
      </c>
      <c r="EJ6" s="35">
        <v>44783</v>
      </c>
      <c r="EK6" s="43">
        <f t="shared" si="148"/>
        <v>8</v>
      </c>
      <c r="EL6" s="39" t="str">
        <f t="shared" si="149"/>
        <v>NORMAL- SUMINISTRAR SULFATO FERROSO</v>
      </c>
      <c r="EM6" s="31" t="str">
        <f t="shared" si="150"/>
        <v>I TRIM</v>
      </c>
      <c r="EN6" s="37"/>
      <c r="EO6" s="35"/>
      <c r="EP6" s="44" t="str">
        <f t="shared" si="151"/>
        <v>TOMAR EXAMEN</v>
      </c>
      <c r="EQ6" s="39" t="str">
        <f t="shared" si="152"/>
        <v/>
      </c>
      <c r="ER6" s="37" t="s">
        <v>923</v>
      </c>
      <c r="ES6" s="35">
        <v>44783</v>
      </c>
      <c r="ET6" s="44">
        <f t="shared" si="153"/>
        <v>8</v>
      </c>
      <c r="EU6" s="39" t="str">
        <f t="shared" si="154"/>
        <v>NO HAY RIESGO POR RH</v>
      </c>
      <c r="EV6" s="31">
        <v>95</v>
      </c>
      <c r="EW6" s="35">
        <v>44783</v>
      </c>
      <c r="EX6" s="44">
        <f t="shared" si="31"/>
        <v>8</v>
      </c>
      <c r="EY6" s="44"/>
      <c r="EZ6" s="44"/>
      <c r="FA6" s="44"/>
      <c r="FB6" s="31" t="str">
        <f t="shared" ca="1" si="32"/>
        <v/>
      </c>
      <c r="FC6" s="48"/>
      <c r="FD6" s="44" t="str">
        <f t="shared" si="33"/>
        <v>TOMAR EXAMEN</v>
      </c>
      <c r="FE6" s="35" t="s">
        <v>924</v>
      </c>
      <c r="FF6" s="35">
        <v>44783</v>
      </c>
      <c r="FG6" s="44">
        <f t="shared" ca="1" si="34"/>
        <v>8</v>
      </c>
      <c r="FH6" s="35"/>
      <c r="FI6" s="49"/>
      <c r="FJ6" s="44" t="str">
        <f t="shared" ca="1" si="35"/>
        <v>PIERDE TOMA DE TAMIZAJE</v>
      </c>
      <c r="FK6" s="35"/>
      <c r="FL6" s="49"/>
      <c r="FM6" s="44" t="str">
        <f t="shared" ca="1" si="36"/>
        <v>TOMA INMEDIATA DE TAMIZAJE</v>
      </c>
      <c r="FN6" s="35"/>
      <c r="FO6" s="49"/>
      <c r="FP6" s="44" t="str">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6" s="31" t="s">
        <v>801</v>
      </c>
      <c r="FR6" s="35">
        <v>44783</v>
      </c>
      <c r="FS6" s="44">
        <f t="shared" si="37"/>
        <v>8</v>
      </c>
      <c r="FT6" s="43" t="s">
        <v>925</v>
      </c>
      <c r="FU6" s="35">
        <v>44783</v>
      </c>
      <c r="FV6" s="44">
        <f t="shared" si="38"/>
        <v>8</v>
      </c>
      <c r="FW6" s="35">
        <v>44783</v>
      </c>
      <c r="FX6" s="35">
        <v>44783</v>
      </c>
      <c r="FY6" s="35" t="s">
        <v>926</v>
      </c>
      <c r="FZ6" s="35">
        <v>44783</v>
      </c>
      <c r="GA6" s="44">
        <f t="shared" ca="1" si="39"/>
        <v>8</v>
      </c>
      <c r="GB6" s="35"/>
      <c r="GC6" s="35"/>
      <c r="GD6" s="44" t="str">
        <f t="shared" ca="1" si="40"/>
        <v>PIERDE TOMA DE TAMIZAJE</v>
      </c>
      <c r="GE6" s="35"/>
      <c r="GF6" s="35"/>
      <c r="GG6" s="44" t="str">
        <f t="shared" ca="1" si="41"/>
        <v>TOMA INMEDIATA DE TAMIZAJE</v>
      </c>
      <c r="GH6" s="35"/>
      <c r="GI6" s="44"/>
      <c r="GJ6" s="35" t="s">
        <v>905</v>
      </c>
      <c r="GK6" s="35"/>
      <c r="GL6" s="35" t="s">
        <v>905</v>
      </c>
      <c r="GM6" s="35"/>
      <c r="GN6" s="43" t="s">
        <v>925</v>
      </c>
      <c r="GO6" s="35">
        <v>44783</v>
      </c>
      <c r="GP6" s="44">
        <f t="shared" si="42"/>
        <v>8</v>
      </c>
      <c r="GQ6" s="43" t="s">
        <v>925</v>
      </c>
      <c r="GR6" s="43" t="s">
        <v>925</v>
      </c>
      <c r="GS6" s="35" t="str">
        <f t="shared" si="43"/>
        <v>CONTROL Igm</v>
      </c>
      <c r="GT6" s="35">
        <v>44783</v>
      </c>
      <c r="GU6" s="44">
        <f t="shared" si="155"/>
        <v>8</v>
      </c>
      <c r="GV6" s="31" t="str">
        <f t="shared" si="156"/>
        <v>I TRIM</v>
      </c>
      <c r="GW6" s="43" t="s">
        <v>925</v>
      </c>
      <c r="GX6" s="46">
        <v>1</v>
      </c>
      <c r="GY6" s="31"/>
      <c r="GZ6" s="35"/>
      <c r="HA6" s="43" t="str">
        <f t="shared" si="157"/>
        <v/>
      </c>
      <c r="HB6" s="31" t="str">
        <f t="shared" si="158"/>
        <v/>
      </c>
      <c r="HC6" s="31" t="str">
        <f t="shared" si="159"/>
        <v/>
      </c>
      <c r="HD6" s="31" t="s">
        <v>927</v>
      </c>
      <c r="HE6" s="31"/>
      <c r="HF6" s="31" t="s">
        <v>928</v>
      </c>
      <c r="HG6" s="31"/>
      <c r="HH6" s="31" t="s">
        <v>929</v>
      </c>
      <c r="HI6" s="31">
        <v>0</v>
      </c>
      <c r="HJ6" s="35" t="s">
        <v>930</v>
      </c>
      <c r="HK6" s="35" t="str">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6" s="35" t="str">
        <f t="shared" si="160"/>
        <v>*****SOBREPESO****PREVENCIÓN CONTAGIO TOXOPLASMOSIS***</v>
      </c>
      <c r="HM6" s="35" t="str">
        <f t="shared" ca="1" si="161"/>
        <v>CON RIESGO</v>
      </c>
      <c r="HN6" s="31" t="str">
        <f t="shared" ca="1" si="162"/>
        <v>**********************MULTIPARIDAD**********</v>
      </c>
      <c r="HO6" s="31" t="str">
        <f t="shared" si="163"/>
        <v>SIN ANTECEDENTES DE RIESGO</v>
      </c>
      <c r="HP6" s="37" t="str">
        <f t="shared" si="164"/>
        <v>APARENTEMENTE NORMAL</v>
      </c>
      <c r="HQ6" s="31" t="e">
        <f t="shared" ca="1" si="165"/>
        <v>#REF!</v>
      </c>
      <c r="HR6" s="46" t="str">
        <f t="shared" si="166"/>
        <v>ACTIVA INGRESO A CPN</v>
      </c>
      <c r="HS6" s="31" t="s">
        <v>897</v>
      </c>
      <c r="HT6" s="31" t="s">
        <v>905</v>
      </c>
      <c r="HU6" s="35"/>
      <c r="HV6" s="35"/>
      <c r="HW6" s="35">
        <v>44783</v>
      </c>
      <c r="HX6" s="35" t="s">
        <v>931</v>
      </c>
      <c r="HY6" s="35">
        <v>44783</v>
      </c>
      <c r="HZ6" s="35" t="s">
        <v>931</v>
      </c>
      <c r="IA6" s="40" t="s">
        <v>909</v>
      </c>
      <c r="IB6" s="35">
        <v>44783</v>
      </c>
      <c r="IC6" s="43">
        <f t="shared" si="56"/>
        <v>8</v>
      </c>
      <c r="ID6" s="40" t="s">
        <v>897</v>
      </c>
      <c r="IE6" s="40"/>
      <c r="IF6" s="171"/>
      <c r="IG6" s="171"/>
      <c r="IH6" s="171"/>
      <c r="II6" s="171"/>
      <c r="IJ6" s="171"/>
      <c r="IK6" s="37" t="str">
        <f ca="1">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DIFERIR FECHA DE VACUNACION SEGÚN LINEAMIENTOS</v>
      </c>
      <c r="IL6" s="171"/>
      <c r="IM6" s="35"/>
      <c r="IN6" s="35" t="str">
        <f t="shared" ca="1" si="57"/>
        <v/>
      </c>
      <c r="IO6" s="35"/>
      <c r="IP6" s="35">
        <f t="shared" si="167"/>
        <v>45007</v>
      </c>
      <c r="IQ6" s="44">
        <f t="shared" ca="1" si="168"/>
        <v>-218</v>
      </c>
      <c r="IR6" s="35" t="str">
        <f t="shared" ca="1" si="169"/>
        <v>POSIBLEMENTE NACIO</v>
      </c>
      <c r="IS6" s="35"/>
      <c r="IT6" s="31"/>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170"/>
        <v>0</v>
      </c>
      <c r="MR6" t="str">
        <f t="shared" si="67"/>
        <v/>
      </c>
      <c r="MS6" t="str">
        <f t="shared" si="68"/>
        <v/>
      </c>
      <c r="MT6">
        <f t="shared" si="171"/>
        <v>0</v>
      </c>
      <c r="MU6">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6">
        <f t="shared" si="70"/>
        <v>8</v>
      </c>
      <c r="MW6">
        <f t="shared" si="71"/>
        <v>8</v>
      </c>
      <c r="MX6">
        <f t="shared" si="72"/>
        <v>2022</v>
      </c>
      <c r="MY6" t="str">
        <f t="shared" si="172"/>
        <v>III TRIMESTRE AÑO</v>
      </c>
      <c r="MZ6">
        <f t="shared" si="74"/>
        <v>17.414038545773106</v>
      </c>
      <c r="NA6">
        <f t="shared" si="173"/>
        <v>0</v>
      </c>
      <c r="NB6" t="str">
        <f t="shared" si="174"/>
        <v>DE 14 A 19AÑOS</v>
      </c>
      <c r="NC6">
        <f t="shared" si="77"/>
        <v>0</v>
      </c>
      <c r="ND6">
        <f t="shared" si="78"/>
        <v>1</v>
      </c>
      <c r="NE6">
        <f t="shared" si="79"/>
        <v>0</v>
      </c>
      <c r="NF6">
        <f t="shared" si="80"/>
        <v>0</v>
      </c>
      <c r="NG6" t="str">
        <f t="shared" si="81"/>
        <v/>
      </c>
      <c r="NH6" t="str">
        <f t="shared" ca="1" si="82"/>
        <v/>
      </c>
      <c r="NI6" t="str">
        <f t="shared" si="83"/>
        <v/>
      </c>
      <c r="NJ6">
        <f t="shared" si="84"/>
        <v>0</v>
      </c>
      <c r="NK6" t="str">
        <f t="shared" si="85"/>
        <v>0</v>
      </c>
      <c r="NL6">
        <f t="shared" si="86"/>
        <v>0</v>
      </c>
      <c r="NM6">
        <f t="shared" ca="1" si="87"/>
        <v>1</v>
      </c>
      <c r="NN6">
        <f>IF(OR(O6&gt;0,R6&gt;0),SUM(COUNTIF(Tabla1[[#This Row],[AÑOS AL INICIO5 CPN]],"&gt;=40"),COUNTIF(AR6,"0"),COUNTIF(AQ6,"SI"),COUNTIF(BW6,"SI"),COUNTIF(BM6,"&gt;119"),COUNTIF(CC6,"&gt;=35")),"")</f>
        <v>0</v>
      </c>
      <c r="NO6" t="str">
        <f t="shared" si="88"/>
        <v/>
      </c>
      <c r="NP6">
        <f t="shared" si="89"/>
        <v>0</v>
      </c>
      <c r="NQ6" t="str">
        <f t="shared" si="90"/>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#REF!</v>
      </c>
      <c r="NS6">
        <f>MONTH(Tabla1[[#This Row],[FECHA DE SALIDA  DEL PROGRAMA]])</f>
        <v>1</v>
      </c>
      <c r="NT6">
        <f>YEAR(Tabla1[[#This Row],[FECHA DE SALIDA  DEL PROGRAMA]])</f>
        <v>1900</v>
      </c>
      <c r="NU6" t="str">
        <f t="shared" si="91"/>
        <v>X</v>
      </c>
      <c r="NV6" t="str">
        <f t="shared" si="92"/>
        <v>SI</v>
      </c>
      <c r="NW6" t="str">
        <f ca="1">IF(AND(O6&gt;0,R6=""),"NO CPN",IF(AND(O6="",R6=""),"",IF(AND(R6&gt;0,Tabla1[[#This Row],[SEMANAS DE GESTACION ACTUALIZADAS]]&lt;=12),"NO APLICA",IF(AND(FC6&lt;&gt;"",FI6&lt;&gt;""),"SI","NO"))))</f>
        <v>NO</v>
      </c>
      <c r="NX6" s="149" t="str">
        <f ca="1">IF(AND(O6&gt;0,R6=""),"NO CPN",IF(AND(O6="",R6=""),"",IF(AND(R6&gt;0,Tabla1[[#This Row],[SEMANAS DE GESTACION ACTUALIZADAS]]&lt;=27),"NO APLICA",IF(AND(EO6&lt;&gt;"",FL6&lt;&gt;"",GF6&lt;&gt;""),"SI","NO"))))</f>
        <v>NO</v>
      </c>
      <c r="NY6" s="147" t="str">
        <f t="shared" si="93"/>
        <v>I TRIM</v>
      </c>
      <c r="NZ6" s="1" t="str">
        <f t="shared" si="94"/>
        <v/>
      </c>
      <c r="OA6" s="1" t="str">
        <f t="shared" ca="1" si="175"/>
        <v>REVISAR FUM O FECHA SALIDA PROGRAMA</v>
      </c>
      <c r="OB6" s="213">
        <f t="shared" ca="1" si="95"/>
        <v>1</v>
      </c>
      <c r="OC6" s="1">
        <f t="shared" ca="1" si="96"/>
        <v>1</v>
      </c>
      <c r="OD6" s="1" t="str">
        <f t="shared" ca="1" si="176"/>
        <v>POR DEFINIR</v>
      </c>
      <c r="OE6" s="1" t="str">
        <f t="shared" ca="1" si="97"/>
        <v>POR DEFINIR</v>
      </c>
      <c r="OF6" s="221" t="str">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6" s="231" t="str">
        <f t="shared" ca="1" si="98"/>
        <v>SIN VACUNAR</v>
      </c>
      <c r="OH6" s="148">
        <f>ROW(Tabla1[[#This Row],[SEMANAS DE GESTACION II TRIM]])</f>
        <v>6</v>
      </c>
      <c r="OI6" t="str">
        <f t="shared" si="99"/>
        <v/>
      </c>
      <c r="OJ6" t="str">
        <f t="shared" si="100"/>
        <v/>
      </c>
      <c r="OK6" t="str">
        <f t="shared" si="101"/>
        <v/>
      </c>
      <c r="OL6" t="str">
        <f t="shared" si="102"/>
        <v/>
      </c>
      <c r="OM6" t="str">
        <f t="shared" si="103"/>
        <v/>
      </c>
      <c r="ON6" t="str">
        <f t="shared" si="104"/>
        <v/>
      </c>
      <c r="OO6" t="str">
        <f t="shared" si="105"/>
        <v/>
      </c>
      <c r="OP6" t="str">
        <f t="shared" si="106"/>
        <v/>
      </c>
      <c r="OQ6" t="str">
        <f t="shared" si="107"/>
        <v/>
      </c>
      <c r="OR6" t="str">
        <f t="shared" si="108"/>
        <v/>
      </c>
      <c r="OS6" t="str">
        <f t="shared" si="109"/>
        <v/>
      </c>
      <c r="OT6" t="str">
        <f t="shared" si="110"/>
        <v/>
      </c>
      <c r="OU6" t="str">
        <f t="shared" si="111"/>
        <v/>
      </c>
      <c r="OV6" t="str">
        <f t="shared" si="112"/>
        <v/>
      </c>
      <c r="OW6" t="str">
        <f t="shared" si="113"/>
        <v/>
      </c>
      <c r="OX6" t="str">
        <f t="shared" si="114"/>
        <v/>
      </c>
      <c r="OY6" t="str">
        <f t="shared" si="115"/>
        <v/>
      </c>
      <c r="OZ6" t="str">
        <f t="shared" si="116"/>
        <v/>
      </c>
      <c r="PA6" t="str">
        <f t="shared" si="117"/>
        <v/>
      </c>
      <c r="PB6" t="str">
        <f t="shared" si="118"/>
        <v/>
      </c>
      <c r="PC6" t="str">
        <f t="shared" si="119"/>
        <v/>
      </c>
      <c r="PD6" t="str">
        <f t="shared" si="120"/>
        <v/>
      </c>
      <c r="PE6" t="str">
        <f t="shared" si="121"/>
        <v/>
      </c>
      <c r="PF6" t="str">
        <f t="shared" si="122"/>
        <v/>
      </c>
      <c r="PG6" t="str">
        <f t="shared" si="123"/>
        <v/>
      </c>
      <c r="PH6" t="str">
        <f t="shared" si="124"/>
        <v/>
      </c>
      <c r="PI6" t="str">
        <f t="shared" si="125"/>
        <v/>
      </c>
      <c r="PJ6" t="str">
        <f t="shared" si="126"/>
        <v/>
      </c>
      <c r="PK6" t="str">
        <f t="shared" si="127"/>
        <v/>
      </c>
      <c r="PL6"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6" s="162" t="str">
        <f t="shared" si="128"/>
        <v/>
      </c>
      <c r="PN6" s="161" t="str">
        <f t="shared" si="177"/>
        <v/>
      </c>
      <c r="PO6"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6" s="161" t="str">
        <f ca="1">IF(PO6="","",SUM(TODAY()-Tabla1[[#This Row],[Fecha 1ra Dosis Anti COVID-19]]))</f>
        <v/>
      </c>
      <c r="PQ6" s="168"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
      </c>
    </row>
    <row r="7" spans="1:433" ht="39.950000000000003" customHeight="1" x14ac:dyDescent="0.25">
      <c r="A7" s="145"/>
      <c r="B7" s="68" t="s">
        <v>880</v>
      </c>
      <c r="C7" s="68" t="s">
        <v>855</v>
      </c>
      <c r="D7" s="187" t="s">
        <v>856</v>
      </c>
      <c r="E7" s="68" t="s">
        <v>881</v>
      </c>
      <c r="F7" s="68" t="s">
        <v>882</v>
      </c>
      <c r="G7" s="68" t="s">
        <v>883</v>
      </c>
      <c r="H7" s="68"/>
      <c r="I7" s="145" t="s">
        <v>860</v>
      </c>
      <c r="J7" s="146">
        <v>1061794501</v>
      </c>
      <c r="K7" s="68" t="s">
        <v>861</v>
      </c>
      <c r="L7" s="68" t="s">
        <v>862</v>
      </c>
      <c r="M7" s="35">
        <v>35346</v>
      </c>
      <c r="N7" s="38">
        <f t="shared" ca="1" si="0"/>
        <v>27.065753424657533</v>
      </c>
      <c r="O7" s="35">
        <v>44813</v>
      </c>
      <c r="P7" s="39" t="str">
        <f t="shared" si="1"/>
        <v>SI</v>
      </c>
      <c r="Q7" s="40" t="s">
        <v>898</v>
      </c>
      <c r="R7" s="35">
        <v>44813</v>
      </c>
      <c r="S7" s="31" t="s">
        <v>899</v>
      </c>
      <c r="T7" s="37" t="s">
        <v>800</v>
      </c>
      <c r="U7" s="31" t="s">
        <v>900</v>
      </c>
      <c r="V7" s="31" t="s">
        <v>901</v>
      </c>
      <c r="W7" s="31" t="s">
        <v>915</v>
      </c>
      <c r="X7" s="31" t="s">
        <v>916</v>
      </c>
      <c r="Y7" s="31" t="s">
        <v>917</v>
      </c>
      <c r="Z7" s="31">
        <v>3137266578</v>
      </c>
      <c r="AA7" s="31" t="s">
        <v>904</v>
      </c>
      <c r="AB7" s="41" t="s">
        <v>905</v>
      </c>
      <c r="AC7" s="40" t="s">
        <v>911</v>
      </c>
      <c r="AD7" s="55" t="s">
        <v>907</v>
      </c>
      <c r="AE7" s="40" t="s">
        <v>897</v>
      </c>
      <c r="AF7" s="40" t="s">
        <v>897</v>
      </c>
      <c r="AG7" s="36" t="s">
        <v>908</v>
      </c>
      <c r="AH7" s="36" t="s">
        <v>908</v>
      </c>
      <c r="AI7" s="37" t="s">
        <v>907</v>
      </c>
      <c r="AJ7" s="36" t="s">
        <v>908</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908</v>
      </c>
      <c r="AM7" s="40" t="s">
        <v>908</v>
      </c>
      <c r="AN7" s="40" t="s">
        <v>908</v>
      </c>
      <c r="AO7" s="40" t="s">
        <v>908</v>
      </c>
      <c r="AP7" s="40" t="s">
        <v>908</v>
      </c>
      <c r="AQ7" s="40" t="s">
        <v>908</v>
      </c>
      <c r="AR7" s="31">
        <v>2</v>
      </c>
      <c r="AS7" s="31">
        <v>1</v>
      </c>
      <c r="AT7" s="31">
        <v>0</v>
      </c>
      <c r="AU7" s="40" t="s">
        <v>908</v>
      </c>
      <c r="AV7" s="31">
        <v>0</v>
      </c>
      <c r="AW7" s="40" t="s">
        <v>908</v>
      </c>
      <c r="AX7" s="40" t="s">
        <v>908</v>
      </c>
      <c r="AY7" s="40" t="s">
        <v>908</v>
      </c>
      <c r="AZ7" s="40" t="s">
        <v>908</v>
      </c>
      <c r="BA7" s="40" t="s">
        <v>908</v>
      </c>
      <c r="BB7" s="40" t="s">
        <v>908</v>
      </c>
      <c r="BC7" s="40" t="s">
        <v>908</v>
      </c>
      <c r="BD7" s="40" t="s">
        <v>908</v>
      </c>
      <c r="BE7" s="40" t="s">
        <v>908</v>
      </c>
      <c r="BF7" s="40" t="s">
        <v>908</v>
      </c>
      <c r="BG7" s="40" t="s">
        <v>908</v>
      </c>
      <c r="BH7" s="40" t="s">
        <v>908</v>
      </c>
      <c r="BI7" s="40" t="s">
        <v>908</v>
      </c>
      <c r="BJ7" s="35">
        <v>42509</v>
      </c>
      <c r="BK7" s="35">
        <v>44752</v>
      </c>
      <c r="BL7" s="31" t="s">
        <v>897</v>
      </c>
      <c r="BM7" s="43">
        <f t="shared" si="129"/>
        <v>74.766666666666666</v>
      </c>
      <c r="BN7" s="57">
        <f t="shared" si="130"/>
        <v>44762</v>
      </c>
      <c r="BO7" s="44">
        <f t="shared" si="131"/>
        <v>8.7142857142857135</v>
      </c>
      <c r="BP7" s="31" t="str">
        <f t="shared" si="132"/>
        <v>I TRIM</v>
      </c>
      <c r="BQ7" s="39" t="str">
        <f t="shared" ca="1" si="133"/>
        <v/>
      </c>
      <c r="BR7" s="35">
        <v>44867</v>
      </c>
      <c r="BS7" s="43">
        <v>15</v>
      </c>
      <c r="BT7" s="35">
        <v>44967</v>
      </c>
      <c r="BU7" s="31">
        <v>29.4</v>
      </c>
      <c r="BV7" s="40" t="s">
        <v>908</v>
      </c>
      <c r="BW7" s="40" t="s">
        <v>908</v>
      </c>
      <c r="BX7" s="40" t="s">
        <v>918</v>
      </c>
      <c r="BY7" s="40" t="s">
        <v>908</v>
      </c>
      <c r="BZ7" s="35">
        <v>44813</v>
      </c>
      <c r="CA7" s="31">
        <v>1.6</v>
      </c>
      <c r="CB7" s="31">
        <v>74</v>
      </c>
      <c r="CC7" s="39">
        <f t="shared" si="134"/>
        <v>28.906249999999993</v>
      </c>
      <c r="CD7" s="45" t="str">
        <f t="shared" si="135"/>
        <v>SOBREPESO</v>
      </c>
      <c r="CE7" s="35">
        <v>44881</v>
      </c>
      <c r="CF7" s="31">
        <v>76</v>
      </c>
      <c r="CG7" s="39">
        <f t="shared" si="136"/>
        <v>29.687499999999993</v>
      </c>
      <c r="CH7" s="31">
        <f t="shared" si="137"/>
        <v>18</v>
      </c>
      <c r="CI7" s="31" t="str">
        <f>IF(OR(CH7="",CH7="NA"),"",IF(AND(CH7&gt;=29,CH7&lt;=42),"REGISTRAR EN III TRIM",IF(AND(CH7&gt;0,CH7&lt;=13),"REGISTRAR EN I TRIM",IF(CH7="REVISAR FUM O FECHA PESO","REVISAR",IF(CH7&gt;0,HLOOKUP(CH7,$OI$1:PK7,OH7),"")))))</f>
        <v>SOBREPESO</v>
      </c>
      <c r="CJ7" s="35">
        <v>44975</v>
      </c>
      <c r="CK7" s="31">
        <v>83.6</v>
      </c>
      <c r="CL7" s="39">
        <f t="shared" si="138"/>
        <v>32.656249999999993</v>
      </c>
      <c r="CM7" s="31">
        <f t="shared" si="139"/>
        <v>31</v>
      </c>
      <c r="CN7" s="31" t="str">
        <f>IF(OR(CM7="",CM7="NA"),"",IF(AND(CM7&gt;0,CM7&lt;=28),"REGISTRAR EN  TRIM RESPECTIVO",IF(CM7&gt;0,HLOOKUP(CM7,$OI$1:PK7,OH7),"")))</f>
        <v>OBESIDAD</v>
      </c>
      <c r="CO7" s="31" t="str">
        <f t="shared" si="140"/>
        <v>OBESIDAD</v>
      </c>
      <c r="CP7" s="31">
        <v>110</v>
      </c>
      <c r="CQ7" s="31">
        <v>70</v>
      </c>
      <c r="CR7" s="37" t="str">
        <f t="shared" si="14"/>
        <v>APARENTEMENTE NORMAL</v>
      </c>
      <c r="CS7" s="31">
        <v>110</v>
      </c>
      <c r="CT7" s="31">
        <v>70</v>
      </c>
      <c r="CU7" s="37" t="str">
        <f t="shared" si="15"/>
        <v>VIGILAR CIFRAS PRESION ARTERIAL</v>
      </c>
      <c r="CV7" s="31">
        <v>100</v>
      </c>
      <c r="CW7" s="31">
        <v>60</v>
      </c>
      <c r="CX7" s="31"/>
      <c r="CY7" s="31"/>
      <c r="CZ7" s="37" t="str">
        <f t="shared" si="16"/>
        <v>APARENTEMENTE NORMAL</v>
      </c>
      <c r="DA7" s="35">
        <v>44813</v>
      </c>
      <c r="DB7" s="35">
        <v>44813</v>
      </c>
      <c r="DC7" s="35">
        <v>44846</v>
      </c>
      <c r="DD7" s="35">
        <v>44881</v>
      </c>
      <c r="DE7" s="35">
        <v>44911</v>
      </c>
      <c r="DF7" s="35">
        <v>44945</v>
      </c>
      <c r="DG7" s="35">
        <v>44975</v>
      </c>
      <c r="DH7" s="35">
        <v>45006</v>
      </c>
      <c r="DI7" s="35"/>
      <c r="DJ7" s="35"/>
      <c r="DK7" s="35"/>
      <c r="DL7" s="35"/>
      <c r="DM7" s="35"/>
      <c r="DN7" s="35"/>
      <c r="DO7" s="43"/>
      <c r="DP7" s="35"/>
      <c r="DQ7" s="31" t="str">
        <f t="shared" ca="1" si="141"/>
        <v>CONCERTAR PLAN DE PARTO INMEDIATO</v>
      </c>
      <c r="DR7" s="46" t="str">
        <f t="shared" si="142"/>
        <v>ACTIVA INGRESO A CPN</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#REF!</v>
      </c>
      <c r="DT7" s="31" t="e">
        <f t="shared" ca="1" si="143"/>
        <v>#REF!</v>
      </c>
      <c r="DU7" s="35">
        <f>IF(R7="","",IF(R7&gt;0,MAX(Tabla1[[#This Row],[FECHA C2]:[FECHA C13]],Tabla1[[#This Row],[FECHA CONSULTA PRIMERA VEZ PROGRAMA CPN ]])))</f>
        <v>45006</v>
      </c>
      <c r="DV7" s="31">
        <f t="shared" si="144"/>
        <v>36</v>
      </c>
      <c r="DW7" s="43">
        <f>IF(R7&gt;0,SUM(COUNTA(DC7:DN7)+COUNTA(Tabla1[[#This Row],[FECHA CONSULTA PRIMERA VEZ PROGRAMA CPN ]])),"")</f>
        <v>7</v>
      </c>
      <c r="DX7" s="43" t="str">
        <f t="shared" si="145"/>
        <v>SI</v>
      </c>
      <c r="DY7" s="39">
        <f t="shared" si="146"/>
        <v>9</v>
      </c>
      <c r="DZ7" s="47">
        <f t="shared" si="147"/>
        <v>0.77777777777777779</v>
      </c>
      <c r="EA7" s="35">
        <v>44813</v>
      </c>
      <c r="EB7" s="35">
        <v>44813</v>
      </c>
      <c r="EC7" s="35">
        <v>44813</v>
      </c>
      <c r="ED7" s="35">
        <v>44909</v>
      </c>
      <c r="EE7" s="35">
        <v>44813</v>
      </c>
      <c r="EF7" s="35">
        <v>44917</v>
      </c>
      <c r="EG7" s="35">
        <v>44967</v>
      </c>
      <c r="EH7" s="31">
        <v>2</v>
      </c>
      <c r="EI7" s="31">
        <v>14</v>
      </c>
      <c r="EJ7" s="35">
        <v>44813</v>
      </c>
      <c r="EK7" s="43">
        <f t="shared" si="148"/>
        <v>8.7142857142857135</v>
      </c>
      <c r="EL7" s="39" t="str">
        <f t="shared" si="149"/>
        <v>NORMAL- SUMINISTRAR SULFATO FERROSO</v>
      </c>
      <c r="EM7" s="31" t="str">
        <f t="shared" si="150"/>
        <v>I TRIM</v>
      </c>
      <c r="EN7" s="37">
        <v>14.1</v>
      </c>
      <c r="EO7" s="35">
        <v>45003</v>
      </c>
      <c r="EP7" s="44">
        <f t="shared" si="151"/>
        <v>35.857142857142854</v>
      </c>
      <c r="EQ7" s="39" t="str">
        <f t="shared" si="152"/>
        <v>NO DAR SULFATO FERROSO</v>
      </c>
      <c r="ER7" s="37" t="s">
        <v>923</v>
      </c>
      <c r="ES7" s="35">
        <v>44813</v>
      </c>
      <c r="ET7" s="44">
        <f t="shared" si="153"/>
        <v>8.7142857142857135</v>
      </c>
      <c r="EU7" s="39" t="str">
        <f t="shared" si="154"/>
        <v>NO HAY RIESGO POR RH</v>
      </c>
      <c r="EV7" s="31">
        <v>74</v>
      </c>
      <c r="EW7" s="35">
        <v>44813</v>
      </c>
      <c r="EX7" s="44">
        <f t="shared" si="31"/>
        <v>8.7142857142857135</v>
      </c>
      <c r="EY7" s="44"/>
      <c r="EZ7" s="44"/>
      <c r="FA7" s="44"/>
      <c r="FB7" s="31" t="str">
        <f t="shared" ca="1" si="32"/>
        <v/>
      </c>
      <c r="FC7" s="48"/>
      <c r="FD7" s="44" t="str">
        <f t="shared" si="33"/>
        <v>TOMAR EXAMEN</v>
      </c>
      <c r="FE7" s="35" t="s">
        <v>924</v>
      </c>
      <c r="FF7" s="35">
        <v>44813</v>
      </c>
      <c r="FG7" s="44">
        <f t="shared" ca="1" si="34"/>
        <v>8.7142857142857135</v>
      </c>
      <c r="FH7" s="35" t="s">
        <v>924</v>
      </c>
      <c r="FI7" s="49">
        <v>44945</v>
      </c>
      <c r="FJ7" s="44" t="str">
        <f t="shared" ca="1" si="35"/>
        <v>REGISTRAR EN III TRIMESTRE</v>
      </c>
      <c r="FK7" s="35" t="s">
        <v>924</v>
      </c>
      <c r="FL7" s="49">
        <v>45003</v>
      </c>
      <c r="FM7" s="44">
        <f t="shared" ca="1" si="36"/>
        <v>35.857142857142854</v>
      </c>
      <c r="FN7" s="35"/>
      <c r="FO7" s="49"/>
      <c r="FP7" s="44" t="str">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7" s="31" t="s">
        <v>801</v>
      </c>
      <c r="FR7" s="35">
        <v>44813</v>
      </c>
      <c r="FS7" s="44">
        <f t="shared" si="37"/>
        <v>8.7142857142857135</v>
      </c>
      <c r="FT7" s="43" t="s">
        <v>925</v>
      </c>
      <c r="FU7" s="35">
        <v>44813</v>
      </c>
      <c r="FV7" s="44">
        <f t="shared" si="38"/>
        <v>8.7142857142857135</v>
      </c>
      <c r="FW7" s="35">
        <v>44813</v>
      </c>
      <c r="FX7" s="35">
        <v>44813</v>
      </c>
      <c r="FY7" s="35" t="s">
        <v>926</v>
      </c>
      <c r="FZ7" s="35">
        <v>44813</v>
      </c>
      <c r="GA7" s="44">
        <f t="shared" ca="1" si="39"/>
        <v>8.7142857142857135</v>
      </c>
      <c r="GB7" s="35" t="s">
        <v>926</v>
      </c>
      <c r="GC7" s="35">
        <v>44945</v>
      </c>
      <c r="GD7" s="44" t="str">
        <f t="shared" ca="1" si="40"/>
        <v>REGISTRAR EN III TRIMESTRE</v>
      </c>
      <c r="GE7" s="35" t="s">
        <v>926</v>
      </c>
      <c r="GF7" s="35">
        <v>45003</v>
      </c>
      <c r="GG7" s="44">
        <f t="shared" ca="1" si="41"/>
        <v>35.857142857142854</v>
      </c>
      <c r="GH7" s="35"/>
      <c r="GI7" s="44"/>
      <c r="GJ7" s="35" t="s">
        <v>905</v>
      </c>
      <c r="GK7" s="35"/>
      <c r="GL7" s="35" t="s">
        <v>905</v>
      </c>
      <c r="GM7" s="35"/>
      <c r="GN7" s="43" t="s">
        <v>925</v>
      </c>
      <c r="GO7" s="35">
        <v>44813</v>
      </c>
      <c r="GP7" s="44">
        <f t="shared" si="42"/>
        <v>8.7142857142857135</v>
      </c>
      <c r="GQ7" s="43" t="s">
        <v>925</v>
      </c>
      <c r="GR7" s="43" t="s">
        <v>925</v>
      </c>
      <c r="GS7" s="35" t="str">
        <f t="shared" si="43"/>
        <v>CONTROL Igm</v>
      </c>
      <c r="GT7" s="35">
        <v>44813</v>
      </c>
      <c r="GU7" s="44">
        <f t="shared" si="155"/>
        <v>8.7142857142857135</v>
      </c>
      <c r="GV7" s="31" t="str">
        <f t="shared" si="156"/>
        <v>I TRIM</v>
      </c>
      <c r="GW7" s="43" t="s">
        <v>925</v>
      </c>
      <c r="GX7" s="46">
        <v>1</v>
      </c>
      <c r="GY7" s="31"/>
      <c r="GZ7" s="35"/>
      <c r="HA7" s="43" t="str">
        <f t="shared" si="157"/>
        <v/>
      </c>
      <c r="HB7" s="31" t="str">
        <f t="shared" si="158"/>
        <v/>
      </c>
      <c r="HC7" s="31" t="str">
        <f t="shared" si="159"/>
        <v/>
      </c>
      <c r="HD7" s="31"/>
      <c r="HE7" s="31"/>
      <c r="HF7" s="31"/>
      <c r="HG7" s="31"/>
      <c r="HH7" s="31"/>
      <c r="HI7" s="31"/>
      <c r="HJ7" s="35"/>
      <c r="HK7" s="35" t="str">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7" s="35" t="str">
        <f t="shared" si="160"/>
        <v>******OBESIDAD***PREVENCIÓN CONTAGIO TOXOPLASMOSIS***</v>
      </c>
      <c r="HM7" s="35" t="str">
        <f t="shared" ca="1" si="161"/>
        <v>ALTO RIESGO</v>
      </c>
      <c r="HN7" s="31" t="str">
        <f t="shared" ca="1" si="162"/>
        <v>***************PRESENTACIÓN FETAL PODALICA O TRANSVERSA*****************</v>
      </c>
      <c r="HO7" s="31" t="str">
        <f t="shared" si="163"/>
        <v>SIN ANTECEDENTES DE RIESGO</v>
      </c>
      <c r="HP7" s="37" t="str">
        <f t="shared" si="164"/>
        <v>APARENTEMENTE NORMAL</v>
      </c>
      <c r="HQ7" s="31" t="e">
        <f t="shared" ca="1" si="165"/>
        <v>#REF!</v>
      </c>
      <c r="HR7" s="46" t="str">
        <f t="shared" si="166"/>
        <v>ACTIVA INGRESO A CPN</v>
      </c>
      <c r="HS7" s="31" t="s">
        <v>897</v>
      </c>
      <c r="HT7" s="31" t="s">
        <v>905</v>
      </c>
      <c r="HU7" s="35">
        <v>44881</v>
      </c>
      <c r="HV7" s="35" t="s">
        <v>931</v>
      </c>
      <c r="HW7" s="35">
        <v>44813</v>
      </c>
      <c r="HX7" s="35" t="s">
        <v>931</v>
      </c>
      <c r="HY7" s="35">
        <v>44881</v>
      </c>
      <c r="HZ7" s="35" t="s">
        <v>931</v>
      </c>
      <c r="IA7" s="40" t="s">
        <v>909</v>
      </c>
      <c r="IB7" s="35">
        <v>44813</v>
      </c>
      <c r="IC7" s="43">
        <f t="shared" si="56"/>
        <v>8.7142857142857135</v>
      </c>
      <c r="ID7" s="40" t="s">
        <v>897</v>
      </c>
      <c r="IE7" s="40"/>
      <c r="IF7" s="171"/>
      <c r="IG7" s="171"/>
      <c r="IH7" s="171"/>
      <c r="II7" s="171"/>
      <c r="IJ7" s="171"/>
      <c r="IK7" s="37" t="str">
        <f ca="1">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DIFERIR FECHA DE VACUNACION SEGÚN LINEAMIENTOS</v>
      </c>
      <c r="IL7" s="171">
        <v>44881</v>
      </c>
      <c r="IM7" s="35"/>
      <c r="IN7" s="35" t="str">
        <f t="shared" ca="1" si="57"/>
        <v/>
      </c>
      <c r="IO7" s="35"/>
      <c r="IP7" s="35">
        <f t="shared" si="167"/>
        <v>45032</v>
      </c>
      <c r="IQ7" s="44">
        <f t="shared" ca="1" si="168"/>
        <v>-193</v>
      </c>
      <c r="IR7" s="35" t="str">
        <f t="shared" ca="1" si="169"/>
        <v>POSIBLEMENTE NACIO</v>
      </c>
      <c r="IS7" s="35"/>
      <c r="IT7" s="31"/>
      <c r="IU7" s="31"/>
      <c r="IV7" s="51"/>
      <c r="IW7" s="35"/>
      <c r="IX7" s="31"/>
      <c r="IY7" s="44" t="str">
        <f t="shared" si="61"/>
        <v/>
      </c>
      <c r="IZ7" s="52"/>
      <c r="JA7" s="31"/>
      <c r="JB7" s="31"/>
      <c r="JC7" s="31"/>
      <c r="JD7" s="31"/>
      <c r="JE7" s="31"/>
      <c r="JF7" s="31"/>
      <c r="JG7" s="31"/>
      <c r="JH7" s="31"/>
      <c r="JI7" s="31"/>
      <c r="JJ7" s="31"/>
      <c r="JK7" s="46"/>
      <c r="JL7" s="31"/>
      <c r="JM7" s="53"/>
      <c r="JN7" s="31" t="str">
        <f t="shared" si="62"/>
        <v/>
      </c>
      <c r="JO7" s="46"/>
      <c r="JP7" s="31"/>
      <c r="JQ7" s="31"/>
      <c r="JR7" s="31"/>
      <c r="JS7" s="46"/>
      <c r="JT7" s="35"/>
      <c r="JU7" s="35"/>
      <c r="JV7" s="31"/>
      <c r="JW7" s="53"/>
      <c r="JX7" s="31" t="str">
        <f t="shared" si="63"/>
        <v/>
      </c>
      <c r="JY7" s="35"/>
      <c r="JZ7" s="31"/>
      <c r="KA7" s="31"/>
      <c r="KB7" s="31"/>
      <c r="KC7" s="46"/>
      <c r="KD7" s="35"/>
      <c r="KE7" s="35"/>
      <c r="KF7" s="50"/>
      <c r="KG7" s="43" t="str">
        <f t="shared" si="64"/>
        <v/>
      </c>
      <c r="KH7" s="50"/>
      <c r="KI7" s="43" t="str">
        <f t="shared" si="65"/>
        <v/>
      </c>
      <c r="KJ7" s="31"/>
      <c r="KK7" s="31"/>
      <c r="KL7" s="31"/>
      <c r="KM7" s="54"/>
      <c r="KN7" s="43"/>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170"/>
        <v>0</v>
      </c>
      <c r="MR7" t="str">
        <f t="shared" si="67"/>
        <v/>
      </c>
      <c r="MS7" t="str">
        <f t="shared" si="68"/>
        <v/>
      </c>
      <c r="MT7">
        <f t="shared" si="171"/>
        <v>0</v>
      </c>
      <c r="MU7">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7">
        <f t="shared" si="70"/>
        <v>8.7142857142857135</v>
      </c>
      <c r="MW7">
        <f t="shared" si="71"/>
        <v>9</v>
      </c>
      <c r="MX7">
        <f t="shared" si="72"/>
        <v>2022</v>
      </c>
      <c r="MY7" t="str">
        <f t="shared" si="172"/>
        <v>III TRIMESTRE AÑO</v>
      </c>
      <c r="MZ7">
        <f t="shared" si="74"/>
        <v>25.544787560227771</v>
      </c>
      <c r="NA7">
        <f t="shared" si="173"/>
        <v>0</v>
      </c>
      <c r="NB7" t="str">
        <f t="shared" si="174"/>
        <v xml:space="preserve"> DE 25 A 29 AÑOS</v>
      </c>
      <c r="NC7">
        <f t="shared" si="77"/>
        <v>0</v>
      </c>
      <c r="ND7">
        <f t="shared" si="78"/>
        <v>0</v>
      </c>
      <c r="NE7">
        <f t="shared" si="79"/>
        <v>0</v>
      </c>
      <c r="NF7">
        <f t="shared" si="80"/>
        <v>0</v>
      </c>
      <c r="NG7" t="str">
        <f t="shared" si="81"/>
        <v/>
      </c>
      <c r="NH7" t="str">
        <f t="shared" ca="1" si="82"/>
        <v/>
      </c>
      <c r="NI7" t="str">
        <f t="shared" si="83"/>
        <v/>
      </c>
      <c r="NJ7">
        <f t="shared" si="84"/>
        <v>3</v>
      </c>
      <c r="NK7" t="str">
        <f t="shared" si="85"/>
        <v/>
      </c>
      <c r="NL7" t="str">
        <f t="shared" si="86"/>
        <v/>
      </c>
      <c r="NM7">
        <f t="shared" ca="1" si="87"/>
        <v>3</v>
      </c>
      <c r="NN7">
        <f>IF(OR(O7&gt;0,R7&gt;0),SUM(COUNTIF(Tabla1[[#This Row],[AÑOS AL INICIO5 CPN]],"&gt;=40"),COUNTIF(AR7,"0"),COUNTIF(AQ7,"SI"),COUNTIF(BW7,"SI"),COUNTIF(BM7,"&gt;119"),COUNTIF(CC7,"&gt;=35")),"")</f>
        <v>0</v>
      </c>
      <c r="NO7" t="str">
        <f t="shared" si="88"/>
        <v/>
      </c>
      <c r="NP7">
        <f t="shared" si="89"/>
        <v>0</v>
      </c>
      <c r="NQ7">
        <f t="shared" si="90"/>
        <v>105</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#REF!</v>
      </c>
      <c r="NS7">
        <f>MONTH(Tabla1[[#This Row],[FECHA DE SALIDA  DEL PROGRAMA]])</f>
        <v>1</v>
      </c>
      <c r="NT7">
        <f>YEAR(Tabla1[[#This Row],[FECHA DE SALIDA  DEL PROGRAMA]])</f>
        <v>1900</v>
      </c>
      <c r="NU7">
        <f t="shared" si="91"/>
        <v>104</v>
      </c>
      <c r="NV7" t="str">
        <f t="shared" si="92"/>
        <v>SI</v>
      </c>
      <c r="NW7" t="str">
        <f ca="1">IF(AND(O7&gt;0,R7=""),"NO CPN",IF(AND(O7="",R7=""),"",IF(AND(R7&gt;0,Tabla1[[#This Row],[SEMANAS DE GESTACION ACTUALIZADAS]]&lt;=12),"NO APLICA",IF(AND(FC7&lt;&gt;"",FI7&lt;&gt;""),"SI","NO"))))</f>
        <v>NO</v>
      </c>
      <c r="NX7" s="149" t="str">
        <f ca="1">IF(AND(O7&gt;0,R7=""),"NO CPN",IF(AND(O7="",R7=""),"",IF(AND(R7&gt;0,Tabla1[[#This Row],[SEMANAS DE GESTACION ACTUALIZADAS]]&lt;=27),"NO APLICA",IF(AND(EO7&lt;&gt;"",FL7&lt;&gt;"",GF7&lt;&gt;""),"SI","NO"))))</f>
        <v>SI</v>
      </c>
      <c r="NY7" s="147" t="str">
        <f t="shared" si="93"/>
        <v>I TRIM</v>
      </c>
      <c r="NZ7" s="1" t="str">
        <f t="shared" si="94"/>
        <v/>
      </c>
      <c r="OA7" s="1" t="str">
        <f t="shared" ca="1" si="175"/>
        <v>REVISAR FUM O FECHA SALIDA PROGRAMA</v>
      </c>
      <c r="OB7" s="213">
        <f t="shared" ca="1" si="95"/>
        <v>2</v>
      </c>
      <c r="OC7" s="1">
        <f t="shared" ca="1" si="96"/>
        <v>2</v>
      </c>
      <c r="OD7" s="1" t="str">
        <f t="shared" ca="1" si="176"/>
        <v>POR DEFINIR</v>
      </c>
      <c r="OE7" s="1" t="str">
        <f t="shared" ca="1" si="97"/>
        <v>POR DEFINIR</v>
      </c>
      <c r="OF7" s="221" t="str">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7" s="231" t="str">
        <f t="shared" ca="1" si="98"/>
        <v>SIN VACUNAR</v>
      </c>
      <c r="OH7" s="148">
        <f>ROW(Tabla1[[#This Row],[SEMANAS DE GESTACION II TRIM]])</f>
        <v>7</v>
      </c>
      <c r="OI7" t="str">
        <f t="shared" si="99"/>
        <v/>
      </c>
      <c r="OJ7" t="str">
        <f t="shared" si="100"/>
        <v/>
      </c>
      <c r="OK7" t="str">
        <f t="shared" si="101"/>
        <v/>
      </c>
      <c r="OL7" t="str">
        <f t="shared" si="102"/>
        <v/>
      </c>
      <c r="OM7" t="str">
        <f t="shared" si="103"/>
        <v>SOBREPESO</v>
      </c>
      <c r="ON7" t="str">
        <f t="shared" si="104"/>
        <v/>
      </c>
      <c r="OO7" t="str">
        <f t="shared" si="105"/>
        <v/>
      </c>
      <c r="OP7" t="str">
        <f t="shared" si="106"/>
        <v/>
      </c>
      <c r="OQ7" t="str">
        <f t="shared" si="107"/>
        <v/>
      </c>
      <c r="OR7" t="str">
        <f t="shared" si="108"/>
        <v/>
      </c>
      <c r="OS7" t="str">
        <f t="shared" si="109"/>
        <v/>
      </c>
      <c r="OT7" t="str">
        <f t="shared" si="110"/>
        <v/>
      </c>
      <c r="OU7" t="str">
        <f t="shared" si="111"/>
        <v/>
      </c>
      <c r="OV7" t="str">
        <f t="shared" si="112"/>
        <v/>
      </c>
      <c r="OW7" t="str">
        <f t="shared" si="113"/>
        <v/>
      </c>
      <c r="OX7" t="str">
        <f t="shared" si="114"/>
        <v/>
      </c>
      <c r="OY7" t="str">
        <f t="shared" si="115"/>
        <v/>
      </c>
      <c r="OZ7" t="str">
        <f t="shared" si="116"/>
        <v>OBESIDAD</v>
      </c>
      <c r="PA7" t="str">
        <f t="shared" si="117"/>
        <v/>
      </c>
      <c r="PB7" t="str">
        <f t="shared" si="118"/>
        <v/>
      </c>
      <c r="PC7" t="str">
        <f t="shared" si="119"/>
        <v/>
      </c>
      <c r="PD7" t="str">
        <f t="shared" si="120"/>
        <v/>
      </c>
      <c r="PE7" t="str">
        <f t="shared" si="121"/>
        <v/>
      </c>
      <c r="PF7" t="str">
        <f t="shared" si="122"/>
        <v/>
      </c>
      <c r="PG7" t="str">
        <f t="shared" si="123"/>
        <v/>
      </c>
      <c r="PH7" t="str">
        <f t="shared" si="124"/>
        <v/>
      </c>
      <c r="PI7" t="str">
        <f t="shared" si="125"/>
        <v/>
      </c>
      <c r="PJ7" t="str">
        <f t="shared" si="126"/>
        <v/>
      </c>
      <c r="PK7" t="str">
        <f t="shared" si="127"/>
        <v/>
      </c>
      <c r="PL7"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7" s="162" t="str">
        <f t="shared" si="128"/>
        <v/>
      </c>
      <c r="PN7" s="161" t="str">
        <f t="shared" si="177"/>
        <v/>
      </c>
      <c r="PO7"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7" s="161" t="str">
        <f ca="1">IF(PO7="","",SUM(TODAY()-Tabla1[[#This Row],[Fecha 1ra Dosis Anti COVID-19]]))</f>
        <v/>
      </c>
      <c r="PQ7" s="168"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
      </c>
    </row>
    <row r="8" spans="1:433" ht="39.950000000000003" customHeight="1" x14ac:dyDescent="0.25">
      <c r="A8" s="145"/>
      <c r="B8" s="68" t="s">
        <v>854</v>
      </c>
      <c r="C8" s="68" t="s">
        <v>855</v>
      </c>
      <c r="D8" s="187" t="s">
        <v>856</v>
      </c>
      <c r="E8" s="68" t="s">
        <v>884</v>
      </c>
      <c r="F8" s="68" t="s">
        <v>885</v>
      </c>
      <c r="G8" s="68" t="s">
        <v>886</v>
      </c>
      <c r="H8" s="68"/>
      <c r="I8" s="145" t="s">
        <v>860</v>
      </c>
      <c r="J8" s="146">
        <v>1061501549</v>
      </c>
      <c r="K8" s="68" t="s">
        <v>861</v>
      </c>
      <c r="L8" s="68" t="s">
        <v>862</v>
      </c>
      <c r="M8" s="35">
        <v>33809</v>
      </c>
      <c r="N8" s="38">
        <f t="shared" ca="1" si="0"/>
        <v>31.276712328767122</v>
      </c>
      <c r="O8" s="35">
        <v>44848</v>
      </c>
      <c r="P8" s="39" t="str">
        <f t="shared" si="1"/>
        <v>SI</v>
      </c>
      <c r="Q8" s="40" t="s">
        <v>898</v>
      </c>
      <c r="R8" s="35">
        <v>44848</v>
      </c>
      <c r="S8" s="31" t="s">
        <v>899</v>
      </c>
      <c r="T8" s="37" t="s">
        <v>800</v>
      </c>
      <c r="U8" s="31" t="s">
        <v>900</v>
      </c>
      <c r="V8" s="31" t="s">
        <v>901</v>
      </c>
      <c r="W8" s="31" t="s">
        <v>919</v>
      </c>
      <c r="X8" s="31" t="s">
        <v>919</v>
      </c>
      <c r="Y8" s="31" t="s">
        <v>920</v>
      </c>
      <c r="Z8" s="31">
        <v>3222588440</v>
      </c>
      <c r="AA8" s="31" t="s">
        <v>904</v>
      </c>
      <c r="AB8" s="41" t="s">
        <v>905</v>
      </c>
      <c r="AC8" s="40" t="s">
        <v>911</v>
      </c>
      <c r="AD8" s="55" t="s">
        <v>907</v>
      </c>
      <c r="AE8" s="40" t="s">
        <v>897</v>
      </c>
      <c r="AF8" s="40" t="s">
        <v>897</v>
      </c>
      <c r="AG8" s="36" t="s">
        <v>908</v>
      </c>
      <c r="AH8" s="36" t="s">
        <v>908</v>
      </c>
      <c r="AI8" s="37" t="s">
        <v>907</v>
      </c>
      <c r="AJ8" s="36" t="s">
        <v>908</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908</v>
      </c>
      <c r="AM8" s="40" t="s">
        <v>908</v>
      </c>
      <c r="AN8" s="40" t="s">
        <v>908</v>
      </c>
      <c r="AO8" s="40" t="s">
        <v>908</v>
      </c>
      <c r="AP8" s="40" t="s">
        <v>908</v>
      </c>
      <c r="AQ8" s="40" t="s">
        <v>908</v>
      </c>
      <c r="AR8" s="31">
        <v>2</v>
      </c>
      <c r="AS8" s="31">
        <v>1</v>
      </c>
      <c r="AT8" s="31">
        <v>0</v>
      </c>
      <c r="AU8" s="40" t="s">
        <v>908</v>
      </c>
      <c r="AV8" s="31">
        <v>0</v>
      </c>
      <c r="AW8" s="40" t="s">
        <v>908</v>
      </c>
      <c r="AX8" s="40" t="s">
        <v>908</v>
      </c>
      <c r="AY8" s="40" t="s">
        <v>908</v>
      </c>
      <c r="AZ8" s="40" t="s">
        <v>908</v>
      </c>
      <c r="BA8" s="40" t="s">
        <v>908</v>
      </c>
      <c r="BB8" s="40" t="s">
        <v>908</v>
      </c>
      <c r="BC8" s="40" t="s">
        <v>908</v>
      </c>
      <c r="BD8" s="40" t="s">
        <v>908</v>
      </c>
      <c r="BE8" s="40" t="s">
        <v>908</v>
      </c>
      <c r="BF8" s="40" t="s">
        <v>908</v>
      </c>
      <c r="BG8" s="40" t="s">
        <v>908</v>
      </c>
      <c r="BH8" s="40" t="s">
        <v>908</v>
      </c>
      <c r="BI8" s="40" t="s">
        <v>908</v>
      </c>
      <c r="BJ8" s="35">
        <v>40179</v>
      </c>
      <c r="BK8" s="35">
        <v>44780</v>
      </c>
      <c r="BL8" s="31" t="s">
        <v>897</v>
      </c>
      <c r="BM8" s="43">
        <f t="shared" si="129"/>
        <v>153.36666666666667</v>
      </c>
      <c r="BN8" s="57">
        <f t="shared" si="130"/>
        <v>44775.199999999997</v>
      </c>
      <c r="BO8" s="44">
        <f t="shared" si="131"/>
        <v>9.7142857142857135</v>
      </c>
      <c r="BP8" s="31" t="str">
        <f t="shared" si="132"/>
        <v>I TRIM</v>
      </c>
      <c r="BQ8" s="39" t="str">
        <f t="shared" ca="1" si="133"/>
        <v/>
      </c>
      <c r="BR8" s="35">
        <v>44869</v>
      </c>
      <c r="BS8" s="43">
        <v>13.4</v>
      </c>
      <c r="BT8" s="35">
        <v>44949</v>
      </c>
      <c r="BU8" s="31">
        <v>24.2</v>
      </c>
      <c r="BV8" s="40" t="s">
        <v>908</v>
      </c>
      <c r="BW8" s="40" t="s">
        <v>908</v>
      </c>
      <c r="BX8" s="40" t="s">
        <v>909</v>
      </c>
      <c r="BY8" s="40" t="s">
        <v>908</v>
      </c>
      <c r="BZ8" s="35">
        <v>44848</v>
      </c>
      <c r="CA8" s="31">
        <v>1.57</v>
      </c>
      <c r="CB8" s="31">
        <v>60</v>
      </c>
      <c r="CC8" s="39">
        <f t="shared" si="134"/>
        <v>24.341758286340216</v>
      </c>
      <c r="CD8" s="45" t="str">
        <f t="shared" si="135"/>
        <v>NORMAL</v>
      </c>
      <c r="CE8" s="35">
        <v>44880</v>
      </c>
      <c r="CF8" s="31">
        <v>57</v>
      </c>
      <c r="CG8" s="39">
        <f t="shared" si="136"/>
        <v>23.124670372023203</v>
      </c>
      <c r="CH8" s="31">
        <f t="shared" si="137"/>
        <v>14</v>
      </c>
      <c r="CI8" s="31" t="str">
        <f>IF(OR(CH8="",CH8="NA"),"",IF(AND(CH8&gt;=29,CH8&lt;=42),"REGISTRAR EN III TRIM",IF(AND(CH8&gt;0,CH8&lt;=13),"REGISTRAR EN I TRIM",IF(CH8="REVISAR FUM O FECHA PESO","REVISAR",IF(CH8&gt;0,HLOOKUP(CH8,$OI$1:PK8,OH8),"")))))</f>
        <v>NORMAL</v>
      </c>
      <c r="CJ8" s="35">
        <v>45001</v>
      </c>
      <c r="CK8" s="31">
        <v>65.900000000000006</v>
      </c>
      <c r="CL8" s="39">
        <f t="shared" si="138"/>
        <v>26.735364517830341</v>
      </c>
      <c r="CM8" s="31">
        <f t="shared" si="139"/>
        <v>31</v>
      </c>
      <c r="CN8" s="31" t="str">
        <f>IF(OR(CM8="",CM8="NA"),"",IF(AND(CM8&gt;0,CM8&lt;=28),"REGISTRAR EN  TRIM RESPECTIVO",IF(CM8&gt;0,HLOOKUP(CM8,$OI$1:PK8,OH8),"")))</f>
        <v>NORMAL</v>
      </c>
      <c r="CO8" s="31" t="str">
        <f t="shared" si="140"/>
        <v>NORMAL</v>
      </c>
      <c r="CP8" s="31">
        <v>110</v>
      </c>
      <c r="CQ8" s="31">
        <v>70</v>
      </c>
      <c r="CR8" s="37" t="str">
        <f t="shared" si="14"/>
        <v>APARENTEMENTE NORMAL</v>
      </c>
      <c r="CS8" s="31">
        <v>110</v>
      </c>
      <c r="CT8" s="31">
        <v>70</v>
      </c>
      <c r="CU8" s="37" t="str">
        <f t="shared" si="15"/>
        <v>VIGILAR CIFRAS PRESION ARTERIAL</v>
      </c>
      <c r="CV8" s="31">
        <v>100</v>
      </c>
      <c r="CW8" s="31">
        <v>80</v>
      </c>
      <c r="CX8" s="31"/>
      <c r="CY8" s="31"/>
      <c r="CZ8" s="37" t="str">
        <f t="shared" si="16"/>
        <v>PRE HTA,RIESGO ALTO PREECLAMPSIA</v>
      </c>
      <c r="DA8" s="35">
        <v>44848</v>
      </c>
      <c r="DB8" s="35">
        <v>44848</v>
      </c>
      <c r="DC8" s="35">
        <v>44880</v>
      </c>
      <c r="DD8" s="35">
        <v>44908</v>
      </c>
      <c r="DE8" s="35">
        <v>44939</v>
      </c>
      <c r="DF8" s="35">
        <v>44970</v>
      </c>
      <c r="DG8" s="35">
        <v>45001</v>
      </c>
      <c r="DH8" s="35"/>
      <c r="DI8" s="35"/>
      <c r="DJ8" s="35"/>
      <c r="DK8" s="35"/>
      <c r="DL8" s="35"/>
      <c r="DM8" s="35"/>
      <c r="DN8" s="35"/>
      <c r="DO8" s="43"/>
      <c r="DP8" s="35"/>
      <c r="DQ8" s="31" t="str">
        <f t="shared" ca="1" si="141"/>
        <v>CONCERTAR PLAN DE PARTO INMEDIATO</v>
      </c>
      <c r="DR8" s="46" t="str">
        <f t="shared" si="142"/>
        <v>ACTIVA INGRESO A CPN</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#REF!</v>
      </c>
      <c r="DT8" s="31" t="e">
        <f t="shared" ca="1" si="143"/>
        <v>#REF!</v>
      </c>
      <c r="DU8" s="35">
        <f>IF(R8="","",IF(R8&gt;0,MAX(Tabla1[[#This Row],[FECHA C2]:[FECHA C13]],Tabla1[[#This Row],[FECHA CONSULTA PRIMERA VEZ PROGRAMA CPN ]])))</f>
        <v>45001</v>
      </c>
      <c r="DV8" s="31">
        <f t="shared" si="144"/>
        <v>31</v>
      </c>
      <c r="DW8" s="43">
        <f>IF(R8&gt;0,SUM(COUNTA(DC8:DN8)+COUNTA(Tabla1[[#This Row],[FECHA CONSULTA PRIMERA VEZ PROGRAMA CPN ]])),"")</f>
        <v>6</v>
      </c>
      <c r="DX8" s="43" t="str">
        <f t="shared" si="145"/>
        <v>SI</v>
      </c>
      <c r="DY8" s="39">
        <f t="shared" si="146"/>
        <v>9</v>
      </c>
      <c r="DZ8" s="47">
        <f t="shared" si="147"/>
        <v>0.66666666666666663</v>
      </c>
      <c r="EA8" s="35">
        <v>44848</v>
      </c>
      <c r="EB8" s="35">
        <v>44848</v>
      </c>
      <c r="EC8" s="35">
        <v>44848</v>
      </c>
      <c r="ED8" s="35">
        <v>44891</v>
      </c>
      <c r="EE8" s="35">
        <v>44848</v>
      </c>
      <c r="EF8" s="35">
        <v>44869</v>
      </c>
      <c r="EG8" s="35">
        <v>44991</v>
      </c>
      <c r="EH8" s="31">
        <v>2</v>
      </c>
      <c r="EI8" s="31">
        <v>14</v>
      </c>
      <c r="EJ8" s="35">
        <v>44848</v>
      </c>
      <c r="EK8" s="43">
        <f t="shared" si="148"/>
        <v>9.7142857142857135</v>
      </c>
      <c r="EL8" s="39" t="str">
        <f t="shared" si="149"/>
        <v>NORMAL- SUMINISTRAR SULFATO FERROSO</v>
      </c>
      <c r="EM8" s="31" t="str">
        <f t="shared" si="150"/>
        <v>I TRIM</v>
      </c>
      <c r="EN8" s="37">
        <v>13</v>
      </c>
      <c r="EO8" s="35">
        <v>44970</v>
      </c>
      <c r="EP8" s="44">
        <f t="shared" si="151"/>
        <v>27.142857142857142</v>
      </c>
      <c r="EQ8" s="39" t="str">
        <f t="shared" si="152"/>
        <v>NORMAL- SUMINISTRAR SULFATO FERROSO</v>
      </c>
      <c r="ER8" s="37" t="s">
        <v>923</v>
      </c>
      <c r="ES8" s="35">
        <v>44848</v>
      </c>
      <c r="ET8" s="44">
        <f t="shared" si="153"/>
        <v>9.7142857142857135</v>
      </c>
      <c r="EU8" s="39" t="str">
        <f t="shared" si="154"/>
        <v>NO HAY RIESGO POR RH</v>
      </c>
      <c r="EV8" s="31">
        <v>74</v>
      </c>
      <c r="EW8" s="35">
        <v>44848</v>
      </c>
      <c r="EX8" s="44">
        <f t="shared" si="31"/>
        <v>9.7142857142857135</v>
      </c>
      <c r="EY8" s="44">
        <v>65</v>
      </c>
      <c r="EZ8" s="44">
        <v>114</v>
      </c>
      <c r="FA8" s="44">
        <v>104</v>
      </c>
      <c r="FB8" s="31" t="str">
        <f t="shared" ca="1" si="32"/>
        <v>NORMAL</v>
      </c>
      <c r="FC8" s="48">
        <v>44964</v>
      </c>
      <c r="FD8" s="44">
        <f t="shared" si="33"/>
        <v>26.285714285714285</v>
      </c>
      <c r="FE8" s="35" t="s">
        <v>924</v>
      </c>
      <c r="FF8" s="35">
        <v>44848</v>
      </c>
      <c r="FG8" s="44">
        <f t="shared" ca="1" si="34"/>
        <v>9.7142857142857135</v>
      </c>
      <c r="FH8" s="35" t="s">
        <v>924</v>
      </c>
      <c r="FI8" s="49">
        <v>44964</v>
      </c>
      <c r="FJ8" s="44">
        <f t="shared" ca="1" si="35"/>
        <v>26.285714285714285</v>
      </c>
      <c r="FK8" s="35" t="s">
        <v>924</v>
      </c>
      <c r="FL8" s="49">
        <v>45001</v>
      </c>
      <c r="FM8" s="44">
        <f t="shared" ca="1" si="36"/>
        <v>31.571428571428573</v>
      </c>
      <c r="FN8" s="35"/>
      <c r="FO8" s="49"/>
      <c r="FP8" s="44" t="str">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8" s="31" t="s">
        <v>801</v>
      </c>
      <c r="FR8" s="35">
        <v>44848</v>
      </c>
      <c r="FS8" s="44">
        <f t="shared" si="37"/>
        <v>9.7142857142857135</v>
      </c>
      <c r="FT8" s="43" t="s">
        <v>925</v>
      </c>
      <c r="FU8" s="35">
        <v>44848</v>
      </c>
      <c r="FV8" s="44">
        <f t="shared" si="38"/>
        <v>9.7142857142857135</v>
      </c>
      <c r="FW8" s="35">
        <v>44848</v>
      </c>
      <c r="FX8" s="35">
        <v>44848</v>
      </c>
      <c r="FY8" s="35" t="s">
        <v>926</v>
      </c>
      <c r="FZ8" s="35">
        <v>44848</v>
      </c>
      <c r="GA8" s="44">
        <f t="shared" ca="1" si="39"/>
        <v>9.7142857142857135</v>
      </c>
      <c r="GB8" s="35" t="s">
        <v>926</v>
      </c>
      <c r="GC8" s="35">
        <v>44964</v>
      </c>
      <c r="GD8" s="44">
        <f t="shared" ca="1" si="40"/>
        <v>26.285714285714285</v>
      </c>
      <c r="GE8" s="35" t="s">
        <v>926</v>
      </c>
      <c r="GF8" s="35">
        <v>45001</v>
      </c>
      <c r="GG8" s="44">
        <f t="shared" ca="1" si="41"/>
        <v>31.571428571428573</v>
      </c>
      <c r="GH8" s="35"/>
      <c r="GI8" s="44"/>
      <c r="GJ8" s="35" t="s">
        <v>905</v>
      </c>
      <c r="GK8" s="35"/>
      <c r="GL8" s="35" t="s">
        <v>933</v>
      </c>
      <c r="GM8" s="35"/>
      <c r="GN8" s="43" t="s">
        <v>925</v>
      </c>
      <c r="GO8" s="35">
        <v>44848</v>
      </c>
      <c r="GP8" s="44">
        <f t="shared" si="42"/>
        <v>9.7142857142857135</v>
      </c>
      <c r="GQ8" s="43" t="s">
        <v>925</v>
      </c>
      <c r="GR8" s="43" t="s">
        <v>925</v>
      </c>
      <c r="GS8" s="35" t="str">
        <f t="shared" si="43"/>
        <v>CONTROL Igm</v>
      </c>
      <c r="GT8" s="35">
        <v>44848</v>
      </c>
      <c r="GU8" s="44">
        <f t="shared" si="155"/>
        <v>9.7142857142857135</v>
      </c>
      <c r="GV8" s="31" t="str">
        <f t="shared" si="156"/>
        <v>I TRIM</v>
      </c>
      <c r="GW8" s="43" t="s">
        <v>925</v>
      </c>
      <c r="GX8" s="46">
        <v>3</v>
      </c>
      <c r="GY8" s="31"/>
      <c r="GZ8" s="35"/>
      <c r="HA8" s="43" t="str">
        <f t="shared" si="157"/>
        <v/>
      </c>
      <c r="HB8" s="31" t="str">
        <f t="shared" si="158"/>
        <v/>
      </c>
      <c r="HC8" s="31" t="str">
        <f t="shared" si="159"/>
        <v/>
      </c>
      <c r="HD8" s="31"/>
      <c r="HE8" s="31"/>
      <c r="HF8" s="31"/>
      <c r="HG8" s="31"/>
      <c r="HH8" s="31"/>
      <c r="HI8" s="31"/>
      <c r="HJ8" s="35"/>
      <c r="HK8" s="35" t="str">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8" s="35" t="str">
        <f t="shared" si="160"/>
        <v>*********PREVENCIÓN CONTAGIO TOXOPLASMOSIS***</v>
      </c>
      <c r="HM8" s="35" t="str">
        <f t="shared" ca="1" si="161"/>
        <v>CON RIESGO</v>
      </c>
      <c r="HN8" s="31" t="str">
        <f t="shared" ca="1" si="162"/>
        <v>********************************</v>
      </c>
      <c r="HO8" s="31" t="str">
        <f t="shared" si="163"/>
        <v>SIN ANTECEDENTES DE RIESGO</v>
      </c>
      <c r="HP8" s="37" t="str">
        <f t="shared" si="164"/>
        <v>PRE HTA,RIESGO ALTO PREECLAMPSIA</v>
      </c>
      <c r="HQ8" s="31" t="e">
        <f t="shared" ca="1" si="165"/>
        <v>#REF!</v>
      </c>
      <c r="HR8" s="46" t="str">
        <f t="shared" si="166"/>
        <v>ACTIVA INGRESO A CPN</v>
      </c>
      <c r="HS8" s="31" t="s">
        <v>897</v>
      </c>
      <c r="HT8" s="31" t="s">
        <v>905</v>
      </c>
      <c r="HU8" s="35">
        <v>44880</v>
      </c>
      <c r="HV8" s="35" t="s">
        <v>931</v>
      </c>
      <c r="HW8" s="35">
        <v>44848</v>
      </c>
      <c r="HX8" s="35" t="s">
        <v>931</v>
      </c>
      <c r="HY8" s="35">
        <v>44880</v>
      </c>
      <c r="HZ8" s="35" t="s">
        <v>931</v>
      </c>
      <c r="IA8" s="40" t="s">
        <v>909</v>
      </c>
      <c r="IB8" s="35">
        <v>44848</v>
      </c>
      <c r="IC8" s="43">
        <f t="shared" si="56"/>
        <v>9.7142857142857135</v>
      </c>
      <c r="ID8" s="40" t="s">
        <v>897</v>
      </c>
      <c r="IE8" s="40"/>
      <c r="IF8" s="171"/>
      <c r="IG8" s="171"/>
      <c r="IH8" s="171"/>
      <c r="II8" s="171"/>
      <c r="IJ8" s="171"/>
      <c r="IK8" s="37" t="str">
        <f ca="1">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DIFERIR FECHA DE VACUNACION SEGÚN LINEAMIENTOS</v>
      </c>
      <c r="IL8" s="171">
        <v>44908</v>
      </c>
      <c r="IM8" s="35">
        <v>44939</v>
      </c>
      <c r="IN8" s="35" t="str">
        <f t="shared" ca="1" si="57"/>
        <v>VACUNA APLICADA ENTRE SEMANA 20 Y SEMANA 26</v>
      </c>
      <c r="IO8" s="35"/>
      <c r="IP8" s="35">
        <f t="shared" si="167"/>
        <v>45060</v>
      </c>
      <c r="IQ8" s="44">
        <f t="shared" ca="1" si="168"/>
        <v>-165</v>
      </c>
      <c r="IR8" s="35" t="str">
        <f t="shared" ca="1" si="169"/>
        <v>POSIBLEMENTE NACIO</v>
      </c>
      <c r="IS8" s="35"/>
      <c r="IT8" s="31"/>
      <c r="IU8" s="31"/>
      <c r="IV8" s="51"/>
      <c r="IW8" s="35"/>
      <c r="IX8" s="31"/>
      <c r="IY8" s="44" t="str">
        <f t="shared" si="61"/>
        <v/>
      </c>
      <c r="IZ8" s="52"/>
      <c r="JA8" s="31"/>
      <c r="JB8" s="31"/>
      <c r="JC8" s="31"/>
      <c r="JD8" s="31"/>
      <c r="JE8" s="31"/>
      <c r="JF8" s="31"/>
      <c r="JG8" s="31"/>
      <c r="JH8" s="31"/>
      <c r="JI8" s="31"/>
      <c r="JJ8" s="31"/>
      <c r="JK8" s="46"/>
      <c r="JL8" s="31"/>
      <c r="JM8" s="53"/>
      <c r="JN8" s="31" t="str">
        <f t="shared" si="62"/>
        <v/>
      </c>
      <c r="JO8" s="46"/>
      <c r="JP8" s="31"/>
      <c r="JQ8" s="31"/>
      <c r="JR8" s="31"/>
      <c r="JS8" s="46"/>
      <c r="JT8" s="35"/>
      <c r="JU8" s="35"/>
      <c r="JV8" s="31"/>
      <c r="JW8" s="53"/>
      <c r="JX8" s="31" t="str">
        <f t="shared" si="63"/>
        <v/>
      </c>
      <c r="JY8" s="35"/>
      <c r="JZ8" s="31"/>
      <c r="KA8" s="31"/>
      <c r="KB8" s="31"/>
      <c r="KC8" s="46"/>
      <c r="KD8" s="35"/>
      <c r="KE8" s="35"/>
      <c r="KF8" s="50"/>
      <c r="KG8" s="43" t="str">
        <f t="shared" si="64"/>
        <v/>
      </c>
      <c r="KH8" s="50"/>
      <c r="KI8" s="43" t="str">
        <f t="shared" si="65"/>
        <v/>
      </c>
      <c r="KJ8" s="31"/>
      <c r="KK8" s="31"/>
      <c r="KL8" s="31"/>
      <c r="KM8" s="54"/>
      <c r="KN8" s="43"/>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170"/>
        <v>0</v>
      </c>
      <c r="MR8" t="str">
        <f t="shared" si="67"/>
        <v/>
      </c>
      <c r="MS8" t="str">
        <f t="shared" si="68"/>
        <v/>
      </c>
      <c r="MT8">
        <f t="shared" si="171"/>
        <v>0</v>
      </c>
      <c r="MU8">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8">
        <f t="shared" si="70"/>
        <v>9.7142857142857135</v>
      </c>
      <c r="MW8">
        <f t="shared" si="71"/>
        <v>10</v>
      </c>
      <c r="MX8">
        <f t="shared" si="72"/>
        <v>2022</v>
      </c>
      <c r="MY8" t="str">
        <f t="shared" si="172"/>
        <v>IV TRIMESTRE AÑO</v>
      </c>
      <c r="MZ8">
        <f t="shared" si="74"/>
        <v>29.785370127025843</v>
      </c>
      <c r="NA8">
        <f t="shared" si="173"/>
        <v>0</v>
      </c>
      <c r="NB8" t="str">
        <f t="shared" si="174"/>
        <v xml:space="preserve"> DE 25 A 29 AÑOS</v>
      </c>
      <c r="NC8">
        <f t="shared" si="77"/>
        <v>0</v>
      </c>
      <c r="ND8">
        <f t="shared" si="78"/>
        <v>0</v>
      </c>
      <c r="NE8">
        <f t="shared" si="79"/>
        <v>0</v>
      </c>
      <c r="NF8">
        <f t="shared" si="80"/>
        <v>0</v>
      </c>
      <c r="NG8" t="str">
        <f t="shared" si="81"/>
        <v/>
      </c>
      <c r="NH8" t="str">
        <f t="shared" ca="1" si="82"/>
        <v/>
      </c>
      <c r="NI8" t="str">
        <f t="shared" si="83"/>
        <v/>
      </c>
      <c r="NJ8">
        <f t="shared" si="84"/>
        <v>0</v>
      </c>
      <c r="NK8" t="str">
        <f t="shared" si="85"/>
        <v/>
      </c>
      <c r="NL8" t="str">
        <f t="shared" si="86"/>
        <v/>
      </c>
      <c r="NM8">
        <f t="shared" ca="1" si="87"/>
        <v>0</v>
      </c>
      <c r="NN8">
        <f>IF(OR(O8&gt;0,R8&gt;0),SUM(COUNTIF(Tabla1[[#This Row],[AÑOS AL INICIO5 CPN]],"&gt;=40"),COUNTIF(AR8,"0"),COUNTIF(AQ8,"SI"),COUNTIF(BW8,"SI"),COUNTIF(BM8,"&gt;119"),COUNTIF(CC8,"&gt;=35")),"")</f>
        <v>1</v>
      </c>
      <c r="NO8">
        <f t="shared" si="88"/>
        <v>22.714285714285715</v>
      </c>
      <c r="NP8">
        <f t="shared" si="89"/>
        <v>0</v>
      </c>
      <c r="NQ8">
        <f t="shared" si="90"/>
        <v>93.8</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#REF!</v>
      </c>
      <c r="NS8">
        <f>MONTH(Tabla1[[#This Row],[FECHA DE SALIDA  DEL PROGRAMA]])</f>
        <v>1</v>
      </c>
      <c r="NT8">
        <f>YEAR(Tabla1[[#This Row],[FECHA DE SALIDA  DEL PROGRAMA]])</f>
        <v>1900</v>
      </c>
      <c r="NU8">
        <f t="shared" si="91"/>
        <v>21</v>
      </c>
      <c r="NV8" t="str">
        <f t="shared" si="92"/>
        <v>SI</v>
      </c>
      <c r="NW8" t="str">
        <f ca="1">IF(AND(O8&gt;0,R8=""),"NO CPN",IF(AND(O8="",R8=""),"",IF(AND(R8&gt;0,Tabla1[[#This Row],[SEMANAS DE GESTACION ACTUALIZADAS]]&lt;=12),"NO APLICA",IF(AND(FC8&lt;&gt;"",FI8&lt;&gt;""),"SI","NO"))))</f>
        <v>SI</v>
      </c>
      <c r="NX8" s="149" t="str">
        <f ca="1">IF(AND(O8&gt;0,R8=""),"NO CPN",IF(AND(O8="",R8=""),"",IF(AND(R8&gt;0,Tabla1[[#This Row],[SEMANAS DE GESTACION ACTUALIZADAS]]&lt;=27),"NO APLICA",IF(AND(EO8&lt;&gt;"",FL8&lt;&gt;"",GF8&lt;&gt;""),"SI","NO"))))</f>
        <v>SI</v>
      </c>
      <c r="NY8" s="147" t="str">
        <f t="shared" si="93"/>
        <v>I TRIM</v>
      </c>
      <c r="NZ8" s="1" t="str">
        <f t="shared" si="94"/>
        <v/>
      </c>
      <c r="OA8" s="1" t="str">
        <f t="shared" ca="1" si="175"/>
        <v>REVISAR FUM O FECHA SALIDA PROGRAMA</v>
      </c>
      <c r="OB8" s="213">
        <f t="shared" ca="1" si="95"/>
        <v>3</v>
      </c>
      <c r="OC8" s="1">
        <f t="shared" ca="1" si="96"/>
        <v>3</v>
      </c>
      <c r="OD8" s="1" t="str">
        <f t="shared" ca="1" si="176"/>
        <v>POR DEFINIR</v>
      </c>
      <c r="OE8" s="1" t="str">
        <f t="shared" ca="1" si="97"/>
        <v>POR DEFINIR</v>
      </c>
      <c r="OF8" s="221" t="str">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8" s="231" t="str">
        <f t="shared" ca="1" si="98"/>
        <v>VACUNADA</v>
      </c>
      <c r="OH8" s="148">
        <f>ROW(Tabla1[[#This Row],[SEMANAS DE GESTACION II TRIM]])</f>
        <v>8</v>
      </c>
      <c r="OI8" t="str">
        <f t="shared" si="99"/>
        <v>NORMAL</v>
      </c>
      <c r="OJ8" t="str">
        <f t="shared" si="100"/>
        <v/>
      </c>
      <c r="OK8" t="str">
        <f t="shared" si="101"/>
        <v/>
      </c>
      <c r="OL8" t="str">
        <f t="shared" si="102"/>
        <v/>
      </c>
      <c r="OM8" t="str">
        <f t="shared" si="103"/>
        <v/>
      </c>
      <c r="ON8" t="str">
        <f t="shared" si="104"/>
        <v/>
      </c>
      <c r="OO8" t="str">
        <f t="shared" si="105"/>
        <v/>
      </c>
      <c r="OP8" t="str">
        <f t="shared" si="106"/>
        <v/>
      </c>
      <c r="OQ8" t="str">
        <f t="shared" si="107"/>
        <v/>
      </c>
      <c r="OR8" t="str">
        <f t="shared" si="108"/>
        <v/>
      </c>
      <c r="OS8" t="str">
        <f t="shared" si="109"/>
        <v/>
      </c>
      <c r="OT8" t="str">
        <f t="shared" si="110"/>
        <v/>
      </c>
      <c r="OU8" t="str">
        <f t="shared" si="111"/>
        <v/>
      </c>
      <c r="OV8" t="str">
        <f t="shared" si="112"/>
        <v/>
      </c>
      <c r="OW8" t="str">
        <f t="shared" si="113"/>
        <v/>
      </c>
      <c r="OX8" t="str">
        <f t="shared" si="114"/>
        <v/>
      </c>
      <c r="OY8" t="str">
        <f t="shared" si="115"/>
        <v/>
      </c>
      <c r="OZ8" t="str">
        <f t="shared" si="116"/>
        <v>NORMAL</v>
      </c>
      <c r="PA8" t="str">
        <f t="shared" si="117"/>
        <v/>
      </c>
      <c r="PB8" t="str">
        <f t="shared" si="118"/>
        <v/>
      </c>
      <c r="PC8" t="str">
        <f t="shared" si="119"/>
        <v/>
      </c>
      <c r="PD8" t="str">
        <f t="shared" si="120"/>
        <v/>
      </c>
      <c r="PE8" t="str">
        <f t="shared" si="121"/>
        <v/>
      </c>
      <c r="PF8" t="str">
        <f t="shared" si="122"/>
        <v/>
      </c>
      <c r="PG8" t="str">
        <f t="shared" si="123"/>
        <v/>
      </c>
      <c r="PH8" t="str">
        <f t="shared" si="124"/>
        <v/>
      </c>
      <c r="PI8" t="str">
        <f t="shared" si="125"/>
        <v/>
      </c>
      <c r="PJ8" t="str">
        <f t="shared" si="126"/>
        <v/>
      </c>
      <c r="PK8" t="str">
        <f t="shared" si="127"/>
        <v/>
      </c>
      <c r="PL8"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8" s="162" t="str">
        <f t="shared" si="128"/>
        <v/>
      </c>
      <c r="PN8" s="161" t="str">
        <f t="shared" si="177"/>
        <v/>
      </c>
      <c r="PO8"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8" s="161" t="str">
        <f ca="1">IF(PO8="","",SUM(TODAY()-Tabla1[[#This Row],[Fecha 1ra Dosis Anti COVID-19]]))</f>
        <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
      </c>
    </row>
    <row r="9" spans="1:433" ht="39.950000000000003" customHeight="1" x14ac:dyDescent="0.25">
      <c r="A9" s="145"/>
      <c r="B9" s="68" t="s">
        <v>887</v>
      </c>
      <c r="C9" s="68" t="s">
        <v>855</v>
      </c>
      <c r="D9" s="187" t="s">
        <v>856</v>
      </c>
      <c r="E9" s="68" t="s">
        <v>888</v>
      </c>
      <c r="F9" s="68" t="s">
        <v>889</v>
      </c>
      <c r="G9" s="68" t="s">
        <v>890</v>
      </c>
      <c r="H9" s="68" t="s">
        <v>891</v>
      </c>
      <c r="I9" s="145" t="s">
        <v>860</v>
      </c>
      <c r="J9" s="146">
        <v>1060799632</v>
      </c>
      <c r="K9" s="68" t="s">
        <v>861</v>
      </c>
      <c r="L9" s="68" t="s">
        <v>862</v>
      </c>
      <c r="M9" s="35">
        <v>35920</v>
      </c>
      <c r="N9" s="38">
        <f t="shared" ca="1" si="0"/>
        <v>25.493150684931507</v>
      </c>
      <c r="O9" s="35">
        <v>44817</v>
      </c>
      <c r="P9" s="39" t="str">
        <f t="shared" si="1"/>
        <v>SI</v>
      </c>
      <c r="Q9" s="40" t="s">
        <v>898</v>
      </c>
      <c r="R9" s="35">
        <v>44817</v>
      </c>
      <c r="S9" s="31" t="s">
        <v>899</v>
      </c>
      <c r="T9" s="37" t="s">
        <v>800</v>
      </c>
      <c r="U9" s="31" t="s">
        <v>900</v>
      </c>
      <c r="V9" s="31" t="s">
        <v>901</v>
      </c>
      <c r="W9" s="31" t="s">
        <v>921</v>
      </c>
      <c r="X9" s="31" t="s">
        <v>921</v>
      </c>
      <c r="Y9" s="31" t="s">
        <v>921</v>
      </c>
      <c r="Z9" s="31">
        <v>3213523884</v>
      </c>
      <c r="AA9" s="31" t="s">
        <v>904</v>
      </c>
      <c r="AB9" s="41" t="s">
        <v>905</v>
      </c>
      <c r="AC9" s="40" t="s">
        <v>911</v>
      </c>
      <c r="AD9" s="55" t="s">
        <v>907</v>
      </c>
      <c r="AE9" s="40" t="s">
        <v>897</v>
      </c>
      <c r="AF9" s="40" t="s">
        <v>897</v>
      </c>
      <c r="AG9" s="36" t="s">
        <v>908</v>
      </c>
      <c r="AH9" s="36" t="s">
        <v>908</v>
      </c>
      <c r="AI9" s="37" t="s">
        <v>907</v>
      </c>
      <c r="AJ9" s="36" t="s">
        <v>908</v>
      </c>
      <c r="AK9" s="42" t="str">
        <f>IF(AND(AE9="",AF9="",AG9="",AH9="",AI9="",AJ9=""),"",IF(AND(OR(O9&gt;0,R9&gt;0),NP9&gt;=0,NP9&lt;2),"SIN RIESGO",IF(AND(OR(O9&gt;0,R9&gt;0),NP9&gt;=2),"CON RIESGO",IF(AND(O9="",R9=""),"",IF(OR(Tabla1[[#This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9" s="36" t="s">
        <v>908</v>
      </c>
      <c r="AM9" s="40" t="s">
        <v>908</v>
      </c>
      <c r="AN9" s="40" t="s">
        <v>908</v>
      </c>
      <c r="AO9" s="40" t="s">
        <v>908</v>
      </c>
      <c r="AP9" s="40" t="s">
        <v>908</v>
      </c>
      <c r="AQ9" s="40" t="s">
        <v>908</v>
      </c>
      <c r="AR9" s="31">
        <v>2</v>
      </c>
      <c r="AS9" s="31">
        <v>1</v>
      </c>
      <c r="AT9" s="31">
        <v>0</v>
      </c>
      <c r="AU9" s="40" t="s">
        <v>908</v>
      </c>
      <c r="AV9" s="31">
        <v>0</v>
      </c>
      <c r="AW9" s="40" t="s">
        <v>908</v>
      </c>
      <c r="AX9" s="40" t="s">
        <v>908</v>
      </c>
      <c r="AY9" s="40" t="s">
        <v>908</v>
      </c>
      <c r="AZ9" s="40" t="s">
        <v>908</v>
      </c>
      <c r="BA9" s="40" t="s">
        <v>908</v>
      </c>
      <c r="BB9" s="40" t="s">
        <v>908</v>
      </c>
      <c r="BC9" s="40" t="s">
        <v>908</v>
      </c>
      <c r="BD9" s="40" t="s">
        <v>908</v>
      </c>
      <c r="BE9" s="40" t="s">
        <v>908</v>
      </c>
      <c r="BF9" s="40" t="s">
        <v>908</v>
      </c>
      <c r="BG9" s="40" t="s">
        <v>908</v>
      </c>
      <c r="BH9" s="40" t="s">
        <v>908</v>
      </c>
      <c r="BI9" s="40" t="s">
        <v>908</v>
      </c>
      <c r="BJ9" s="35">
        <v>43646</v>
      </c>
      <c r="BK9" s="35">
        <v>44676</v>
      </c>
      <c r="BL9" s="31" t="s">
        <v>897</v>
      </c>
      <c r="BM9" s="43">
        <f t="shared" si="129"/>
        <v>34.333333333333336</v>
      </c>
      <c r="BN9" s="57">
        <f t="shared" si="130"/>
        <v>44685</v>
      </c>
      <c r="BO9" s="44">
        <f t="shared" si="131"/>
        <v>20.142857142857142</v>
      </c>
      <c r="BP9" s="31" t="str">
        <f t="shared" si="132"/>
        <v>II TRIM</v>
      </c>
      <c r="BQ9" s="39" t="str">
        <f t="shared" ca="1" si="133"/>
        <v/>
      </c>
      <c r="BR9" s="35">
        <v>44825</v>
      </c>
      <c r="BS9" s="43">
        <v>20</v>
      </c>
      <c r="BT9" s="35"/>
      <c r="BU9" s="31"/>
      <c r="BV9" s="40" t="s">
        <v>908</v>
      </c>
      <c r="BW9" s="40" t="s">
        <v>908</v>
      </c>
      <c r="BX9" s="40" t="s">
        <v>909</v>
      </c>
      <c r="BY9" s="40" t="s">
        <v>909</v>
      </c>
      <c r="BZ9" s="35">
        <v>44817</v>
      </c>
      <c r="CA9" s="31">
        <v>1.6</v>
      </c>
      <c r="CB9" s="31">
        <v>60</v>
      </c>
      <c r="CC9" s="39">
        <f t="shared" si="134"/>
        <v>23.437499999999996</v>
      </c>
      <c r="CD9" s="45" t="str">
        <f t="shared" si="135"/>
        <v>NORMAL</v>
      </c>
      <c r="CE9" s="35"/>
      <c r="CF9" s="31"/>
      <c r="CG9" s="39">
        <f t="shared" si="136"/>
        <v>0</v>
      </c>
      <c r="CH9" s="31" t="str">
        <f t="shared" si="137"/>
        <v>NA</v>
      </c>
      <c r="CI9" s="31" t="str">
        <f>IF(OR(CH9="",CH9="NA"),"",IF(AND(CH9&gt;=29,CH9&lt;=42),"REGISTRAR EN III TRIM",IF(AND(CH9&gt;0,CH9&lt;=13),"REGISTRAR EN I TRIM",IF(CH9="REVISAR FUM O FECHA PESO","REVISAR",IF(CH9&gt;0,HLOOKUP(CH9,$OI$1:PK9,OH9),"")))))</f>
        <v/>
      </c>
      <c r="CJ9" s="35">
        <v>44923</v>
      </c>
      <c r="CK9" s="31">
        <v>59</v>
      </c>
      <c r="CL9" s="39">
        <f t="shared" si="138"/>
        <v>23.046874999999996</v>
      </c>
      <c r="CM9" s="31">
        <f t="shared" si="139"/>
        <v>35</v>
      </c>
      <c r="CN9" s="31" t="str">
        <f>IF(OR(CM9="",CM9="NA"),"",IF(AND(CM9&gt;0,CM9&lt;=28),"REGISTRAR EN  TRIM RESPECTIVO",IF(CM9&gt;0,HLOOKUP(CM9,$OI$1:PK9,OH9),"")))</f>
        <v>BAJO PESO</v>
      </c>
      <c r="CO9" s="31" t="str">
        <f t="shared" si="140"/>
        <v>BAJO PESO</v>
      </c>
      <c r="CP9" s="31">
        <v>110</v>
      </c>
      <c r="CQ9" s="31">
        <v>70</v>
      </c>
      <c r="CR9" s="37" t="str">
        <f t="shared" si="14"/>
        <v>APARENTEMENTE NORMAL</v>
      </c>
      <c r="CS9" s="31"/>
      <c r="CT9" s="31"/>
      <c r="CU9" s="37" t="str">
        <f t="shared" si="15"/>
        <v/>
      </c>
      <c r="CV9" s="31">
        <v>100</v>
      </c>
      <c r="CW9" s="31">
        <v>60</v>
      </c>
      <c r="CX9" s="31">
        <v>100</v>
      </c>
      <c r="CY9" s="31">
        <v>70</v>
      </c>
      <c r="CZ9" s="37" t="str">
        <f t="shared" si="16"/>
        <v>APARENTEMENTE NORMAL</v>
      </c>
      <c r="DA9" s="35">
        <v>44817</v>
      </c>
      <c r="DB9" s="35">
        <v>44817</v>
      </c>
      <c r="DC9" s="35">
        <v>44847</v>
      </c>
      <c r="DD9" s="35">
        <v>44923</v>
      </c>
      <c r="DE9" s="35">
        <v>44951</v>
      </c>
      <c r="DF9" s="35"/>
      <c r="DG9" s="35"/>
      <c r="DH9" s="35"/>
      <c r="DI9" s="35"/>
      <c r="DJ9" s="35"/>
      <c r="DK9" s="35"/>
      <c r="DL9" s="35"/>
      <c r="DM9" s="35"/>
      <c r="DN9" s="35"/>
      <c r="DO9" s="43"/>
      <c r="DP9" s="35"/>
      <c r="DQ9" s="31" t="str">
        <f t="shared" ca="1" si="141"/>
        <v>CONCERTAR PLAN DE PARTO INMEDIATO</v>
      </c>
      <c r="DR9" s="46" t="str">
        <f t="shared" si="142"/>
        <v>ACTIVA INGRESO A CPN</v>
      </c>
      <c r="DS9"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#REF!</v>
      </c>
      <c r="DT9" s="31" t="e">
        <f t="shared" ca="1" si="143"/>
        <v>#REF!</v>
      </c>
      <c r="DU9" s="35">
        <f>IF(R9="","",IF(R9&gt;0,MAX(Tabla1[[#This Row],[FECHA C2]:[FECHA C13]],Tabla1[[#This Row],[FECHA CONSULTA PRIMERA VEZ PROGRAMA CPN ]])))</f>
        <v>44951</v>
      </c>
      <c r="DV9" s="31">
        <f t="shared" si="144"/>
        <v>39</v>
      </c>
      <c r="DW9" s="43">
        <f>IF(R9&gt;0,SUM(COUNTA(DC9:DN9)+COUNTA(Tabla1[[#This Row],[FECHA CONSULTA PRIMERA VEZ PROGRAMA CPN ]])),"")</f>
        <v>4</v>
      </c>
      <c r="DX9" s="43" t="str">
        <f t="shared" si="145"/>
        <v>SI</v>
      </c>
      <c r="DY9" s="39">
        <f t="shared" si="146"/>
        <v>6</v>
      </c>
      <c r="DZ9" s="47">
        <f t="shared" si="147"/>
        <v>0.66666666666666663</v>
      </c>
      <c r="EA9" s="35">
        <v>44817</v>
      </c>
      <c r="EB9" s="35">
        <v>44931</v>
      </c>
      <c r="EC9" s="35">
        <v>44817</v>
      </c>
      <c r="ED9" s="35"/>
      <c r="EE9" s="35">
        <v>44817</v>
      </c>
      <c r="EF9" s="35"/>
      <c r="EG9" s="35"/>
      <c r="EH9" s="31"/>
      <c r="EI9" s="31">
        <v>13</v>
      </c>
      <c r="EJ9" s="35">
        <v>44817</v>
      </c>
      <c r="EK9" s="43">
        <f t="shared" si="148"/>
        <v>20.142857142857142</v>
      </c>
      <c r="EL9" s="39" t="str">
        <f t="shared" si="149"/>
        <v>NORMAL- SUMINISTRAR SULFATO FERROSO</v>
      </c>
      <c r="EM9" s="31" t="str">
        <f t="shared" si="150"/>
        <v>II TRIM</v>
      </c>
      <c r="EN9" s="37"/>
      <c r="EO9" s="35"/>
      <c r="EP9" s="44" t="str">
        <f t="shared" si="151"/>
        <v>TOMAR EXAMEN</v>
      </c>
      <c r="EQ9" s="39" t="str">
        <f t="shared" si="152"/>
        <v/>
      </c>
      <c r="ER9" s="37" t="s">
        <v>923</v>
      </c>
      <c r="ES9" s="35">
        <v>44817</v>
      </c>
      <c r="ET9" s="44">
        <f t="shared" si="153"/>
        <v>20.142857142857142</v>
      </c>
      <c r="EU9" s="39" t="str">
        <f t="shared" si="154"/>
        <v>NO HAY RIESGO POR RH</v>
      </c>
      <c r="EV9" s="31">
        <v>75</v>
      </c>
      <c r="EW9" s="35">
        <v>44817</v>
      </c>
      <c r="EX9" s="44">
        <f t="shared" si="31"/>
        <v>20.142857142857142</v>
      </c>
      <c r="EY9" s="44"/>
      <c r="EZ9" s="44"/>
      <c r="FA9" s="44"/>
      <c r="FB9" s="31" t="str">
        <f t="shared" ca="1" si="32"/>
        <v/>
      </c>
      <c r="FC9" s="48"/>
      <c r="FD9" s="44" t="str">
        <f t="shared" si="33"/>
        <v>TOMAR EXAMEN</v>
      </c>
      <c r="FE9" s="35" t="s">
        <v>924</v>
      </c>
      <c r="FF9" s="35">
        <v>44817</v>
      </c>
      <c r="FG9" s="44" t="str">
        <f t="shared" si="34"/>
        <v>REGISTRAR EN II TRIMESTRE</v>
      </c>
      <c r="FH9" s="35"/>
      <c r="FI9" s="49"/>
      <c r="FJ9" s="44" t="str">
        <f t="shared" ca="1" si="35"/>
        <v>PIERDE TOMA DE TAMIZAJE</v>
      </c>
      <c r="FK9" s="35" t="s">
        <v>924</v>
      </c>
      <c r="FL9" s="49">
        <v>44954</v>
      </c>
      <c r="FM9" s="44">
        <f t="shared" ca="1" si="36"/>
        <v>39.714285714285715</v>
      </c>
      <c r="FN9" s="35"/>
      <c r="FO9" s="49"/>
      <c r="FP9" s="44" t="str">
        <f>IF(AND(FE9="",FH9="",FK9="",FN9=""),"",IF(OR(OR(Tabla1[[#This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9" s="31" t="s">
        <v>801</v>
      </c>
      <c r="FR9" s="35">
        <v>44817</v>
      </c>
      <c r="FS9" s="44">
        <f t="shared" si="37"/>
        <v>20.142857142857142</v>
      </c>
      <c r="FT9" s="43" t="s">
        <v>925</v>
      </c>
      <c r="FU9" s="35">
        <v>44817</v>
      </c>
      <c r="FV9" s="44">
        <f t="shared" si="38"/>
        <v>20.142857142857142</v>
      </c>
      <c r="FW9" s="35">
        <v>44817</v>
      </c>
      <c r="FX9" s="35">
        <v>44817</v>
      </c>
      <c r="FY9" s="35" t="s">
        <v>926</v>
      </c>
      <c r="FZ9" s="35">
        <v>44817</v>
      </c>
      <c r="GA9" s="44" t="str">
        <f t="shared" si="39"/>
        <v>REGISTRAR EN II TRIMESTRE</v>
      </c>
      <c r="GB9" s="35"/>
      <c r="GC9" s="35"/>
      <c r="GD9" s="44" t="str">
        <f t="shared" ca="1" si="40"/>
        <v>PIERDE TOMA DE TAMIZAJE</v>
      </c>
      <c r="GE9" s="35" t="s">
        <v>926</v>
      </c>
      <c r="GF9" s="35">
        <v>44954</v>
      </c>
      <c r="GG9" s="44">
        <f t="shared" ca="1" si="41"/>
        <v>39.714285714285715</v>
      </c>
      <c r="GH9" s="35"/>
      <c r="GI9" s="44"/>
      <c r="GJ9" s="35" t="s">
        <v>905</v>
      </c>
      <c r="GK9" s="35"/>
      <c r="GL9" s="35" t="s">
        <v>933</v>
      </c>
      <c r="GM9" s="35"/>
      <c r="GN9" s="43" t="s">
        <v>925</v>
      </c>
      <c r="GO9" s="35">
        <v>44817</v>
      </c>
      <c r="GP9" s="44">
        <f t="shared" si="42"/>
        <v>20.142857142857142</v>
      </c>
      <c r="GQ9" s="43" t="s">
        <v>925</v>
      </c>
      <c r="GR9" s="43" t="s">
        <v>925</v>
      </c>
      <c r="GS9" s="35" t="str">
        <f t="shared" si="43"/>
        <v>CONTROL Igm</v>
      </c>
      <c r="GT9" s="35">
        <v>44817</v>
      </c>
      <c r="GU9" s="44">
        <f t="shared" si="155"/>
        <v>20.142857142857142</v>
      </c>
      <c r="GV9" s="31" t="str">
        <f t="shared" si="156"/>
        <v>II TRIM</v>
      </c>
      <c r="GW9" s="43" t="s">
        <v>925</v>
      </c>
      <c r="GX9" s="46"/>
      <c r="GY9" s="31"/>
      <c r="GZ9" s="35"/>
      <c r="HA9" s="43" t="str">
        <f t="shared" si="157"/>
        <v/>
      </c>
      <c r="HB9" s="31" t="str">
        <f t="shared" si="158"/>
        <v/>
      </c>
      <c r="HC9" s="31" t="str">
        <f t="shared" si="159"/>
        <v/>
      </c>
      <c r="HD9" s="31"/>
      <c r="HE9" s="31"/>
      <c r="HF9" s="31"/>
      <c r="HG9" s="31"/>
      <c r="HH9" s="31"/>
      <c r="HI9" s="31"/>
      <c r="HJ9" s="35"/>
      <c r="HK9" s="35" t="str">
        <f>IF(OR(O9&gt;0,R9&gt;0),CONCATENATE(IF(Tabla1[[#This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9" s="35" t="str">
        <f t="shared" si="160"/>
        <v>***INGRESO TARDIO A CPN*BAJO PESO*****PREVENCIÓN CONTAGIO TOXOPLASMOSIS***</v>
      </c>
      <c r="HM9" s="35" t="str">
        <f t="shared" ca="1" si="161"/>
        <v>CON RIESGO</v>
      </c>
      <c r="HN9" s="31" t="str">
        <f t="shared" ca="1" si="162"/>
        <v>********************************</v>
      </c>
      <c r="HO9" s="31" t="str">
        <f t="shared" si="163"/>
        <v>SIN ANTECEDENTES DE RIESGO</v>
      </c>
      <c r="HP9" s="37" t="str">
        <f t="shared" si="164"/>
        <v>APARENTEMENTE NORMAL</v>
      </c>
      <c r="HQ9" s="31" t="e">
        <f t="shared" ca="1" si="165"/>
        <v>#REF!</v>
      </c>
      <c r="HR9" s="46" t="str">
        <f t="shared" si="166"/>
        <v>ACTIVA INGRESO A CPN</v>
      </c>
      <c r="HS9" s="31" t="s">
        <v>897</v>
      </c>
      <c r="HT9" s="31" t="s">
        <v>905</v>
      </c>
      <c r="HU9" s="35"/>
      <c r="HV9" s="35"/>
      <c r="HW9" s="35">
        <v>44817</v>
      </c>
      <c r="HX9" s="35" t="s">
        <v>931</v>
      </c>
      <c r="HY9" s="35">
        <v>44817</v>
      </c>
      <c r="HZ9" s="35" t="s">
        <v>931</v>
      </c>
      <c r="IA9" s="40" t="s">
        <v>909</v>
      </c>
      <c r="IB9" s="35">
        <v>44817</v>
      </c>
      <c r="IC9" s="43">
        <f t="shared" si="56"/>
        <v>20.142857142857142</v>
      </c>
      <c r="ID9" s="40" t="s">
        <v>897</v>
      </c>
      <c r="IE9" s="40"/>
      <c r="IF9" s="222"/>
      <c r="IG9" s="40"/>
      <c r="IH9" s="222"/>
      <c r="II9" s="40"/>
      <c r="IJ9" s="40"/>
      <c r="IK9" s="37" t="str">
        <f ca="1">IF(AND(BK9="",PM9="SD"),"SIN DATO EDAD GESTACIONAL",IF(AND(BK9="",PN9=""),"",IF(AND(AND(BQ9&gt;0,BQ9&lt;12),PN9=""),"MENOR 12 SEMANAS",IF(AND(BQ9&gt;11.6,PN9="",HJ9="BAJO RIESGO O SE DESCARTA INFECCIÓN POR SARS-CoV2"),"PROGRAMAR APLICACION DE VACUNA",IF(OR(AND(BQ9&gt;11.6,PN9=""),HJ9="FACTOR DE RIESGO PARA COVID19",HJ9="COVID19 PRIMER TRIMESTRE",HJ9="COVID19 SEGUNDO TRIMESTRE",HJ9="COVID19 TERCER TRIMESTRE",HJ9="COVID19 PUERPERIO"),"DIFERIR FECHA DE VACUNACION SEGÚN LINEAMIENTOS",IF(AND(BQ9&gt;11.6,PN9="Error Jansen X Fecha Segunda Dosis"),"Error Jansen X Fecha Segunda Dosis",IF(AND(BQ9&gt;11.6,PN9="Firma"),"FIRMA DISENTIMIENTO",IF(AND(BQ9&gt;11.6,PN9="Firma3"),"NO ACEPTA VACUNA Y NO FIRMA DISCENTIMIENTO",IF(AND(BQ9&gt;11.6,PN9="Firma2"),"Error en Fecha x Firma Disentimiento",IF(AND(BQ9&gt;11.6,PN9="Firma4"),"Error en Fecha x No Acepta no Firma",IF(AND(BQ9&gt;11.6,PN9="Completo",Tabla1[[#This Row],[Fecha Refuerzo Anti COVID-20]]=""),"PENDIENTE REFUERZO",IF(AND(BQ9&gt;11.6,PN9="Completo",Tabla1[[#This Row],[Fecha Refuerzo Anti COVID-20]]&lt;&gt;""),"CON REFUERZO",IF(AND(BQ9&gt;11.6,PN9="Falta Dosis"),PQ9,IF(OR(AND(BQ9&gt;11.6,PN9=""),HJ9="",HJ9="NO SE EVALUA RIESGO INFECCIÓN COVID19"),"DEFINIR RIESGO CONTAGIO SARS-CoV2, columna GZ",""))))))))))))))</f>
        <v>DIFERIR FECHA DE VACUNACION SEGÚN LINEAMIENTOS</v>
      </c>
      <c r="IL9" s="171"/>
      <c r="IM9" s="35"/>
      <c r="IN9" s="35" t="str">
        <f t="shared" ca="1" si="57"/>
        <v/>
      </c>
      <c r="IO9" s="35"/>
      <c r="IP9" s="35">
        <f t="shared" si="167"/>
        <v>44956</v>
      </c>
      <c r="IQ9" s="44">
        <f t="shared" ca="1" si="168"/>
        <v>-269</v>
      </c>
      <c r="IR9" s="35" t="str">
        <f t="shared" ca="1" si="169"/>
        <v>POSIBLEMENTE NACIO</v>
      </c>
      <c r="IS9" s="35"/>
      <c r="IT9" s="31"/>
      <c r="IU9" s="31"/>
      <c r="IV9" s="51"/>
      <c r="IW9" s="35"/>
      <c r="IX9" s="31"/>
      <c r="IY9" s="44" t="str">
        <f t="shared" si="61"/>
        <v/>
      </c>
      <c r="IZ9" s="52"/>
      <c r="JA9" s="31"/>
      <c r="JB9" s="31"/>
      <c r="JC9" s="31"/>
      <c r="JD9" s="31"/>
      <c r="JE9" s="31"/>
      <c r="JF9" s="31"/>
      <c r="JG9" s="31"/>
      <c r="JH9" s="31"/>
      <c r="JI9" s="31"/>
      <c r="JJ9" s="31"/>
      <c r="JK9" s="46"/>
      <c r="JL9" s="31"/>
      <c r="JM9" s="53"/>
      <c r="JN9" s="31" t="str">
        <f t="shared" si="62"/>
        <v/>
      </c>
      <c r="JO9" s="46"/>
      <c r="JP9" s="31"/>
      <c r="JQ9" s="31"/>
      <c r="JR9" s="31"/>
      <c r="JS9" s="46"/>
      <c r="JT9" s="35"/>
      <c r="JU9" s="35"/>
      <c r="JV9" s="31"/>
      <c r="JW9" s="53"/>
      <c r="JX9" s="31" t="str">
        <f t="shared" si="63"/>
        <v/>
      </c>
      <c r="JY9" s="35"/>
      <c r="JZ9" s="31"/>
      <c r="KA9" s="31"/>
      <c r="KB9" s="31"/>
      <c r="KC9" s="46"/>
      <c r="KD9" s="35"/>
      <c r="KE9" s="35"/>
      <c r="KF9" s="50"/>
      <c r="KG9" s="43" t="str">
        <f t="shared" si="64"/>
        <v/>
      </c>
      <c r="KH9" s="50"/>
      <c r="KI9" s="43" t="str">
        <f t="shared" si="65"/>
        <v/>
      </c>
      <c r="KJ9" s="31"/>
      <c r="KK9" s="31"/>
      <c r="KL9" s="31"/>
      <c r="KM9" s="54"/>
      <c r="KN9" s="43"/>
      <c r="KO9" s="43"/>
      <c r="KP9" s="43"/>
      <c r="KQ9" s="56"/>
      <c r="KR9" s="56"/>
      <c r="KS9" s="99"/>
      <c r="KT9" s="56"/>
      <c r="KU9" s="56"/>
      <c r="KV9" s="99"/>
      <c r="KW9" s="56"/>
      <c r="KX9" s="56"/>
      <c r="KY9" s="56"/>
      <c r="KZ9" s="56"/>
      <c r="LA9" s="56"/>
      <c r="LB9" s="56"/>
      <c r="LC9" s="56"/>
      <c r="LD9" s="55"/>
      <c r="LE9" s="55"/>
      <c r="LF9" s="55"/>
      <c r="LG9" s="55"/>
      <c r="LH9" s="55"/>
      <c r="LI9" s="55"/>
      <c r="LJ9" s="55"/>
      <c r="LK9" s="55"/>
      <c r="LL9" s="55"/>
      <c r="LM9" s="55"/>
      <c r="LN9" s="55"/>
      <c r="LO9" s="55"/>
      <c r="LP9" s="55"/>
      <c r="LQ9" s="55"/>
      <c r="LR9" s="55"/>
      <c r="LS9" s="55"/>
      <c r="LT9" s="55"/>
      <c r="LU9" s="55"/>
      <c r="LV9" s="55"/>
      <c r="LW9" s="55"/>
      <c r="LX9" s="55"/>
      <c r="LY9" s="55"/>
      <c r="LZ9" s="55"/>
      <c r="MA9" s="55"/>
      <c r="MB9" s="55"/>
      <c r="MC9" s="55"/>
      <c r="MD9" s="55"/>
      <c r="ME9" s="55"/>
      <c r="MF9" s="55"/>
      <c r="MG9" s="55"/>
      <c r="MH9" s="55"/>
      <c r="MI9" s="55"/>
      <c r="MJ9" s="55"/>
      <c r="MK9" s="55"/>
      <c r="ML9" s="55"/>
      <c r="MM9" s="55"/>
      <c r="MN9" s="55"/>
      <c r="MO9" s="55"/>
      <c r="MP9" s="153"/>
      <c r="MQ9" s="148">
        <f t="shared" si="170"/>
        <v>0</v>
      </c>
      <c r="MR9" t="str">
        <f t="shared" si="67"/>
        <v/>
      </c>
      <c r="MS9" t="str">
        <f t="shared" si="68"/>
        <v/>
      </c>
      <c r="MT9">
        <f t="shared" si="171"/>
        <v>0</v>
      </c>
      <c r="MU9">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9">
        <f t="shared" si="70"/>
        <v>20.142857142857142</v>
      </c>
      <c r="MW9">
        <f t="shared" si="71"/>
        <v>9</v>
      </c>
      <c r="MX9">
        <f t="shared" si="72"/>
        <v>2022</v>
      </c>
      <c r="MY9" t="str">
        <f t="shared" si="172"/>
        <v>III TRIMESTRE AÑO</v>
      </c>
      <c r="MZ9">
        <f t="shared" si="74"/>
        <v>24.003504161191415</v>
      </c>
      <c r="NA9">
        <f t="shared" si="173"/>
        <v>0</v>
      </c>
      <c r="NB9" t="str">
        <f t="shared" si="174"/>
        <v xml:space="preserve"> DE 20 A 24 AÑOS</v>
      </c>
      <c r="NC9">
        <f t="shared" si="77"/>
        <v>0</v>
      </c>
      <c r="ND9">
        <f t="shared" si="78"/>
        <v>0</v>
      </c>
      <c r="NE9">
        <f t="shared" si="79"/>
        <v>0</v>
      </c>
      <c r="NF9">
        <f t="shared" si="80"/>
        <v>0</v>
      </c>
      <c r="NG9" t="str">
        <f t="shared" si="81"/>
        <v/>
      </c>
      <c r="NH9" t="str">
        <f t="shared" ca="1" si="82"/>
        <v/>
      </c>
      <c r="NI9" t="str">
        <f t="shared" si="83"/>
        <v/>
      </c>
      <c r="NJ9">
        <f t="shared" si="84"/>
        <v>0</v>
      </c>
      <c r="NK9" t="str">
        <f t="shared" si="85"/>
        <v/>
      </c>
      <c r="NL9" t="str">
        <f t="shared" si="86"/>
        <v/>
      </c>
      <c r="NM9">
        <f t="shared" ca="1" si="87"/>
        <v>0</v>
      </c>
      <c r="NN9">
        <f>IF(OR(O9&gt;0,R9&gt;0),SUM(COUNTIF(Tabla1[[#This Row],[AÑOS AL INICIO5 CPN]],"&gt;=40"),COUNTIF(AR9,"0"),COUNTIF(AQ9,"SI"),COUNTIF(BW9,"SI"),COUNTIF(BM9,"&gt;119"),COUNTIF(CC9,"&gt;=35")),"")</f>
        <v>0</v>
      </c>
      <c r="NO9" t="str">
        <f t="shared" si="88"/>
        <v/>
      </c>
      <c r="NP9">
        <f t="shared" si="89"/>
        <v>0</v>
      </c>
      <c r="NQ9">
        <f t="shared" si="90"/>
        <v>140</v>
      </c>
      <c r="NR9" t="e">
        <f ca="1">IF(Tabla1[[#This Row],[GESTANTES ACTUALES]]="","SD",IF(Tabla1[[#This Row],[GESTANTES ACTUALES]]="SEGUIMIENTO REPORTE EPS","Y",IF(Tabla1[[#This Row],[GESTANTES ACTUALES]]="SALE SIN INGRESO CPN","X",IF(AND(Tabla1[[#This Row],[CITA PROXIMO CONTROL]]="",Tabla1[[#This Row],[GESTANTES ACTUALES]]="ACTIVA SIN INGRESO CPN",P9="NO"),"Z",IF(AND(Tabla1[[#This Row],[CITA PROXIMO CONTROL]]="CITA MANUAL",Tabla1[[#This Row],[GESTANTES ACTUALES]]="ACTIVA INGRESO A CPN"),"W",IF(AND(Tabla1[[#This Row],[GESTANTES ACTUALES]]="SALIO PROGRAMA",IW9=""),"S",IF(AND(Tabla1[[#This Row],[CITA PROXIMO CONTROL]]&gt;0,IW9=""),(Tabla1[[#This Row],[CITA PROXIMO CONTROL]]-TODAY()),"SD")))))))</f>
        <v>#REF!</v>
      </c>
      <c r="NS9">
        <f>MONTH(Tabla1[[#This Row],[FECHA DE SALIDA  DEL PROGRAMA]])</f>
        <v>1</v>
      </c>
      <c r="NT9">
        <f>YEAR(Tabla1[[#This Row],[FECHA DE SALIDA  DEL PROGRAMA]])</f>
        <v>1900</v>
      </c>
      <c r="NU9" t="str">
        <f t="shared" si="91"/>
        <v>X</v>
      </c>
      <c r="NV9" t="str">
        <f t="shared" si="92"/>
        <v>SI</v>
      </c>
      <c r="NW9" t="str">
        <f ca="1">IF(AND(O9&gt;0,R9=""),"NO CPN",IF(AND(O9="",R9=""),"",IF(AND(R9&gt;0,Tabla1[[#This Row],[SEMANAS DE GESTACION ACTUALIZADAS]]&lt;=12),"NO APLICA",IF(AND(FC9&lt;&gt;"",FI9&lt;&gt;""),"SI","NO"))))</f>
        <v>NO</v>
      </c>
      <c r="NX9" s="149" t="str">
        <f ca="1">IF(AND(O9&gt;0,R9=""),"NO CPN",IF(AND(O9="",R9=""),"",IF(AND(R9&gt;0,Tabla1[[#This Row],[SEMANAS DE GESTACION ACTUALIZADAS]]&lt;=27),"NO APLICA",IF(AND(EO9&lt;&gt;"",FL9&lt;&gt;"",GF9&lt;&gt;""),"SI","NO"))))</f>
        <v>NO</v>
      </c>
      <c r="NY9" s="147" t="str">
        <f t="shared" si="93"/>
        <v>II TRIM</v>
      </c>
      <c r="NZ9" s="1" t="str">
        <f t="shared" si="94"/>
        <v/>
      </c>
      <c r="OA9" s="1" t="str">
        <f t="shared" ca="1" si="175"/>
        <v>REVISAR FUM O FECHA SALIDA PROGRAMA</v>
      </c>
      <c r="OB9" s="213">
        <f t="shared" ca="1" si="95"/>
        <v>1</v>
      </c>
      <c r="OC9" s="1">
        <f t="shared" ca="1" si="96"/>
        <v>1</v>
      </c>
      <c r="OD9" s="1" t="str">
        <f t="shared" ca="1" si="176"/>
        <v>POR DEFINIR</v>
      </c>
      <c r="OE9" s="1" t="str">
        <f t="shared" ca="1" si="97"/>
        <v>POR DEFINIR</v>
      </c>
      <c r="OF9" s="221" t="str">
        <f>IF(AND(O9="",R9=""),"",IF(OR(AND(Tabla1[[#This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9" s="231" t="str">
        <f t="shared" ca="1" si="98"/>
        <v>SIN VACUNAR</v>
      </c>
      <c r="OH9" s="148">
        <f>ROW(Tabla1[[#This Row],[SEMANAS DE GESTACION II TRIM]])</f>
        <v>9</v>
      </c>
      <c r="OI9" t="str">
        <f t="shared" si="99"/>
        <v/>
      </c>
      <c r="OJ9" t="str">
        <f t="shared" si="100"/>
        <v/>
      </c>
      <c r="OK9" t="str">
        <f t="shared" si="101"/>
        <v/>
      </c>
      <c r="OL9" t="str">
        <f t="shared" si="102"/>
        <v/>
      </c>
      <c r="OM9" t="str">
        <f t="shared" si="103"/>
        <v/>
      </c>
      <c r="ON9" t="str">
        <f t="shared" si="104"/>
        <v/>
      </c>
      <c r="OO9" t="str">
        <f t="shared" si="105"/>
        <v/>
      </c>
      <c r="OP9" t="str">
        <f t="shared" si="106"/>
        <v/>
      </c>
      <c r="OQ9" t="str">
        <f t="shared" si="107"/>
        <v/>
      </c>
      <c r="OR9" t="str">
        <f t="shared" si="108"/>
        <v/>
      </c>
      <c r="OS9" t="str">
        <f t="shared" si="109"/>
        <v/>
      </c>
      <c r="OT9" t="str">
        <f t="shared" si="110"/>
        <v/>
      </c>
      <c r="OU9" t="str">
        <f t="shared" si="111"/>
        <v/>
      </c>
      <c r="OV9" t="str">
        <f t="shared" si="112"/>
        <v/>
      </c>
      <c r="OW9" t="str">
        <f t="shared" si="113"/>
        <v/>
      </c>
      <c r="OX9" t="str">
        <f t="shared" si="114"/>
        <v/>
      </c>
      <c r="OY9" t="str">
        <f t="shared" si="115"/>
        <v/>
      </c>
      <c r="OZ9" t="str">
        <f t="shared" si="116"/>
        <v/>
      </c>
      <c r="PA9" t="str">
        <f t="shared" si="117"/>
        <v/>
      </c>
      <c r="PB9" t="str">
        <f t="shared" si="118"/>
        <v/>
      </c>
      <c r="PC9" t="str">
        <f t="shared" si="119"/>
        <v/>
      </c>
      <c r="PD9" t="str">
        <f t="shared" si="120"/>
        <v>BAJO PESO</v>
      </c>
      <c r="PE9" t="str">
        <f t="shared" si="121"/>
        <v/>
      </c>
      <c r="PF9" t="str">
        <f t="shared" si="122"/>
        <v/>
      </c>
      <c r="PG9" t="str">
        <f t="shared" si="123"/>
        <v/>
      </c>
      <c r="PH9" t="str">
        <f t="shared" si="124"/>
        <v/>
      </c>
      <c r="PI9" t="str">
        <f t="shared" si="125"/>
        <v/>
      </c>
      <c r="PJ9" t="str">
        <f t="shared" si="126"/>
        <v/>
      </c>
      <c r="PK9" t="str">
        <f t="shared" si="127"/>
        <v/>
      </c>
      <c r="PL9"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9" s="162" t="str">
        <f t="shared" si="128"/>
        <v/>
      </c>
      <c r="PN9" s="161" t="str">
        <f t="shared" si="177"/>
        <v/>
      </c>
      <c r="PO9"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9" s="161" t="str">
        <f ca="1">IF(PO9="","",SUM(TODAY()-Tabla1[[#This Row],[Fecha 1ra Dosis Anti COVID-19]]))</f>
        <v/>
      </c>
      <c r="PQ9" s="168" t="str">
        <f>IFERROR(IF(Tabla1[[#This Row],[Fecha 1ra Dosis Anti COVID-19]]="","",IF(OR(AND(Tabla1[[#This Row],[Tipo Biológico Vacuna anti COVID-19 (Disentimiento)]]="Astrazeneca",PP9&lt;84),AND(Tabla1[[#This Row],[Tipo Biológico Vacuna anti COVID-19 (Disentimiento)]]="Pfizer",PP9&lt;21),AND(Tabla1[[#This Row],[Tipo Biológico Vacuna anti COVID-19 (Disentimiento)]]="Moderna",PP9&lt;21),AND(Tabla1[[#This Row],[Tipo Biológico Vacuna anti COVID-19 (Disentimiento)]]="Sinovac",PP9&lt;28)),"Pendiente Segunda Dosis",IF(OR(AND(Tabla1[[#This Row],[Tipo Biológico Vacuna anti COVID-19 (Disentimiento)]]="Astrazeneca",PP9&gt;=85),AND(Tabla1[[#This Row],[Tipo Biológico Vacuna anti COVID-19 (Disentimiento)]]="Pfizer",PP9&gt;=22),AND(Tabla1[[#This Row],[Tipo Biológico Vacuna anti COVID-19 (Disentimiento)]]="Moderna",PP9&gt;=22),AND(Tabla1[[#This Row],[Tipo Biológico Vacuna anti COVID-19 (Disentimiento)]]="Sinovac",PP9&gt;=29)),"inasistente",IF(OR(AND(Tabla1[[#This Row],[Tipo Biológico Vacuna anti COVID-19 (Disentimiento)]],"Astrazeneca",PP9=84),AND(Tabla1[[#This Row],[Tipo Biológico Vacuna anti COVID-19 (Disentimiento)]],"Pfizer",PP9=21),AND(Tabla1[[#This Row],[Tipo Biológico Vacuna anti COVID-19 (Disentimiento)]],"Moderna",PP9=21),AND(Tabla1[[#This Row],[Tipo Biológico Vacuna anti COVID-19 (Disentimiento)]],"Sinovac",PP9=28)),"Día vacunación1","")))),"Día de Vacunación")</f>
        <v/>
      </c>
    </row>
    <row r="10" spans="1:433" ht="39.950000000000003" customHeight="1" x14ac:dyDescent="0.25">
      <c r="A10" s="145" t="s">
        <v>892</v>
      </c>
      <c r="B10" s="68" t="s">
        <v>854</v>
      </c>
      <c r="C10" s="68" t="s">
        <v>855</v>
      </c>
      <c r="D10" s="187" t="s">
        <v>856</v>
      </c>
      <c r="E10" s="68" t="s">
        <v>893</v>
      </c>
      <c r="F10" s="68" t="s">
        <v>894</v>
      </c>
      <c r="G10" s="68" t="s">
        <v>895</v>
      </c>
      <c r="H10" s="68" t="s">
        <v>896</v>
      </c>
      <c r="I10" s="145" t="s">
        <v>860</v>
      </c>
      <c r="J10" s="146">
        <v>25338632</v>
      </c>
      <c r="K10" s="68" t="s">
        <v>861</v>
      </c>
      <c r="L10" s="68" t="s">
        <v>862</v>
      </c>
      <c r="M10" s="35">
        <v>29338</v>
      </c>
      <c r="N10" s="38">
        <f t="shared" ca="1" si="0"/>
        <v>43.526027397260272</v>
      </c>
      <c r="O10" s="35">
        <v>44973</v>
      </c>
      <c r="P10" s="39" t="str">
        <f t="shared" si="1"/>
        <v>SI</v>
      </c>
      <c r="Q10" s="40" t="s">
        <v>898</v>
      </c>
      <c r="R10" s="35">
        <v>44973</v>
      </c>
      <c r="S10" s="31" t="s">
        <v>899</v>
      </c>
      <c r="T10" s="37" t="s">
        <v>800</v>
      </c>
      <c r="U10" s="31" t="s">
        <v>900</v>
      </c>
      <c r="V10" s="31" t="s">
        <v>901</v>
      </c>
      <c r="W10" s="31" t="s">
        <v>920</v>
      </c>
      <c r="X10" s="31" t="s">
        <v>919</v>
      </c>
      <c r="Y10" s="31" t="s">
        <v>920</v>
      </c>
      <c r="Z10" s="31">
        <v>3108243206</v>
      </c>
      <c r="AA10" s="31" t="s">
        <v>904</v>
      </c>
      <c r="AB10" s="41" t="s">
        <v>905</v>
      </c>
      <c r="AC10" s="40" t="s">
        <v>922</v>
      </c>
      <c r="AD10" s="55" t="s">
        <v>907</v>
      </c>
      <c r="AE10" s="40" t="s">
        <v>897</v>
      </c>
      <c r="AF10" s="40" t="s">
        <v>897</v>
      </c>
      <c r="AG10" s="36" t="s">
        <v>908</v>
      </c>
      <c r="AH10" s="36" t="s">
        <v>908</v>
      </c>
      <c r="AI10" s="37" t="s">
        <v>907</v>
      </c>
      <c r="AJ10" s="36" t="s">
        <v>908</v>
      </c>
      <c r="AK10" s="42" t="str">
        <f>IF(AND(AE10="",AF10="",AG10="",AH10="",AI10="",AJ10=""),"",IF(AND(OR(O10&gt;0,R10&gt;0),NP10&gt;=0,NP10&lt;2),"SIN RIESGO",IF(AND(OR(O10&gt;0,R10&gt;0),NP10&gt;=2),"CON RIESGO",IF(AND(O10="",R10=""),"",IF(OR(Tabla1[[#This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10" s="36" t="s">
        <v>908</v>
      </c>
      <c r="AM10" s="40" t="s">
        <v>908</v>
      </c>
      <c r="AN10" s="40" t="s">
        <v>908</v>
      </c>
      <c r="AO10" s="40" t="s">
        <v>908</v>
      </c>
      <c r="AP10" s="40" t="s">
        <v>908</v>
      </c>
      <c r="AQ10" s="40" t="s">
        <v>908</v>
      </c>
      <c r="AR10" s="31">
        <v>4</v>
      </c>
      <c r="AS10" s="31">
        <v>2</v>
      </c>
      <c r="AT10" s="31">
        <v>1</v>
      </c>
      <c r="AU10" s="40" t="s">
        <v>908</v>
      </c>
      <c r="AV10" s="31">
        <v>0</v>
      </c>
      <c r="AW10" s="40" t="s">
        <v>908</v>
      </c>
      <c r="AX10" s="40" t="s">
        <v>908</v>
      </c>
      <c r="AY10" s="40" t="s">
        <v>908</v>
      </c>
      <c r="AZ10" s="40" t="s">
        <v>908</v>
      </c>
      <c r="BA10" s="40" t="s">
        <v>908</v>
      </c>
      <c r="BB10" s="40" t="s">
        <v>908</v>
      </c>
      <c r="BC10" s="40" t="s">
        <v>908</v>
      </c>
      <c r="BD10" s="40" t="s">
        <v>908</v>
      </c>
      <c r="BE10" s="40" t="s">
        <v>908</v>
      </c>
      <c r="BF10" s="40" t="s">
        <v>908</v>
      </c>
      <c r="BG10" s="40" t="s">
        <v>908</v>
      </c>
      <c r="BH10" s="40" t="s">
        <v>908</v>
      </c>
      <c r="BI10" s="40" t="s">
        <v>908</v>
      </c>
      <c r="BJ10" s="35">
        <v>44881</v>
      </c>
      <c r="BK10" s="35">
        <v>44914</v>
      </c>
      <c r="BL10" s="31" t="s">
        <v>897</v>
      </c>
      <c r="BM10" s="43">
        <f t="shared" si="129"/>
        <v>1.1000000000000001</v>
      </c>
      <c r="BN10" s="57">
        <f t="shared" si="130"/>
        <v>44914</v>
      </c>
      <c r="BO10" s="44">
        <f t="shared" si="131"/>
        <v>8.4285714285714288</v>
      </c>
      <c r="BP10" s="31" t="str">
        <f t="shared" si="132"/>
        <v>I TRIM</v>
      </c>
      <c r="BQ10" s="39" t="str">
        <f t="shared" ca="1" si="133"/>
        <v/>
      </c>
      <c r="BR10" s="35">
        <v>44998</v>
      </c>
      <c r="BS10" s="43">
        <v>12</v>
      </c>
      <c r="BT10" s="35"/>
      <c r="BU10" s="31"/>
      <c r="BV10" s="40" t="s">
        <v>908</v>
      </c>
      <c r="BW10" s="40" t="s">
        <v>908</v>
      </c>
      <c r="BX10" s="40" t="s">
        <v>909</v>
      </c>
      <c r="BY10" s="40" t="s">
        <v>908</v>
      </c>
      <c r="BZ10" s="35">
        <v>44973</v>
      </c>
      <c r="CA10" s="31">
        <v>1.6</v>
      </c>
      <c r="CB10" s="31">
        <v>51.2</v>
      </c>
      <c r="CC10" s="39">
        <f t="shared" si="134"/>
        <v>19.999999999999996</v>
      </c>
      <c r="CD10" s="45" t="str">
        <f t="shared" si="135"/>
        <v>NORMAL</v>
      </c>
      <c r="CE10" s="35"/>
      <c r="CF10" s="31"/>
      <c r="CG10" s="39">
        <f t="shared" si="136"/>
        <v>0</v>
      </c>
      <c r="CH10" s="31" t="str">
        <f t="shared" si="137"/>
        <v>NA</v>
      </c>
      <c r="CI10" s="31" t="str">
        <f>IF(OR(CH10="",CH10="NA"),"",IF(AND(CH10&gt;=29,CH10&lt;=42),"REGISTRAR EN III TRIM",IF(AND(CH10&gt;0,CH10&lt;=13),"REGISTRAR EN I TRIM",IF(CH10="REVISAR FUM O FECHA PESO","REVISAR",IF(CH10&gt;0,HLOOKUP(CH10,$OI$1:PK10,OH10),"")))))</f>
        <v/>
      </c>
      <c r="CJ10" s="35"/>
      <c r="CK10" s="31"/>
      <c r="CL10" s="39">
        <f t="shared" si="138"/>
        <v>0</v>
      </c>
      <c r="CM10" s="31" t="str">
        <f t="shared" si="139"/>
        <v>NA</v>
      </c>
      <c r="CN10" s="31" t="str">
        <f>IF(OR(CM10="",CM10="NA"),"",IF(AND(CM10&gt;0,CM10&lt;=28),"REGISTRAR EN  TRIM RESPECTIVO",IF(CM10&gt;0,HLOOKUP(CM10,$OI$1:PK10,OH10),"")))</f>
        <v/>
      </c>
      <c r="CO10" s="31" t="str">
        <f t="shared" si="140"/>
        <v>NORMAL</v>
      </c>
      <c r="CP10" s="31">
        <v>110</v>
      </c>
      <c r="CQ10" s="31">
        <v>60</v>
      </c>
      <c r="CR10" s="37" t="str">
        <f t="shared" si="14"/>
        <v>APARENTEMENTE NORMAL</v>
      </c>
      <c r="CS10" s="31"/>
      <c r="CT10" s="31"/>
      <c r="CU10" s="37" t="str">
        <f t="shared" si="15"/>
        <v/>
      </c>
      <c r="CV10" s="31"/>
      <c r="CW10" s="31"/>
      <c r="CX10" s="31"/>
      <c r="CY10" s="31"/>
      <c r="CZ10" s="37" t="str">
        <f t="shared" si="16"/>
        <v/>
      </c>
      <c r="DA10" s="35">
        <v>44973</v>
      </c>
      <c r="DB10" s="35">
        <v>44973</v>
      </c>
      <c r="DC10" s="35">
        <v>45003</v>
      </c>
      <c r="DD10" s="35"/>
      <c r="DE10" s="35"/>
      <c r="DF10" s="35"/>
      <c r="DG10" s="35"/>
      <c r="DH10" s="35"/>
      <c r="DI10" s="35"/>
      <c r="DJ10" s="35"/>
      <c r="DK10" s="35"/>
      <c r="DL10" s="35"/>
      <c r="DM10" s="35"/>
      <c r="DN10" s="35"/>
      <c r="DO10" s="43"/>
      <c r="DP10" s="35"/>
      <c r="DQ10" s="31" t="str">
        <f t="shared" ca="1" si="141"/>
        <v>CONCERTAR PLAN DE PARTO INMEDIATO</v>
      </c>
      <c r="DR10" s="46" t="str">
        <f t="shared" si="142"/>
        <v>ACTIVA INGRESO A CPN</v>
      </c>
      <c r="DS10"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#REF!</v>
      </c>
      <c r="DT10" s="31" t="e">
        <f t="shared" ca="1" si="143"/>
        <v>#REF!</v>
      </c>
      <c r="DU10" s="35">
        <f>IF(R10="","",IF(R10&gt;0,MAX(Tabla1[[#This Row],[FECHA C2]:[FECHA C13]],Tabla1[[#This Row],[FECHA CONSULTA PRIMERA VEZ PROGRAMA CPN ]])))</f>
        <v>45003</v>
      </c>
      <c r="DV10" s="31">
        <f t="shared" si="144"/>
        <v>12</v>
      </c>
      <c r="DW10" s="43">
        <f>IF(R10&gt;0,SUM(COUNTA(DC10:DN10)+COUNTA(Tabla1[[#This Row],[FECHA CONSULTA PRIMERA VEZ PROGRAMA CPN ]])),"")</f>
        <v>2</v>
      </c>
      <c r="DX10" s="43" t="str">
        <f t="shared" si="145"/>
        <v>NO</v>
      </c>
      <c r="DY10" s="39">
        <f t="shared" si="146"/>
        <v>9</v>
      </c>
      <c r="DZ10" s="47">
        <f t="shared" si="147"/>
        <v>0.22222222222222221</v>
      </c>
      <c r="EA10" s="35">
        <v>44973</v>
      </c>
      <c r="EB10" s="35">
        <v>44973</v>
      </c>
      <c r="EC10" s="35">
        <v>44973</v>
      </c>
      <c r="ED10" s="35">
        <v>44998</v>
      </c>
      <c r="EE10" s="35">
        <v>44973</v>
      </c>
      <c r="EF10" s="35">
        <v>45001</v>
      </c>
      <c r="EG10" s="35"/>
      <c r="EH10" s="31">
        <v>1</v>
      </c>
      <c r="EI10" s="31">
        <v>14</v>
      </c>
      <c r="EJ10" s="35">
        <v>44973</v>
      </c>
      <c r="EK10" s="43">
        <f t="shared" si="148"/>
        <v>8.4285714285714288</v>
      </c>
      <c r="EL10" s="39" t="str">
        <f t="shared" si="149"/>
        <v>NORMAL- SUMINISTRAR SULFATO FERROSO</v>
      </c>
      <c r="EM10" s="31" t="str">
        <f t="shared" si="150"/>
        <v>I TRIM</v>
      </c>
      <c r="EN10" s="37"/>
      <c r="EO10" s="35"/>
      <c r="EP10" s="44" t="str">
        <f t="shared" si="151"/>
        <v>TOMAR EXAMEN</v>
      </c>
      <c r="EQ10" s="39" t="str">
        <f t="shared" si="152"/>
        <v/>
      </c>
      <c r="ER10" s="37" t="s">
        <v>923</v>
      </c>
      <c r="ES10" s="35">
        <v>44978</v>
      </c>
      <c r="ET10" s="44">
        <f t="shared" si="153"/>
        <v>9.1428571428571423</v>
      </c>
      <c r="EU10" s="39" t="str">
        <f t="shared" si="154"/>
        <v>NO HAY RIESGO POR RH</v>
      </c>
      <c r="EV10" s="31">
        <v>75</v>
      </c>
      <c r="EW10" s="35">
        <v>44978</v>
      </c>
      <c r="EX10" s="44">
        <f t="shared" si="31"/>
        <v>9.1428571428571423</v>
      </c>
      <c r="EY10" s="44"/>
      <c r="EZ10" s="44"/>
      <c r="FA10" s="44"/>
      <c r="FB10" s="31" t="str">
        <f t="shared" ca="1" si="32"/>
        <v/>
      </c>
      <c r="FC10" s="48"/>
      <c r="FD10" s="44" t="str">
        <f t="shared" si="33"/>
        <v>TOMAR EXAMEN</v>
      </c>
      <c r="FE10" s="35" t="s">
        <v>924</v>
      </c>
      <c r="FF10" s="35">
        <v>44978</v>
      </c>
      <c r="FG10" s="44">
        <f t="shared" ca="1" si="34"/>
        <v>9.1428571428571423</v>
      </c>
      <c r="FH10" s="35"/>
      <c r="FI10" s="49"/>
      <c r="FJ10" s="44" t="str">
        <f t="shared" ca="1" si="35"/>
        <v>PIERDE TOMA DE TAMIZAJE</v>
      </c>
      <c r="FK10" s="35"/>
      <c r="FL10" s="49"/>
      <c r="FM10" s="44" t="str">
        <f t="shared" ca="1" si="36"/>
        <v>TOMA INMEDIATA DE TAMIZAJE</v>
      </c>
      <c r="FN10" s="35"/>
      <c r="FO10" s="49"/>
      <c r="FP10" s="44" t="str">
        <f>IF(AND(FE10="",FH10="",FK10="",FN10=""),"",IF(OR(OR(Tabla1[[#This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10" s="31" t="s">
        <v>801</v>
      </c>
      <c r="FR10" s="35">
        <v>44978</v>
      </c>
      <c r="FS10" s="44">
        <f t="shared" si="37"/>
        <v>9.1428571428571423</v>
      </c>
      <c r="FT10" s="43" t="s">
        <v>925</v>
      </c>
      <c r="FU10" s="35">
        <v>44978</v>
      </c>
      <c r="FV10" s="44">
        <f t="shared" si="38"/>
        <v>9.1428571428571423</v>
      </c>
      <c r="FW10" s="35">
        <v>44973</v>
      </c>
      <c r="FX10" s="35">
        <v>44973</v>
      </c>
      <c r="FY10" s="35" t="s">
        <v>926</v>
      </c>
      <c r="FZ10" s="35">
        <v>44978</v>
      </c>
      <c r="GA10" s="44">
        <f t="shared" ca="1" si="39"/>
        <v>9.1428571428571423</v>
      </c>
      <c r="GB10" s="35"/>
      <c r="GC10" s="35"/>
      <c r="GD10" s="44" t="str">
        <f t="shared" ca="1" si="40"/>
        <v>PIERDE TOMA DE TAMIZAJE</v>
      </c>
      <c r="GE10" s="35"/>
      <c r="GF10" s="35"/>
      <c r="GG10" s="44" t="str">
        <f t="shared" ca="1" si="41"/>
        <v>TOMA INMEDIATA DE TAMIZAJE</v>
      </c>
      <c r="GH10" s="35"/>
      <c r="GI10" s="44"/>
      <c r="GJ10" s="35" t="s">
        <v>905</v>
      </c>
      <c r="GK10" s="35"/>
      <c r="GL10" s="35" t="s">
        <v>933</v>
      </c>
      <c r="GM10" s="35"/>
      <c r="GN10" s="43" t="s">
        <v>925</v>
      </c>
      <c r="GO10" s="35">
        <v>44873</v>
      </c>
      <c r="GP10" s="44" t="str">
        <f t="shared" si="42"/>
        <v>CORREGIR FECHA RESULTADO</v>
      </c>
      <c r="GQ10" s="43" t="s">
        <v>925</v>
      </c>
      <c r="GR10" s="43" t="s">
        <v>925</v>
      </c>
      <c r="GS10" s="35" t="str">
        <f t="shared" si="43"/>
        <v>CONTROL Igm</v>
      </c>
      <c r="GT10" s="35">
        <v>44873</v>
      </c>
      <c r="GU10" s="44" t="str">
        <f t="shared" si="155"/>
        <v>CORREGIR FECHA RESULTADO</v>
      </c>
      <c r="GV10" s="31" t="str">
        <f t="shared" si="156"/>
        <v>POR DEFINIR</v>
      </c>
      <c r="GW10" s="43" t="s">
        <v>925</v>
      </c>
      <c r="GX10" s="46">
        <v>1</v>
      </c>
      <c r="GY10" s="31"/>
      <c r="GZ10" s="35"/>
      <c r="HA10" s="43" t="str">
        <f t="shared" si="157"/>
        <v/>
      </c>
      <c r="HB10" s="31" t="str">
        <f t="shared" si="158"/>
        <v/>
      </c>
      <c r="HC10" s="31" t="str">
        <f t="shared" si="159"/>
        <v/>
      </c>
      <c r="HD10" s="31"/>
      <c r="HE10" s="31"/>
      <c r="HF10" s="31"/>
      <c r="HG10" s="31"/>
      <c r="HH10" s="31"/>
      <c r="HI10" s="31"/>
      <c r="HJ10" s="35"/>
      <c r="HK10" s="35" t="str">
        <f>IF(OR(O10&gt;0,R10&gt;0),CONCATENATE(IF(Tabla1[[#This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10" s="35" t="str">
        <f t="shared" si="160"/>
        <v>**PERIODO INTERGENESICO CORTO*******PREVENCIÓN CONTAGIO TOXOPLASMOSIS***</v>
      </c>
      <c r="HM10" s="35" t="str">
        <f t="shared" ca="1" si="161"/>
        <v>CON RIESGO</v>
      </c>
      <c r="HN10" s="31" t="str">
        <f t="shared" ca="1" si="162"/>
        <v>************************RIESGO POR EDAD********</v>
      </c>
      <c r="HO10" s="31" t="str">
        <f t="shared" si="163"/>
        <v>SIN ANTECEDENTES DE RIESGO</v>
      </c>
      <c r="HP10" s="37" t="str">
        <f t="shared" si="164"/>
        <v>APARENTEMENTE NORMAL</v>
      </c>
      <c r="HQ10" s="31" t="e">
        <f t="shared" ca="1" si="165"/>
        <v>#REF!</v>
      </c>
      <c r="HR10" s="46" t="str">
        <f t="shared" si="166"/>
        <v>ACTIVA INGRESO A CPN</v>
      </c>
      <c r="HS10" s="31" t="s">
        <v>897</v>
      </c>
      <c r="HT10" s="31" t="s">
        <v>905</v>
      </c>
      <c r="HU10" s="35"/>
      <c r="HV10" s="35"/>
      <c r="HW10" s="35">
        <v>44973</v>
      </c>
      <c r="HX10" s="35" t="s">
        <v>931</v>
      </c>
      <c r="HY10" s="35">
        <v>44973</v>
      </c>
      <c r="HZ10" s="35" t="s">
        <v>931</v>
      </c>
      <c r="IA10" s="40" t="s">
        <v>909</v>
      </c>
      <c r="IB10" s="35"/>
      <c r="IC10" s="43" t="str">
        <f t="shared" si="56"/>
        <v>PENDIENTE CONSULTA</v>
      </c>
      <c r="ID10" s="40" t="s">
        <v>897</v>
      </c>
      <c r="IE10" s="40"/>
      <c r="IF10" s="222"/>
      <c r="IG10" s="40"/>
      <c r="IH10" s="222"/>
      <c r="II10" s="40"/>
      <c r="IJ10" s="40"/>
      <c r="IK10" s="37" t="str">
        <f ca="1">IF(AND(BK10="",PM10="SD"),"SIN DATO EDAD GESTACIONAL",IF(AND(BK10="",PN10=""),"",IF(AND(AND(BQ10&gt;0,BQ10&lt;12),PN10=""),"MENOR 12 SEMANAS",IF(AND(BQ10&gt;11.6,PN10="",HJ10="BAJO RIESGO O SE DESCARTA INFECCIÓN POR SARS-CoV2"),"PROGRAMAR APLICACION DE VACUNA",IF(OR(AND(BQ10&gt;11.6,PN10=""),HJ10="FACTOR DE RIESGO PARA COVID19",HJ10="COVID19 PRIMER TRIMESTRE",HJ10="COVID19 SEGUNDO TRIMESTRE",HJ10="COVID19 TERCER TRIMESTRE",HJ10="COVID19 PUERPERIO"),"DIFERIR FECHA DE VACUNACION SEGÚN LINEAMIENTOS",IF(AND(BQ10&gt;11.6,PN10="Error Jansen X Fecha Segunda Dosis"),"Error Jansen X Fecha Segunda Dosis",IF(AND(BQ10&gt;11.6,PN10="Firma"),"FIRMA DISENTIMIENTO",IF(AND(BQ10&gt;11.6,PN10="Firma3"),"NO ACEPTA VACUNA Y NO FIRMA DISCENTIMIENTO",IF(AND(BQ10&gt;11.6,PN10="Firma2"),"Error en Fecha x Firma Disentimiento",IF(AND(BQ10&gt;11.6,PN10="Firma4"),"Error en Fecha x No Acepta no Firma",IF(AND(BQ10&gt;11.6,PN10="Completo",Tabla1[[#This Row],[Fecha Refuerzo Anti COVID-20]]=""),"PENDIENTE REFUERZO",IF(AND(BQ10&gt;11.6,PN10="Completo",Tabla1[[#This Row],[Fecha Refuerzo Anti COVID-20]]&lt;&gt;""),"CON REFUERZO",IF(AND(BQ10&gt;11.6,PN10="Falta Dosis"),PQ10,IF(OR(AND(BQ10&gt;11.6,PN10=""),HJ10="",HJ10="NO SE EVALUA RIESGO INFECCIÓN COVID19"),"DEFINIR RIESGO CONTAGIO SARS-CoV2, columna GZ",""))))))))))))))</f>
        <v>DIFERIR FECHA DE VACUNACION SEGÚN LINEAMIENTOS</v>
      </c>
      <c r="IL10" s="171"/>
      <c r="IM10" s="35"/>
      <c r="IN10" s="35" t="str">
        <f t="shared" ca="1" si="57"/>
        <v/>
      </c>
      <c r="IO10" s="35"/>
      <c r="IP10" s="35">
        <f t="shared" si="167"/>
        <v>45194</v>
      </c>
      <c r="IQ10" s="44">
        <f t="shared" ca="1" si="168"/>
        <v>-31</v>
      </c>
      <c r="IR10" s="35" t="str">
        <f t="shared" ca="1" si="169"/>
        <v>POSIBLEMENTE NACIO</v>
      </c>
      <c r="IS10" s="35"/>
      <c r="IT10" s="31"/>
      <c r="IU10" s="31"/>
      <c r="IV10" s="51"/>
      <c r="IW10" s="35"/>
      <c r="IX10" s="31"/>
      <c r="IY10" s="44" t="str">
        <f t="shared" si="61"/>
        <v/>
      </c>
      <c r="IZ10" s="52"/>
      <c r="JA10" s="31"/>
      <c r="JB10" s="31"/>
      <c r="JC10" s="31"/>
      <c r="JD10" s="31"/>
      <c r="JE10" s="31"/>
      <c r="JF10" s="31"/>
      <c r="JG10" s="31"/>
      <c r="JH10" s="31"/>
      <c r="JI10" s="31"/>
      <c r="JJ10" s="31"/>
      <c r="JK10" s="46"/>
      <c r="JL10" s="31"/>
      <c r="JM10" s="53"/>
      <c r="JN10" s="31" t="str">
        <f t="shared" si="62"/>
        <v/>
      </c>
      <c r="JO10" s="46"/>
      <c r="JP10" s="31"/>
      <c r="JQ10" s="31"/>
      <c r="JR10" s="31"/>
      <c r="JS10" s="46"/>
      <c r="JT10" s="35"/>
      <c r="JU10" s="35"/>
      <c r="JV10" s="31"/>
      <c r="JW10" s="53"/>
      <c r="JX10" s="31" t="str">
        <f t="shared" si="63"/>
        <v/>
      </c>
      <c r="JY10" s="35"/>
      <c r="JZ10" s="31"/>
      <c r="KA10" s="31"/>
      <c r="KB10" s="31"/>
      <c r="KC10" s="46"/>
      <c r="KD10" s="35"/>
      <c r="KE10" s="35"/>
      <c r="KF10" s="50"/>
      <c r="KG10" s="43" t="str">
        <f t="shared" si="64"/>
        <v/>
      </c>
      <c r="KH10" s="50"/>
      <c r="KI10" s="43" t="str">
        <f t="shared" si="65"/>
        <v/>
      </c>
      <c r="KJ10" s="31"/>
      <c r="KK10" s="31"/>
      <c r="KL10" s="31"/>
      <c r="KM10" s="54"/>
      <c r="KN10" s="43"/>
      <c r="KO10" s="43"/>
      <c r="KP10" s="43"/>
      <c r="KQ10" s="56"/>
      <c r="KR10" s="56"/>
      <c r="KS10" s="99"/>
      <c r="KT10" s="56"/>
      <c r="KU10" s="56"/>
      <c r="KV10" s="99"/>
      <c r="KW10" s="56"/>
      <c r="KX10" s="56"/>
      <c r="KY10" s="56"/>
      <c r="KZ10" s="56"/>
      <c r="LA10" s="56"/>
      <c r="LB10" s="56"/>
      <c r="LC10" s="56"/>
      <c r="LD10" s="55"/>
      <c r="LE10" s="55"/>
      <c r="LF10" s="55"/>
      <c r="LG10" s="55"/>
      <c r="LH10" s="55"/>
      <c r="LI10" s="55"/>
      <c r="LJ10" s="55"/>
      <c r="LK10" s="55"/>
      <c r="LL10" s="55"/>
      <c r="LM10" s="55"/>
      <c r="LN10" s="55"/>
      <c r="LO10" s="55"/>
      <c r="LP10" s="55"/>
      <c r="LQ10" s="55"/>
      <c r="LR10" s="55"/>
      <c r="LS10" s="55"/>
      <c r="LT10" s="55"/>
      <c r="LU10" s="55"/>
      <c r="LV10" s="55"/>
      <c r="LW10" s="55"/>
      <c r="LX10" s="55"/>
      <c r="LY10" s="55"/>
      <c r="LZ10" s="55"/>
      <c r="MA10" s="55"/>
      <c r="MB10" s="55"/>
      <c r="MC10" s="55"/>
      <c r="MD10" s="55"/>
      <c r="ME10" s="55"/>
      <c r="MF10" s="55"/>
      <c r="MG10" s="55"/>
      <c r="MH10" s="55"/>
      <c r="MI10" s="55"/>
      <c r="MJ10" s="55"/>
      <c r="MK10" s="55"/>
      <c r="ML10" s="55"/>
      <c r="MM10" s="55"/>
      <c r="MN10" s="55"/>
      <c r="MO10" s="55"/>
      <c r="MP10" s="153"/>
      <c r="MQ10" s="148">
        <f t="shared" si="170"/>
        <v>0</v>
      </c>
      <c r="MR10" t="str">
        <f t="shared" si="67"/>
        <v/>
      </c>
      <c r="MS10" t="str">
        <f t="shared" si="68"/>
        <v/>
      </c>
      <c r="MT10">
        <f t="shared" si="171"/>
        <v>0</v>
      </c>
      <c r="MU10">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10">
        <f t="shared" si="70"/>
        <v>8.4285714285714288</v>
      </c>
      <c r="MW10">
        <f t="shared" si="71"/>
        <v>2</v>
      </c>
      <c r="MX10">
        <f t="shared" si="72"/>
        <v>2023</v>
      </c>
      <c r="MY10" t="str">
        <f t="shared" si="172"/>
        <v>I TRIMESTRE AÑO</v>
      </c>
      <c r="MZ10">
        <f t="shared" si="74"/>
        <v>42.184077967586511</v>
      </c>
      <c r="NA10">
        <f t="shared" si="173"/>
        <v>2</v>
      </c>
      <c r="NB10" t="str">
        <f t="shared" si="174"/>
        <v xml:space="preserve"> DE 40 Y MAS</v>
      </c>
      <c r="NC10">
        <f t="shared" si="77"/>
        <v>0</v>
      </c>
      <c r="ND10">
        <f t="shared" si="78"/>
        <v>0</v>
      </c>
      <c r="NE10">
        <f t="shared" si="79"/>
        <v>0</v>
      </c>
      <c r="NF10">
        <f t="shared" si="80"/>
        <v>0</v>
      </c>
      <c r="NG10" t="str">
        <f t="shared" si="81"/>
        <v/>
      </c>
      <c r="NH10" t="str">
        <f t="shared" ca="1" si="82"/>
        <v/>
      </c>
      <c r="NI10" t="str">
        <f t="shared" si="83"/>
        <v/>
      </c>
      <c r="NJ10">
        <f t="shared" si="84"/>
        <v>0</v>
      </c>
      <c r="NK10" t="str">
        <f t="shared" si="85"/>
        <v/>
      </c>
      <c r="NL10" t="str">
        <f t="shared" si="86"/>
        <v/>
      </c>
      <c r="NM10">
        <f t="shared" ca="1" si="87"/>
        <v>2</v>
      </c>
      <c r="NN10">
        <f>IF(OR(O10&gt;0,R10&gt;0),SUM(COUNTIF(Tabla1[[#This Row],[AÑOS AL INICIO5 CPN]],"&gt;=40"),COUNTIF(AR10,"0"),COUNTIF(AQ10,"SI"),COUNTIF(BW10,"SI"),COUNTIF(BM10,"&gt;119"),COUNTIF(CC10,"&gt;=35")),"")</f>
        <v>1</v>
      </c>
      <c r="NO10" t="str">
        <f t="shared" si="88"/>
        <v/>
      </c>
      <c r="NP10">
        <f t="shared" si="89"/>
        <v>0</v>
      </c>
      <c r="NQ10">
        <f t="shared" si="90"/>
        <v>84</v>
      </c>
      <c r="NR10" t="e">
        <f ca="1">IF(Tabla1[[#This Row],[GESTANTES ACTUALES]]="","SD",IF(Tabla1[[#This Row],[GESTANTES ACTUALES]]="SEGUIMIENTO REPORTE EPS","Y",IF(Tabla1[[#This Row],[GESTANTES ACTUALES]]="SALE SIN INGRESO CPN","X",IF(AND(Tabla1[[#This Row],[CITA PROXIMO CONTROL]]="",Tabla1[[#This Row],[GESTANTES ACTUALES]]="ACTIVA SIN INGRESO CPN",P10="NO"),"Z",IF(AND(Tabla1[[#This Row],[CITA PROXIMO CONTROL]]="CITA MANUAL",Tabla1[[#This Row],[GESTANTES ACTUALES]]="ACTIVA INGRESO A CPN"),"W",IF(AND(Tabla1[[#This Row],[GESTANTES ACTUALES]]="SALIO PROGRAMA",IW10=""),"S",IF(AND(Tabla1[[#This Row],[CITA PROXIMO CONTROL]]&gt;0,IW10=""),(Tabla1[[#This Row],[CITA PROXIMO CONTROL]]-TODAY()),"SD")))))))</f>
        <v>#REF!</v>
      </c>
      <c r="NS10">
        <f>MONTH(Tabla1[[#This Row],[FECHA DE SALIDA  DEL PROGRAMA]])</f>
        <v>1</v>
      </c>
      <c r="NT10">
        <f>YEAR(Tabla1[[#This Row],[FECHA DE SALIDA  DEL PROGRAMA]])</f>
        <v>1900</v>
      </c>
      <c r="NU10">
        <f t="shared" si="91"/>
        <v>28</v>
      </c>
      <c r="NV10" t="str">
        <f t="shared" si="92"/>
        <v>SI</v>
      </c>
      <c r="NW10" t="str">
        <f ca="1">IF(AND(O10&gt;0,R10=""),"NO CPN",IF(AND(O10="",R10=""),"",IF(AND(R10&gt;0,Tabla1[[#This Row],[SEMANAS DE GESTACION ACTUALIZADAS]]&lt;=12),"NO APLICA",IF(AND(FC10&lt;&gt;"",FI10&lt;&gt;""),"SI","NO"))))</f>
        <v>NO</v>
      </c>
      <c r="NX10" s="149" t="str">
        <f ca="1">IF(AND(O10&gt;0,R10=""),"NO CPN",IF(AND(O10="",R10=""),"",IF(AND(R10&gt;0,Tabla1[[#This Row],[SEMANAS DE GESTACION ACTUALIZADAS]]&lt;=27),"NO APLICA",IF(AND(EO10&lt;&gt;"",FL10&lt;&gt;"",GF10&lt;&gt;""),"SI","NO"))))</f>
        <v>NO</v>
      </c>
      <c r="NY10" s="147" t="str">
        <f t="shared" si="93"/>
        <v>I TRIM</v>
      </c>
      <c r="NZ10"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10" s="1" t="str">
        <f t="shared" ca="1" si="175"/>
        <v>REVISAR FUM O FECHA SALIDA PROGRAMA</v>
      </c>
      <c r="OB10" s="213">
        <f t="shared" ca="1" si="95"/>
        <v>1</v>
      </c>
      <c r="OC10" s="1">
        <f t="shared" ca="1" si="96"/>
        <v>1</v>
      </c>
      <c r="OD10" s="1" t="str">
        <f t="shared" ca="1" si="176"/>
        <v>POR DEFINIR</v>
      </c>
      <c r="OE10" s="1" t="str">
        <f t="shared" ca="1" si="97"/>
        <v>POR DEFINIR</v>
      </c>
      <c r="OF10" s="221" t="str">
        <f>IF(AND(O10="",R10=""),"",IF(OR(AND(Tabla1[[#This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10" s="231" t="str">
        <f t="shared" ca="1" si="98"/>
        <v>SIN VACUNAR</v>
      </c>
      <c r="OH10" s="148">
        <f>ROW(Tabla1[[#This Row],[SEMANAS DE GESTACION II TRIM]])</f>
        <v>10</v>
      </c>
      <c r="OI10" t="str">
        <f t="shared" si="99"/>
        <v/>
      </c>
      <c r="OJ10" t="str">
        <f t="shared" si="100"/>
        <v/>
      </c>
      <c r="OK10" t="str">
        <f t="shared" si="101"/>
        <v/>
      </c>
      <c r="OL10" t="str">
        <f t="shared" si="102"/>
        <v/>
      </c>
      <c r="OM10" t="str">
        <f t="shared" si="103"/>
        <v/>
      </c>
      <c r="ON10" t="str">
        <f t="shared" si="104"/>
        <v/>
      </c>
      <c r="OO10" t="str">
        <f t="shared" si="105"/>
        <v/>
      </c>
      <c r="OP10" t="str">
        <f t="shared" si="106"/>
        <v/>
      </c>
      <c r="OQ10" t="str">
        <f t="shared" si="107"/>
        <v/>
      </c>
      <c r="OR10" t="str">
        <f t="shared" si="108"/>
        <v/>
      </c>
      <c r="OS10" t="str">
        <f t="shared" si="109"/>
        <v/>
      </c>
      <c r="OT10" t="str">
        <f t="shared" si="110"/>
        <v/>
      </c>
      <c r="OU10" t="str">
        <f t="shared" si="111"/>
        <v/>
      </c>
      <c r="OV10" t="str">
        <f t="shared" si="112"/>
        <v/>
      </c>
      <c r="OW10" t="str">
        <f t="shared" si="113"/>
        <v/>
      </c>
      <c r="OX10" t="str">
        <f t="shared" si="114"/>
        <v/>
      </c>
      <c r="OY10" t="str">
        <f t="shared" si="115"/>
        <v/>
      </c>
      <c r="OZ10" t="str">
        <f t="shared" si="116"/>
        <v/>
      </c>
      <c r="PA10" t="str">
        <f t="shared" si="117"/>
        <v/>
      </c>
      <c r="PB10" t="str">
        <f t="shared" si="118"/>
        <v/>
      </c>
      <c r="PC10" t="str">
        <f t="shared" si="119"/>
        <v/>
      </c>
      <c r="PD10" t="str">
        <f t="shared" si="120"/>
        <v/>
      </c>
      <c r="PE10" t="str">
        <f t="shared" si="121"/>
        <v/>
      </c>
      <c r="PF10" t="str">
        <f t="shared" si="122"/>
        <v/>
      </c>
      <c r="PG10" t="str">
        <f t="shared" si="123"/>
        <v/>
      </c>
      <c r="PH10" t="str">
        <f t="shared" si="124"/>
        <v/>
      </c>
      <c r="PI10" t="str">
        <f t="shared" si="125"/>
        <v/>
      </c>
      <c r="PJ10" t="str">
        <f t="shared" si="126"/>
        <v/>
      </c>
      <c r="PK10" t="str">
        <f t="shared" si="127"/>
        <v/>
      </c>
      <c r="PL10"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10" s="162" t="str">
        <f t="shared" si="128"/>
        <v/>
      </c>
      <c r="PN10" s="161" t="str">
        <f t="shared" si="177"/>
        <v/>
      </c>
      <c r="PO10"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10" s="161" t="str">
        <f ca="1">IF(PO10="","",SUM(TODAY()-Tabla1[[#This Row],[Fecha 1ra Dosis Anti COVID-19]]))</f>
        <v/>
      </c>
      <c r="PQ10" s="168" t="str">
        <f>IFERROR(IF(Tabla1[[#This Row],[Fecha 1ra Dosis Anti COVID-19]]="","",IF(OR(AND(Tabla1[[#This Row],[Tipo Biológico Vacuna anti COVID-19 (Disentimiento)]]="Astrazeneca",PP10&lt;84),AND(Tabla1[[#This Row],[Tipo Biológico Vacuna anti COVID-19 (Disentimiento)]]="Pfizer",PP10&lt;21),AND(Tabla1[[#This Row],[Tipo Biológico Vacuna anti COVID-19 (Disentimiento)]]="Moderna",PP10&lt;21),AND(Tabla1[[#This Row],[Tipo Biológico Vacuna anti COVID-19 (Disentimiento)]]="Sinovac",PP10&lt;28)),"Pendiente Segunda Dosis",IF(OR(AND(Tabla1[[#This Row],[Tipo Biológico Vacuna anti COVID-19 (Disentimiento)]]="Astrazeneca",PP10&gt;=85),AND(Tabla1[[#This Row],[Tipo Biológico Vacuna anti COVID-19 (Disentimiento)]]="Pfizer",PP10&gt;=22),AND(Tabla1[[#This Row],[Tipo Biológico Vacuna anti COVID-19 (Disentimiento)]]="Moderna",PP10&gt;=22),AND(Tabla1[[#This Row],[Tipo Biológico Vacuna anti COVID-19 (Disentimiento)]]="Sinovac",PP10&gt;=29)),"inasistente",IF(OR(AND(Tabla1[[#This Row],[Tipo Biológico Vacuna anti COVID-19 (Disentimiento)]],"Astrazeneca",PP10=84),AND(Tabla1[[#This Row],[Tipo Biológico Vacuna anti COVID-19 (Disentimiento)]],"Pfizer",PP10=21),AND(Tabla1[[#This Row],[Tipo Biológico Vacuna anti COVID-19 (Disentimiento)]],"Moderna",PP10=21),AND(Tabla1[[#This Row],[Tipo Biológico Vacuna anti COVID-19 (Disentimiento)]],"Sinovac",PP10=28)),"Día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5 I126:I142 I235:I318 I513:I552 I563:I670 I684:I707 I724:I738 I741:I742 I795:I968 I1824:I1831 I1833:I1996 I2108:I2151 I2183:I2305 I2320:I2379 I2381:I2384 M3143 I2386:I2752 I970:I1810 I2755:I3450"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IS29 IS207:IS318 IS513:IS552 IS563:IS738 IS741:IS742 IS762:IS767 IS769 IS782:IS787 IS795:IS811 IS813:IS821 IS823:IS826 IS828:IS851 IS853:IS968 IS1886:IS1996 IS2108:IS2151 IW2234 IS2183:IS2305 IS2320:IS2379 IS2381:IS2384 IS2386:IS2752 IS970:IS1880 IS2755:IS3450" name="Rango2_40_2"/>
    <protectedRange algorithmName="SHA-512" hashValue="EEHzbvEYwO1eufllBljOz0uf9BJ2ENtvOScQ7IsS321QhYbwKn7qhHKKP8cKj02rTDvVRMWvwQ1ZP0mZWsBprQ==" saltValue="CjXqBRFbKezlWOFV37MnDQ==" spinCount="100000" sqref="GQ2:GR29 GW2:GW29 GN2:GN29 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name="Rango2_30_2"/>
    <protectedRange algorithmName="SHA-512" hashValue="Rgskw+AQdeJ5qbJdarzTa3SCkJfDGziy0Uan5N0F3IWn/H3Z/e+VcB56R7Nes7MPxNHewNP1sSSucVjz3iTLeA==" saltValue="qKZH3DnwaZHBzy3cBZo1qQ==" spinCount="100000" sqref="GF2:GF29 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name="Rango2_31_28"/>
    <protectedRange algorithmName="SHA-512" hashValue="Umj9+5Ys20VQPxBFtc6qE5LtKKSgPKwit+B8dd4XnEUaLfBM2ozpkEC4YxwK0SbBiAHDDex+pY+LomQ0lyuamQ==" saltValue="N2/MCRws+mmA+NXw0axolg==" spinCount="100000" sqref="GJ2:GJ29 GH2:GH29 GE2:GE29 GL2:GL29 FY2:FY29 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2:GB34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BI29 BV2:BY29 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name="Rango2_88_99"/>
    <protectedRange algorithmName="SHA-512" hashValue="fMbmUM1DQ7FuAPRNvFL5mPdHUYjQnlLFhkuaxvHguaqR7aWyDxcmJs0jLYQfQKY+oyhsMb4Lew4VL6i7um3/ew==" saltValue="ydaTm0CeH8+/cYqoL/AMaQ==" spinCount="100000" sqref="AU2:AU29 AW2:AZ29 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name="Rango2_88_91"/>
    <protectedRange algorithmName="SHA-512" hashValue="CHipOQaT63FWw628cQcXXJRZlrbNZ7OgmnEbDx38UmmH7z19GRYEzXFiVOzHAy1OAaAbST7g2bHZHDKQp2qm3w==" saltValue="iRVuL+373yLHv0ZHzS9qog==" spinCount="100000" sqref="AG2:AH29 AJ2:AJ29 AL2:AL29 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name="Rango2_88_7_5"/>
    <protectedRange algorithmName="SHA-512" hashValue="NkG6oHuDGvGBEiLAAq8MEJHEfLQUMyjihfH+DBXhT+eQW0r1yri7tOJEFRM9nbOejjjXiviq9RFo7KB7wF+xJA==" saltValue="bpjB0AAANu2X/PeR3eiFkA==" spinCount="100000" sqref="AM2:AS29 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name="Rango2_88_65"/>
    <protectedRange algorithmName="SHA-512" hashValue="fPHvtIAf3pQeZUoAI9C2/vdXMHBpqqEq+67P5Ypyu4+9IWqs3yc9TZcMWQ0THLxUwqseQPyVvakuYFtCwJHsxA==" saltValue="QHIogSs2PrwAfdqa9PAOFQ==" spinCount="100000" sqref="AC2:AC29 AC207:AC318 AC513:AC552 AC563:AC670 AC684:AC707 AC724:AC738 AC741:AC742 AC795:AC968 AD1847:AD1854 AD1856:AD1859 AC1815:AC1996 AC2108:AC2155 AC2183:AC2305 AC2320:AC2379 AC2381:AC2384 AC2386:AC2753 AC970:AC1810 AC2755:AC3450" name="Rango2_88_5_5"/>
    <protectedRange algorithmName="SHA-512" hashValue="LEEeiU6pKqm7TAP46VGlz0q+evvFwpT/0iLpRuWuQ7MacbP0OGL1/FSmrIEOg2rb6M+Jla2bPbVWiGag27j87w==" saltValue="HEVt+pS5OloNDlqSnzGLLw==" spinCount="100000" sqref="AI2:AI29 AI207:AI318 AI513:AI552 AI563:AI670 AI684:AI707 AI724:AI738 AI741:AI742 AI795:AI968 AI1823:AI1865 AI1873:AI1996 AI2108:AI2155 AI2183:AI2305 AI2320:AI2379 AI2381:AI2384 AI970:AI1810 AI2386:AI3450" name="Rango2_8_7"/>
    <protectedRange algorithmName="SHA-512" hashValue="q2z5hEFmXS0v2chiPTC/VCoDWNlnhp+Xe6Ybfxe48vIsnB/KTJQxJv+pFUnCXfZ9T6vyJopuqFFNROfQTW/JUw==" saltValue="IctfdGJb5tOTpq+KPi9vww==" spinCount="100000" sqref="IA2:IA29 AE2:AF29 ID2:IE5 IH2:IK2 ID6:IJ29 IH3:IJ5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K3:IK3450" name="Rango2_88_39"/>
    <protectedRange algorithmName="SHA-512" hashValue="AYYX88LSDB6RDNMvSqt0KPGWPjBqTk56tMxTOlv5QD61MGTKAAQnSnudvNDWPN0Bbllh2qRQC+P5uq7goxjdrw==" saltValue="i/iPMewnks1FoXYOjKMEVg==" spinCount="100000" sqref="AB2:AB29 AB207:AB318 AB513:AB552 AB563:AB670 AB684:AB707 AB724:AB738 AB741:AB742 AB795:AB968 AB2108 AB2110:AB2113 AB2116 AB2119:AB2120 AB2122:AB2155 AB2183:AB2305 AB2320:AB2324 AB2326:AB2379 AB2381:AB2384 AB2386:AB2752 AB970:AB1996 AB2755:AB3450" name="Rango2_87_6"/>
    <protectedRange algorithmName="SHA-512" hashValue="NUll9P9xh7KbSfMYpMxsRZLfDw/y/AzW2LSWlpXVscBDqiAxmzo71xjs+a2lh+jRa7pceOC849slke4+ZKx8LA==" saltValue="8qbkKpQ+CiQuLnqgShNvXA==" spinCount="100000" sqref="T2:T29 T207:T318 T513:T552 T563:T670 T684:T707 T724:T738 T741:T742 T795:T968 T1824:T1996 T2108:T2155 T2183:T2305 T2320:T2379 T2381:T2384 T2386:T2752 T970:T1810 T2755:T3450" name="Rango2_88_6"/>
    <protectedRange algorithmName="SHA-512" hashValue="KHhv3JU/LRdRrRTxxkgFceEHPZ5UzadmpZRZR3zmQRnPvkUJZuanRafIJ+qde0IWwLZSvFIQDyUAHq6v6k7XIg==" saltValue="2GKG1kCzVNNcn+vbOPuhJA==" spinCount="100000" sqref="Q2:Q29 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name="Rango2_2_5"/>
    <protectedRange algorithmName="SHA-512" hashValue="XZw03RosI/l0z9FxmTtF29EdZ7P+4+ybhqoaAAUmURojSR5XbGfjC4f2i8gMqfY+RI9JvfdCA6PSh9TduXfUxA==" saltValue="5TPtLq2WoiRSae/yaDPnTw==" spinCount="100000" sqref="AT2:AT29 AV2:AV29 FQ2:FR29 ER2:ES29 EV2:EW29 FF2:FF29 GO2:GO29 GT2:GT29 FZ2:FZ29 EA2:EJ29 U2:AA29 FW2:FX29 CJ2:CK29 IB2:IB29 FU2:FU29 EO2:EO29 GM2:GM29 GK2:GK29 CS2:CT29 CP2:CQ29 GY2:GZ29 CV2:CY29 BR2:BU29 BZ2:CB29 CE2:CF29 O2:O29 R2:S29 HU2:HZ29 FI2:FI29 DA2:DV2 HJ2:HL2 IL2:IR2 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2:BN2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BM3:BN3450 CH2:CH3450 DA3:DP29 DS3:DS1499 DQ3:DR3450 DT3:DV3450 EO2331:EO2337 EV2755:EW3418 HJ3:HJ29 HK3:HL3450 IL3:IM29 IO3:IO29 IO89:IO318 IO513:IO552 IO563:IO670 IO684:IO707 IO724:IO738 IO741:IO742 IO761:IO762 IO795:IO968 IO2123:IO2151 IO2230:IO2305 IO2320:IO2379 IO2381:IO2384 IO2386:IO2752 IO2755:IO3418 IO970:IO1996 IN3:IN3450 IP3:IR3450 BJ3:BL29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name="Rango2_99"/>
    <protectedRange algorithmName="SHA-512" hashValue="XM8+0Jh5zLWw02PI0Lt8dLqjTcW5ulySion19FAnruDN6QRp4UwcVqdfQxnOQAItgpWG7rNsELzjwy0iXOonxw==" saltValue="Sd4WFUedDfLKoMQTDrxJuQ==" spinCount="100000" sqref="K2:K55 K126:K142 K235:K318 K513:K552 K563:K670 K684:K707 K724:K738 K741:K742 K795:K968 K1873:K1996 K2108:K2155 K2183:K2305 K2320:K2379 K2381:K2384 K2386:K2752 K970:K1737 K2755:K3450" name="Rango2_88_4_4"/>
    <protectedRange algorithmName="SHA-512" hashValue="EMMPgE8t/az1rHHzaZAQIhz+GQV0k2O/tQGA96sJqEEMzz1efIRa4CcLzC7iY9CCscto3g7dwz41haOE28iXYg==" saltValue="CVzFsG4X4LXUMo7796PiDQ==" spinCount="100000" sqref="L2:M55 J2:J55 B2:H55 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2:GI29 GC2:GD2 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EK2:EK3450 ET2:ET3450 EX2:EX3450 FD2:FD3450 FG2:FG3450 FJ2:FJ3450 FM2:FM3450 FS2:FS3450 FV2:FV3450 GA2:GA3450 GC3:GC29 GD3:GD3450 GG2:GG3450 GP2:GP3450 GU2:GU3450" name="Rango2_33"/>
    <protectedRange algorithmName="SHA-512" hashValue="D8TacORwT7iz0mF9GEucchnMHfB5er2FFjQsxyeWWyeJkM6Bt3gYQ3LbcHPxZXFpVAYtFOuTrzYOCJrlZDx16g==" saltValue="QtCzIBktdS4NZkOEGcLTRQ==" spinCount="100000" sqref="IW2:IW29 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name="Rango2_41"/>
    <protectedRange algorithmName="SHA-512" hashValue="pL4tgTKqwEsWSIEGFTBd+4pvEhE7d5Q99Eijs+L/Y1rhA0saQGGRJw5Pv2HLOP0quglztFwB6WVnQ1YGxd4AiQ==" saltValue="IF5mhk2RcoEjrcYppes1VA==" spinCount="100000" sqref="FT2:FT29 FT205:FT318 FT513:FT552 FT563:FT670 FT684:FT707 FT723:FT738 FT741:FT742 FT762 FT757:FT759 FT766:FT769 FT795:FT968 FU1800 FT2108:FT2155 FT2183:FT2305 FT2320:FT2379 FT2381:FT2384 FT2386:FT2753 FT2755:FT3418 FT970:FT1996"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AD1:AD29 FE3:FE29 GX2:GX29 EY2:FA29 FC2:FC29 FH1:FI1 FK1:FL1 FN1:FO1 FQ1:FZ1 GB1:GC1 GE1:GF1 GH1:HC1 HJ1:HN1 FL2 FO2:FP2 JD1:KW1 IX2:JB2 JD2:MT2 NM1 IT2:IV29 OD1:OE1 HZ1:JB1 FH3:FH29 FK3:FL29 OH1:XFC1 EL2:EN2 FN3:FO29 HD3:HI29 IX3:IX29 HM2:HT2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OH2:PK1499 AD2755:AD3450 IT2755:IV3450 N2:N3450 P2:P3450 BO1:BQ3450 CC1:CD3450 CG1:CG3450 CL1:CL3450 CN1:CO3450 CR1:CR3450 CU1:CU3450 CZ1:CZ3450 DW1:DZ3450 EN3:EN29 EL3:EM3450 EO2330 EP1:EQ3450 EU2:EU3450 FP3:FP3450 GS2:GS3450 GV2:GV3450 HA2:HC3450 HS3:HT29 HM3:HR3450 IC2:IC3450 IZ3:JM29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IY3:IY3450 JO1924:JS1924 JO3:JW29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N3:JN3450 JY3:KF29 JY56:KF62 JY83:KF318 JY513:KF552 JY558:KF670 JY684:KF730 JY757:KF769 JY782:KF787 JY795:KF968 JY2108:KF2151 JY2230:KF2305 JY2320:KF2379 JY2381:KF2384 JY2386:KF2752 JY2755:KF3450 JY970:KF1996 JX3:JX3450 KH3:KH29 KH56:KH62 KH83:KH318 KH513:KH552 KH558:KH670 KH684:KH730 KH760:KH769 KH782:KH787 KH795:KH968 KH2108:KH2151 KH2230:KH2305 KH2320:KH2379 KH2381:KH2384 KH2386:KH2752 KH2755:KH3450 KH970:KH1996 KG3:KG3450 KJ864:LL864 KJ1884:KK1884 KJ1881:KV1881 KJ1882:KJ1883 KJ1885:KS1885 KJ684:MP685 KJ1886:MP1953 KJ3419:KS3420 KJ3421:MP3450 KJ3:MT29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KI3:KI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8E961E82-77BB-4F81-9F5A-D7DF6B6F132A}"/>
    </customSheetView>
  </customSheetViews>
  <phoneticPr fontId="33" type="noConversion"/>
  <conditionalFormatting sqref="D2:D10">
    <cfRule type="cellIs" dxfId="320" priority="26724" operator="equal">
      <formula>"PROCESO PARCIAL DE ATENCIÓN"</formula>
    </cfRule>
    <cfRule type="cellIs" dxfId="319" priority="26725" operator="equal">
      <formula>"PROCESO COMPLETO DE ATENCIÓN"</formula>
    </cfRule>
    <cfRule type="cellIs" dxfId="318" priority="26723" operator="equal">
      <formula>"SIN ATENCIÓN"</formula>
    </cfRule>
    <cfRule type="cellIs" dxfId="317" priority="26722" operator="equal">
      <formula>"SIN DATO"</formula>
    </cfRule>
  </conditionalFormatting>
  <conditionalFormatting sqref="P2:P10">
    <cfRule type="containsText" dxfId="316" priority="27200" operator="containsText" text="SI">
      <formula>NOT(ISERROR(SEARCH("SI",P2)))</formula>
    </cfRule>
    <cfRule type="containsText" dxfId="315" priority="27201" operator="containsText" text="NO">
      <formula>NOT(ISERROR(SEARCH("NO",P2)))</formula>
    </cfRule>
    <cfRule type="containsText" dxfId="314" priority="27202" operator="containsText" text="NA">
      <formula>NOT(ISERROR(SEARCH("NA",P2)))</formula>
    </cfRule>
  </conditionalFormatting>
  <conditionalFormatting sqref="Q2:Q10">
    <cfRule type="containsText" dxfId="312" priority="26906" operator="containsText" text="SE TRASLADO DE EPS">
      <formula>NOT(ISERROR(SEARCH("SE TRASLADO DE EPS",Q2)))</formula>
    </cfRule>
    <cfRule type="containsText" dxfId="311" priority="26911" operator="containsText" text="INMIGRANTE VENEZOLANA">
      <formula>NOT(ISERROR(SEARCH("INMIGRANTE VENEZOLANA",Q2)))</formula>
    </cfRule>
    <cfRule type="containsText" dxfId="310" priority="26912" operator="containsText" text="SIN AFILIACIÓN A EPS">
      <formula>NOT(ISERROR(SEARCH("SIN AFILIACIÓN A EPS",Q2)))</formula>
    </cfRule>
    <cfRule type="containsText" dxfId="309" priority="27195" operator="containsText" text="NOVEDAD">
      <formula>NOT(ISERROR(SEARCH("NOVEDAD",Q2)))</formula>
    </cfRule>
    <cfRule type="containsText" dxfId="308" priority="27196" operator="containsText" text="IDENTIDAD">
      <formula>NOT(ISERROR(SEARCH("IDENTIDAD",Q2)))</formula>
    </cfRule>
    <cfRule type="containsText" dxfId="307" priority="27198" operator="containsText" text="VIENE">
      <formula>NOT(ISERROR(SEARCH("VIENE",Q2)))</formula>
    </cfRule>
    <cfRule type="containsText" dxfId="306" priority="27197" operator="containsText" text="CPN">
      <formula>NOT(ISERROR(SEARCH("CPN",Q2)))</formula>
    </cfRule>
    <cfRule type="cellIs" dxfId="305" priority="27199" operator="equal">
      <formula>"TRAMITE DE PORTABILIDAD"</formula>
    </cfRule>
  </conditionalFormatting>
  <conditionalFormatting sqref="AC2:AC10">
    <cfRule type="containsText" dxfId="304" priority="27193" operator="containsText" text="PRIMARIA INCOMPLETA">
      <formula>NOT(ISERROR(SEARCH("PRIMARIA INCOMPLETA",AC2)))</formula>
    </cfRule>
    <cfRule type="cellIs" dxfId="303" priority="27194" operator="equal">
      <formula>"ANALFABETA"</formula>
    </cfRule>
    <cfRule type="containsText" dxfId="302" priority="27191" operator="containsText" text="SABE">
      <formula>NOT(ISERROR(SEARCH("SABE",AC2)))</formula>
    </cfRule>
    <cfRule type="containsText" dxfId="301" priority="27192" operator="containsText" text="SECUNDARIA">
      <formula>NOT(ISERROR(SEARCH("SECUNDARIA",AC2)))</formula>
    </cfRule>
  </conditionalFormatting>
  <conditionalFormatting sqref="AE2:AF10">
    <cfRule type="containsText" dxfId="300" priority="26527" operator="containsText" text="SI">
      <formula>NOT(ISERROR(SEARCH("SI",AE2)))</formula>
    </cfRule>
    <cfRule type="containsText" dxfId="299" priority="26526" operator="containsText" text="NO">
      <formula>NOT(ISERROR(SEARCH("NO",AE2)))</formula>
    </cfRule>
  </conditionalFormatting>
  <conditionalFormatting sqref="AG2:AH10 AJ2:AJ10 AL2:BI10 BV2:BW10 BY2:BY10">
    <cfRule type="cellIs" dxfId="298" priority="27266" operator="equal">
      <formula>"NO"</formula>
    </cfRule>
    <cfRule type="cellIs" dxfId="297" priority="27256" operator="equal">
      <formula>"SD"</formula>
    </cfRule>
    <cfRule type="cellIs" dxfId="296" priority="27267" operator="equal">
      <formula>"SI"</formula>
    </cfRule>
  </conditionalFormatting>
  <conditionalFormatting sqref="AI2:AI10">
    <cfRule type="containsText" dxfId="295" priority="26968" operator="containsText" text="DISCAPACIDAD">
      <formula>NOT(ISERROR(SEARCH("DISCAPACIDAD",AI2)))</formula>
    </cfRule>
    <cfRule type="containsText" dxfId="294" priority="26966" operator="containsText" text="NINGUNO">
      <formula>NOT(ISERROR(SEARCH("NINGUNO",AI2)))</formula>
    </cfRule>
    <cfRule type="containsText" dxfId="293" priority="26967" operator="containsText" text="MIGRATORIA">
      <formula>NOT(ISERROR(SEARCH("MIGRATORIA",AI2)))</formula>
    </cfRule>
    <cfRule type="containsText" dxfId="292" priority="26969" operator="containsText" text="DESPLAZADA">
      <formula>NOT(ISERROR(SEARCH("DESPLAZADA",AI2)))</formula>
    </cfRule>
  </conditionalFormatting>
  <conditionalFormatting sqref="AK2:AK10">
    <cfRule type="containsText" dxfId="291" priority="26970" operator="containsText" text="CON RIESGO">
      <formula>NOT(ISERROR(SEARCH("CON RIESGO",AK2)))</formula>
    </cfRule>
    <cfRule type="containsText" dxfId="290" priority="26971" operator="containsText" text="SIN RIESGO">
      <formula>NOT(ISERROR(SEARCH("SIN RIESGO",AK2)))</formula>
    </cfRule>
  </conditionalFormatting>
  <conditionalFormatting sqref="AV2:AV10">
    <cfRule type="cellIs" dxfId="289" priority="27187" operator="equal">
      <formula>"3 O MAS"</formula>
    </cfRule>
    <cfRule type="cellIs" dxfId="288" priority="27188" operator="equal">
      <formula>2</formula>
    </cfRule>
    <cfRule type="cellIs" dxfId="287" priority="27186" operator="equal">
      <formula>1</formula>
    </cfRule>
  </conditionalFormatting>
  <conditionalFormatting sqref="BL2:BL10">
    <cfRule type="cellIs" dxfId="286" priority="27185" operator="equal">
      <formula>"CORREGIDA"</formula>
    </cfRule>
    <cfRule type="cellIs" dxfId="285" priority="27184" operator="equal">
      <formula>"SI"</formula>
    </cfRule>
    <cfRule type="cellIs" dxfId="284" priority="27183" operator="equal">
      <formula>"NO"</formula>
    </cfRule>
  </conditionalFormatting>
  <conditionalFormatting sqref="BO1:BO1048576">
    <cfRule type="cellIs" dxfId="283" priority="26730" operator="equal">
      <formula>"SIN SEMANAS X ECO"</formula>
    </cfRule>
  </conditionalFormatting>
  <conditionalFormatting sqref="BP2:BP10">
    <cfRule type="cellIs" dxfId="282" priority="27178" operator="equal">
      <formula>"DEFINIR CON ECO"</formula>
    </cfRule>
    <cfRule type="cellIs" dxfId="281" priority="27182" operator="equal">
      <formula>"I TRIM"</formula>
    </cfRule>
    <cfRule type="cellIs" dxfId="280" priority="27181" operator="equal">
      <formula>"II TRIM"</formula>
    </cfRule>
    <cfRule type="cellIs" dxfId="279" priority="27180" operator="equal">
      <formula>"III TRIM"</formula>
    </cfRule>
    <cfRule type="cellIs" dxfId="278" priority="27179" operator="equal">
      <formula>"ERROR FUM O INGRESO O ECO"</formula>
    </cfRule>
  </conditionalFormatting>
  <conditionalFormatting sqref="BX2:BX10">
    <cfRule type="cellIs" dxfId="277" priority="26721" operator="equal">
      <formula>"CEFÁLICA"</formula>
    </cfRule>
    <cfRule type="cellIs" dxfId="276" priority="26720" operator="equal">
      <formula>"PODÁLICA"</formula>
    </cfRule>
    <cfRule type="cellIs" dxfId="274" priority="26718" operator="equal">
      <formula>"OBLICUA"</formula>
    </cfRule>
    <cfRule type="cellIs" dxfId="273" priority="26717" operator="equal">
      <formula>"SD"</formula>
    </cfRule>
  </conditionalFormatting>
  <conditionalFormatting sqref="CD2:CD10">
    <cfRule type="containsText" dxfId="272" priority="27173" operator="containsText" text="NORMAL">
      <formula>NOT(ISERROR(SEARCH("NORMAL",CD2)))</formula>
    </cfRule>
    <cfRule type="containsText" dxfId="271" priority="27172" operator="containsText" text="SOBREPESO">
      <formula>NOT(ISERROR(SEARCH("SOBREPESO",CD2)))</formula>
    </cfRule>
    <cfRule type="containsText" dxfId="270" priority="27177" operator="containsText" text="INGRESAR">
      <formula>NOT(ISERROR(SEARCH("INGRESAR",CD2)))</formula>
    </cfRule>
    <cfRule type="containsText" dxfId="269" priority="27176" operator="containsText" text="PREGESTACION">
      <formula>NOT(ISERROR(SEARCH("PREGESTACION",CD2)))</formula>
    </cfRule>
    <cfRule type="containsText" dxfId="268" priority="27175" operator="containsText" text="BAJO PESO">
      <formula>NOT(ISERROR(SEARCH("BAJO PESO",CD2)))</formula>
    </cfRule>
    <cfRule type="containsText" dxfId="267" priority="27174" operator="containsText" text="OBESIDAD">
      <formula>NOT(ISERROR(SEARCH("OBESIDAD",CD2)))</formula>
    </cfRule>
  </conditionalFormatting>
  <conditionalFormatting sqref="CI2:CI10">
    <cfRule type="containsText" dxfId="266" priority="27171" operator="containsText" text="REGISTRAR">
      <formula>NOT(ISERROR(SEARCH("REGISTRAR",CI2)))</formula>
    </cfRule>
    <cfRule type="containsText" dxfId="265" priority="27170" operator="containsText" text="NORMAL">
      <formula>NOT(ISERROR(SEARCH("NORMAL",CI2)))</formula>
    </cfRule>
    <cfRule type="containsText" dxfId="264" priority="27169" operator="containsText" text="BAJO PESO">
      <formula>NOT(ISERROR(SEARCH("BAJO PESO",CI2)))</formula>
    </cfRule>
    <cfRule type="containsText" dxfId="263" priority="27167" operator="containsText" text="SOBREPESO">
      <formula>NOT(ISERROR(SEARCH("SOBREPESO",CI2)))</formula>
    </cfRule>
    <cfRule type="containsText" dxfId="262" priority="27166" operator="containsText" text="REVISAR">
      <formula>NOT(ISERROR(SEARCH("REVISAR",CI2)))</formula>
    </cfRule>
    <cfRule type="containsText" dxfId="261" priority="27168" operator="containsText" text="OBESIDAD">
      <formula>NOT(ISERROR(SEARCH("OBESIDAD",CI2)))</formula>
    </cfRule>
  </conditionalFormatting>
  <conditionalFormatting sqref="CN2:CO10">
    <cfRule type="containsText" dxfId="260" priority="27162" operator="containsText" text="OBESIDAD">
      <formula>NOT(ISERROR(SEARCH("OBESIDAD",CN2)))</formula>
    </cfRule>
    <cfRule type="containsText" dxfId="259" priority="27163" operator="containsText" text="SOBREPESO">
      <formula>NOT(ISERROR(SEARCH("SOBREPESO",CN2)))</formula>
    </cfRule>
    <cfRule type="containsText" dxfId="258" priority="27164" operator="containsText" text="REVISAR">
      <formula>NOT(ISERROR(SEARCH("REVISAR",CN2)))</formula>
    </cfRule>
    <cfRule type="containsText" dxfId="257" priority="27165" operator="containsText" text="REGISTRAR">
      <formula>NOT(ISERROR(SEARCH("REGISTRAR",CN2)))</formula>
    </cfRule>
    <cfRule type="containsText" dxfId="256" priority="27161" operator="containsText" text="NORMAL">
      <formula>NOT(ISERROR(SEARCH("NORMAL",CN2)))</formula>
    </cfRule>
    <cfRule type="containsText" dxfId="255" priority="27160" operator="containsText" text="BAJO PESO">
      <formula>NOT(ISERROR(SEARCH("BAJO PESO",CN2)))</formula>
    </cfRule>
  </conditionalFormatting>
  <conditionalFormatting sqref="CO2:CO10">
    <cfRule type="containsText" dxfId="254" priority="26975" operator="containsText" text="INGRESAR">
      <formula>NOT(ISERROR(SEARCH("INGRESAR",CO2)))</formula>
    </cfRule>
  </conditionalFormatting>
  <conditionalFormatting sqref="CR2:CR10">
    <cfRule type="containsText" dxfId="253" priority="27159" operator="containsText" text="HTA">
      <formula>NOT(ISERROR(SEARCH("HTA",CR2)))</formula>
    </cfRule>
    <cfRule type="containsText" dxfId="252" priority="27158" operator="containsText" text="NORMAL">
      <formula>NOT(ISERROR(SEARCH("NORMAL",CR2)))</formula>
    </cfRule>
    <cfRule type="containsText" dxfId="251" priority="27157" operator="containsText" text="HIPOTENSION">
      <formula>NOT(ISERROR(SEARCH("HIPOTENSION",CR2)))</formula>
    </cfRule>
  </conditionalFormatting>
  <conditionalFormatting sqref="CU2:CU10">
    <cfRule type="containsText" dxfId="250" priority="27156" operator="containsText" text="HTA">
      <formula>NOT(ISERROR(SEARCH("HTA",CU2)))</formula>
    </cfRule>
    <cfRule type="containsText" dxfId="249" priority="27155" operator="containsText" text="NORMAL">
      <formula>NOT(ISERROR(SEARCH("NORMAL",CU2)))</formula>
    </cfRule>
    <cfRule type="containsText" dxfId="248" priority="27154" operator="containsText" text="VIGILAR">
      <formula>NOT(ISERROR(SEARCH("VIGILAR",CU2)))</formula>
    </cfRule>
    <cfRule type="containsText" dxfId="247" priority="27153" operator="containsText" text="HIPOTENSION">
      <formula>NOT(ISERROR(SEARCH("HIPOTENSION",CU2)))</formula>
    </cfRule>
  </conditionalFormatting>
  <conditionalFormatting sqref="CZ2:CZ10 HP2:HP10">
    <cfRule type="containsText" dxfId="246" priority="27150" operator="containsText" text="NORMAL">
      <formula>NOT(ISERROR(SEARCH("NORMAL",CZ2)))</formula>
    </cfRule>
    <cfRule type="containsText" dxfId="245" priority="27152" operator="containsText" text="HTA">
      <formula>NOT(ISERROR(SEARCH("HTA",CZ2)))</formula>
    </cfRule>
    <cfRule type="containsText" dxfId="244" priority="27151" operator="containsText" text="VIGILAR">
      <formula>NOT(ISERROR(SEARCH("VIGILAR",CZ2)))</formula>
    </cfRule>
  </conditionalFormatting>
  <conditionalFormatting sqref="DO2:DO10">
    <cfRule type="cellIs" dxfId="243" priority="26568" operator="between">
      <formula>0</formula>
      <formula>3</formula>
    </cfRule>
    <cfRule type="containsBlanks" priority="26565" stopIfTrue="1">
      <formula>LEN(TRIM(DO2))=0</formula>
    </cfRule>
    <cfRule type="cellIs" dxfId="242" priority="26566" operator="greaterThanOrEqual">
      <formula>6</formula>
    </cfRule>
    <cfRule type="cellIs" dxfId="241" priority="26567" operator="between">
      <formula>4</formula>
      <formula>5</formula>
    </cfRule>
  </conditionalFormatting>
  <conditionalFormatting sqref="DQ2:DQ10">
    <cfRule type="cellIs" dxfId="240" priority="26560" operator="equal">
      <formula>"SALE PROGRAMA ANTES SEMANA 35"</formula>
    </cfRule>
    <cfRule type="cellIs" dxfId="239" priority="26561" operator="equal">
      <formula>"EN ESPERA"</formula>
    </cfRule>
    <cfRule type="cellIs" dxfId="238" priority="26562" operator="equal">
      <formula>"CONCERTAR PLAN DE PARTO INMEDIATO"</formula>
    </cfRule>
    <cfRule type="cellIs" dxfId="237" priority="26563" operator="equal">
      <formula>"PLANEAR PLAN DE PARTO"</formula>
    </cfRule>
    <cfRule type="cellIs" dxfId="236" priority="26564" operator="equal">
      <formula>"PLAN REALIZADO ANTES III TRIM"</formula>
    </cfRule>
    <cfRule type="cellIs" dxfId="235" priority="26559" operator="equal">
      <formula>"SALE SIN PLAN DE PARTO"</formula>
    </cfRule>
    <cfRule type="cellIs" dxfId="234" priority="26557" operator="between">
      <formula>28</formula>
      <formula>44</formula>
    </cfRule>
  </conditionalFormatting>
  <conditionalFormatting sqref="DR2:DR10 HR2:HR10">
    <cfRule type="containsText" dxfId="233" priority="27139" operator="containsText" text="seguimiento">
      <formula>NOT(ISERROR(SEARCH("seguimiento",DR2)))</formula>
    </cfRule>
    <cfRule type="containsText" dxfId="232" priority="27138" operator="containsText" text="Activa ingreso">
      <formula>NOT(ISERROR(SEARCH("Activa ingreso",DR2)))</formula>
    </cfRule>
    <cfRule type="containsText" dxfId="231" priority="27141" operator="containsText" text="sale">
      <formula>NOT(ISERROR(SEARCH("sale",DR2)))</formula>
    </cfRule>
    <cfRule type="containsText" dxfId="230" priority="27140" operator="containsText" text="salio">
      <formula>NOT(ISERROR(SEARCH("salio",DR2)))</formula>
    </cfRule>
    <cfRule type="containsText" dxfId="229" priority="27137" operator="containsText" text="activa sin">
      <formula>NOT(ISERROR(SEARCH("activa sin",DR2)))</formula>
    </cfRule>
  </conditionalFormatting>
  <conditionalFormatting sqref="DT2:DT10 HQ2:HQ10">
    <cfRule type="containsText" dxfId="228" priority="27131" operator="containsText" text="MES">
      <formula>NOT(ISERROR(SEARCH("MES",DT2)))</formula>
    </cfRule>
    <cfRule type="containsText" dxfId="227" priority="26934" operator="containsText" text="DEFINIR">
      <formula>NOT(ISERROR(SEARCH("DEFINIR",DT2)))</formula>
    </cfRule>
    <cfRule type="containsText" dxfId="226" priority="27132" operator="containsText" text="SEMANA">
      <formula>NOT(ISERROR(SEARCH("SEMANA",DT2)))</formula>
    </cfRule>
    <cfRule type="containsText" dxfId="225" priority="27133" operator="containsText" text="DIA">
      <formula>NOT(ISERROR(SEARCH("DIA",DT2)))</formula>
    </cfRule>
    <cfRule type="containsText" dxfId="224" priority="27134" operator="containsText" text="FUERA">
      <formula>NOT(ISERROR(SEARCH("FUERA",DT2)))</formula>
    </cfRule>
    <cfRule type="containsText" dxfId="223" priority="27135" operator="containsText" text="BUSCAR">
      <formula>NOT(ISERROR(SEARCH("BUSCAR",DT2)))</formula>
    </cfRule>
    <cfRule type="containsText" dxfId="222" priority="27136" operator="containsText" text="INASISTENTE">
      <formula>NOT(ISERROR(SEARCH("INASISTENTE",DT2)))</formula>
    </cfRule>
  </conditionalFormatting>
  <conditionalFormatting sqref="DT2:DT10">
    <cfRule type="containsText" dxfId="221" priority="26556" operator="containsText" text="DILIGENCIAR">
      <formula>NOT(ISERROR(SEARCH("DILIGENCIAR",DT2)))</formula>
    </cfRule>
  </conditionalFormatting>
  <conditionalFormatting sqref="EL2:EL10 EQ2:EQ10">
    <cfRule type="containsText" dxfId="220" priority="27149" operator="containsText" text="ANEMIA">
      <formula>NOT(ISERROR(SEARCH("ANEMIA",EL2)))</formula>
    </cfRule>
    <cfRule type="containsText" dxfId="219" priority="27148" operator="containsText" text="NORMAL">
      <formula>NOT(ISERROR(SEARCH("NORMAL",EL2)))</formula>
    </cfRule>
    <cfRule type="containsText" dxfId="218" priority="27147" operator="containsText" text="DAR">
      <formula>NOT(ISERROR(SEARCH("DAR",EL2)))</formula>
    </cfRule>
  </conditionalFormatting>
  <conditionalFormatting sqref="EU2:EU10">
    <cfRule type="containsText" dxfId="217" priority="27142" operator="containsText" text="NO">
      <formula>NOT(ISERROR(SEARCH("NO",EU2)))</formula>
    </cfRule>
    <cfRule type="containsText" dxfId="216" priority="27143" operator="containsText" text="RIESGO">
      <formula>NOT(ISERROR(SEARCH("RIESGO",EU2)))</formula>
    </cfRule>
  </conditionalFormatting>
  <conditionalFormatting sqref="FB2:FB10">
    <cfRule type="containsText" dxfId="215" priority="26842" operator="containsText" text="PROGRAMAR">
      <formula>NOT(ISERROR(SEARCH("PROGRAMAR",FB2)))</formula>
    </cfRule>
    <cfRule type="containsText" dxfId="214" priority="26843" operator="containsText" text="NORMAL">
      <formula>NOT(ISERROR(SEARCH("NORMAL",FB2)))</formula>
    </cfRule>
    <cfRule type="containsText" dxfId="213" priority="26844" operator="containsText" text="DIABETES">
      <formula>NOT(ISERROR(SEARCH("DIABETES",FB2)))</formula>
    </cfRule>
    <cfRule type="containsText" dxfId="212" priority="26845" operator="containsText" text="TOMAR">
      <formula>NOT(ISERROR(SEARCH("TOMAR",FB2)))</formula>
    </cfRule>
    <cfRule type="containsText" dxfId="211" priority="26884" operator="containsText" text="COMPLETA">
      <formula>NOT(ISERROR(SEARCH("COMPLETA",FB2)))</formula>
    </cfRule>
    <cfRule type="containsText" dxfId="210" priority="26841" operator="containsText" text="NORMAL,">
      <formula>NOT(ISERROR(SEARCH("NORMAL,",FB2)))</formula>
    </cfRule>
  </conditionalFormatting>
  <conditionalFormatting sqref="FE2:FE10">
    <cfRule type="containsText" dxfId="209" priority="26670" operator="containsText" text="NEGATIVA">
      <formula>NOT(ISERROR(SEARCH("NEGATIVA",FE2)))</formula>
    </cfRule>
    <cfRule type="containsText" dxfId="208" priority="26669" operator="containsText" text="POSITIVA CASO SIFILIS">
      <formula>NOT(ISERROR(SEARCH("POSITIVA CASO SIFILIS",FE2)))</formula>
    </cfRule>
    <cfRule type="containsText" dxfId="207" priority="26668" operator="containsText" text="POSITIVA CICATRIZ">
      <formula>NOT(ISERROR(SEARCH("POSITIVA CICATRIZ",FE2)))</formula>
    </cfRule>
  </conditionalFormatting>
  <conditionalFormatting sqref="FG2:FG10">
    <cfRule type="containsText" dxfId="206" priority="26639" operator="containsText" text="INMEDIATA">
      <formula>NOT(ISERROR(SEARCH("INMEDIATA",FG2)))</formula>
    </cfRule>
    <cfRule type="containsText" dxfId="205" priority="26638" operator="containsText" text="RANGO">
      <formula>NOT(ISERROR(SEARCH("RANGO",FG2)))</formula>
    </cfRule>
    <cfRule type="cellIs" dxfId="204" priority="26636" operator="between">
      <formula>0</formula>
      <formula>13</formula>
    </cfRule>
    <cfRule type="containsText" dxfId="203" priority="26635" operator="containsText" text="REGISTRAR">
      <formula>NOT(ISERROR(SEARCH("REGISTRAR",FG2)))</formula>
    </cfRule>
    <cfRule type="containsText" dxfId="202" priority="26634" operator="containsText" text="PIERDE">
      <formula>NOT(ISERROR(SEARCH("PIERDE",FG2)))</formula>
    </cfRule>
    <cfRule type="containsText" dxfId="201" priority="26633" operator="containsText" text="NO APLICA">
      <formula>NOT(ISERROR(SEARCH("NO APLICA",FG2)))</formula>
    </cfRule>
    <cfRule type="containsText" dxfId="200" priority="26637" operator="containsText" text="EN ESPERA">
      <formula>NOT(ISERROR(SEARCH("EN ESPERA",FG2)))</formula>
    </cfRule>
  </conditionalFormatting>
  <conditionalFormatting sqref="FH2:FH10 FK2:FK10 FN2:FN10">
    <cfRule type="containsText" dxfId="199" priority="26631" operator="containsText" text="POSITIVA CASO SIFILIS">
      <formula>NOT(ISERROR(SEARCH("POSITIVA CASO SIFILIS",FH2)))</formula>
    </cfRule>
    <cfRule type="containsText" dxfId="198" priority="26632" operator="containsText" text="NEGATIVA">
      <formula>NOT(ISERROR(SEARCH("NEGATIVA",FH2)))</formula>
    </cfRule>
    <cfRule type="containsText" dxfId="197" priority="26630" operator="containsText" text="POSITIVA CICATRIZ">
      <formula>NOT(ISERROR(SEARCH("POSITIVA CICATRIZ",FH2)))</formula>
    </cfRule>
    <cfRule type="containsText" dxfId="196" priority="26629" operator="containsText" text="DILUCIONES ESTABLES">
      <formula>NOT(ISERROR(SEARCH("DILUCIONES ESTABLES",FH2)))</formula>
    </cfRule>
    <cfRule type="containsText" dxfId="195" priority="26628" operator="containsText" text="DILUCIONES DISMINUYEN">
      <formula>NOT(ISERROR(SEARCH("DILUCIONES DISMINUYEN",FH2)))</formula>
    </cfRule>
    <cfRule type="containsText" dxfId="194" priority="26627" operator="containsText" text="REINFECCIÓN">
      <formula>NOT(ISERROR(SEARCH("REINFECCIÓN",FH2)))</formula>
    </cfRule>
  </conditionalFormatting>
  <conditionalFormatting sqref="FJ2:FJ10 FM2:FM10">
    <cfRule type="containsText" dxfId="193" priority="26621" operator="containsText" text="PIERDE">
      <formula>NOT(ISERROR(SEARCH("PIERDE",FJ2)))</formula>
    </cfRule>
    <cfRule type="containsText" dxfId="192" priority="26622" operator="containsText" text="REGISTRAR">
      <formula>NOT(ISERROR(SEARCH("REGISTRAR",FJ2)))</formula>
    </cfRule>
    <cfRule type="containsText" dxfId="191" priority="26626" operator="containsText" text="INMEDIATA">
      <formula>NOT(ISERROR(SEARCH("INMEDIATA",FJ2)))</formula>
    </cfRule>
    <cfRule type="containsText" dxfId="190" priority="26625" operator="containsText" text="RANGO">
      <formula>NOT(ISERROR(SEARCH("RANGO",FJ2)))</formula>
    </cfRule>
    <cfRule type="containsText" dxfId="189" priority="26620" operator="containsText" text="NO APLICA">
      <formula>NOT(ISERROR(SEARCH("NO APLICA",FJ2)))</formula>
    </cfRule>
  </conditionalFormatting>
  <conditionalFormatting sqref="FJ2:FJ10">
    <cfRule type="cellIs" dxfId="188" priority="26554" operator="between">
      <formula>12</formula>
      <formula>28</formula>
    </cfRule>
  </conditionalFormatting>
  <conditionalFormatting sqref="FM2:FM10 FJ2:FJ10">
    <cfRule type="containsText" dxfId="187" priority="26624" operator="containsText" text="EN ESPERA">
      <formula>NOT(ISERROR(SEARCH("EN ESPERA",FJ2)))</formula>
    </cfRule>
  </conditionalFormatting>
  <conditionalFormatting sqref="FM2:FM10">
    <cfRule type="cellIs" dxfId="186" priority="26623" operator="between">
      <formula>28</formula>
      <formula>44</formula>
    </cfRule>
  </conditionalFormatting>
  <conditionalFormatting sqref="FP2:FP10">
    <cfRule type="containsText" dxfId="185" priority="27102" operator="containsText" text="GESTACIONAL">
      <formula>NOT(ISERROR(SEARCH("GESTACIONAL",FP2)))</formula>
    </cfRule>
  </conditionalFormatting>
  <conditionalFormatting sqref="FT2:FT10 GN2:GN10 GQ2:GR10 GW2:GW10">
    <cfRule type="containsText" dxfId="184" priority="27101" operator="containsText" text="NEGATIVO">
      <formula>NOT(ISERROR(SEARCH("NEGATIVO",FT2)))</formula>
    </cfRule>
    <cfRule type="containsText" dxfId="183" priority="27100" operator="containsText" text="POSITIVO">
      <formula>NOT(ISERROR(SEARCH("POSITIVO",FT2)))</formula>
    </cfRule>
  </conditionalFormatting>
  <conditionalFormatting sqref="FY2:FY10 GB2:GB10 GE2:GE10 GH2:GH10 GJ2:GJ10">
    <cfRule type="containsText" dxfId="182" priority="27099" operator="containsText" text="ELISA REACTIVA">
      <formula>NOT(ISERROR(SEARCH("ELISA REACTIVA",FY2)))</formula>
    </cfRule>
    <cfRule type="containsText" dxfId="181" priority="27098" operator="containsText" text="NO REACTIVA">
      <formula>NOT(ISERROR(SEARCH("NO REACTIVA",FY2)))</formula>
    </cfRule>
    <cfRule type="containsText" dxfId="180" priority="27097" operator="containsText" text="P.R REACTIVA">
      <formula>NOT(ISERROR(SEARCH("P.R REACTIVA",FY2)))</formula>
    </cfRule>
  </conditionalFormatting>
  <conditionalFormatting sqref="GA2:GA10">
    <cfRule type="containsText" dxfId="179" priority="26613" operator="containsText" text="NO APLICA">
      <formula>NOT(ISERROR(SEARCH("NO APLICA",GA2)))</formula>
    </cfRule>
    <cfRule type="containsText" dxfId="178" priority="26614" operator="containsText" text="PIERDE">
      <formula>NOT(ISERROR(SEARCH("PIERDE",GA2)))</formula>
    </cfRule>
    <cfRule type="containsText" dxfId="177" priority="26615" operator="containsText" text="REGISTRAR">
      <formula>NOT(ISERROR(SEARCH("REGISTRAR",GA2)))</formula>
    </cfRule>
    <cfRule type="cellIs" dxfId="176" priority="26616" operator="between">
      <formula>0</formula>
      <formula>13</formula>
    </cfRule>
    <cfRule type="containsText" dxfId="175" priority="26617" operator="containsText" text="EN ESPERA">
      <formula>NOT(ISERROR(SEARCH("EN ESPERA",GA2)))</formula>
    </cfRule>
    <cfRule type="containsText" dxfId="174" priority="26618" operator="containsText" text="RANGO">
      <formula>NOT(ISERROR(SEARCH("RANGO",GA2)))</formula>
    </cfRule>
    <cfRule type="containsText" dxfId="173" priority="26619" operator="containsText" text="INMEDIATA">
      <formula>NOT(ISERROR(SEARCH("INMEDIATA",GA2)))</formula>
    </cfRule>
  </conditionalFormatting>
  <conditionalFormatting sqref="GD2:GD10">
    <cfRule type="containsText" dxfId="172" priority="26606" operator="containsText" text="NO APLICA">
      <formula>NOT(ISERROR(SEARCH("NO APLICA",GD2)))</formula>
    </cfRule>
    <cfRule type="containsText" dxfId="171" priority="26612" operator="containsText" text="INMEDIATA">
      <formula>NOT(ISERROR(SEARCH("INMEDIATA",GD2)))</formula>
    </cfRule>
    <cfRule type="containsText" dxfId="170" priority="26611" operator="containsText" text="RANGO">
      <formula>NOT(ISERROR(SEARCH("RANGO",GD2)))</formula>
    </cfRule>
    <cfRule type="containsText" dxfId="169" priority="26610" operator="containsText" text="EN ESPERA">
      <formula>NOT(ISERROR(SEARCH("EN ESPERA",GD2)))</formula>
    </cfRule>
    <cfRule type="cellIs" dxfId="168" priority="26609" operator="between">
      <formula>12</formula>
      <formula>28</formula>
    </cfRule>
    <cfRule type="containsText" dxfId="167" priority="26608" operator="containsText" text="REGISTRAR">
      <formula>NOT(ISERROR(SEARCH("REGISTRAR",GD2)))</formula>
    </cfRule>
    <cfRule type="containsText" dxfId="166" priority="26607" operator="containsText" text="PIERDE">
      <formula>NOT(ISERROR(SEARCH("PIERDE",GD2)))</formula>
    </cfRule>
  </conditionalFormatting>
  <conditionalFormatting sqref="GG2:GG10">
    <cfRule type="containsText" dxfId="165" priority="26600" operator="containsText" text="PIERDE">
      <formula>NOT(ISERROR(SEARCH("PIERDE",GG2)))</formula>
    </cfRule>
    <cfRule type="containsText" dxfId="164" priority="26601" operator="containsText" text="REGISTRAR">
      <formula>NOT(ISERROR(SEARCH("REGISTRAR",GG2)))</formula>
    </cfRule>
    <cfRule type="cellIs" dxfId="163" priority="26602" operator="between">
      <formula>28</formula>
      <formula>44</formula>
    </cfRule>
    <cfRule type="containsText" dxfId="162" priority="26603" operator="containsText" text="EN ESPERA">
      <formula>NOT(ISERROR(SEARCH("EN ESPERA",GG2)))</formula>
    </cfRule>
    <cfRule type="containsText" dxfId="161" priority="26604" operator="containsText" text="RANGO">
      <formula>NOT(ISERROR(SEARCH("RANGO",GG2)))</formula>
    </cfRule>
    <cfRule type="containsText" dxfId="160" priority="26599" operator="containsText" text="NO APLICA">
      <formula>NOT(ISERROR(SEARCH("NO APLICA",GG2)))</formula>
    </cfRule>
    <cfRule type="containsText" dxfId="159" priority="26605" operator="containsText" text="INMEDIATA">
      <formula>NOT(ISERROR(SEARCH("INMEDIATA",GG2)))</formula>
    </cfRule>
  </conditionalFormatting>
  <conditionalFormatting sqref="GL2:GL10">
    <cfRule type="containsText" dxfId="158" priority="27081" operator="containsText" text="NO APLICA">
      <formula>NOT(ISERROR(SEARCH("NO APLICA",GL2)))</formula>
    </cfRule>
    <cfRule type="containsText" dxfId="157" priority="27082" operator="containsText" text="NO CONLUYENTE">
      <formula>NOT(ISERROR(SEARCH("NO CONLUYENTE",GL2)))</formula>
    </cfRule>
    <cfRule type="containsText" dxfId="156" priority="27083" operator="containsText" text="NEGATIVA">
      <formula>NOT(ISERROR(SEARCH("NEGATIVA",GL2)))</formula>
    </cfRule>
    <cfRule type="containsText" dxfId="155" priority="27084" operator="containsText" text="POSITIVA">
      <formula>NOT(ISERROR(SEARCH("POSITIVA",GL2)))</formula>
    </cfRule>
  </conditionalFormatting>
  <conditionalFormatting sqref="GS2:GS10">
    <cfRule type="containsText" dxfId="154" priority="27072" operator="containsText" text="Igm">
      <formula>NOT(ISERROR(SEARCH("Igm",GS2)))</formula>
    </cfRule>
    <cfRule type="containsText" dxfId="153" priority="27073" operator="containsText" text="REMITIR">
      <formula>NOT(ISERROR(SEARCH("REMITIR",GS2)))</formula>
    </cfRule>
    <cfRule type="containsText" dxfId="152" priority="27074" operator="containsText" text="EXCLUYE">
      <formula>NOT(ISERROR(SEARCH("EXCLUYE",GS2)))</formula>
    </cfRule>
  </conditionalFormatting>
  <conditionalFormatting sqref="GY2:GY10">
    <cfRule type="containsText" dxfId="151" priority="27069" operator="containsText" text="NEGATIVA">
      <formula>NOT(ISERROR(SEARCH("NEGATIVA",GY2)))</formula>
    </cfRule>
    <cfRule type="containsText" dxfId="150" priority="27066" operator="containsText" text="CARCINOMA">
      <formula>NOT(ISERROR(SEARCH("CARCINOMA",GY2)))</formula>
    </cfRule>
    <cfRule type="containsText" dxfId="149" priority="27068" operator="containsText" text="NIC">
      <formula>NOT(ISERROR(SEARCH("NIC",GY2)))</formula>
    </cfRule>
    <cfRule type="containsText" dxfId="148" priority="27067" operator="containsText" text="VPH">
      <formula>NOT(ISERROR(SEARCH("VPH",GY2)))</formula>
    </cfRule>
  </conditionalFormatting>
  <conditionalFormatting sqref="HC2:HC10">
    <cfRule type="containsText" dxfId="147" priority="27064" operator="containsText" text="COLPOSCOPIA">
      <formula>NOT(ISERROR(SEARCH("COLPOSCOPIA",HC2)))</formula>
    </cfRule>
    <cfRule type="containsText" dxfId="146" priority="27065" operator="containsText" text="ESQUEMA">
      <formula>NOT(ISERROR(SEARCH("ESQUEMA",HC2)))</formula>
    </cfRule>
  </conditionalFormatting>
  <conditionalFormatting sqref="HD2:HD10">
    <cfRule type="containsText" dxfId="145" priority="26594" operator="containsText" text="INDETERMINADO">
      <formula>NOT(ISERROR(SEARCH("INDETERMINADO",HD2)))</formula>
    </cfRule>
    <cfRule type="cellIs" dxfId="143" priority="26597" operator="equal">
      <formula>"NEGATIVO"</formula>
    </cfRule>
    <cfRule type="cellIs" dxfId="142" priority="26598" operator="equal">
      <formula>"POSITIVO"</formula>
    </cfRule>
    <cfRule type="containsText" dxfId="141" priority="26595" operator="containsText" text="NO TOMADO">
      <formula>NOT(ISERROR(SEARCH("NO TOMADO",HD2)))</formula>
    </cfRule>
  </conditionalFormatting>
  <conditionalFormatting sqref="HF2:HF10">
    <cfRule type="containsText" dxfId="140" priority="26574" operator="containsText" text="INDETERMINADO">
      <formula>NOT(ISERROR(SEARCH("INDETERMINADO",HF2)))</formula>
    </cfRule>
    <cfRule type="containsText" dxfId="139" priority="26575" operator="containsText" text="NO TOMADO">
      <formula>NOT(ISERROR(SEARCH("NO TOMADO",HF2)))</formula>
    </cfRule>
    <cfRule type="cellIs" dxfId="137" priority="26577" operator="equal">
      <formula>"NEGATIVO"</formula>
    </cfRule>
    <cfRule type="cellIs" dxfId="136" priority="26578" operator="equal">
      <formula>"POSITIVO"</formula>
    </cfRule>
  </conditionalFormatting>
  <conditionalFormatting sqref="HH2:HH10">
    <cfRule type="cellIs" dxfId="135" priority="26572" operator="equal">
      <formula>"NEGATIVO"</formula>
    </cfRule>
    <cfRule type="containsText" dxfId="134" priority="26570" operator="containsText" text="NO TOMADO">
      <formula>NOT(ISERROR(SEARCH("NO TOMADO",HH2)))</formula>
    </cfRule>
    <cfRule type="containsText" dxfId="133" priority="26569" operator="containsText" text="INDETERMINADO">
      <formula>NOT(ISERROR(SEARCH("INDETERMINADO",HH2)))</formula>
    </cfRule>
    <cfRule type="cellIs" dxfId="131" priority="26573" operator="equal">
      <formula>"POSITIVO"</formula>
    </cfRule>
  </conditionalFormatting>
  <conditionalFormatting sqref="HJ2:HJ10">
    <cfRule type="containsText" dxfId="130" priority="26733" operator="containsText" text="COVID19 SEGUNDO TRIMESTRE">
      <formula>NOT(ISERROR(SEARCH("COVID19 SEGUNDO TRIMESTRE",HJ2)))</formula>
    </cfRule>
    <cfRule type="containsText" dxfId="129" priority="26735" operator="containsText" text="FACTOR DE RIESGO">
      <formula>NOT(ISERROR(SEARCH("FACTOR DE RIESGO",HJ2)))</formula>
    </cfRule>
    <cfRule type="containsText" dxfId="128" priority="26736" operator="containsText" text="SIN INFECCIÓN">
      <formula>NOT(ISERROR(SEARCH("SIN INFECCIÓN",HJ2)))</formula>
    </cfRule>
    <cfRule type="containsText" dxfId="127" priority="26737" operator="containsText" text="NO SE EVALUA RIESGO INFECCIÓN COVID19">
      <formula>NOT(ISERROR(SEARCH("NO SE EVALUA RIESGO INFECCIÓN COVID19",HJ2)))</formula>
    </cfRule>
    <cfRule type="containsText" dxfId="126" priority="26732" operator="containsText" text="COVID19 TERCER TRIMESTRE">
      <formula>NOT(ISERROR(SEARCH("COVID19 TERCER TRIMESTRE",HJ2)))</formula>
    </cfRule>
    <cfRule type="containsText" dxfId="125" priority="26731" operator="containsText" text="COVID19 PUERPERIO">
      <formula>NOT(ISERROR(SEARCH("COVID19 PUERPERIO",HJ2)))</formula>
    </cfRule>
    <cfRule type="containsText" dxfId="124" priority="26734" operator="containsText" text="COVID19 PRIMER TRIMESTRE">
      <formula>NOT(ISERROR(SEARCH("COVID19 PRIMER TRIMESTRE",HJ2)))</formula>
    </cfRule>
  </conditionalFormatting>
  <conditionalFormatting sqref="HK2:HK10">
    <cfRule type="cellIs" dxfId="123" priority="26925" operator="equal">
      <formula>"******"</formula>
    </cfRule>
  </conditionalFormatting>
  <conditionalFormatting sqref="HK2:HL10">
    <cfRule type="notContainsBlanks" dxfId="122" priority="26931">
      <formula>LEN(TRIM(HK2))&gt;0</formula>
    </cfRule>
  </conditionalFormatting>
  <conditionalFormatting sqref="HL2:HL10">
    <cfRule type="cellIs" dxfId="121" priority="26924" operator="equal">
      <formula>"************"</formula>
    </cfRule>
  </conditionalFormatting>
  <conditionalFormatting sqref="HM2:HM10">
    <cfRule type="cellIs" dxfId="120" priority="26926" operator="equal">
      <formula>"CON RIESGO"</formula>
    </cfRule>
    <cfRule type="containsText" dxfId="119" priority="26928" operator="containsText" text="BAJO">
      <formula>NOT(ISERROR(SEARCH("BAJO",HM2)))</formula>
    </cfRule>
    <cfRule type="containsText" dxfId="118" priority="26929" operator="containsText" text="ALTO">
      <formula>NOT(ISERROR(SEARCH("ALTO",HM2)))</formula>
    </cfRule>
  </conditionalFormatting>
  <conditionalFormatting sqref="HN2:HN10">
    <cfRule type="notContainsBlanks" dxfId="117" priority="26672">
      <formula>LEN(TRIM(HN2))&gt;0</formula>
    </cfRule>
    <cfRule type="cellIs" dxfId="116" priority="26671" operator="equal">
      <formula>"********************************"</formula>
    </cfRule>
  </conditionalFormatting>
  <conditionalFormatting sqref="HO2:HO10">
    <cfRule type="cellIs" dxfId="115" priority="26922" operator="equal">
      <formula>"SIN ANTECEDENTES DE RIESGO"</formula>
    </cfRule>
    <cfRule type="containsText" dxfId="114" priority="26930" operator="containsText" text="ASA">
      <formula>NOT(ISERROR(SEARCH("ASA",HO2)))</formula>
    </cfRule>
  </conditionalFormatting>
  <conditionalFormatting sqref="HQ2:HQ10">
    <cfRule type="containsText" dxfId="113" priority="26555" operator="containsText" text="DILIGENCIAR">
      <formula>NOT(ISERROR(SEARCH("DILIGENCIAR",HQ2)))</formula>
    </cfRule>
  </conditionalFormatting>
  <conditionalFormatting sqref="HS2:HT10">
    <cfRule type="cellIs" dxfId="112" priority="27211" operator="equal">
      <formula>"SD"</formula>
    </cfRule>
    <cfRule type="cellIs" dxfId="111" priority="27213" operator="equal">
      <formula>"NO"</formula>
    </cfRule>
    <cfRule type="cellIs" dxfId="110" priority="27214" operator="equal">
      <formula>"SI"</formula>
    </cfRule>
  </conditionalFormatting>
  <conditionalFormatting sqref="HV2:HV10 HX2:HX10 HZ2:HZ10">
    <cfRule type="containsText" dxfId="109" priority="27043" operator="containsText" text="IRREGULAR">
      <formula>NOT(ISERROR(SEARCH("IRREGULAR",HV2)))</formula>
    </cfRule>
    <cfRule type="containsText" dxfId="108" priority="27044" operator="containsText" text="ADECUADO">
      <formula>NOT(ISERROR(SEARCH("ADECUADO",HV2)))</formula>
    </cfRule>
    <cfRule type="containsText" dxfId="107" priority="27042" operator="containsText" text="OTRO">
      <formula>NOT(ISERROR(SEARCH("OTRO",HV2)))</formula>
    </cfRule>
    <cfRule type="containsText" dxfId="106" priority="26935" operator="containsText" text="NO SE FORMULA">
      <formula>NOT(ISERROR(SEARCH("NO SE FORMULA",HV2)))</formula>
    </cfRule>
  </conditionalFormatting>
  <conditionalFormatting sqref="IK2:IK10 AE2:AF10 IA2:IA10 ID2:IE10 IF9:IJ10">
    <cfRule type="cellIs" dxfId="105" priority="27239" operator="equal">
      <formula>"SD"</formula>
    </cfRule>
  </conditionalFormatting>
  <conditionalFormatting sqref="IK2:IK10 IA2:IA10 ID2:IE10 IF9:IJ10">
    <cfRule type="cellIs" dxfId="104" priority="27240" operator="equal">
      <formula>"SI"</formula>
    </cfRule>
    <cfRule type="cellIs" dxfId="103" priority="27241" operator="equal">
      <formula>"NO"</formula>
    </cfRule>
  </conditionalFormatting>
  <conditionalFormatting sqref="IK2:IK10">
    <cfRule type="containsText" dxfId="102" priority="26553" operator="containsText" text="PROGRAMAR">
      <formula>NOT(ISERROR(SEARCH("PROGRAMAR",IK2)))</formula>
    </cfRule>
    <cfRule type="containsText" dxfId="101" priority="26552" operator="containsText" text="PENDIENTE">
      <formula>NOT(ISERROR(SEARCH("PENDIENTE",IK2)))</formula>
    </cfRule>
    <cfRule type="cellIs" dxfId="100" priority="26727" operator="equal">
      <formula>"NO ACEPTA VACUNA Y NO FIRMA DISCENTIMIENTO"</formula>
    </cfRule>
    <cfRule type="cellIs" dxfId="99" priority="26728" operator="equal">
      <formula>"CON REFUERZO"</formula>
    </cfRule>
    <cfRule type="cellIs" dxfId="98" priority="26726" operator="equal">
      <formula>"Error en Fecha x No Acepta no Firma"</formula>
    </cfRule>
    <cfRule type="cellIs" dxfId="97" priority="26729" operator="equal">
      <formula>"FIRMA DISENTIMIENTO"</formula>
    </cfRule>
  </conditionalFormatting>
  <conditionalFormatting sqref="IN2:IN10">
    <cfRule type="containsText" dxfId="96" priority="26854" operator="containsText" text="APLICADA ANTES">
      <formula>NOT(ISERROR(SEARCH("APLICADA ANTES",IN2)))</formula>
    </cfRule>
    <cfRule type="containsText" dxfId="95" priority="26861" operator="containsText" text="ESPERA">
      <formula>NOT(ISERROR(SEARCH("ESPERA",IN2)))</formula>
    </cfRule>
    <cfRule type="containsText" dxfId="94" priority="26860" operator="containsText" text="COLOCACIÓN">
      <formula>NOT(ISERROR(SEARCH("COLOCACIÓN",IN2)))</formula>
    </cfRule>
    <cfRule type="containsText" dxfId="93" priority="26859" operator="containsText" text="INASISTENTE">
      <formula>NOT(ISERROR(SEARCH("INASISTENTE",IN2)))</formula>
    </cfRule>
    <cfRule type="containsText" dxfId="92" priority="26858" operator="containsText" text="SEMANA 27">
      <formula>NOT(ISERROR(SEARCH("SEMANA 27",IN2)))</formula>
    </cfRule>
    <cfRule type="containsText" dxfId="91" priority="26857" operator="containsText" text="SEMANA 26">
      <formula>NOT(ISERROR(SEARCH("SEMANA 26",IN2)))</formula>
    </cfRule>
    <cfRule type="containsText" dxfId="90" priority="26856" operator="containsText" text="SALE">
      <formula>NOT(ISERROR(SEARCH("SALE",IN2)))</formula>
    </cfRule>
    <cfRule type="containsText" dxfId="89" priority="26855" operator="containsText" text="EDAD">
      <formula>NOT(ISERROR(SEARCH("EDAD",IN2)))</formula>
    </cfRule>
  </conditionalFormatting>
  <conditionalFormatting sqref="IR2:IR10">
    <cfRule type="containsText" dxfId="88" priority="27034" operator="containsText" text="PENDIENTE">
      <formula>NOT(ISERROR(SEARCH("PENDIENTE",IR2)))</formula>
    </cfRule>
    <cfRule type="containsText" dxfId="87" priority="27036" operator="containsText" text="MENOS">
      <formula>NOT(ISERROR(SEARCH("MENOS",IR2)))</formula>
    </cfRule>
    <cfRule type="containsText" dxfId="86" priority="27035" operator="containsText" text="SEMANA">
      <formula>NOT(ISERROR(SEARCH("SEMANA",IR2)))</formula>
    </cfRule>
    <cfRule type="containsText" dxfId="85" priority="27037" operator="containsText" text="POSIBLEMENTE">
      <formula>NOT(ISERROR(SEARCH("POSIBLEMENTE",IR2)))</formula>
    </cfRule>
  </conditionalFormatting>
  <conditionalFormatting sqref="IT2:IT10">
    <cfRule type="containsText" dxfId="84" priority="27033" operator="containsText" text="PARTO">
      <formula>NOT(ISERROR(SEARCH("PARTO",IT2)))</formula>
    </cfRule>
    <cfRule type="containsText" dxfId="83" priority="27032" operator="containsText" text="CESAREA">
      <formula>NOT(ISERROR(SEARCH("CESAREA",IT2)))</formula>
    </cfRule>
    <cfRule type="containsText" dxfId="82" priority="27031" operator="containsText" text="ABORTO">
      <formula>NOT(ISERROR(SEARCH("ABORTO",IT2)))</formula>
    </cfRule>
    <cfRule type="containsText" dxfId="81" priority="27028" operator="containsText" text="CAMBIO">
      <formula>NOT(ISERROR(SEARCH("CAMBIO",IT2)))</formula>
    </cfRule>
    <cfRule type="containsText" dxfId="80" priority="27029" operator="containsText" text="NEGACION">
      <formula>NOT(ISERROR(SEARCH("NEGACION",IT2)))</formula>
    </cfRule>
    <cfRule type="containsText" dxfId="79" priority="27030" operator="containsText" text="IVE">
      <formula>NOT(ISERROR(SEARCH("IVE",IT2)))</formula>
    </cfRule>
  </conditionalFormatting>
  <conditionalFormatting sqref="IU2:IU10">
    <cfRule type="cellIs" dxfId="78" priority="27025" operator="equal">
      <formula>"MUERTE Y MORBILIDAD MATERNA EXTREMA"</formula>
    </cfRule>
    <cfRule type="containsText" dxfId="77" priority="27024" operator="containsText" text="MME">
      <formula>NOT(ISERROR(SEARCH("MME",IU2)))</formula>
    </cfRule>
    <cfRule type="containsText" dxfId="76" priority="27026" operator="containsText" text="MUERTE">
      <formula>NOT(ISERROR(SEARCH("MUERTE",IU2)))</formula>
    </cfRule>
    <cfRule type="cellIs" dxfId="75" priority="26541" operator="equal">
      <formula>"MORBILIDAD MATERNA EXTREMA"</formula>
    </cfRule>
    <cfRule type="containsText" dxfId="74" priority="27027" operator="containsText" text="SANA">
      <formula>NOT(ISERROR(SEARCH("SANA",IU2)))</formula>
    </cfRule>
  </conditionalFormatting>
  <conditionalFormatting sqref="IV2:IV10">
    <cfRule type="containsText" dxfId="73" priority="27023" operator="containsText" text="SANO">
      <formula>NOT(ISERROR(SEARCH("SANO",IV2)))</formula>
    </cfRule>
    <cfRule type="containsText" dxfId="72" priority="27022" operator="containsText" text="HOSPITALIZACION">
      <formula>NOT(ISERROR(SEARCH("HOSPITALIZACION",IV2)))</formula>
    </cfRule>
    <cfRule type="containsText" dxfId="71" priority="27021" operator="containsText" text="UCI">
      <formula>NOT(ISERROR(SEARCH("UCI",IV2)))</formula>
    </cfRule>
    <cfRule type="containsText" dxfId="70" priority="27020" operator="containsText" text="MUERTE">
      <formula>NOT(ISERROR(SEARCH("MUERTE",IV2)))</formula>
    </cfRule>
    <cfRule type="containsText" dxfId="69" priority="27019" operator="containsText" text="MALFORMACIÓN">
      <formula>NOT(ISERROR(SEARCH("MALFORMACIÓN",IV2)))</formula>
    </cfRule>
    <cfRule type="containsText" dxfId="68" priority="27018" operator="containsText" text="SIFILIS">
      <formula>NOT(ISERROR(SEARCH("SIFILIS",IV2)))</formula>
    </cfRule>
    <cfRule type="cellIs" dxfId="67" priority="26540" operator="equal">
      <formula>"MUERTE PERINATAL Y MALFORMACIÓN CONGÉNITA"</formula>
    </cfRule>
  </conditionalFormatting>
  <conditionalFormatting sqref="IX2:IX10">
    <cfRule type="containsText" dxfId="66" priority="27016" operator="containsText" text="DOMICILIO">
      <formula>NOT(ISERROR(SEARCH("DOMICILIO",IX2)))</formula>
    </cfRule>
    <cfRule type="containsText" dxfId="65" priority="27014" operator="containsText" text="NO APLICA">
      <formula>NOT(ISERROR(SEARCH("NO APLICA",IX2)))</formula>
    </cfRule>
    <cfRule type="containsText" dxfId="64" priority="27015" operator="containsText" text="OTRO">
      <formula>NOT(ISERROR(SEARCH("OTRO",IX2)))</formula>
    </cfRule>
    <cfRule type="containsText" dxfId="63" priority="27017" operator="containsText" text="INSTITUCIONAL">
      <formula>NOT(ISERROR(SEARCH("INSTITUCIONAL",IX2)))</formula>
    </cfRule>
  </conditionalFormatting>
  <conditionalFormatting sqref="IY2:IY10">
    <cfRule type="cellIs" dxfId="62" priority="26549" operator="between">
      <formula>33</formula>
      <formula>"&lt;37"</formula>
    </cfRule>
    <cfRule type="cellIs" dxfId="61" priority="26547" operator="between">
      <formula>37</formula>
      <formula>40.5</formula>
    </cfRule>
    <cfRule type="cellIs" dxfId="60" priority="26550" operator="between">
      <formula>22</formula>
      <formula>"&lt;33"</formula>
    </cfRule>
    <cfRule type="cellIs" dxfId="59" priority="26551" operator="between">
      <formula>1</formula>
      <formula>21</formula>
    </cfRule>
    <cfRule type="containsBlanks" priority="26539" stopIfTrue="1">
      <formula>LEN(TRIM(IY2))=0</formula>
    </cfRule>
    <cfRule type="cellIs" dxfId="58" priority="26548" operator="between">
      <formula>"&gt;40,5"</formula>
      <formula>42</formula>
    </cfRule>
    <cfRule type="cellIs" dxfId="57" priority="26546" operator="greaterThanOrEqual">
      <formula>43</formula>
    </cfRule>
  </conditionalFormatting>
  <conditionalFormatting sqref="JA2:JA10">
    <cfRule type="containsText" dxfId="56" priority="27010" operator="containsText" text="NO APLICA">
      <formula>NOT(ISERROR(SEARCH("NO APLICA",JA2)))</formula>
    </cfRule>
    <cfRule type="containsText" dxfId="55" priority="27011" operator="containsText" text="ALTA">
      <formula>NOT(ISERROR(SEARCH("ALTA",JA2)))</formula>
    </cfRule>
    <cfRule type="containsText" dxfId="54" priority="27013" operator="containsText" text="BAJA">
      <formula>NOT(ISERROR(SEARCH("BAJA",JA2)))</formula>
    </cfRule>
    <cfRule type="containsText" dxfId="53" priority="27012" operator="containsText" text="MEDIANA">
      <formula>NOT(ISERROR(SEARCH("MEDIANA",JA2)))</formula>
    </cfRule>
  </conditionalFormatting>
  <conditionalFormatting sqref="JB2 JB3:JC10">
    <cfRule type="containsText" dxfId="52" priority="27004" operator="containsText" text="SIN">
      <formula>NOT(ISERROR(SEARCH("SIN",JB2)))</formula>
    </cfRule>
    <cfRule type="containsText" dxfId="51" priority="27007" operator="containsText" text="PARTERA">
      <formula>NOT(ISERROR(SEARCH("PARTERA",JB2)))</formula>
    </cfRule>
    <cfRule type="containsText" dxfId="50" priority="27008" operator="containsText" text="TÉCNICO">
      <formula>NOT(ISERROR(SEARCH("TÉCNICO",JB2)))</formula>
    </cfRule>
    <cfRule type="containsText" dxfId="49" priority="27009" operator="containsText" text="PROFESIONAL">
      <formula>NOT(ISERROR(SEARCH("PROFESIONAL",JB2)))</formula>
    </cfRule>
    <cfRule type="containsText" dxfId="48" priority="27005" operator="containsText" text="EQUIPO">
      <formula>NOT(ISERROR(SEARCH("EQUIPO",JB2)))</formula>
    </cfRule>
    <cfRule type="containsText" dxfId="47" priority="27006" operator="containsText" text="MEDICO TRADICIONAL">
      <formula>NOT(ISERROR(SEARCH("MEDICO TRADICIONAL",JB2)))</formula>
    </cfRule>
  </conditionalFormatting>
  <conditionalFormatting sqref="JB3:JC10 JB2">
    <cfRule type="containsText" dxfId="46" priority="27003" operator="containsText" text="NO APLICA">
      <formula>NOT(ISERROR(SEARCH("NO APLICA",JB2)))</formula>
    </cfRule>
  </conditionalFormatting>
  <conditionalFormatting sqref="JC2">
    <cfRule type="containsText" dxfId="45" priority="26542" operator="containsText" text="SIN DATO">
      <formula>NOT(ISERROR(SEARCH("SIN DATO",JC2)))</formula>
    </cfRule>
  </conditionalFormatting>
  <conditionalFormatting sqref="JC2:JC10">
    <cfRule type="containsText" dxfId="44" priority="26545" operator="containsText" text="ESPONTÁNEO">
      <formula>NOT(ISERROR(SEARCH("ESPONTÁNEO",JC2)))</formula>
    </cfRule>
    <cfRule type="containsText" dxfId="43" priority="26543" operator="containsText" text="LE HACEN CESÁREA SIN INICIO TRABAJO DE PARTO">
      <formula>NOT(ISERROR(SEARCH("LE HACEN CESÁREA SIN INICIO TRABAJO DE PARTO",JC2)))</formula>
    </cfRule>
    <cfRule type="containsText" dxfId="42" priority="26544" operator="containsText" text="LE HACEN INDUCCIÓN">
      <formula>NOT(ISERROR(SEARCH("LE HACEN INDUCCIÓN",JC2)))</formula>
    </cfRule>
  </conditionalFormatting>
  <conditionalFormatting sqref="JD2:JI10 KJ2:KL10">
    <cfRule type="cellIs" dxfId="41" priority="27231" operator="equal">
      <formula>"NO"</formula>
    </cfRule>
    <cfRule type="cellIs" dxfId="40" priority="27229" operator="equal">
      <formula>"SD"</formula>
    </cfRule>
    <cfRule type="cellIs" dxfId="39" priority="27230" operator="equal">
      <formula>"NO APLICA"</formula>
    </cfRule>
    <cfRule type="cellIs" dxfId="38" priority="27232" operator="equal">
      <formula>"SI"</formula>
    </cfRule>
  </conditionalFormatting>
  <conditionalFormatting sqref="JJ2:JJ10">
    <cfRule type="containsText" dxfId="37" priority="27000" operator="containsText" text="SIN DATO">
      <formula>NOT(ISERROR(SEARCH("SIN DATO",JJ2)))</formula>
    </cfRule>
    <cfRule type="containsText" dxfId="36" priority="27001" operator="containsText" text="SIN COMPLICACION">
      <formula>NOT(ISERROR(SEARCH("SIN COMPLICACION",JJ2)))</formula>
    </cfRule>
    <cfRule type="notContainsBlanks" dxfId="35" priority="27277">
      <formula>LEN(TRIM(JJ2))&gt;0</formula>
    </cfRule>
  </conditionalFormatting>
  <conditionalFormatting sqref="JN2:JN10 JX2:JX10">
    <cfRule type="containsText" dxfId="34" priority="26998" operator="containsText" text="ADECUADO">
      <formula>NOT(ISERROR(SEARCH("ADECUADO",JN2)))</formula>
    </cfRule>
    <cfRule type="containsText" dxfId="33" priority="26999" operator="containsText" text="BAJO">
      <formula>NOT(ISERROR(SEARCH("BAJO",JN2)))</formula>
    </cfRule>
    <cfRule type="containsText" dxfId="32" priority="26997" operator="containsText" text="GRANDE">
      <formula>NOT(ISERROR(SEARCH("GRANDE",JN2)))</formula>
    </cfRule>
    <cfRule type="containsText" dxfId="31" priority="26996" operator="containsText" text="PREMATURO">
      <formula>NOT(ISERROR(SEARCH("PREMATURO",JN2)))</formula>
    </cfRule>
  </conditionalFormatting>
  <conditionalFormatting sqref="JP2:JP10 JZ2:JZ10">
    <cfRule type="containsText" dxfId="30" priority="26989" operator="containsText" text="SIN DATO">
      <formula>NOT(ISERROR(SEARCH("SIN DATO",JP2)))</formula>
    </cfRule>
    <cfRule type="containsText" dxfId="29" priority="26991" operator="containsText" text="NORMAL">
      <formula>NOT(ISERROR(SEARCH("NORMAL",JP2)))</formula>
    </cfRule>
    <cfRule type="containsText" dxfId="28" priority="26990" operator="containsText" text="ANORMAL">
      <formula>NOT(ISERROR(SEARCH("ANORMAL",JP2)))</formula>
    </cfRule>
  </conditionalFormatting>
  <conditionalFormatting sqref="JR2:JR10 KB2:KB10">
    <cfRule type="containsText" dxfId="27" priority="26985" operator="containsText" text="NO APLICA">
      <formula>NOT(ISERROR(SEARCH("NO APLICA",JR2)))</formula>
    </cfRule>
    <cfRule type="containsText" dxfId="26" priority="26986" operator="containsText" text="SIN DATO">
      <formula>NOT(ISERROR(SEARCH("SIN DATO",JR2)))</formula>
    </cfRule>
    <cfRule type="containsText" dxfId="25" priority="26988" operator="containsText" text="SI">
      <formula>NOT(ISERROR(SEARCH("SI",JR2)))</formula>
    </cfRule>
    <cfRule type="containsText" dxfId="24" priority="26987" operator="containsText" text="NO">
      <formula>NOT(ISERROR(SEARCH("NO",JR2)))</formula>
    </cfRule>
  </conditionalFormatting>
  <conditionalFormatting sqref="KG2:KG10 KI2:KI10">
    <cfRule type="containsText" dxfId="23" priority="26905" operator="containsText" text="INASISTENTE">
      <formula>NOT(ISERROR(SEARCH("INASISTENTE",KG2)))</formula>
    </cfRule>
  </conditionalFormatting>
  <conditionalFormatting sqref="KG2:KG10">
    <cfRule type="containsText" dxfId="22" priority="26529" operator="containsText" text="INCONSISTENCIA">
      <formula>NOT(ISERROR(SEARCH("INCONSISTENCIA",KG2)))</formula>
    </cfRule>
  </conditionalFormatting>
  <conditionalFormatting sqref="KI2:KI10">
    <cfRule type="containsText" dxfId="21" priority="26528" operator="containsText" text="INCONSISTENCIA">
      <formula>NOT(ISERROR(SEARCH("INCONSISTENCIA",KI2)))</formula>
    </cfRule>
  </conditionalFormatting>
  <dataValidations disablePrompts="1" xWindow="988" yWindow="739" count="92">
    <dataValidation type="date" operator="greaterThan" allowBlank="1" showInputMessage="1" showErrorMessage="1" error="SOLO FECHA" sqref="DD2:DN10 DA2:DB10 GM2:GM10 GK2:GK10" xr:uid="{00000000-0002-0000-0200-000000000000}">
      <formula1>43191</formula1>
    </dataValidation>
    <dataValidation type="list" showInputMessage="1" showErrorMessage="1" sqref="HT2:HT10" xr:uid="{00000000-0002-0000-0200-000004000000}">
      <formula1>"SI, SUMINISTRO IRREGULAR,NO,SD,NO APLICA"</formula1>
    </dataValidation>
    <dataValidation type="list" allowBlank="1" showInputMessage="1" showErrorMessage="1" sqref="JR2:JR10 KB2:KB10" xr:uid="{00000000-0002-0000-0200-000005000000}">
      <formula1>"SI,NO,SIN DATO,NO APLICA"</formula1>
    </dataValidation>
    <dataValidation type="list" allowBlank="1" showInputMessage="1" showErrorMessage="1" sqref="JS2:JS10 KC2:KC10" xr:uid="{00000000-0002-0000-0200-000006000000}">
      <formula1>"O+,O-,A+,A-,B+,B-,AB+,AB-,SIN DATO,NO APLICA"</formula1>
    </dataValidation>
    <dataValidation type="list" allowBlank="1" showInputMessage="1" showErrorMessage="1" sqref="D2:D10" xr:uid="{00000000-0002-0000-0200-000007000000}">
      <formula1>"PROCESO COMPLETO DE ATENCIÓN,PROCESO PARCIAL DE ATENCIÓN, SIN ATENCIÓN, SIN DATO"</formula1>
    </dataValidation>
    <dataValidation type="list" allowBlank="1" showInputMessage="1" showErrorMessage="1" sqref="HX3:HX10"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10" xr:uid="{00000000-0002-0000-0200-00000A000000}">
      <formula1>43101</formula1>
    </dataValidation>
    <dataValidation type="date" operator="greaterThan" allowBlank="1" showInputMessage="1" showErrorMessage="1" error="SOLO FECHA" sqref="GT2:GT10 GO2:GO10" xr:uid="{00000000-0002-0000-0200-00000B000000}">
      <formula1>43556</formula1>
    </dataValidation>
    <dataValidation type="list" allowBlank="1" showInputMessage="1" showErrorMessage="1" sqref="LP2:LP10 MN2:MN10 LL2:LL10 LH2:LH10 LX2:LX10 LT2:LT10 LD2:LD10" xr:uid="{00000000-0002-0000-0200-00000C000000}">
      <formula1>"MEDICO (A) TRADICIONAL,PARTERO (A),PULESEADOR (A),SOBANDERO (A),YERBATERO (A),OTRO "</formula1>
    </dataValidation>
    <dataValidation type="date" operator="greaterThan" allowBlank="1" showInputMessage="1" showErrorMessage="1" sqref="IL2:IM10" xr:uid="{00000000-0002-0000-0200-00000D000000}">
      <formula1>43556</formula1>
    </dataValidation>
    <dataValidation type="date" operator="greaterThan" allowBlank="1" showInputMessage="1" showErrorMessage="1" error="SOLO FECHA" sqref="IW2:IW10" xr:uid="{00000000-0002-0000-0200-00000E000000}">
      <formula1>43831</formula1>
    </dataValidation>
    <dataValidation type="date" operator="greaterThan" allowBlank="1" showInputMessage="1" showErrorMessage="1" error="SOLO FECHA" prompt="COLOCAR FECHA SEGUNDO CONTROL, NO REPETIR LA FECHA DE INGRESO" sqref="DC2:DC10" xr:uid="{00000000-0002-0000-0200-00000F000000}">
      <formula1>43191</formula1>
    </dataValidation>
    <dataValidation type="list" allowBlank="1" showInputMessage="1" showErrorMessage="1" sqref="JP2:JP10" xr:uid="{00000000-0002-0000-0200-000010000000}">
      <formula1>"NORMAL,ANORMAL,NO APLICA,SIN DATO"</formula1>
    </dataValidation>
    <dataValidation type="list" allowBlank="1" showInputMessage="1" showErrorMessage="1" sqref="AS2:AS10" xr:uid="{00000000-0002-0000-0200-000011000000}">
      <formula1>"0,1,2,3,4,5,6,7,8,9,10,11,12,13,14,15"</formula1>
    </dataValidation>
    <dataValidation type="list" allowBlank="1" showInputMessage="1" showErrorMessage="1" sqref="AR2:AR10" xr:uid="{00000000-0002-0000-0200-000012000000}">
      <formula1>"0,1,2,3,4,5,6,7,8,9,10,11,12,13,14,15,16"</formula1>
    </dataValidation>
    <dataValidation type="list" allowBlank="1" showInputMessage="1" showErrorMessage="1" sqref="AV2:AV10" xr:uid="{00000000-0002-0000-0200-000013000000}">
      <formula1>"0,1,2,3 o MAS"</formula1>
    </dataValidation>
    <dataValidation type="list" allowBlank="1" showInputMessage="1" showErrorMessage="1" sqref="AT2:AT10" xr:uid="{00000000-0002-0000-0200-000014000000}">
      <formula1>"0,1,2,3,4,5,6"</formula1>
    </dataValidation>
    <dataValidation type="list" allowBlank="1" showInputMessage="1" showErrorMessage="1" sqref="K2:K10" xr:uid="{00000000-0002-0000-0200-000015000000}">
      <formula1>"SOLTERA,UNION LIBRE, CASADA, VIUDA, SEPARADA, "</formula1>
    </dataValidation>
    <dataValidation type="list" allowBlank="1" showInputMessage="1" showErrorMessage="1" sqref="KS2:KS10 KV2:KV10" xr:uid="{00000000-0002-0000-0200-000016000000}">
      <formula1>"0,1,2,3,4,5,6,7,8,9,10,11,12,13,14,15,SD"</formula1>
    </dataValidation>
    <dataValidation type="list" allowBlank="1" showInputMessage="1" showErrorMessage="1" sqref="ER2:ER10" xr:uid="{00000000-0002-0000-0200-000017000000}">
      <formula1>"O+,O-,O--,A+,A-,A--,B+,B-,B--,AB+,AB-,AB--"</formula1>
    </dataValidation>
    <dataValidation type="list" allowBlank="1" showInputMessage="1" showErrorMessage="1" sqref="KJ2:KL10 JD2:JI10" xr:uid="{00000000-0002-0000-0200-000018000000}">
      <formula1>"SI, NO, NO APLICA, SD"</formula1>
    </dataValidation>
    <dataValidation type="list" allowBlank="1" showInputMessage="1" showErrorMessage="1" sqref="JK2:JK10" xr:uid="{00000000-0002-0000-0200-000019000000}">
      <formula1>"0,1,2,3,4,SIN DATO,NO APLICA"</formula1>
    </dataValidation>
    <dataValidation type="list" allowBlank="1" showInputMessage="1" showErrorMessage="1" sqref="AI2:AI10"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10 GX2:GX10" xr:uid="{00000000-0002-0000-0200-00001B000000}">
      <formula1>"0,1,2,3,4,5,6,7,8,9,NO APLICA"</formula1>
    </dataValidation>
    <dataValidation type="list" allowBlank="1" showInputMessage="1" showErrorMessage="1" sqref="BL2:BL10" xr:uid="{00000000-0002-0000-0200-00001C000000}">
      <formula1>"SI,NO,SD,CORREGIDA"</formula1>
    </dataValidation>
    <dataValidation type="list" allowBlank="1" showInputMessage="1" showErrorMessage="1" sqref="AW2:BI10 BV2:BW10 BY2:BY10 ID2:ID10 AE2:AH10 AJ2:AJ10 AL2:AQ10 AU2:AU10 IA2:IA10" xr:uid="{00000000-0002-0000-0200-00001D000000}">
      <formula1>"SI,NO,SD"</formula1>
    </dataValidation>
    <dataValidation type="list" allowBlank="1" showInputMessage="1" showErrorMessage="1" sqref="AD2:AD10" xr:uid="{00000000-0002-0000-0200-00001E000000}">
      <formula1>"SEMILLAS DE VIDA,CERO A SIEMPRE, RED UNIDOS,PROGRAMA ICBF, FAMILIAS ACCIÓN, OTRO, NINGUNO, SIN DATO"</formula1>
    </dataValidation>
    <dataValidation type="list" allowBlank="1" showInputMessage="1" showErrorMessage="1" sqref="I2:I10"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10" xr:uid="{00000000-0002-0000-0200-000020000000}">
      <formula1>"INSTITUCIONAL,DOMICILIO,OTRO,NO APLICA,SIN DATO"</formula1>
    </dataValidation>
    <dataValidation type="list" allowBlank="1" showInputMessage="1" showErrorMessage="1" sqref="EH2:EH10" xr:uid="{00000000-0002-0000-0200-000021000000}">
      <formula1>"0,1,2,3,4,5,6,7,8,9,SIN DATO"</formula1>
    </dataValidation>
    <dataValidation type="list" allowBlank="1" showInputMessage="1" showErrorMessage="1" sqref="AA2:AA10" xr:uid="{00000000-0002-0000-0200-000022000000}">
      <formula1>"INDIGENA,ROM-GITANO,RAIZAL,PALENQUERO,AFRODESCENDIENTE,MESTIZA,OTRO"</formula1>
    </dataValidation>
    <dataValidation type="list" allowBlank="1" showInputMessage="1" showErrorMessage="1" sqref="V2:V10" xr:uid="{00000000-0002-0000-0200-000023000000}">
      <formula1>"URBANO,RURAL,SIN DATO"</formula1>
    </dataValidation>
    <dataValidation type="list" allowBlank="1" showInputMessage="1" showErrorMessage="1" sqref="S2:S10" xr:uid="{00000000-0002-0000-0200-000024000000}">
      <formula1>"SUBSIDIADO,CONTRIBUTIVO,REGIMEN ESPECIAL,PARTICULAR,NO AFILIADO,SIN DATO"</formula1>
    </dataValidation>
    <dataValidation type="list" allowBlank="1" showInputMessage="1" showErrorMessage="1" sqref="AC2:AC10"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10 GQ2:GR10 GN2:GN10" xr:uid="{00000000-0002-0000-0200-000026000000}">
      <formula1>"NEGATIVO,POSITIVO,SIN DATO"</formula1>
    </dataValidation>
    <dataValidation type="list" allowBlank="1" showInputMessage="1" showErrorMessage="1" sqref="JV2:JV10 JL2:JL10" xr:uid="{00000000-0002-0000-0200-000027000000}">
      <formula1>"FEMENINO,MASCULINO,NO APLICA,SIN DATO"</formula1>
    </dataValidation>
    <dataValidation type="list" allowBlank="1" showInputMessage="1" showErrorMessage="1" sqref="JZ2:JZ10" xr:uid="{00000000-0002-0000-0200-000028000000}">
      <formula1>"NORMAL,ANORMAL,SIN DATO,NO APLICA"</formula1>
    </dataValidation>
    <dataValidation type="list" allowBlank="1" showInputMessage="1" showErrorMessage="1" sqref="AB2:AB10"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10"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10" xr:uid="{00000000-0002-0000-0200-00002B000000}">
      <formula1>1</formula1>
      <formula2>3</formula2>
    </dataValidation>
    <dataValidation type="list" allowBlank="1" showInputMessage="1" showErrorMessage="1" sqref="GH2:GH10 FY2:FY10 GJ2:GJ10 GE2:GE10 GB2:GB10" xr:uid="{00000000-0002-0000-0200-00002C000000}">
      <formula1>"P.R REACTIVA,P.R NO REACTIVA,ELISA REACTIVA,ELISA NO REACTIVA,SIN DATO,NO APLICA"</formula1>
    </dataValidation>
    <dataValidation type="list" allowBlank="1" showInputMessage="1" showErrorMessage="1" sqref="GL2:GL10" xr:uid="{00000000-0002-0000-0200-00002D000000}">
      <formula1>"POSITIVA,NEGATIVA,NO CONCLUYENTE, SIN DATO, NO APLICA"</formula1>
    </dataValidation>
    <dataValidation type="list" allowBlank="1" showInputMessage="1" showErrorMessage="1" sqref="HS2:HS10" xr:uid="{00000000-0002-0000-0200-00002E000000}">
      <formula1>"SI, NO,SD"</formula1>
    </dataValidation>
    <dataValidation type="list" allowBlank="1" showInputMessage="1" showErrorMessage="1" sqref="JA2:JA10" xr:uid="{00000000-0002-0000-0200-00002F000000}">
      <formula1>"BAJA,MEDIANA,ALTA,NO APLICA,SIN DATO"</formula1>
    </dataValidation>
    <dataValidation type="list" allowBlank="1" showInputMessage="1" showErrorMessage="1" sqref="JJ2:JJ10"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10"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10" xr:uid="{00000000-0002-0000-0200-000032000000}">
      <formula1>0.1</formula1>
      <formula2>42</formula2>
    </dataValidation>
    <dataValidation type="whole" allowBlank="1" showInputMessage="1" showErrorMessage="1" error="SOLO NÚMERO ENTERO" sqref="CP2:CQ10 CS2:CT10" xr:uid="{00000000-0002-0000-0200-000033000000}">
      <formula1>40</formula1>
      <formula2>200</formula2>
    </dataValidation>
    <dataValidation type="whole" allowBlank="1" showInputMessage="1" showErrorMessage="1" error="DIGITE NÚMERO ENTERO" sqref="CV2:CY10" xr:uid="{00000000-0002-0000-0200-000034000000}">
      <formula1>40</formula1>
      <formula2>250</formula2>
    </dataValidation>
    <dataValidation type="decimal" allowBlank="1" showInputMessage="1" showErrorMessage="1" error="SOLO NÚMERO" sqref="EI2:EI10" xr:uid="{00000000-0002-0000-0200-000035000000}">
      <formula1>1</formula1>
      <formula2>20</formula2>
    </dataValidation>
    <dataValidation type="list" allowBlank="1" showInputMessage="1" showErrorMessage="1" sqref="GW2:GW10" xr:uid="{00000000-0002-0000-0200-000036000000}">
      <formula1>"NEGATIVO,POSITIVO,NO APLICA,SIN DATO"</formula1>
    </dataValidation>
    <dataValidation type="date" operator="greaterThan" allowBlank="1" showInputMessage="1" showErrorMessage="1" error="SOLO FECHA VIGENTE UN AÑO" sqref="GZ2:GZ10" xr:uid="{00000000-0002-0000-0200-000037000000}">
      <formula1>42370</formula1>
    </dataValidation>
    <dataValidation type="list" allowBlank="1" showInputMessage="1" showErrorMessage="1" sqref="GY2:GY10"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10" xr:uid="{00000000-0002-0000-0200-000039000000}">
      <formula1>36526</formula1>
    </dataValidation>
    <dataValidation type="date" operator="greaterThan" allowBlank="1" showInputMessage="1" showErrorMessage="1" error="SOLO FECHA" sqref="IS2:IS10" xr:uid="{00000000-0002-0000-0200-00003A000000}">
      <formula1>42736</formula1>
    </dataValidation>
    <dataValidation type="list" allowBlank="1" showInputMessage="1" showErrorMessage="1" sqref="KO2:KP10"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10" xr:uid="{00000000-0002-0000-0200-00003C000000}">
      <formula1>40909</formula1>
    </dataValidation>
    <dataValidation type="whole" allowBlank="1" showInputMessage="1" showErrorMessage="1" error="SOLO NÚMEROS " promptTitle="ADVERTENCIA" prompt="SOLO ESCRIBIR NÚMEROS " sqref="EY2:EY10"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10" xr:uid="{00000000-0002-0000-0200-00003E000000}">
      <formula1>0</formula1>
      <formula2>700</formula2>
    </dataValidation>
    <dataValidation type="list" allowBlank="1" showInputMessage="1" showErrorMessage="1" prompt="REVISAR LISTA DESPLEGABLE, SE AUMENTAN NOVEDADES" sqref="Q2:Q10"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10" xr:uid="{00000000-0002-0000-0200-000040000000}">
      <formula1>44561</formula1>
    </dataValidation>
    <dataValidation type="date" operator="greaterThan" allowBlank="1" showInputMessage="1" showErrorMessage="1" error="VERIFICAR FECHA" sqref="R2:R10" xr:uid="{00000000-0002-0000-0200-000041000000}">
      <formula1>43831</formula1>
    </dataValidation>
    <dataValidation type="date" operator="greaterThan" allowBlank="1" showInputMessage="1" showErrorMessage="1" error="DIGITE FECHA" sqref="BZ2:BZ10" xr:uid="{00000000-0002-0000-0200-000042000000}">
      <formula1>43831</formula1>
    </dataValidation>
    <dataValidation type="date" operator="greaterThan" allowBlank="1" showInputMessage="1" showErrorMessage="1" error="DIGITE FECHA " sqref="CE2:CE10" xr:uid="{00000000-0002-0000-0200-000043000000}">
      <formula1>43831</formula1>
    </dataValidation>
    <dataValidation type="date" operator="greaterThan" allowBlank="1" showInputMessage="1" showErrorMessage="1" error="DIGITE SOLO FECHA" sqref="FC2:FC10" xr:uid="{00000000-0002-0000-0200-000044000000}">
      <formula1>43831</formula1>
    </dataValidation>
    <dataValidation type="date" operator="lessThanOrEqual" allowBlank="1" showInputMessage="1" showErrorMessage="1" error="INGRESE SOLO FECHA" sqref="BR2:BR10 BK2:BK10" xr:uid="{00000000-0002-0000-0200-000045000000}">
      <formula1>45013</formula1>
    </dataValidation>
    <dataValidation type="list" allowBlank="1" showInputMessage="1" showErrorMessage="1" sqref="HJ2:HJ10"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10 IH2:IH10 IF2:IF10" xr:uid="{00000000-0002-0000-0200-000047000000}">
      <formula1>44255</formula1>
    </dataValidation>
    <dataValidation type="list" allowBlank="1" showInputMessage="1" showErrorMessage="1" sqref="IE2:IE10" xr:uid="{00000000-0002-0000-0200-000048000000}">
      <formula1>"Astrazeneca,Firma Disentimiento,Janssen,Moderna,No Acepta y No Firma Disentimiento,Pfizer,Sinovac"</formula1>
    </dataValidation>
    <dataValidation type="list" operator="greaterThan" allowBlank="1" showInputMessage="1" showErrorMessage="1" sqref="II2:II10 IG2:IG10" xr:uid="{00000000-0002-0000-0200-000049000000}">
      <formula1>"Astrazeneca,Firma Disentimiento,Janssen,Moderna,No Acepta y No Firma Disentimiento,Pfizer,Sinovac"</formula1>
    </dataValidation>
    <dataValidation type="list" allowBlank="1" showInputMessage="1" showErrorMessage="1" sqref="BX3:BX10" xr:uid="{00000000-0002-0000-0200-00004C000000}">
      <formula1>"CEFÁLICA,PODÁLICA,TRANSVERSA,OBLICUA,SD"</formula1>
    </dataValidation>
    <dataValidation type="list" allowBlank="1" showInputMessage="1" showErrorMessage="1" sqref="HH2:HH10" xr:uid="{00000000-0002-0000-0200-00004D000000}">
      <formula1>"NO APLICA (Sin factor de riesgo - no zona endémica),NEGATIVO, POSITIVO,SOLICITADO NO TOMADO"</formula1>
    </dataValidation>
    <dataValidation type="list" allowBlank="1" showInputMessage="1" showErrorMessage="1" sqref="HD2:HD10" xr:uid="{00000000-0002-0000-0200-00004E000000}">
      <formula1>"NO APLICA (Sin factor de riesgo),NEGATIVO,POSITIVO,INDETERMINADO,SOLICITADO Y NO TOMADO"</formula1>
    </dataValidation>
    <dataValidation type="list" allowBlank="1" showInputMessage="1" showErrorMessage="1" sqref="FH2:FH10 FN2:FN10 FK2:FK10"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10" xr:uid="{00000000-0002-0000-0200-000050000000}">
      <formula1>"INICIO ESPONTÁNEO, LE HACEN INDUCCIÓN, LE HACEN CESÁREA SIN INICIO TRABAJO DE PARTO,SIN DATO"</formula1>
    </dataValidation>
    <dataValidation type="list" allowBlank="1" showInputMessage="1" showErrorMessage="1" sqref="FE2:FE10" xr:uid="{00000000-0002-0000-0200-000051000000}">
      <formula1>"P. R NEGATIVA,P. R POSITIVA CASO SIFILIS,P.R POSITIVA CICATRIZ"</formula1>
    </dataValidation>
    <dataValidation type="list" allowBlank="1" showInputMessage="1" showErrorMessage="1" sqref="HF2:HF10" xr:uid="{00000000-0002-0000-0200-000052000000}">
      <formula1>"NO APLICA (Sin factor de riesgo - No zona endémica),NEGATIVO, POSITIVO,SOLICITADO NO TOMADO"</formula1>
    </dataValidation>
    <dataValidation type="list" allowBlank="1" showInputMessage="1" showErrorMessage="1" sqref="T2:T10"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10" xr:uid="{00000000-0002-0000-0200-000055000000}">
      <formula1>"MADRE SANA, MORBILIDAD MATERNA EXTREMA, MUERTE MATERNA, MUERTE Y MORBILIDAD MATERNA EXTREMA, MADRE HOSPITALIZADA SIN MME,SIN DATO"</formula1>
    </dataValidation>
    <dataValidation type="list" allowBlank="1" showInputMessage="1" showErrorMessage="1" sqref="IV2:IV10"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10"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10" xr:uid="{00000000-0002-0000-0200-000059000000}"/>
    <dataValidation type="list" allowBlank="1" showInputMessage="1" showErrorMessage="1" sqref="HV2:HV10" xr:uid="{00000000-0002-0000-0200-00005A000000}">
      <formula1>"ADECUADO SEGÚN GPC, SUMINISTRO IRREGULAR, NO SE FORMULA, SUMINISTRO OTRO COMPLEMENTO NUTRICIONAL, NO APLICA, SIN DATO"</formula1>
    </dataValidation>
    <dataValidation type="list" allowBlank="1" showInputMessage="1" showErrorMessage="1" sqref="HZ2:HZ10"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10 KF2:KF10" xr:uid="{00000000-0002-0000-0200-00005C000000}">
      <formula1>44561</formula1>
    </dataValidation>
    <dataValidation type="list" operator="greaterThan" allowBlank="1" showInputMessage="1" showErrorMessage="1" error="SOLO FECHA" sqref="DO2:DO10" xr:uid="{00000000-0002-0000-0200-00004A000000}">
      <formula1>"0,1,2,3,4,5,6,7"</formula1>
    </dataValidation>
    <dataValidation operator="greaterThan" allowBlank="1" showInputMessage="1" showErrorMessage="1" error="SOLO FECHA" sqref="DP2:DQ10" xr:uid="{00000000-0002-0000-0200-00004B000000}"/>
    <dataValidation type="date" operator="greaterThanOrEqual" allowBlank="1" showInputMessage="1" showErrorMessage="1" error="REVISAR FECHA INGRESO CPN" sqref="HU2:HU10" xr:uid="{00000000-0002-0000-0200-000001000000}">
      <formula1>R2</formula1>
    </dataValidation>
    <dataValidation type="date" operator="greaterThanOrEqual" allowBlank="1" showInputMessage="1" showErrorMessage="1" error="REVISAR FECHA INGRESO CPN" sqref="HW2:HW10" xr:uid="{00000000-0002-0000-0200-000002000000}">
      <formula1>R2</formula1>
    </dataValidation>
    <dataValidation type="date" operator="greaterThanOrEqual" allowBlank="1" showInputMessage="1" showErrorMessage="1" error="REVISAR FECHA INGRESO CPN" sqref="HY2:HY10"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P2:P10</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BX2:BX10</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HD2:HD10</xm:sqref>
        </x14:conditionalFormatting>
        <x14:conditionalFormatting xmlns:xm="http://schemas.microsoft.com/office/excel/2006/main">
          <x14:cfRule type="containsText" priority="26576" operator="containsText" id="{60CDA409-A52C-4FD5-9AA2-107BD535D80F}">
            <xm:f>NOT(ISERROR(SEARCH("NO APLICA",HF2)))</xm:f>
            <xm:f>"NO APLICA"</xm:f>
            <x14:dxf>
              <fill>
                <patternFill>
                  <bgColor rgb="FF92D050"/>
                </patternFill>
              </fill>
            </x14:dxf>
          </x14:cfRule>
          <xm:sqref>HF2:HF10</xm:sqref>
        </x14:conditionalFormatting>
        <x14:conditionalFormatting xmlns:xm="http://schemas.microsoft.com/office/excel/2006/main">
          <x14:cfRule type="containsText" priority="26571" operator="containsText" id="{825EA4C6-02DE-4F6E-A31D-2C9A0976588D}">
            <xm:f>NOT(ISERROR(SEARCH("NO APLICA",HH2)))</xm:f>
            <xm:f>"NO APLICA"</xm:f>
            <x14:dxf>
              <fill>
                <patternFill>
                  <bgColor rgb="FF92D050"/>
                </patternFill>
              </fill>
            </x14:dxf>
          </x14:cfRule>
          <xm:sqref>HH2:HH10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5"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7">
        <f>COUNTIFS(Tabla1[GESTANTES ACTUALES],"ACTIVA INGRESO A CPN")</f>
        <v>5</v>
      </c>
      <c r="C7" s="227">
        <f>COUNTIFS(Tabla1[GESTANTES ACTUALES],"ACTIVA INGRESO A CPN")</f>
        <v>5</v>
      </c>
      <c r="D7" s="227">
        <f>COUNTIFS(Tabla1[GESTANTES ACTUALES],"ACTIVA INGRESO A CPN")</f>
        <v>5</v>
      </c>
      <c r="E7" s="227">
        <f>COUNTIFS(Tabla1[GESTANTES ACTUALES],"ACTIVA INGRESO A CPN")</f>
        <v>5</v>
      </c>
      <c r="F7" s="227">
        <f>COUNTIFS(Tabla1[GESTANTES ACTUALES],"ACTIVA INGRESO A CPN")</f>
        <v>5</v>
      </c>
      <c r="G7" s="227">
        <f>COUNTIFS(Tabla1[GESTANTES ACTUALES],"ACTIVA INGRESO A CPN")</f>
        <v>5</v>
      </c>
      <c r="H7" s="227">
        <f>COUNTIFS(Tabla1[GESTANTES ACTUALES],"ACTIVA INGRESO A CPN")</f>
        <v>5</v>
      </c>
      <c r="I7" s="227">
        <f>COUNTIFS(Tabla1[GESTANTES ACTUALES],"ACTIVA INGRESO A CPN")</f>
        <v>5</v>
      </c>
      <c r="J7" s="227">
        <f>COUNTIFS(Tabla1[GESTANTES ACTUALES],"ACTIVA INGRESO A CPN")</f>
        <v>5</v>
      </c>
      <c r="K7" s="227">
        <f>COUNTIFS(Tabla1[GESTANTES ACTUALES],"ACTIVA INGRESO A CPN")</f>
        <v>5</v>
      </c>
      <c r="L7" s="227">
        <f>COUNTIFS(Tabla1[GESTANTES ACTUALES],"ACTIVA INGRESO A CPN")</f>
        <v>5</v>
      </c>
      <c r="M7" s="227">
        <f>COUNTIFS(Tabla1[GESTANTES ACTUALES],"ACTIVA INGRESO A CPN")</f>
        <v>5</v>
      </c>
    </row>
    <row r="8" spans="1:13" x14ac:dyDescent="0.25">
      <c r="A8" s="75" t="s">
        <v>434</v>
      </c>
      <c r="B8" s="137">
        <f ca="1">COUNTIFS(Tabla1[GESTANTES ACTUALES],"ACTIVA INGRESO A CPN",Tabla1[ALERTA SEGUIMIENTO],"INASISTENTE")</f>
        <v>0</v>
      </c>
      <c r="C8" s="137">
        <f ca="1">COUNTIFS(Tabla1[GESTANTES ACTUALES],"ACTIVA INGRESO A CPN",Tabla1[ALERTA SEGUIMIENTO],"INASISTENTE")</f>
        <v>0</v>
      </c>
      <c r="D8" s="137">
        <f ca="1">COUNTIFS(Tabla1[GESTANTES ACTUALES],"ACTIVA INGRESO A CPN",Tabla1[ALERTA SEGUIMIENTO],"INASISTENTE")</f>
        <v>0</v>
      </c>
      <c r="E8" s="137">
        <f ca="1">COUNTIFS(Tabla1[GESTANTES ACTUALES],"ACTIVA INGRESO A CPN",Tabla1[ALERTA SEGUIMIENTO],"INASISTENTE")</f>
        <v>0</v>
      </c>
      <c r="F8" s="137">
        <f ca="1">COUNTIFS(Tabla1[GESTANTES ACTUALES],"ACTIVA INGRESO A CPN",Tabla1[ALERTA SEGUIMIENTO],"INASISTENTE")</f>
        <v>0</v>
      </c>
      <c r="G8" s="137">
        <f ca="1">COUNTIFS(Tabla1[GESTANTES ACTUALES],"ACTIVA INGRESO A CPN",Tabla1[ALERTA SEGUIMIENTO],"INASISTENTE")</f>
        <v>0</v>
      </c>
      <c r="H8" s="137">
        <f ca="1">COUNTIFS(Tabla1[GESTANTES ACTUALES],"ACTIVA INGRESO A CPN",Tabla1[ALERTA SEGUIMIENTO],"INASISTENTE")</f>
        <v>0</v>
      </c>
      <c r="I8" s="137">
        <f ca="1">COUNTIFS(Tabla1[GESTANTES ACTUALES],"ACTIVA INGRESO A CPN",Tabla1[ALERTA SEGUIMIENTO],"INASISTENTE")</f>
        <v>0</v>
      </c>
      <c r="J8" s="137">
        <f ca="1">COUNTIFS(Tabla1[GESTANTES ACTUALES],"ACTIVA INGRESO A CPN",Tabla1[ALERTA SEGUIMIENTO],"INASISTENTE")</f>
        <v>0</v>
      </c>
      <c r="K8" s="137">
        <f ca="1">COUNTIFS(Tabla1[GESTANTES ACTUALES],"ACTIVA INGRESO A CPN",Tabla1[ALERTA SEGUIMIENTO],"INASISTENTE")</f>
        <v>0</v>
      </c>
      <c r="L8" s="137">
        <f ca="1">COUNTIFS(Tabla1[GESTANTES ACTUALES],"ACTIVA INGRESO A CPN",Tabla1[ALERTA SEGUIMIENTO],"INASISTENTE")</f>
        <v>0</v>
      </c>
      <c r="M8" s="137">
        <f ca="1">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f t="shared" ref="B11:M11" ca="1" si="0">IF(B7=0,"",SUM(B8/B7))</f>
        <v>0</v>
      </c>
      <c r="C11" s="71">
        <f t="shared" ca="1" si="0"/>
        <v>0</v>
      </c>
      <c r="D11" s="71">
        <f t="shared" ca="1" si="0"/>
        <v>0</v>
      </c>
      <c r="E11" s="71">
        <f t="shared" ca="1" si="0"/>
        <v>0</v>
      </c>
      <c r="F11" s="71">
        <f t="shared" ca="1" si="0"/>
        <v>0</v>
      </c>
      <c r="G11" s="71">
        <f t="shared" ca="1" si="0"/>
        <v>0</v>
      </c>
      <c r="H11" s="71">
        <f t="shared" ca="1" si="0"/>
        <v>0</v>
      </c>
      <c r="I11" s="71">
        <f t="shared" ca="1" si="0"/>
        <v>0</v>
      </c>
      <c r="J11" s="71">
        <f t="shared" ca="1" si="0"/>
        <v>0</v>
      </c>
      <c r="K11" s="71">
        <f t="shared" ca="1" si="0"/>
        <v>0</v>
      </c>
      <c r="L11" s="71">
        <f t="shared" ca="1" si="0"/>
        <v>0</v>
      </c>
      <c r="M11" s="71">
        <f t="shared" ca="1" si="0"/>
        <v>0</v>
      </c>
    </row>
    <row r="12" spans="1:13" ht="15.75" thickBot="1" x14ac:dyDescent="0.3">
      <c r="A12" s="78"/>
      <c r="B12" s="226"/>
      <c r="C12" s="103"/>
      <c r="D12" s="103"/>
      <c r="E12" s="103"/>
      <c r="F12" s="103"/>
      <c r="G12" s="103"/>
      <c r="H12" s="103"/>
      <c r="I12" s="103"/>
      <c r="J12" s="103"/>
      <c r="K12" s="103"/>
      <c r="L12" s="103"/>
      <c r="M12" s="103"/>
    </row>
    <row r="13" spans="1:13" ht="19.5" thickBot="1" x14ac:dyDescent="0.35">
      <c r="A13" s="229" t="s">
        <v>800</v>
      </c>
      <c r="B13" s="238" t="s">
        <v>812</v>
      </c>
      <c r="C13" s="239"/>
      <c r="D13" s="240" t="s">
        <v>833</v>
      </c>
      <c r="E13" s="241"/>
      <c r="F13" s="103"/>
      <c r="G13" s="103"/>
      <c r="H13" s="103"/>
      <c r="I13" s="103"/>
      <c r="J13" s="103"/>
      <c r="K13" s="103"/>
      <c r="L13" s="103"/>
      <c r="M13" s="103"/>
    </row>
    <row r="14" spans="1:13" ht="26.25" thickBot="1" x14ac:dyDescent="0.3">
      <c r="A14" s="225" t="s">
        <v>803</v>
      </c>
      <c r="B14" s="228">
        <f ca="1">COUNTIFS(Tabla1[GESTANTES ACTUALES],"ACTIVA INGRESO A CPN",Tabla1[RIESGO BIOPSICOSOCIAL],"ALTO RIESGO",Tabla1[FECHA ASISTENCIA PRIMERA VEZ CON GINECOLOGÍA],"&lt;&gt;",Tabla1[ASEGURADORA],$A$13)</f>
        <v>1</v>
      </c>
      <c r="C14" s="244">
        <f ca="1">IFERROR((SUM(B14/B15)),"")</f>
        <v>1</v>
      </c>
      <c r="D14" s="228">
        <f ca="1">COUNTIFS(Tabla1[GESTANTES ACTUALES],"ACTIVA INGRESO A CPN",Tabla1[RIESGO BIOPSICOSOCIAL],"ALTO RIESGO",Tabla1[FECHA ASISTENCIA PRIMERA VEZ CON GINECOLOGÍA],"&lt;&gt;")</f>
        <v>1</v>
      </c>
      <c r="E14" s="244">
        <f ca="1">IFERROR(SUM(D14/D15),"")</f>
        <v>1</v>
      </c>
      <c r="F14" s="103"/>
      <c r="G14" s="103"/>
      <c r="H14" s="103"/>
      <c r="I14" s="103"/>
      <c r="J14" s="103"/>
      <c r="K14" s="103"/>
      <c r="L14" s="103"/>
      <c r="M14" s="103"/>
    </row>
    <row r="15" spans="1:13" ht="23.25" customHeight="1" thickBot="1" x14ac:dyDescent="0.3">
      <c r="A15" s="225" t="s">
        <v>802</v>
      </c>
      <c r="B15" s="228">
        <f ca="1">COUNTIFS(Tabla1[GESTANTES ACTUALES],"ACTIVA INGRESO A CPN",Tabla1[RIESGO BIOPSICOSOCIAL],"ALTO RIESGO",Tabla1[ASEGURADORA],$A$13)</f>
        <v>1</v>
      </c>
      <c r="C15" s="245"/>
      <c r="D15" s="228">
        <f ca="1">COUNTIFS(Tabla1[GESTANTES ACTUALES],"ACTIVA INGRESO A CPN",Tabla1[RIESGO BIOPSICOSOCIAL],"ALTO RIESGO")</f>
        <v>1</v>
      </c>
      <c r="E15" s="245"/>
      <c r="F15" s="103"/>
      <c r="G15" s="103"/>
      <c r="H15" s="103"/>
      <c r="I15" s="103"/>
      <c r="J15" s="103"/>
      <c r="K15" s="103"/>
      <c r="L15" s="103"/>
      <c r="M15" s="103"/>
    </row>
    <row r="16" spans="1:13" ht="19.5" thickBot="1" x14ac:dyDescent="0.35">
      <c r="B16" s="238" t="s">
        <v>812</v>
      </c>
      <c r="C16" s="239"/>
      <c r="D16" s="240" t="s">
        <v>833</v>
      </c>
      <c r="E16" s="241"/>
      <c r="F16" s="103"/>
      <c r="G16" s="103"/>
      <c r="H16" s="103"/>
      <c r="I16" s="103"/>
      <c r="J16" s="103"/>
      <c r="K16" s="103"/>
      <c r="L16" s="103"/>
      <c r="M16" s="103"/>
    </row>
    <row r="17" spans="1:13" ht="26.25" thickBot="1" x14ac:dyDescent="0.3">
      <c r="A17" s="225" t="s">
        <v>811</v>
      </c>
      <c r="B17" s="228">
        <f>COUNTIFS(Tabla1[GESTANTES ACTUALES],"ACTIVA INGRESO A CPN",Tabla1['# DE MUJERES CON SUMINISTRO ADECUADO DE MICRONUTRIENTES],"COMPLETO",Tabla1[ASEGURADORA],$A$13)</f>
        <v>2</v>
      </c>
      <c r="C17" s="246">
        <f>IFERROR(SUM(B17/B18),"")</f>
        <v>0.4</v>
      </c>
      <c r="D17" s="228">
        <f>COUNTIFS(Tabla1[GESTANTES ACTUALES],"ACTIVA INGRESO A CPN",Tabla1['# DE MUJERES CON SUMINISTRO ADECUADO DE MICRONUTRIENTES],"COMPLETO")</f>
        <v>2</v>
      </c>
      <c r="E17" s="246">
        <f>IFERROR(SUM(D17/D18),"")</f>
        <v>0.4</v>
      </c>
      <c r="F17" s="103"/>
      <c r="G17" s="103"/>
      <c r="H17" s="103"/>
      <c r="I17" s="103"/>
      <c r="J17" s="103"/>
      <c r="K17" s="103"/>
      <c r="L17" s="103"/>
      <c r="M17" s="103"/>
    </row>
    <row r="18" spans="1:13" ht="15.75" thickBot="1" x14ac:dyDescent="0.3">
      <c r="A18" s="75" t="s">
        <v>440</v>
      </c>
      <c r="B18" s="228">
        <f>COUNTIFS(Tabla1[GESTANTES ACTUALES],"ACTIVA INGRESO A CPN",Tabla1[ASEGURADORA],$A$13)</f>
        <v>5</v>
      </c>
      <c r="C18" s="247"/>
      <c r="D18" s="228">
        <f>COUNTIFS(Tabla1[GESTANTES ACTUALES],"ACTIVA INGRESO A CPN")</f>
        <v>5</v>
      </c>
      <c r="E18" s="247"/>
      <c r="F18" s="103"/>
      <c r="G18" s="103"/>
      <c r="H18" s="103"/>
      <c r="I18" s="103"/>
      <c r="J18" s="103"/>
      <c r="K18" s="103"/>
      <c r="L18" s="103"/>
      <c r="M18" s="103"/>
    </row>
    <row r="19" spans="1:13" ht="19.5" thickBot="1" x14ac:dyDescent="0.35">
      <c r="B19" s="238" t="s">
        <v>812</v>
      </c>
      <c r="C19" s="239"/>
      <c r="D19" s="240" t="s">
        <v>833</v>
      </c>
      <c r="E19" s="241"/>
      <c r="F19" s="103"/>
      <c r="G19" s="103"/>
      <c r="H19" s="103"/>
      <c r="I19" s="103"/>
      <c r="J19" s="103"/>
      <c r="K19" s="103"/>
      <c r="L19" s="103"/>
      <c r="M19" s="103"/>
    </row>
    <row r="20" spans="1:13" ht="26.25" thickBot="1" x14ac:dyDescent="0.3">
      <c r="A20" s="225" t="s">
        <v>832</v>
      </c>
      <c r="B20" s="228">
        <f ca="1">COUNTIFS(Tabla1[GESTANTES ACTUALES],"ACTIVA INGRESO A CPN",Tabla1[Alarma de apoyo Tamizaje Sífilis],"COMPLETO",Tabla1[ASEGURADORA],$A$13)</f>
        <v>0</v>
      </c>
      <c r="C20" s="242">
        <f ca="1">IFERROR(SUM(B20/B21),"")</f>
        <v>0</v>
      </c>
      <c r="D20" s="228">
        <f ca="1">COUNTIFS(Tabla1[GESTANTES ACTUALES],"ACTIVA INGRESO A CPN",Tabla1[Alarma de apoyo Tamizaje Sífilis],"COMPLETO")</f>
        <v>0</v>
      </c>
      <c r="E20" s="242">
        <f ca="1">IFERROR(SUM(D20/D21),"")</f>
        <v>0</v>
      </c>
      <c r="F20" s="103"/>
      <c r="G20" s="103"/>
      <c r="H20" s="103"/>
      <c r="I20" s="103"/>
      <c r="J20" s="103"/>
      <c r="K20" s="103"/>
      <c r="L20" s="103"/>
      <c r="M20" s="103"/>
    </row>
    <row r="21" spans="1:13" ht="15.75" customHeight="1" thickBot="1" x14ac:dyDescent="0.3">
      <c r="A21" s="75" t="s">
        <v>440</v>
      </c>
      <c r="B21" s="228">
        <f>COUNTIFS(Tabla1[GESTANTES ACTUALES],"ACTIVA INGRESO A CPN",Tabla1[ASEGURADORA],$A$13)</f>
        <v>5</v>
      </c>
      <c r="C21" s="243"/>
      <c r="D21" s="228">
        <f>COUNTIFS(Tabla1[GESTANTES ACTUALES],"ACTIVA INGRESO A CPN")</f>
        <v>5</v>
      </c>
      <c r="E21" s="243"/>
      <c r="F21" s="103"/>
      <c r="G21" s="103"/>
      <c r="H21" s="103"/>
      <c r="I21" s="103"/>
      <c r="J21" s="103"/>
      <c r="K21" s="103"/>
      <c r="L21" s="103"/>
      <c r="M21" s="103"/>
    </row>
    <row r="22" spans="1:13" ht="19.5" thickBot="1" x14ac:dyDescent="0.35">
      <c r="B22" s="238" t="s">
        <v>812</v>
      </c>
      <c r="C22" s="239"/>
      <c r="D22" s="240" t="s">
        <v>833</v>
      </c>
      <c r="E22" s="241"/>
      <c r="F22" s="103"/>
      <c r="G22" s="103"/>
      <c r="H22" s="103"/>
      <c r="I22" s="103"/>
      <c r="J22" s="103"/>
      <c r="K22" s="103"/>
      <c r="L22" s="103"/>
      <c r="M22" s="103"/>
    </row>
    <row r="23" spans="1:13" ht="26.25" thickBot="1" x14ac:dyDescent="0.3">
      <c r="A23" s="225" t="s">
        <v>836</v>
      </c>
      <c r="B23" s="228">
        <f ca="1">COUNTIFS(Tabla1[GESTANTES ACTUALES],"ACTIVA INGRESO A CPN",Tabla1[Alarma de apoyo Tamizaje VIH],"COMPLETO",Tabla1[ASEGURADORA],$A$13)</f>
        <v>0</v>
      </c>
      <c r="C23" s="242">
        <f ca="1">IFERROR(SUM(B23/B24),"")</f>
        <v>0</v>
      </c>
      <c r="D23" s="228">
        <f ca="1">COUNTIFS(Tabla1[GESTANTES ACTUALES],"ACTIVA INGRESO A CPN",Tabla1[Alarma de apoyo Tamizaje VIH],"COMPLETO")</f>
        <v>0</v>
      </c>
      <c r="E23" s="242">
        <f ca="1">IFERROR(SUM(D23/D24),"")</f>
        <v>0</v>
      </c>
      <c r="F23" s="103"/>
      <c r="G23" s="103"/>
      <c r="H23" s="103"/>
      <c r="I23" s="103"/>
      <c r="J23" s="103"/>
      <c r="K23" s="103"/>
      <c r="L23" s="103"/>
      <c r="M23" s="103"/>
    </row>
    <row r="24" spans="1:13" ht="15.75" thickBot="1" x14ac:dyDescent="0.3">
      <c r="A24" s="75" t="s">
        <v>440</v>
      </c>
      <c r="B24" s="228">
        <f>COUNTIFS(Tabla1[GESTANTES ACTUALES],"ACTIVA INGRESO A CPN",Tabla1[ASEGURADORA],$A$13)</f>
        <v>5</v>
      </c>
      <c r="C24" s="243"/>
      <c r="D24" s="228">
        <f>COUNTIFS(Tabla1[GESTANTES ACTUALES],"ACTIVA INGRESO A CPN")</f>
        <v>5</v>
      </c>
      <c r="E24" s="243"/>
      <c r="F24" s="103"/>
      <c r="G24" s="103"/>
      <c r="H24" s="103"/>
      <c r="I24" s="103"/>
      <c r="J24" s="103"/>
      <c r="K24" s="103"/>
      <c r="L24" s="103"/>
      <c r="M24" s="103"/>
    </row>
    <row r="25" spans="1:13" ht="19.5" thickBot="1" x14ac:dyDescent="0.35">
      <c r="B25" s="238" t="s">
        <v>812</v>
      </c>
      <c r="C25" s="239"/>
      <c r="D25" s="240" t="s">
        <v>833</v>
      </c>
      <c r="E25" s="241"/>
      <c r="F25" s="103"/>
      <c r="G25" s="103"/>
      <c r="H25" s="103"/>
      <c r="I25" s="103"/>
      <c r="J25" s="103"/>
      <c r="K25" s="103"/>
      <c r="L25" s="103"/>
      <c r="M25" s="103"/>
    </row>
    <row r="26" spans="1:13" ht="26.25" thickBot="1" x14ac:dyDescent="0.3">
      <c r="A26" s="225" t="s">
        <v>835</v>
      </c>
      <c r="B26" s="228">
        <f ca="1">COUNTIFS(Tabla1[GESTANTES ACTUALES],"ACTIVA INGRESO A CPN",Tabla1[SEMANAS DE GESTACION ACTUALIZADAS],"&gt;36",Tabla1[SEMANAS DE GESTACION ACTUALIZADAS],"&lt;44",Tabla1[FECHA DE CONCERTACIÓN PLAN DE PARTO (Soporte HC)],"&lt;&gt;",Tabla1[ASEGURADORA],$A$13)</f>
        <v>0</v>
      </c>
      <c r="C26" s="242" t="str">
        <f ca="1">IFERROR(SUM(B26/B27),"")</f>
        <v/>
      </c>
      <c r="D26" s="228">
        <f ca="1">COUNTIFS(Tabla1[GESTANTES ACTUALES],"ACTIVA INGRESO A CPN",Tabla1[SEMANAS DE GESTACION ACTUALIZADAS],"&gt;36",Tabla1[SEMANAS DE GESTACION ACTUALIZADAS],"&lt;44",Tabla1[FECHA DE CONCERTACIÓN PLAN DE PARTO (Soporte HC)],"&lt;&gt;")</f>
        <v>0</v>
      </c>
      <c r="E26" s="242" t="str">
        <f ca="1">IFERROR(SUM(D26/D27),"")</f>
        <v/>
      </c>
      <c r="F26" s="103"/>
      <c r="G26" s="103"/>
      <c r="H26" s="103"/>
      <c r="I26" s="103"/>
      <c r="J26" s="103"/>
      <c r="K26" s="103"/>
      <c r="L26" s="103"/>
      <c r="M26" s="103"/>
    </row>
    <row r="27" spans="1:13" ht="15.75" thickBot="1" x14ac:dyDescent="0.3">
      <c r="A27" s="75" t="s">
        <v>834</v>
      </c>
      <c r="B27" s="228">
        <f ca="1">COUNTIFS(Tabla1[GESTANTES ACTUALES],"ACTIVA INGRESO A CPN",Tabla1[SEMANAS DE GESTACION ACTUALIZADAS],"&gt;36",Tabla1[SEMANAS DE GESTACION ACTUALIZADAS],"&lt;44",Tabla1[ASEGURADORA],$A$13)</f>
        <v>0</v>
      </c>
      <c r="C27" s="243"/>
      <c r="D27" s="228">
        <f ca="1">COUNTIFS(Tabla1[GESTANTES ACTUALES],"ACTIVA INGRESO A CPN",Tabla1[SEMANAS DE GESTACION ACTUALIZADAS],"&gt;36",Tabla1[SEMANAS DE GESTACION ACTUALIZADAS],"&lt;44")</f>
        <v>0</v>
      </c>
      <c r="E27" s="243"/>
      <c r="F27" s="103"/>
      <c r="G27" s="103"/>
      <c r="H27" s="103"/>
      <c r="I27" s="103"/>
      <c r="J27" s="103"/>
      <c r="K27" s="103"/>
      <c r="L27" s="103"/>
      <c r="M27" s="103"/>
    </row>
    <row r="28" spans="1:13" ht="19.5" thickBot="1" x14ac:dyDescent="0.35">
      <c r="B28" s="238" t="s">
        <v>812</v>
      </c>
      <c r="C28" s="239"/>
      <c r="D28" s="240" t="s">
        <v>833</v>
      </c>
      <c r="E28" s="241"/>
      <c r="F28" s="103"/>
      <c r="G28" s="103"/>
      <c r="H28" s="103"/>
      <c r="I28" s="103"/>
      <c r="J28" s="103"/>
      <c r="K28" s="103"/>
      <c r="L28" s="103"/>
      <c r="M28" s="103"/>
    </row>
    <row r="29" spans="1:13" ht="26.25" thickBot="1" x14ac:dyDescent="0.3">
      <c r="A29" s="236" t="s">
        <v>850</v>
      </c>
      <c r="B29" s="228">
        <f ca="1">COUNTIFS(Tabla1[GESTANTES ACTUALES],"ACTIVA INGRESO A CPN",Tabla1[SEMANAS DE GESTACION ACTUALIZADAS],"&gt;36",Tabla1[SEMANAS DE GESTACION ACTUALIZADAS],"&lt;44",Tabla1[FECHA VACUNA DPT ACELULAR],"&lt;&gt;",Tabla1[ASEGURADORA],$A$13)</f>
        <v>0</v>
      </c>
      <c r="C29" s="242" t="str">
        <f ca="1">IFERROR(SUM(B29/B30),"")</f>
        <v/>
      </c>
      <c r="D29" s="228">
        <f ca="1">COUNTIFS(Tabla1[GESTANTES ACTUALES],"ACTIVA INGRESO A CPN",Tabla1[SEMANAS DE GESTACION ACTUALIZADAS],"&gt;36",Tabla1[SEMANAS DE GESTACION ACTUALIZADAS],"&lt;44",Tabla1[FECHA VACUNA DPT ACELULAR],"&lt;&gt;")</f>
        <v>0</v>
      </c>
      <c r="E29" s="242" t="str">
        <f ca="1">IFERROR(SUM(D29/D30),"")</f>
        <v/>
      </c>
      <c r="F29" s="103"/>
      <c r="G29" s="103"/>
      <c r="H29" s="103"/>
      <c r="I29" s="103"/>
      <c r="J29" s="103"/>
      <c r="K29" s="103"/>
      <c r="L29" s="103"/>
      <c r="M29" s="103"/>
    </row>
    <row r="30" spans="1:13" ht="15.75" thickBot="1" x14ac:dyDescent="0.3">
      <c r="A30" s="75" t="s">
        <v>834</v>
      </c>
      <c r="B30" s="228">
        <f ca="1">COUNTIFS(Tabla1[GESTANTES ACTUALES],"ACTIVA INGRESO A CPN",Tabla1[SEMANAS DE GESTACION ACTUALIZADAS],"&gt;36",Tabla1[SEMANAS DE GESTACION ACTUALIZADAS],"&lt;44",Tabla1[ASEGURADORA],$A$13)</f>
        <v>0</v>
      </c>
      <c r="C30" s="243"/>
      <c r="D30" s="228">
        <f ca="1">COUNTIFS(Tabla1[GESTANTES ACTUALES],"ACTIVA INGRESO A CPN",Tabla1[SEMANAS DE GESTACION ACTUALIZADAS],"&gt;36",Tabla1[SEMANAS DE GESTACION ACTUALIZADAS],"&lt;44")</f>
        <v>0</v>
      </c>
      <c r="E30" s="243"/>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0"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1"/>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1</v>
      </c>
      <c r="J40" s="115">
        <f>COUNTIFS(Tabla1[AÑO3 INGRESO CPN],B4,Tabla1[MES2 INGRESO CPN],J6)</f>
        <v>2</v>
      </c>
      <c r="K40" s="115">
        <f>COUNTIFS(Tabla1[AÑO3 INGRESO CPN],B4,Tabla1[MES2 INGRESO CPN],K6)</f>
        <v>1</v>
      </c>
      <c r="L40" s="115">
        <f>COUNTIFS(Tabla1[AÑO3 INGRESO CPN],B4,Tabla1[MES2 INGRESO CPN],L6)</f>
        <v>0</v>
      </c>
      <c r="M40" s="115">
        <f>COUNTIFS(Tabla1[AÑO3 INGRESO CPN],B4,Tabla1[MES2 INGRESO CPN],M6)</f>
        <v>0</v>
      </c>
      <c r="N40" s="124">
        <f>SUM(B40:M40)</f>
        <v>7</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1</v>
      </c>
      <c r="J41" s="116">
        <f>COUNTIFS(Tabla1[AÑO3 INGRESO CPN],B4,Tabla1[MES2 INGRESO CPN],J6,Tabla1[TRIMESTRE DE  INGRESO AL CPN],"I TRIM")</f>
        <v>1</v>
      </c>
      <c r="K41" s="116">
        <f>COUNTIFS(Tabla1[AÑO3 INGRESO CPN],B4,Tabla1[MES2 INGRESO CPN],K6,Tabla1[TRIMESTRE DE  INGRESO AL CPN],"I TRIM")</f>
        <v>1</v>
      </c>
      <c r="L41" s="116">
        <f>COUNTIFS(Tabla1[AÑO3 INGRESO CPN],B4,Tabla1[MES2 INGRESO CPN],L6,Tabla1[TRIMESTRE DE  INGRESO AL CPN],"I TRIM")</f>
        <v>0</v>
      </c>
      <c r="M41" s="116">
        <f>COUNTIFS(Tabla1[AÑO3 INGRESO CPN],B4,Tabla1[MES2 INGRESO CPN],M6,Tabla1[TRIMESTRE DE  INGRESO AL CPN],"I TRIM")</f>
        <v>0</v>
      </c>
      <c r="N41" s="125">
        <f>SUM(B41:M41)</f>
        <v>6</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f t="shared" si="2"/>
        <v>1</v>
      </c>
      <c r="J42" s="118">
        <f t="shared" si="2"/>
        <v>0.5</v>
      </c>
      <c r="K42" s="118">
        <f t="shared" si="2"/>
        <v>1</v>
      </c>
      <c r="L42" s="118" t="str">
        <f t="shared" si="2"/>
        <v/>
      </c>
      <c r="M42" s="118" t="str">
        <f t="shared" si="2"/>
        <v/>
      </c>
      <c r="N42" s="119">
        <f t="shared" si="2"/>
        <v>0.8571428571428571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1</v>
      </c>
      <c r="J43" s="143">
        <f>COUNTIFS(Tabla1[AÑO3 INGRESO CPN],B4,Tabla1[MES2 INGRESO CPN],J6,Tabla1[CAPTACIÓN A SEMANA 10],"I TRIM")</f>
        <v>1</v>
      </c>
      <c r="K43" s="143">
        <f>COUNTIFS(Tabla1[AÑO3 INGRESO CPN],B4,Tabla1[MES2 INGRESO CPN],K6,Tabla1[CAPTACIÓN A SEMANA 10],"I TRIM")</f>
        <v>1</v>
      </c>
      <c r="L43" s="143">
        <f>COUNTIFS(Tabla1[AÑO3 INGRESO CPN],B4,Tabla1[MES2 INGRESO CPN],L6,Tabla1[CAPTACIÓN A SEMANA 10],"I TRIM")</f>
        <v>0</v>
      </c>
      <c r="M43" s="143">
        <f>COUNTIFS(Tabla1[AÑO3 INGRESO CPN],B4,Tabla1[MES2 INGRESO CPN],M6,Tabla1[CAPTACIÓN A SEMANA 10],"I TRIM")</f>
        <v>0</v>
      </c>
      <c r="N43" s="125">
        <f>SUM(B43:M43)</f>
        <v>3</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f t="shared" si="3"/>
        <v>1</v>
      </c>
      <c r="J44" s="118">
        <f t="shared" si="3"/>
        <v>0.5</v>
      </c>
      <c r="K44" s="118">
        <f t="shared" si="3"/>
        <v>1</v>
      </c>
      <c r="L44" s="118" t="str">
        <f t="shared" si="3"/>
        <v/>
      </c>
      <c r="M44" s="118" t="str">
        <f t="shared" si="3"/>
        <v/>
      </c>
      <c r="N44" s="119">
        <f>IF(N40=0,"",SUM(N43/N40))</f>
        <v>0.42857142857142855</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1</v>
      </c>
      <c r="J45" s="115">
        <f t="shared" si="4"/>
        <v>2</v>
      </c>
      <c r="K45" s="115">
        <f t="shared" si="4"/>
        <v>1</v>
      </c>
      <c r="L45" s="115">
        <f t="shared" si="4"/>
        <v>0</v>
      </c>
      <c r="M45" s="115">
        <f t="shared" si="4"/>
        <v>0</v>
      </c>
      <c r="N45" s="124">
        <f>SUM(B45:M45)</f>
        <v>7</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1</v>
      </c>
      <c r="J46" s="116">
        <f t="shared" si="5"/>
        <v>1</v>
      </c>
      <c r="K46" s="116">
        <f t="shared" si="5"/>
        <v>1</v>
      </c>
      <c r="L46" s="116">
        <f t="shared" si="5"/>
        <v>0</v>
      </c>
      <c r="M46" s="116">
        <f t="shared" si="5"/>
        <v>0</v>
      </c>
      <c r="N46" s="125">
        <f>SUM(B46:M46)</f>
        <v>6</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f t="shared" si="6"/>
        <v>1</v>
      </c>
      <c r="J47" s="118">
        <f t="shared" si="6"/>
        <v>0.5</v>
      </c>
      <c r="K47" s="118">
        <f t="shared" si="6"/>
        <v>1</v>
      </c>
      <c r="L47" s="118" t="str">
        <f t="shared" si="6"/>
        <v/>
      </c>
      <c r="M47" s="118" t="str">
        <f t="shared" si="6"/>
        <v/>
      </c>
      <c r="N47" s="119">
        <f>IF(N45=0,"",SUM(N46/N45))</f>
        <v>0.8571428571428571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2"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 ca="1">COUNTIFS(Tabla1[AÑO3 INGRESO CPN],$B$4,Tabla1[MES2 INGRESO CPN],I6,Tabla1[RIESGO BIOPSICOSOCIAL],"ALTO RIESGO",Tabla1[FECHA ASISTENCIA PRIMERA VEZ CON GINECOLOGÍA],"&lt;&gt;")</f>
        <v>0</v>
      </c>
      <c r="J50" s="116">
        <f ca="1">COUNTIFS(Tabla1[AÑO3 INGRESO CPN],$B$4,Tabla1[MES2 INGRESO CPN],J6,Tabla1[RIESGO BIOPSICOSOCIAL],"ALTO RIESGO",Tabla1[FECHA ASISTENCIA PRIMERA VEZ CON GINECOLOGÍA],"&lt;&gt;")</f>
        <v>1</v>
      </c>
      <c r="K50" s="116">
        <f ca="1">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1</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 ca="1">COUNTIFS(Tabla1[AÑO3 INGRESO CPN],$B$4,Tabla1[MES2 INGRESO CPN],I6,Tabla1[RIESGO BIOPSICOSOCIAL],"ALTO RIESGO")</f>
        <v>0</v>
      </c>
      <c r="J51" s="116">
        <f ca="1">COUNTIFS(Tabla1[AÑO3 INGRESO CPN],$B$4,Tabla1[MES2 INGRESO CPN],J6,Tabla1[RIESGO BIOPSICOSOCIAL],"ALTO RIESGO")</f>
        <v>1</v>
      </c>
      <c r="K51" s="116">
        <f ca="1">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1</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ca="1" si="8"/>
        <v/>
      </c>
      <c r="J52" s="118">
        <f t="shared" ca="1" si="8"/>
        <v>1</v>
      </c>
      <c r="K52" s="118" t="str">
        <f t="shared" ca="1" si="8"/>
        <v/>
      </c>
      <c r="L52" s="118" t="str">
        <f t="shared" si="8"/>
        <v/>
      </c>
      <c r="M52" s="118" t="str">
        <f t="shared" si="8"/>
        <v/>
      </c>
      <c r="N52" s="119">
        <f t="shared" ca="1" si="8"/>
        <v>1</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2"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1</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3</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f t="shared" si="25"/>
        <v>1</v>
      </c>
      <c r="J86" s="118">
        <f t="shared" si="25"/>
        <v>0</v>
      </c>
      <c r="K86" s="118">
        <f t="shared" si="25"/>
        <v>0</v>
      </c>
      <c r="L86" s="118" t="str">
        <f t="shared" si="25"/>
        <v/>
      </c>
      <c r="M86" s="118" t="str">
        <f t="shared" si="25"/>
        <v/>
      </c>
      <c r="N86" s="119">
        <f t="shared" si="25"/>
        <v>0.42857142857142855</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f t="shared" si="26"/>
        <v>0</v>
      </c>
      <c r="J88" s="118">
        <f>IF(J$40=0,"",SUM(J87/J$40))</f>
        <v>0</v>
      </c>
      <c r="K88" s="118">
        <f t="shared" si="26"/>
        <v>0</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3"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3"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3"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4"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3"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2"/>
      <c r="C133" s="253"/>
      <c r="D133" s="253"/>
      <c r="E133" s="253"/>
      <c r="F133" s="253"/>
      <c r="G133" s="253"/>
      <c r="H133" s="253"/>
      <c r="I133" s="253"/>
      <c r="J133" s="253"/>
      <c r="K133" s="253"/>
      <c r="L133" s="253"/>
      <c r="M133" s="253"/>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2"/>
      <c r="C135" s="253"/>
      <c r="D135" s="253"/>
      <c r="E135" s="253"/>
      <c r="F135" s="253"/>
      <c r="G135" s="253"/>
      <c r="H135" s="253"/>
      <c r="I135" s="253"/>
      <c r="J135" s="253"/>
      <c r="K135" s="253"/>
      <c r="L135" s="253"/>
      <c r="M135" s="253"/>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4"/>
      <c r="C137" s="255"/>
      <c r="D137" s="255"/>
      <c r="E137" s="255"/>
      <c r="F137" s="255"/>
      <c r="G137" s="255"/>
      <c r="H137" s="255"/>
      <c r="I137" s="255"/>
      <c r="J137" s="255"/>
      <c r="K137" s="255"/>
      <c r="L137" s="255"/>
      <c r="M137" s="255"/>
      <c r="N137" s="205" t="str">
        <f>IF(N$128=0,"",SUM((N136/N$128)*100000))</f>
        <v/>
      </c>
    </row>
    <row r="138" spans="1:14" ht="26.25" thickBot="1" x14ac:dyDescent="0.3">
      <c r="A138" s="201" t="s">
        <v>746</v>
      </c>
      <c r="B138" s="254" t="str">
        <f t="shared" ref="B138:N138" si="45">IF(B$136=0,"",SUM(B134/B136))</f>
        <v/>
      </c>
      <c r="C138" s="255" t="str">
        <f t="shared" si="45"/>
        <v/>
      </c>
      <c r="D138" s="255" t="str">
        <f t="shared" si="45"/>
        <v/>
      </c>
      <c r="E138" s="255" t="str">
        <f t="shared" si="45"/>
        <v/>
      </c>
      <c r="F138" s="255" t="str">
        <f t="shared" si="45"/>
        <v/>
      </c>
      <c r="G138" s="255" t="str">
        <f t="shared" si="45"/>
        <v/>
      </c>
      <c r="H138" s="255" t="str">
        <f t="shared" si="45"/>
        <v/>
      </c>
      <c r="I138" s="255" t="str">
        <f t="shared" si="45"/>
        <v/>
      </c>
      <c r="J138" s="255" t="str">
        <f t="shared" si="45"/>
        <v/>
      </c>
      <c r="K138" s="255" t="str">
        <f t="shared" si="45"/>
        <v/>
      </c>
      <c r="L138" s="255" t="str">
        <f t="shared" si="45"/>
        <v/>
      </c>
      <c r="M138" s="255"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48" t="str">
        <f>IF(B$139=0,"",SUM(B136/B139))</f>
        <v/>
      </c>
      <c r="C140" s="249"/>
      <c r="D140" s="249"/>
      <c r="E140" s="249"/>
      <c r="F140" s="249"/>
      <c r="G140" s="249"/>
      <c r="H140" s="249"/>
      <c r="I140" s="249"/>
      <c r="J140" s="249"/>
      <c r="K140" s="249"/>
      <c r="L140" s="249"/>
      <c r="M140" s="249"/>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f t="shared" si="46"/>
        <v>0</v>
      </c>
      <c r="J145" s="71">
        <f t="shared" si="46"/>
        <v>0</v>
      </c>
      <c r="K145" s="71">
        <f t="shared" si="46"/>
        <v>0</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f t="shared" si="47"/>
        <v>0</v>
      </c>
      <c r="J147" s="71">
        <f t="shared" si="47"/>
        <v>0</v>
      </c>
      <c r="K147" s="71">
        <f t="shared" si="47"/>
        <v>0</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f t="shared" si="48"/>
        <v>0</v>
      </c>
      <c r="J149" s="71">
        <f t="shared" si="48"/>
        <v>0</v>
      </c>
      <c r="K149" s="71">
        <f t="shared" si="48"/>
        <v>0</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f t="shared" si="49"/>
        <v>0</v>
      </c>
      <c r="J151" s="71">
        <f t="shared" si="49"/>
        <v>0</v>
      </c>
      <c r="K151" s="71">
        <f t="shared" si="49"/>
        <v>0</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f t="shared" si="50"/>
        <v>0</v>
      </c>
      <c r="J153" s="71">
        <f t="shared" si="50"/>
        <v>0</v>
      </c>
      <c r="K153" s="71">
        <f t="shared" si="50"/>
        <v>0</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20" priority="45" operator="containsText" text="SE TRASLADO DE EPS">
      <formula>NOT(ISERROR(SEARCH("SE TRASLADO DE EPS",A33)))</formula>
    </cfRule>
    <cfRule type="containsText" dxfId="19" priority="46" operator="containsText" text="INMIGRANTE VENEZOLANA">
      <formula>NOT(ISERROR(SEARCH("INMIGRANTE VENEZOLANA",A33)))</formula>
    </cfRule>
    <cfRule type="containsText" dxfId="18" priority="47" operator="containsText" text="SIN AFILIACIÓN A EPS">
      <formula>NOT(ISERROR(SEARCH("SIN AFILIACIÓN A EPS",A33)))</formula>
    </cfRule>
    <cfRule type="containsText" dxfId="17" priority="48" operator="containsText" text="NOVEDAD">
      <formula>NOT(ISERROR(SEARCH("NOVEDAD",A33)))</formula>
    </cfRule>
    <cfRule type="containsText" dxfId="16" priority="49" operator="containsText" text="IDENTIDAD">
      <formula>NOT(ISERROR(SEARCH("IDENTIDAD",A33)))</formula>
    </cfRule>
    <cfRule type="containsText" dxfId="15" priority="50" operator="containsText" text="CPN">
      <formula>NOT(ISERROR(SEARCH("CPN",A33)))</formula>
    </cfRule>
    <cfRule type="containsText" dxfId="14" priority="51" operator="containsText" text="VIENE">
      <formula>NOT(ISERROR(SEARCH("VIENE",A33)))</formula>
    </cfRule>
    <cfRule type="cellIs" dxfId="13" priority="52" operator="equal">
      <formula>"TRAMITE DE PORTABILIDAD"</formula>
    </cfRule>
  </conditionalFormatting>
  <conditionalFormatting sqref="A39">
    <cfRule type="containsText" dxfId="12" priority="9" operator="containsText" text="SE TRASLADO DE EPS">
      <formula>NOT(ISERROR(SEARCH("SE TRASLADO DE EPS",A39)))</formula>
    </cfRule>
    <cfRule type="containsText" dxfId="11" priority="10" operator="containsText" text="INMIGRANTE VENEZOLANA">
      <formula>NOT(ISERROR(SEARCH("INMIGRANTE VENEZOLANA",A39)))</formula>
    </cfRule>
    <cfRule type="containsText" dxfId="10" priority="11" operator="containsText" text="SIN AFILIACIÓN A EPS">
      <formula>NOT(ISERROR(SEARCH("SIN AFILIACIÓN A EPS",A39)))</formula>
    </cfRule>
    <cfRule type="containsText" dxfId="9" priority="12" operator="containsText" text="NOVEDAD">
      <formula>NOT(ISERROR(SEARCH("NOVEDAD",A39)))</formula>
    </cfRule>
    <cfRule type="containsText" dxfId="8" priority="13" operator="containsText" text="IDENTIDAD">
      <formula>NOT(ISERROR(SEARCH("IDENTIDAD",A39)))</formula>
    </cfRule>
    <cfRule type="containsText" dxfId="7" priority="14" operator="containsText" text="CPN">
      <formula>NOT(ISERROR(SEARCH("CPN",A39)))</formula>
    </cfRule>
    <cfRule type="containsText" dxfId="6" priority="15" operator="containsText" text="VIENE">
      <formula>NOT(ISERROR(SEARCH("VIENE",A39)))</formula>
    </cfRule>
    <cfRule type="cellIs" dxfId="5"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59" t="s">
        <v>475</v>
      </c>
      <c r="B1" s="259"/>
      <c r="C1" s="259"/>
      <c r="D1" s="259"/>
      <c r="E1" s="259"/>
      <c r="F1" s="259"/>
    </row>
    <row r="2" spans="1:342" ht="44.25" customHeight="1" x14ac:dyDescent="0.3">
      <c r="A2" s="260" t="s">
        <v>637</v>
      </c>
      <c r="B2" s="260"/>
      <c r="C2" s="260"/>
      <c r="D2" s="260"/>
      <c r="E2" s="260"/>
      <c r="F2" s="260"/>
    </row>
    <row r="3" spans="1:342" ht="44.25" customHeight="1" x14ac:dyDescent="0.3">
      <c r="A3" s="260" t="s">
        <v>531</v>
      </c>
      <c r="B3" s="260"/>
      <c r="C3" s="260"/>
      <c r="D3" s="260"/>
      <c r="E3" s="260"/>
      <c r="F3" s="260"/>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30" t="s">
        <v>764</v>
      </c>
      <c r="IV4" s="230"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61" t="s">
        <v>211</v>
      </c>
      <c r="AM5" s="261"/>
      <c r="AN5" s="261"/>
      <c r="AO5" s="261"/>
      <c r="AP5" s="261"/>
      <c r="AQ5" s="261"/>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56" t="s">
        <v>533</v>
      </c>
      <c r="DD5" s="257"/>
      <c r="DE5" s="257"/>
      <c r="DF5" s="257"/>
      <c r="DG5" s="257"/>
      <c r="DH5" s="257"/>
      <c r="DI5" s="257"/>
      <c r="DJ5" s="257"/>
      <c r="DK5" s="257"/>
      <c r="DL5" s="257"/>
      <c r="DM5" s="257"/>
      <c r="DN5" s="258"/>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62" t="s">
        <v>244</v>
      </c>
      <c r="EB5" s="263"/>
      <c r="EC5" s="263"/>
      <c r="ED5" s="263"/>
      <c r="EE5" s="264"/>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56" t="s">
        <v>281</v>
      </c>
      <c r="JW5" s="257"/>
      <c r="JX5" s="257"/>
      <c r="JY5" s="257"/>
      <c r="JZ5" s="257"/>
      <c r="KA5" s="257"/>
      <c r="KB5" s="257"/>
      <c r="KC5" s="257"/>
      <c r="KD5" s="257"/>
      <c r="KE5" s="258"/>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4" priority="5">
      <formula>LEN(TRIM(IY4))&gt;0</formula>
    </cfRule>
  </conditionalFormatting>
  <conditionalFormatting sqref="JN4">
    <cfRule type="notContainsBlanks" dxfId="3" priority="4">
      <formula>LEN(TRIM(JN4))&gt;0</formula>
    </cfRule>
  </conditionalFormatting>
  <conditionalFormatting sqref="JX4">
    <cfRule type="notContainsBlanks" dxfId="2" priority="3">
      <formula>LEN(TRIM(JX4))&gt;0</formula>
    </cfRule>
  </conditionalFormatting>
  <conditionalFormatting sqref="KG4">
    <cfRule type="notContainsBlanks" dxfId="1" priority="2">
      <formula>LEN(TRIM(KG4))&gt;0</formula>
    </cfRule>
  </conditionalFormatting>
  <conditionalFormatting sqref="KI4">
    <cfRule type="notContainsBlanks" dxfId="0" priority="1">
      <formula>LEN(TRIM(KI4))&gt;0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INDICADORES</vt:lpstr>
      <vt:lpstr>INSTRUCTIVO </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2023-10-26T20:09:23Z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