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F276A8B2-DAD0-4B25-A9C5-D91A4A4D69B8}"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HP4" i="5" l="1"/>
  <c r="HP3" i="5"/>
  <c r="DZ4" i="5"/>
  <c r="DZ3" i="5"/>
  <c r="JN5" i="5"/>
  <c r="JX5" i="5"/>
  <c r="JN4" i="5"/>
  <c r="JX4" i="5"/>
  <c r="JN3" i="5"/>
  <c r="JX3" i="5"/>
  <c r="DZ5" i="5"/>
  <c r="CO3" i="5"/>
  <c r="HL3" i="5" s="1"/>
  <c r="HM2" i="5" l="1"/>
  <c r="KG2" i="5"/>
  <c r="KI2" i="5"/>
  <c r="BP3" i="5"/>
  <c r="BP4" i="5"/>
  <c r="BP5" i="5"/>
  <c r="IQ5" i="5" l="1"/>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C17" i="30" l="1"/>
  <c r="IK4" i="5"/>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HM5" i="5" s="1"/>
  <c r="NM3" i="5"/>
  <c r="HM3" i="5" s="1"/>
  <c r="OC3" i="5"/>
  <c r="OE3" i="5" s="1"/>
  <c r="OC5" i="5"/>
  <c r="OE5" i="5" s="1"/>
  <c r="OB3" i="5"/>
  <c r="OD3" i="5" s="1"/>
  <c r="BO2" i="5"/>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<sst xmlns="http://schemas.openxmlformats.org/spreadsheetml/2006/main" count="1527" uniqueCount="920">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</sst>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8"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8" fontId="42" fillId="0" borderId="51" xfId="6" applyNumberFormat="1" applyFont="1" applyBorder="1" applyAlignment="1">
      <alignment horizontal="center" vertical="center"/>
    </xf>
    <xf numFmtId="168" fontId="42" fillId="0" borderId="52" xfId="6" applyNumberFormat="1" applyFont="1" applyBorder="1" applyAlignment="1">
      <alignment horizontal="center" vertical="center"/>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8" fontId="27" fillId="0" borderId="51" xfId="6" applyNumberFormat="1" applyFont="1" applyBorder="1" applyAlignment="1">
      <alignment horizontal="center" vertical="center"/>
    </xf>
    <xf numFmtId="168" fontId="27" fillId="0" borderId="52"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15325">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ill>
        <patternFill>
          <bgColor rgb="FF92D05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ill>
        <patternFill>
          <bgColor rgb="FF92D050"/>
        </patternFill>
      </fill>
    </dxf>
    <dxf>
      <fill>
        <patternFill>
          <bgColor rgb="FF92D050"/>
        </patternFill>
      </fill>
    </dxf>
    <dxf>
      <fill>
        <patternFill>
          <bgColor rgb="FF92D050"/>
        </patternFill>
      </fill>
    </dxf>
    <dxf>
      <font>
        <color theme="0"/>
      </font>
      <fill>
        <patternFill>
          <bgColor rgb="FFC0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000"/>
          <bgColor rgb="FFFFC000"/>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92D050"/>
          <bgColor rgb="FF92D050"/>
        </patternFill>
      </fill>
    </dxf>
    <dxf>
      <fill>
        <patternFill patternType="solid">
          <fgColor rgb="FFFF0000"/>
          <bgColor rgb="FFFF0000"/>
        </patternFill>
      </fill>
    </dxf>
    <dxf>
      <fill>
        <patternFill patternType="solid">
          <fgColor rgb="FF8DB3E2"/>
          <bgColor rgb="FF8DB3E2"/>
        </patternFill>
      </fill>
    </dxf>
    <dxf>
      <fill>
        <patternFill patternType="solid">
          <fgColor rgb="FFFABF8F"/>
          <bgColor rgb="FFFABF8F"/>
        </patternFill>
      </fill>
    </dxf>
    <dxf>
      <fill>
        <patternFill patternType="solid">
          <fgColor rgb="FF92D050"/>
          <bgColor rgb="FF92D050"/>
        </patternFill>
      </fill>
    </dxf>
    <dxf>
      <fill>
        <patternFill patternType="solid">
          <fgColor rgb="FFFF0000"/>
          <bgColor rgb="FFFF0000"/>
        </patternFill>
      </fill>
    </dxf>
    <dxf>
      <fill>
        <patternFill patternType="solid">
          <fgColor rgb="FF8DB3E2"/>
          <bgColor rgb="FF8DB3E2"/>
        </patternFill>
      </fill>
    </dxf>
    <dxf>
      <fill>
        <patternFill patternType="solid">
          <fgColor rgb="FFFF0000"/>
          <bgColor rgb="FFFF0000"/>
        </patternFill>
      </fill>
    </dxf>
    <dxf>
      <fill>
        <patternFill patternType="solid">
          <fgColor rgb="FF92D050"/>
          <bgColor rgb="FF92D050"/>
        </patternFill>
      </fill>
    </dxf>
    <dxf>
      <fill>
        <patternFill patternType="solid">
          <fgColor rgb="FF8DB3E2"/>
          <bgColor rgb="FF8DB3E2"/>
        </patternFill>
      </fill>
    </dxf>
    <dxf>
      <fill>
        <patternFill patternType="solid">
          <fgColor rgb="FF92D050"/>
          <bgColor rgb="FF92D050"/>
        </patternFill>
      </fill>
    </dxf>
    <dxf>
      <fill>
        <patternFill patternType="solid">
          <fgColor rgb="FFD99594"/>
          <bgColor rgb="FFD99594"/>
        </patternFill>
      </fill>
    </dxf>
    <dxf>
      <fill>
        <patternFill patternType="solid">
          <fgColor rgb="FFCCC0D9"/>
          <bgColor rgb="FFCCC0D9"/>
        </patternFill>
      </fill>
    </dxf>
    <dxf>
      <fill>
        <patternFill patternType="solid">
          <fgColor rgb="FFCCC0D9"/>
          <bgColor rgb="FFCCC0D9"/>
        </patternFill>
      </fill>
    </dxf>
    <dxf>
      <fill>
        <patternFill patternType="solid">
          <fgColor rgb="FF31859B"/>
          <bgColor rgb="FF31859B"/>
        </patternFill>
      </fill>
    </dxf>
    <dxf>
      <fill>
        <patternFill patternType="solid">
          <fgColor rgb="FFC4BD97"/>
          <bgColor rgb="FFC4BD97"/>
        </patternFill>
      </fill>
    </dxf>
    <dxf>
      <fill>
        <patternFill patternType="solid">
          <fgColor rgb="FF8DB3E2"/>
          <bgColor rgb="FF8DB3E2"/>
        </patternFill>
      </fill>
    </dxf>
    <dxf>
      <fill>
        <patternFill patternType="solid">
          <fgColor rgb="FFEAF1DD"/>
          <bgColor rgb="FFEAF1DD"/>
        </patternFill>
      </fill>
    </dxf>
    <dxf>
      <fill>
        <patternFill patternType="solid">
          <fgColor rgb="FF4F6128"/>
          <bgColor rgb="FF4F6128"/>
        </patternFill>
      </fill>
    </dxf>
    <dxf>
      <fill>
        <patternFill patternType="solid">
          <fgColor rgb="FFE36C09"/>
          <bgColor rgb="FFE36C09"/>
        </patternFill>
      </fill>
    </dxf>
    <dxf>
      <fill>
        <patternFill patternType="solid">
          <fgColor rgb="FF8DB3E2"/>
          <bgColor rgb="FF8DB3E2"/>
        </patternFill>
      </fill>
    </dxf>
    <dxf>
      <fill>
        <patternFill patternType="solid">
          <fgColor rgb="FF92D050"/>
          <bgColor rgb="FF92D050"/>
        </patternFill>
      </fill>
    </dxf>
    <dxf>
      <fill>
        <patternFill patternType="solid">
          <fgColor rgb="FFE5B8B7"/>
          <bgColor rgb="FFE5B8B7"/>
        </patternFill>
      </fill>
    </dxf>
    <dxf>
      <fill>
        <patternFill patternType="solid">
          <fgColor rgb="FFFBD4B4"/>
          <bgColor rgb="FFFBD4B4"/>
        </patternFill>
      </fill>
    </dxf>
    <dxf>
      <fill>
        <patternFill patternType="solid">
          <fgColor rgb="FF8DB3E2"/>
          <bgColor rgb="FF8DB3E2"/>
        </patternFill>
      </fill>
    </dxf>
    <dxf>
      <fill>
        <patternFill patternType="solid">
          <fgColor rgb="FF92D050"/>
          <bgColor rgb="FF92D050"/>
        </patternFill>
      </fill>
    </dxf>
    <dxf>
      <fill>
        <patternFill patternType="solid">
          <fgColor rgb="FFFABF8F"/>
          <bgColor rgb="FFFABF8F"/>
        </patternFill>
      </fill>
    </dxf>
    <dxf>
      <fill>
        <patternFill patternType="solid">
          <fgColor rgb="FFFFFF00"/>
          <bgColor rgb="FFFFFF00"/>
        </patternFill>
      </fill>
    </dxf>
    <dxf>
      <font>
        <b/>
        <color theme="0"/>
      </font>
      <fill>
        <patternFill patternType="solid">
          <fgColor rgb="FFC00000"/>
          <bgColor rgb="FFC00000"/>
        </patternFill>
      </fill>
    </dxf>
    <dxf>
      <fill>
        <patternFill patternType="solid">
          <fgColor rgb="FFFF0000"/>
          <bgColor rgb="FFFF0000"/>
        </patternFill>
      </fill>
    </dxf>
    <dxf>
      <font>
        <b/>
        <color theme="0"/>
      </font>
      <fill>
        <patternFill patternType="solid">
          <fgColor rgb="FFC00000"/>
          <bgColor rgb="FFC00000"/>
        </patternFill>
      </fill>
    </dxf>
    <dxf>
      <font>
        <b/>
        <color theme="0"/>
      </font>
      <fill>
        <patternFill patternType="solid">
          <fgColor rgb="FFC00000"/>
          <bgColor rgb="FFC00000"/>
        </patternFill>
      </fill>
    </dxf>
    <dxf>
      <fill>
        <patternFill patternType="solid">
          <fgColor rgb="FF92D050"/>
          <bgColor rgb="FF92D050"/>
        </patternFill>
      </fill>
    </dxf>
    <dxf>
      <font>
        <b/>
        <color theme="0"/>
      </font>
      <fill>
        <patternFill patternType="solid">
          <fgColor rgb="FFC00000"/>
          <bgColor rgb="FFC00000"/>
        </patternFill>
      </fill>
    </dxf>
    <dxf>
      <font>
        <b/>
        <color theme="0"/>
      </font>
      <fill>
        <patternFill patternType="solid">
          <fgColor rgb="FFC00000"/>
          <bgColor rgb="FFC0000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rgb="FFC2D69B"/>
          <bgColor rgb="FFC2D69B"/>
        </patternFill>
      </fill>
    </dxf>
    <dxf>
      <fill>
        <patternFill patternType="solid">
          <fgColor rgb="FFFFC000"/>
          <bgColor rgb="FFFFC000"/>
        </patternFill>
      </fill>
    </dxf>
    <dxf>
      <fill>
        <patternFill patternType="solid">
          <fgColor rgb="FFB2A1C7"/>
          <bgColor rgb="FFB2A1C7"/>
        </patternFill>
      </fill>
    </dxf>
    <dxf>
      <fill>
        <patternFill patternType="solid">
          <fgColor rgb="FFFFFF00"/>
          <bgColor rgb="FFFFFF00"/>
        </patternFill>
      </fill>
    </dxf>
    <dxf>
      <fill>
        <patternFill patternType="solid">
          <fgColor rgb="FFFF0000"/>
          <bgColor rgb="FFFF0000"/>
        </patternFill>
      </fill>
    </dxf>
    <dxf>
      <fill>
        <patternFill patternType="solid">
          <fgColor rgb="FF92CDDC"/>
          <bgColor rgb="FF92CDDC"/>
        </patternFill>
      </fill>
    </dxf>
    <dxf>
      <fill>
        <patternFill patternType="solid">
          <fgColor rgb="FF92D050"/>
          <bgColor rgb="FF92D050"/>
        </patternFill>
      </fill>
    </dxf>
    <dxf>
      <font>
        <b/>
      </font>
      <fill>
        <patternFill patternType="solid">
          <fgColor rgb="FF92D050"/>
          <bgColor rgb="FF92D050"/>
        </patternFill>
      </fill>
    </dxf>
    <dxf>
      <font>
        <b/>
        <color theme="0"/>
      </font>
      <fill>
        <patternFill patternType="solid">
          <fgColor rgb="FFFF0000"/>
          <bgColor rgb="FFFF0000"/>
        </patternFill>
      </fill>
    </dxf>
    <dxf>
      <font>
        <b/>
        <color theme="1"/>
      </font>
      <fill>
        <patternFill patternType="solid">
          <fgColor rgb="FFFFC000"/>
          <bgColor rgb="FFFFC000"/>
        </patternFill>
      </fill>
    </dxf>
    <dxf>
      <font>
        <color rgb="FF9C0006"/>
      </font>
      <fill>
        <patternFill patternType="solid">
          <fgColor rgb="FFFFC7CE"/>
          <bgColor rgb="FFFFC7CE"/>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E36C09"/>
          <bgColor rgb="FFE36C09"/>
        </patternFill>
      </fill>
    </dxf>
    <dxf>
      <fill>
        <patternFill patternType="solid">
          <fgColor rgb="FFC2D69B"/>
          <bgColor rgb="FFC2D69B"/>
        </patternFill>
      </fill>
    </dxf>
    <dxf>
      <font>
        <b/>
        <color theme="0"/>
      </font>
      <fill>
        <patternFill patternType="solid">
          <fgColor rgb="FFC00000"/>
          <bgColor rgb="FFC000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FFC000"/>
          <bgColor rgb="FFFFC000"/>
        </patternFill>
      </fill>
    </dxf>
    <dxf>
      <fill>
        <patternFill patternType="solid">
          <fgColor rgb="FF00B050"/>
          <bgColor rgb="FF00B050"/>
        </patternFill>
      </fill>
    </dxf>
    <dxf>
      <font>
        <color rgb="FFC00000"/>
      </font>
      <fill>
        <patternFill patternType="solid">
          <fgColor rgb="FFD99594"/>
          <bgColor rgb="FFD99594"/>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theme="0"/>
      </font>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B2A1C7"/>
          <bgColor rgb="FFB2A1C7"/>
        </patternFill>
      </fill>
    </dxf>
    <dxf>
      <font>
        <b/>
        <color theme="0"/>
      </font>
      <fill>
        <patternFill patternType="solid">
          <fgColor rgb="FFC00000"/>
          <bgColor rgb="FFC000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b/>
      </font>
      <fill>
        <patternFill patternType="solid">
          <fgColor rgb="FF92D050"/>
          <bgColor rgb="FF92D050"/>
        </patternFill>
      </fill>
    </dxf>
    <dxf>
      <font>
        <b/>
        <color theme="0"/>
      </font>
      <fill>
        <patternFill patternType="solid">
          <fgColor rgb="FFFF0000"/>
          <bgColor rgb="FFFF0000"/>
        </patternFill>
      </fill>
    </dxf>
    <dxf>
      <font>
        <color rgb="FF9C0006"/>
      </font>
      <fill>
        <patternFill patternType="solid">
          <fgColor rgb="FFFFC7CE"/>
          <bgColor rgb="FFFFC7CE"/>
        </patternFill>
      </fill>
    </dxf>
    <dxf>
      <font>
        <b/>
        <color theme="0"/>
      </font>
      <fill>
        <patternFill patternType="solid">
          <fgColor rgb="FFFF0000"/>
          <bgColor rgb="FFFF0000"/>
        </patternFill>
      </fill>
    </dxf>
    <dxf>
      <font>
        <b/>
      </font>
      <fill>
        <patternFill patternType="solid">
          <fgColor rgb="FF92D050"/>
          <bgColor rgb="FF92D050"/>
        </patternFill>
      </fill>
    </dxf>
    <dxf>
      <font>
        <b/>
      </font>
      <fill>
        <patternFill patternType="solid">
          <fgColor rgb="FFFF0000"/>
          <bgColor rgb="FFFF0000"/>
        </patternFill>
      </fill>
    </dxf>
    <dxf>
      <font>
        <color rgb="FF006100"/>
      </font>
      <fill>
        <patternFill patternType="solid">
          <fgColor rgb="FFC6EFCE"/>
          <bgColor rgb="FFC6EFCE"/>
        </patternFill>
      </fill>
    </dxf>
    <dxf>
      <font>
        <color theme="0"/>
      </font>
      <fill>
        <patternFill patternType="solid">
          <fgColor rgb="FFC00000"/>
          <bgColor rgb="FFC00000"/>
        </patternFill>
      </fill>
    </dxf>
    <dxf>
      <font>
        <color theme="0"/>
      </font>
      <fill>
        <patternFill patternType="solid">
          <fgColor rgb="FFC00000"/>
          <bgColor rgb="FFC00000"/>
        </patternFill>
      </fill>
    </dxf>
    <dxf>
      <font>
        <color rgb="FF9C0006"/>
      </font>
      <fill>
        <patternFill patternType="solid">
          <fgColor rgb="FFFFC7CE"/>
          <bgColor rgb="FFFFC7CE"/>
        </patternFill>
      </fill>
    </dxf>
    <dxf>
      <fill>
        <patternFill patternType="solid">
          <fgColor rgb="FFD99594"/>
          <bgColor rgb="FFD99594"/>
        </patternFill>
      </fill>
    </dxf>
    <dxf>
      <fill>
        <patternFill patternType="solid">
          <fgColor rgb="FFFFC000"/>
          <bgColor rgb="FFFFC000"/>
        </patternFill>
      </fill>
    </dxf>
    <dxf>
      <fill>
        <patternFill patternType="solid">
          <fgColor rgb="FFFF0000"/>
          <bgColor rgb="FFFF0000"/>
        </patternFill>
      </fill>
    </dxf>
    <dxf>
      <fill>
        <patternFill patternType="solid">
          <fgColor rgb="FF92D050"/>
          <bgColor rgb="FF92D050"/>
        </patternFill>
      </fill>
    </dxf>
    <dxf>
      <font>
        <color theme="0"/>
      </font>
      <fill>
        <patternFill patternType="solid">
          <fgColor rgb="FFFF0000"/>
          <bgColor rgb="FFFF0000"/>
        </patternFill>
      </fill>
    </dxf>
    <dxf>
      <font>
        <color theme="0"/>
      </font>
      <fill>
        <patternFill patternType="solid">
          <fgColor rgb="FFFF0000"/>
          <bgColor rgb="FFFF0000"/>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F6600"/>
          <bgColor rgb="FFFF6600"/>
        </patternFill>
      </fill>
    </dxf>
    <dxf>
      <font>
        <color rgb="FF9C6500"/>
      </font>
      <fill>
        <patternFill patternType="solid">
          <fgColor rgb="FFFFEB9C"/>
          <bgColor rgb="FFFFEB9C"/>
        </patternFill>
      </fill>
    </dxf>
    <dxf>
      <fill>
        <patternFill patternType="solid">
          <fgColor rgb="FFFABF8F"/>
          <bgColor rgb="FFFABF8F"/>
        </patternFill>
      </fill>
    </dxf>
    <dxf>
      <font>
        <color rgb="FF9C0006"/>
      </font>
      <fill>
        <patternFill patternType="solid">
          <fgColor rgb="FFFFC7CE"/>
          <bgColor rgb="FFFFC7CE"/>
        </patternFill>
      </fill>
    </dxf>
    <dxf>
      <font>
        <b/>
        <color theme="0"/>
      </font>
      <fill>
        <patternFill patternType="solid">
          <fgColor rgb="FFFF0000"/>
          <bgColor rgb="FFFF0000"/>
        </patternFill>
      </fill>
    </dxf>
    <dxf>
      <font>
        <b/>
        <color theme="1"/>
      </font>
      <fill>
        <patternFill patternType="solid">
          <fgColor rgb="FF92D050"/>
          <bgColor rgb="FF92D05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C00000"/>
          <bgColor rgb="FFC00000"/>
        </patternFill>
      </fill>
    </dxf>
    <dxf>
      <font>
        <color rgb="FF9C0006"/>
      </font>
      <fill>
        <patternFill patternType="solid">
          <fgColor rgb="FFFFC7CE"/>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ill>
        <gradientFill degree="90">
          <stop position="0">
            <color theme="0"/>
          </stop>
          <stop position="1">
            <color rgb="FF9FFDFF"/>
          </stop>
        </gradientFill>
      </fill>
    </dxf>
    <dxf>
      <fill>
        <gradientFill degree="90">
          <stop position="0">
            <color theme="0"/>
          </stop>
          <stop position="1">
            <color rgb="FFF0EE8A"/>
          </stop>
        </gradient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ont>
        <b/>
        <i val="0"/>
        <color theme="0"/>
      </font>
      <fill>
        <patternFill>
          <bgColor theme="9" tint="-0.24994659260841701"/>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ont>
        <b/>
        <i val="0"/>
        <color rgb="FFFF0000"/>
      </font>
      <fill>
        <patternFill>
          <bgColor theme="7" tint="0.3999450666829432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6500"/>
      </font>
      <fill>
        <patternFill>
          <bgColor rgb="FFFFEB9C"/>
        </patternFill>
      </fill>
    </dxf>
    <dxf>
      <fill>
        <patternFill>
          <bgColor rgb="FF92D050"/>
        </patternFill>
      </fill>
    </dxf>
    <dxf>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ndense val="0"/>
        <extend val="0"/>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theme="2" tint="-0.24994659260841701"/>
        </patternFill>
      </fill>
    </dxf>
    <dxf>
      <fill>
        <patternFill>
          <bgColor theme="5" tint="0.59996337778862885"/>
        </patternFill>
      </fill>
    </dxf>
    <dxf>
      <fill>
        <patternFill>
          <bgColor rgb="FFFFFF00"/>
        </patternFill>
      </fill>
    </dxf>
    <dxf>
      <fill>
        <patternFill>
          <bgColor theme="8" tint="0.79998168889431442"/>
        </patternFill>
      </fill>
    </dxf>
    <dxf>
      <font>
        <color rgb="FF9C0006"/>
      </font>
      <fill>
        <patternFill>
          <bgColor rgb="FFFFC7CE"/>
        </patternFill>
      </fill>
    </dxf>
    <dxf>
      <fill>
        <patternFill>
          <bgColor rgb="FF92D050"/>
        </patternFill>
      </fill>
    </dxf>
    <dxf>
      <fill>
        <patternFill>
          <bgColor theme="2" tint="-0.24994659260841701"/>
        </patternFill>
      </fill>
    </dxf>
    <dxf>
      <fill>
        <patternFill>
          <bgColor theme="5" tint="0.59996337778862885"/>
        </patternFill>
      </fill>
    </dxf>
    <dxf>
      <fill>
        <patternFill>
          <bgColor rgb="FFFFFF00"/>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b/>
        <i val="0"/>
        <color theme="0"/>
      </font>
      <fill>
        <patternFill>
          <bgColor rgb="FFC00000"/>
        </patternFill>
      </fill>
    </dxf>
    <dxf>
      <fill>
        <patternFill>
          <bgColor rgb="FFFF0000"/>
        </patternFill>
      </fill>
    </dxf>
    <dxf>
      <fill>
        <patternFill>
          <bgColor rgb="FFFFFF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rgb="FFFFFF00"/>
      </font>
      <fill>
        <patternFill patternType="none">
          <bgColor auto="1"/>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auto="1"/>
      </font>
      <fill>
        <patternFill>
          <bgColor rgb="FFFF0000"/>
        </patternFill>
      </fill>
    </dxf>
    <dxf>
      <font>
        <b/>
        <i val="0"/>
        <color theme="0"/>
      </font>
      <fill>
        <patternFill>
          <bgColor rgb="FF00B05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b/>
        <i val="0"/>
        <color auto="1"/>
      </font>
      <fill>
        <patternFill>
          <bgColor rgb="FFFF0000"/>
        </patternFill>
      </fill>
    </dxf>
    <dxf>
      <font>
        <b/>
        <i val="0"/>
        <color theme="0"/>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ont>
        <b/>
        <i val="0"/>
        <color auto="1"/>
      </font>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ill>
        <patternFill>
          <bgColor rgb="FFFF0000"/>
        </patternFill>
      </fill>
    </dxf>
    <dxf>
      <fill>
        <patternFill>
          <bgColor rgb="FF92D050"/>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color auto="1"/>
      </font>
      <fill>
        <patternFill>
          <bgColor rgb="FF92D050"/>
        </patternFill>
      </fill>
    </dxf>
    <dxf>
      <font>
        <b/>
        <i val="0"/>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b/>
        <i val="0"/>
        <color theme="0"/>
      </font>
      <fill>
        <patternFill>
          <bgColor rgb="FFFF0000"/>
        </patternFill>
      </fill>
    </dxf>
    <dxf>
      <font>
        <b/>
        <i val="0"/>
        <color theme="0"/>
      </font>
      <fill>
        <patternFill>
          <bgColor theme="9" tint="-0.24994659260841701"/>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ill>
        <patternFill>
          <bgColor theme="8" tint="0.39994506668294322"/>
        </patternFill>
      </fill>
    </dxf>
    <dxf>
      <font>
        <color rgb="FF9C0006"/>
      </font>
      <fill>
        <patternFill>
          <bgColor rgb="FFFFC7CE"/>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9"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9"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15324"/>
      <tableStyleElement type="firstRowStripe" dxfId="15323"/>
      <tableStyleElement type="secondRowStripe" dxfId="15322"/>
      <tableStyleElement type="firstColumnStripe" dxfId="15321"/>
    </tableStyle>
    <tableStyle name="Estilo de tabla 2" pivot="0" count="3" xr9:uid="{00000000-0011-0000-FFFF-FFFF01000000}">
      <tableStyleElement type="headerRow" dxfId="15320"/>
      <tableStyleElement type="firstRowStripe" dxfId="15319"/>
      <tableStyleElement type="secondRowStripe" dxfId="15318"/>
    </tableStyle>
    <tableStyle name="Estilo de tabla 3" pivot="0" count="2" xr9:uid="{00000000-0011-0000-FFFF-FFFF02000000}">
      <tableStyleElement type="headerRow" dxfId="15317"/>
      <tableStyleElement type="firstRowStripe" dxfId="15316"/>
    </tableStyle>
    <tableStyle name="Estilo de tabla 4" pivot="0" count="0" xr9:uid="{00000000-0011-0000-FFFF-FFFF03000000}"/>
    <tableStyle name="Estilo de tabla 5" pivot="0" count="2" xr9:uid="{00000000-0011-0000-FFFF-FFFF04000000}">
      <tableStyleElement type="wholeTable" dxfId="15315"/>
      <tableStyleElement type="headerRow" dxfId="15314"/>
    </tableStyle>
    <tableStyle name="Estilo de tabla 6" pivot="0" count="3" xr9:uid="{00000000-0011-0000-FFFF-FFFF05000000}">
      <tableStyleElement type="headerRow" dxfId="15313"/>
      <tableStyleElement type="firstRowStripe" dxfId="15312"/>
      <tableStyleElement type="secondRowStripe" dxfId="15311"/>
    </tableStyle>
    <tableStyle name="Estilo de tabla 7" pivot="0" count="3" xr9:uid="{00000000-0011-0000-FFFF-FFFF06000000}">
      <tableStyleElement type="headerRow" dxfId="15310"/>
      <tableStyleElement type="firstRowStripe" dxfId="15309"/>
      <tableStyleElement type="secondRowStripe" dxfId="15308"/>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15307" dataDxfId="15306" headerRowCellStyle="Énfasis5" dataCellStyle="Normal 2">
  <autoFilter ref="A1:OG5" xr:uid="{00000000-0009-0000-0100-000001000000}"/>
  <tableColumns count="397">
    <tableColumn id="101" xr3:uid="{00000000-0010-0000-0000-000065000000}" name="OBSERVACIONES PARA SEGUIMIENTO" dataDxfId="15305"/>
    <tableColumn id="1" xr3:uid="{00000000-0010-0000-0000-000001000000}" name=" RESPONSABLE DE LA ZONA" dataDxfId="15304"/>
    <tableColumn id="77" xr3:uid="{00000000-0010-0000-0000-00004D000000}" name="PUNTO O CENTRO DE ATENCION" dataDxfId="15303"/>
    <tableColumn id="2" xr3:uid="{00000000-0010-0000-0000-000002000000}" name="ATENCIÓN PRECONCEPCIONAL" dataDxfId="15302"/>
    <tableColumn id="3" xr3:uid="{00000000-0010-0000-0000-000003000000}" name="APELLIDO" dataDxfId="15301"/>
    <tableColumn id="4" xr3:uid="{00000000-0010-0000-0000-000004000000}" name="APELLIDO 2" dataDxfId="15300"/>
    <tableColumn id="5" xr3:uid="{00000000-0010-0000-0000-000005000000}" name="NOMBRE 1" dataDxfId="15299"/>
    <tableColumn id="6" xr3:uid="{00000000-0010-0000-0000-000006000000}" name="NOMBRE 2" dataDxfId="15298"/>
    <tableColumn id="7" xr3:uid="{00000000-0010-0000-0000-000007000000}" name="TIPO DE DOCUMENTO" dataDxfId="15297"/>
    <tableColumn id="8" xr3:uid="{00000000-0010-0000-0000-000008000000}" name="No DE IDENTIFICACION" dataDxfId="15296"/>
    <tableColumn id="9" xr3:uid="{00000000-0010-0000-0000-000009000000}" name="ESTADO CIVIL" dataDxfId="15295"/>
    <tableColumn id="10" xr3:uid="{00000000-0010-0000-0000-00000A000000}" name="OCUPACION" dataDxfId="15294"/>
    <tableColumn id="11" xr3:uid="{00000000-0010-0000-0000-00000B000000}" name="FECHA DE NACIMIENTO" dataDxfId="15293" dataCellStyle="Normal 2"/>
    <tableColumn id="12" xr3:uid="{00000000-0010-0000-0000-00000C000000}" name="EDAD ACTUAL" dataDxfId="15292" dataCellStyle="Normal 2">
      <calculatedColumnFormula>IF(M2&gt;0,SUM(TODAY()-M2)/365,"")</calculatedColumnFormula>
    </tableColumn>
    <tableColumn id="13" xr3:uid="{00000000-0010-0000-0000-00000D000000}" name="FECHA DE IDENTIFICACION DE LA GESTANTE" dataDxfId="15291" dataCellStyle="Normal 2"/>
    <tableColumn id="14" xr3:uid="{00000000-0010-0000-0000-00000E000000}" name="EFECTIVIDAD DEMANDA" dataDxfId="15290"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15289" dataCellStyle="Normal 2"/>
    <tableColumn id="16" xr3:uid="{00000000-0010-0000-0000-000010000000}" name="FECHA CONSULTA PRIMERA VEZ PROGRAMA CPN " dataDxfId="15288" dataCellStyle="Normal 2"/>
    <tableColumn id="24" xr3:uid="{00000000-0010-0000-0000-000018000000}" name="REGIMEN" dataDxfId="15287" dataCellStyle="Normal 2"/>
    <tableColumn id="25" xr3:uid="{00000000-0010-0000-0000-000019000000}" name="ASEGURADORA" dataDxfId="15286" dataCellStyle="Normal 2"/>
    <tableColumn id="26" xr3:uid="{00000000-0010-0000-0000-00001A000000}" name="MUNICIPIO DE RESIDENCIA" dataDxfId="15285" dataCellStyle="Normal 2"/>
    <tableColumn id="27" xr3:uid="{00000000-0010-0000-0000-00001B000000}" name="ZONA DE RESIDENCIA" dataDxfId="15284" dataCellStyle="Normal 2"/>
    <tableColumn id="28" xr3:uid="{00000000-0010-0000-0000-00001C000000}" name="VEREDA/BARRIO" dataDxfId="15283" dataCellStyle="Normal 2"/>
    <tableColumn id="29" xr3:uid="{00000000-0010-0000-0000-00001D000000}" name="DIRECCION - (ESPECIFICAR UBICACIÓN EN VEREDA)" dataDxfId="15282" dataCellStyle="Normal 2"/>
    <tableColumn id="30" xr3:uid="{00000000-0010-0000-0000-00001E000000}" name="RESGUARDO / CORREGIMIENTO / COMUNA / LOCALIDAD" dataDxfId="15281" dataCellStyle="Normal 2"/>
    <tableColumn id="31" xr3:uid="{00000000-0010-0000-0000-00001F000000}" name="TELEFONO FIJO O CELULAR" dataDxfId="15280" dataCellStyle="Normal 2"/>
    <tableColumn id="32" xr3:uid="{00000000-0010-0000-0000-000020000000}" name="TIPO DE ETNIA" dataDxfId="15279" dataCellStyle="Normal 2"/>
    <tableColumn id="33" xr3:uid="{00000000-0010-0000-0000-000021000000}" name="PUEBLO INDIGENA ESPECIFICO" dataDxfId="15278" dataCellStyle="Normal 2"/>
    <tableColumn id="34" xr3:uid="{00000000-0010-0000-0000-000022000000}" name="ESTUDIOS" dataDxfId="15277" dataCellStyle="Normal 2"/>
    <tableColumn id="68" xr3:uid="{00000000-0010-0000-0000-000044000000}" name="PROGRAMAS DE APOYO SOCIAL " dataDxfId="15276" dataCellStyle="Normal 2"/>
    <tableColumn id="35" xr3:uid="{00000000-0010-0000-0000-000023000000}" name="EMBARAZO ACEPTADO Y/O  DESEADO" dataDxfId="15275" dataCellStyle="Normal 2"/>
    <tableColumn id="36" xr3:uid="{00000000-0010-0000-0000-000024000000}" name="APOYO FAMILIAR" dataDxfId="15274" dataCellStyle="Normal 2"/>
    <tableColumn id="37" xr3:uid="{00000000-0010-0000-0000-000025000000}" name="MUJER CABEZA DE FAMILIA" dataDxfId="15273" dataCellStyle="Normal 2"/>
    <tableColumn id="38" xr3:uid="{00000000-0010-0000-0000-000026000000}" name="ANSIEDAD (Tensión emocional, Humor depresivo y sx angustia)." dataDxfId="15272" dataCellStyle="Normal 2"/>
    <tableColumn id="39" xr3:uid="{00000000-0010-0000-0000-000027000000}" name="GRUPO DE POBLACION ESPECIAL" dataDxfId="15271" dataCellStyle="Normal 2"/>
    <tableColumn id="40" xr3:uid="{00000000-0010-0000-0000-000028000000}" name="HA SIDO VICTIMA DE VIOLENCIA BASADA EN GENERO" dataDxfId="15270" dataCellStyle="Normal 2"/>
    <tableColumn id="41" xr3:uid="{00000000-0010-0000-0000-000029000000}" name="RIESGO PSICOSOCIAL" dataDxfId="15269">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15268" dataCellStyle="Normal 2"/>
    <tableColumn id="44" xr3:uid="{00000000-0010-0000-0000-00002C000000}" name="ANTECEDENTE. RETENCION PLACENTARIA O HEMORRAGIA POSTPARTO" dataDxfId="15267" dataCellStyle="Normal 2"/>
    <tableColumn id="45" xr3:uid="{00000000-0010-0000-0000-00002D000000}" name="ANTECEDENTE. PESO BEBE MAYOR A 4000 o MENOR A  2500" dataDxfId="15266" dataCellStyle="Normal 2"/>
    <tableColumn id="47" xr3:uid="{00000000-0010-0000-0000-00002F000000}" name="ANTECEDENTE. EMBARAZO GEMELAR" dataDxfId="15265" dataCellStyle="Normal 2"/>
    <tableColumn id="48" xr3:uid="{00000000-0010-0000-0000-000030000000}" name="ANTECEDENTE. Trabajo de Parto PROLONGADO/PARTO DIFICIL" dataDxfId="15264" dataCellStyle="Normal 2"/>
    <tableColumn id="49" xr3:uid="{00000000-0010-0000-0000-000031000000}" name="ANTECEDENTE. FLIAR PREECLAMPSIA" dataDxfId="15263" dataCellStyle="Normal 2"/>
    <tableColumn id="51" xr3:uid="{00000000-0010-0000-0000-000033000000}" name="ANTECEDENTE GRAVIDA" dataDxfId="15262" dataCellStyle="Normal 2"/>
    <tableColumn id="52" xr3:uid="{00000000-0010-0000-0000-000034000000}" name="ANTECEDENTE PARTOS" dataDxfId="15261" dataCellStyle="Normal 2"/>
    <tableColumn id="53" xr3:uid="{00000000-0010-0000-0000-000035000000}" name="ANTECEDENTE ABORTOS" dataDxfId="15260" dataCellStyle="Normal 2"/>
    <tableColumn id="54" xr3:uid="{00000000-0010-0000-0000-000036000000}" name="ANTE. 3 ABORTOS SEGUIDOS O INFERTILIDAD" dataDxfId="15259" dataCellStyle="Normal 2"/>
    <tableColumn id="55" xr3:uid="{00000000-0010-0000-0000-000037000000}" name="ANTECEDENTE CESAREAS" dataDxfId="15258" dataCellStyle="Normal 2"/>
    <tableColumn id="56" xr3:uid="{00000000-0010-0000-0000-000038000000}" name="ANTECEDENTE OBITO FETAL Y/O MUERTE PERINATAL NEONATAL TEMPRANA" dataDxfId="15257" dataCellStyle="Normal 2"/>
    <tableColumn id="57" xr3:uid="{00000000-0010-0000-0000-000039000000}" name="ANTECEDENTE EMBARAZO ECTOPICO O CX UTERINA (MIOMECTOMIA)" dataDxfId="15256" dataCellStyle="Normal 2"/>
    <tableColumn id="58" xr3:uid="{00000000-0010-0000-0000-00003A000000}" name="ANTECEDENTE EMBARAZO MOLAR" dataDxfId="15255" dataCellStyle="Normal 2"/>
    <tableColumn id="59" xr3:uid="{00000000-0010-0000-0000-00003B000000}" name="ANTECEDENTE MUERTE NEONATAL TARDIA" dataDxfId="15254" dataCellStyle="Normal 2"/>
    <tableColumn id="64" xr3:uid="{00000000-0010-0000-0000-000040000000}" name="TIENE ENFERMEDADES AUTOINMUNES" dataDxfId="15253" dataCellStyle="Normal 2"/>
    <tableColumn id="65" xr3:uid="{00000000-0010-0000-0000-000041000000}" name="TIENE DIABETES MELLITUS" dataDxfId="15252" dataCellStyle="Normal 2"/>
    <tableColumn id="66" xr3:uid="{00000000-0010-0000-0000-000042000000}" name="TIENE ENFERMEDAD CARDIACA" dataDxfId="15251" dataCellStyle="Normal 2"/>
    <tableColumn id="315" xr3:uid="{00000000-0010-0000-0000-00003B010000}" name="TIENE HTA CRONICA" dataDxfId="15250" dataCellStyle="Normal 2"/>
    <tableColumn id="305" xr3:uid="{00000000-0010-0000-0000-000031010000}" name="TIENE ENF RENAL CRONICA" dataDxfId="15249" dataCellStyle="Normal 2"/>
    <tableColumn id="74" xr3:uid="{00000000-0010-0000-0000-00004A000000}" name="EN EMB ACTUAL ENFERMEDADES INFECCIOSAS AGUDAS(BACTERIANAS)" dataDxfId="15248" dataCellStyle="Normal 2"/>
    <tableColumn id="76" xr3:uid="{00000000-0010-0000-0000-00004C000000}" name="EN EMB ACTUAL RPM" dataDxfId="15247" dataCellStyle="Normal 2"/>
    <tableColumn id="79" xr3:uid="{00000000-0010-0000-0000-00004F000000}" name=" EN EMB ACTUAL HEMORRAGIA VAGINAL &gt; 20 SEM22" dataDxfId="15246" dataCellStyle="Normal 2"/>
    <tableColumn id="81" xr3:uid="{00000000-0010-0000-0000-000051000000}" name="EN EMB ACTUAL HEMORRAGIA VAGINAL &lt; 20 SEM" dataDxfId="15245" dataCellStyle="Normal 2"/>
    <tableColumn id="87" xr3:uid="{00000000-0010-0000-0000-000057000000}" name="FECHA TERMINACIÓN ÚLTIMO EMBARAZO" dataDxfId="15244" dataCellStyle="Normal 2"/>
    <tableColumn id="89" xr3:uid="{00000000-0010-0000-0000-000059000000}" name="FUM" dataDxfId="15243" dataCellStyle="Normal 2"/>
    <tableColumn id="90" xr3:uid="{00000000-0010-0000-0000-00005A000000}" name="FUM FORMULA CONFIABLE" dataDxfId="15242" dataCellStyle="Normal 2"/>
    <tableColumn id="20" xr3:uid="{00000000-0010-0000-0000-000014000000}" name="PERIODO INTERGENESICO (MESES)" dataDxfId="15241" dataCellStyle="Normal 2">
      <calculatedColumnFormula>IF(OR(BJ2="SD",BK2=""),"",IF(BJ2="",0,SUM(BK2-BJ2)/30))</calculatedColumnFormula>
    </tableColumn>
    <tableColumn id="19" xr3:uid="{00000000-0010-0000-0000-000013000000}" name="FUM X ECO 1" dataDxfId="15240" dataCellStyle="Normal 2">
      <calculatedColumnFormula>IF(BS2&gt;0,SUM(BR2-NQ2),"")</calculatedColumnFormula>
    </tableColumn>
    <tableColumn id="94" xr3:uid="{00000000-0010-0000-0000-00005E000000}" name="SEMANAS DE GESTACION AL INGRESO" dataDxfId="15239"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15238"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15237" dataCellStyle="Normal 2">
      <calculatedColumnFormula>IF(SUM((TODAY()-BK2)/7)&gt;43.1,"",IF(AND(BK2&gt;0,OR(BL2="si",BL2="Corregida",BL2="NO")),SUM((TODAY()-BK2)/7),""))</calculatedColumnFormula>
    </tableColumn>
    <tableColumn id="99" xr3:uid="{00000000-0010-0000-0000-000063000000}" name="FECHA ECO 1" dataDxfId="15236" dataCellStyle="Normal 2"/>
    <tableColumn id="100" xr3:uid="{00000000-0010-0000-0000-000064000000}" name="SEMANAS GESTACION ECO 1" dataDxfId="15235" dataCellStyle="Normal 2"/>
    <tableColumn id="104" xr3:uid="{00000000-0010-0000-0000-000068000000}" name="FECHA ECO 2" dataDxfId="15234" dataCellStyle="Normal 2"/>
    <tableColumn id="105" xr3:uid="{00000000-0010-0000-0000-000069000000}" name="SEMANAS GESTACION ECO 2" dataDxfId="15233" dataCellStyle="Normal 2"/>
    <tableColumn id="279" xr3:uid="{00000000-0010-0000-0000-000017010000}" name="EN EMB. ACTUAL  RCIU" dataDxfId="15232" dataCellStyle="Normal 2"/>
    <tableColumn id="280" xr3:uid="{00000000-0010-0000-0000-000018010000}" name="TIENE EMB. MUTIPLE ACTUAL " dataDxfId="15231" dataCellStyle="Normal 2"/>
    <tableColumn id="287" xr3:uid="{00000000-0010-0000-0000-00001F010000}" name="PRESENTACION DEL FETO - ACTUALIZAR DESPUÉS DE LA SEMANA 32" dataDxfId="15230" dataCellStyle="Normal 2"/>
    <tableColumn id="293" xr3:uid="{00000000-0010-0000-0000-000025010000}" name="TIENE POLIHIDRAMNIOS" dataDxfId="15229" dataCellStyle="Normal 2"/>
    <tableColumn id="110" xr3:uid="{00000000-0010-0000-0000-00006E000000}" name="FECHA DE REGISTRO DE PESO Y/O TALLA PREGESTACIONAL O I TRIM GESTACION" dataDxfId="15228" dataCellStyle="Normal 2"/>
    <tableColumn id="111" xr3:uid="{00000000-0010-0000-0000-00006F000000}" name="TALLA EN Mts     " dataDxfId="15227" dataCellStyle="Normal 2"/>
    <tableColumn id="112" xr3:uid="{00000000-0010-0000-0000-000070000000}" name="PESO EN Kg INGRESO I TRIM O PRE GESTACION" dataDxfId="15226" dataCellStyle="Normal 2"/>
    <tableColumn id="113" xr3:uid="{00000000-0010-0000-0000-000071000000}" name="IMC" dataDxfId="15225" dataCellStyle="Normal 2">
      <calculatedColumnFormula>IF(AND(OR(O2&gt;0,R2&gt;0),CA2=""),"SD",IF(AND(OR(O2="",R2=""),CA2=""),"",IF(AND(OR(O2&gt;0,R2&gt;0),CA2&gt;0,CB2&gt;0),SUM(CB2)/(CA2*CA2),"X")))</calculatedColumnFormula>
    </tableColumn>
    <tableColumn id="114" xr3:uid="{00000000-0010-0000-0000-000072000000}" name="CLASIFICACION NUTRICIONAL 1" dataDxfId="15224"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15223" dataCellStyle="Normal 2"/>
    <tableColumn id="117" xr3:uid="{00000000-0010-0000-0000-000075000000}" name="IMC5 II TRIM" dataDxfId="15222" dataCellStyle="Normal 2">
      <calculatedColumnFormula>IF(AND(OR(O2&gt;0,R2&gt;0),CA2=""),"SD",IF(AND(OR(O2="",R2=""),CA2=""),"",IF(AND(OR(O2&gt;0,R2&gt;0),CA2&gt;0),SUM(CF2)/(CA2*CA2),"X")))</calculatedColumnFormula>
    </tableColumn>
    <tableColumn id="118" xr3:uid="{00000000-0010-0000-0000-000076000000}" name="SEMANAS DE GESTACION II TRIM" dataDxfId="15221" dataCellStyle="Normal 2">
      <calculatedColumnFormula>IF(AND(CE2="",BK2=""),"",IF(AND(BK2&gt;0,CE2=""),"NA",IF(CE2&lt;BK2,"REVISAR FUM O FECHA PESO",IF(CE2&gt;0,INT(SUM(CE2-BK2)/7)))))</calculatedColumnFormula>
    </tableColumn>
    <tableColumn id="119" xr3:uid="{00000000-0010-0000-0000-000077000000}" name="CLASIFICACION SEGÚN CURVA ATALAH - II TRIM" dataDxfId="15220"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15219" dataCellStyle="Normal 2"/>
    <tableColumn id="121" xr3:uid="{00000000-0010-0000-0000-000079000000}" name="PESO EN Kg (29 A 42 SEMANAS)" dataDxfId="15218" dataCellStyle="Normal 2"/>
    <tableColumn id="123" xr3:uid="{00000000-0010-0000-0000-00007B000000}" name="IMC8 III TRIM" dataDxfId="15217" dataCellStyle="Normal 2">
      <calculatedColumnFormula>IF(AND(OR(O2&gt;0,R2&gt;0),CA2=""),"SD",IF(AND(OR(O2="",R2=""),CA2=""),"",IF(AND(OR(O2&gt;0,R2&gt;0),CA2&gt;0),SUM(CK2)/(CA2*CA2),"X")))</calculatedColumnFormula>
    </tableColumn>
    <tableColumn id="124" xr3:uid="{00000000-0010-0000-0000-00007C000000}" name="SEMANAS DE GESTACION9 III TRIM" dataDxfId="15216" dataCellStyle="Normal 2">
      <calculatedColumnFormula>IF(AND(CJ2="",BK2=""),"",IF(AND(BK2&gt;0,CJ2=""),"NA",IF(CJ2&lt;BK2,"REVISAR FUM O FECHA PESO",IF(CJ2&gt;0,INT(SUM(CJ2-BK2)/7)))))</calculatedColumnFormula>
    </tableColumn>
    <tableColumn id="125" xr3:uid="{00000000-0010-0000-0000-00007D000000}" name="CLASIFICACION SEGÚN CURVA ATALAH - III TRIM" dataDxfId="15215"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15214"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15213" dataCellStyle="Normal 2"/>
    <tableColumn id="127" xr3:uid="{00000000-0010-0000-0000-00007F000000}" name="T.A. DIASTOLICA - ANTES DE SEMANA 12" dataDxfId="15212" dataCellStyle="Normal 2"/>
    <tableColumn id="128" xr3:uid="{00000000-0010-0000-0000-000080000000}" name="ALARMA 1 T.A.  ANTES 12 SEMANAS" dataDxfId="15211"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15210" dataCellStyle="Normal 2"/>
    <tableColumn id="130" xr3:uid="{00000000-0010-0000-0000-000082000000}" name="T.A. DIATOLICA (Entre semana 20 y 26)" dataDxfId="15209" dataCellStyle="Normal 2"/>
    <tableColumn id="131" xr3:uid="{00000000-0010-0000-0000-000083000000}" name="ALARMA 2 T.A.  ENTRE SEMANA 20 Y 26 " dataDxfId="15208"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15207"/>
    <tableColumn id="133" xr3:uid="{00000000-0010-0000-0000-000085000000}" name="TA. DIASTOLICA SEM 30 A 34" dataDxfId="15206" dataCellStyle="Normal 2"/>
    <tableColumn id="134" xr3:uid="{00000000-0010-0000-0000-000086000000}" name="TA SISTOLICA SEM 35 A 37 ULTIMO CONTROL" dataDxfId="15205" dataCellStyle="Normal 2"/>
    <tableColumn id="135" xr3:uid="{00000000-0010-0000-0000-000087000000}" name="TA DIASTOLICA SEM 35 A 37 ULTIMO CONTROL" dataDxfId="15204" dataCellStyle="Normal 2"/>
    <tableColumn id="136" xr3:uid="{00000000-0010-0000-0000-000088000000}" name="ALARMA 3 T.A.  III TRIMESTRE" dataDxfId="15203"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15202" dataCellStyle="Normal 2"/>
    <tableColumn id="138" xr3:uid="{00000000-0010-0000-0000-00008A000000}" name="FECHA ASESORIA EN ANTICONCEPCION DURANTE CPN" dataDxfId="15201" dataCellStyle="Normal 2"/>
    <tableColumn id="139" xr3:uid="{00000000-0010-0000-0000-00008B000000}" name="FECHA C2" dataDxfId="15200" dataCellStyle="Normal 2"/>
    <tableColumn id="144" xr3:uid="{00000000-0010-0000-0000-000090000000}" name="FECHA C3" dataDxfId="15199" dataCellStyle="Normal 2"/>
    <tableColumn id="145" xr3:uid="{00000000-0010-0000-0000-000091000000}" name="FECHA C4" dataDxfId="15198" dataCellStyle="Normal 2"/>
    <tableColumn id="146" xr3:uid="{00000000-0010-0000-0000-000092000000}" name="FECHA C5" dataDxfId="15197" dataCellStyle="Normal 2"/>
    <tableColumn id="147" xr3:uid="{00000000-0010-0000-0000-000093000000}" name="FECHA C6" dataDxfId="15196" dataCellStyle="Normal 2"/>
    <tableColumn id="148" xr3:uid="{00000000-0010-0000-0000-000094000000}" name="FECHA C7" dataDxfId="15195" dataCellStyle="Normal 2"/>
    <tableColumn id="149" xr3:uid="{00000000-0010-0000-0000-000095000000}" name="FECHA C8" dataDxfId="15194" dataCellStyle="Normal 2"/>
    <tableColumn id="150" xr3:uid="{00000000-0010-0000-0000-000096000000}" name="FECHA C9" dataDxfId="15193" dataCellStyle="Normal 2"/>
    <tableColumn id="151" xr3:uid="{00000000-0010-0000-0000-000097000000}" name="FECHA C10" dataDxfId="15192" dataCellStyle="Normal 2"/>
    <tableColumn id="152" xr3:uid="{00000000-0010-0000-0000-000098000000}" name="FECHA C11" dataDxfId="15191" dataCellStyle="Normal 2"/>
    <tableColumn id="153" xr3:uid="{00000000-0010-0000-0000-000099000000}" name="FECHA C12" dataDxfId="15190" dataCellStyle="Normal 2"/>
    <tableColumn id="83" xr3:uid="{00000000-0010-0000-0000-000053000000}" name="FECHA C13" dataDxfId="15189" dataCellStyle="Normal 2"/>
    <tableColumn id="341" xr3:uid="{00000000-0010-0000-0000-000055010000}" name="CURSO DE MATERNIDAD Y PATERNIDAD" dataDxfId="15188" dataCellStyle="Normal 2"/>
    <tableColumn id="342" xr3:uid="{00000000-0010-0000-0000-000056010000}" name="FECHA DE CONCERTACIÓN PLAN DE PARTO (Soporte HC)" dataDxfId="15187" dataCellStyle="Normal 2"/>
    <tableColumn id="343" xr3:uid="{00000000-0010-0000-0000-000057010000}" name="ALERTA DE PLAN DE PARTO" dataDxfId="15186"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15185"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15184"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15183"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15182"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15181"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15180" dataCellStyle="Normal 2">
      <calculatedColumnFormula>IF(R2&gt;0,SUM(COUNTA(DC2:DN2)+COUNTA(Tabla1[[#This Row],[FECHA CONSULTA PRIMERA VEZ PROGRAMA CPN ]])),"")</calculatedColumnFormula>
    </tableColumn>
    <tableColumn id="155" xr3:uid="{00000000-0010-0000-0000-00009B000000}" name="ADHERENCIA AL CPN" dataDxfId="15179" dataCellStyle="Normal 2">
      <calculatedColumnFormula>IF(AND(DW2&gt;=0,DW2&lt;4),"NO",IF(AND(DW2&gt;=4,DW2&lt;12),"SI",""))</calculatedColumnFormula>
    </tableColumn>
    <tableColumn id="156" xr3:uid="{00000000-0010-0000-0000-00009C000000}" name="CONTROLES PROGRAMADOS " dataDxfId="15178" dataCellStyle="Normal 2">
      <calculatedColumnFormula>IF(BO2="","",IF(BO2&gt;0,INT(SUM(((40-BO2)/4)+2)),"X"))</calculatedColumnFormula>
    </tableColumn>
    <tableColumn id="157" xr3:uid="{00000000-0010-0000-0000-00009D000000}" name="% CUMPLIM INDIVIDUAL" dataDxfId="15177" dataCellStyle="Normal 2">
      <calculatedColumnFormula>IF(DY2="","",IF(DW2&gt;0,SUM(DW2/DY2),"X"))</calculatedColumnFormula>
    </tableColumn>
    <tableColumn id="158" xr3:uid="{00000000-0010-0000-0000-00009E000000}" name="FECHA  REMISION PSICOLOGIA" dataDxfId="15176" dataCellStyle="Normal 2"/>
    <tableColumn id="159" xr3:uid="{00000000-0010-0000-0000-00009F000000}" name="FECHA ASISTENCIA A CONSULTA PSICOLOGIA" dataDxfId="15175" dataCellStyle="Normal 2"/>
    <tableColumn id="160" xr3:uid="{00000000-0010-0000-0000-0000A0000000}" name="FECHA  REMISION NUTRICION" dataDxfId="15174" dataCellStyle="Normal 2"/>
    <tableColumn id="161" xr3:uid="{00000000-0010-0000-0000-0000A1000000}" name="FECHA ASISTENCIA A CONSULTA NUTRICION" dataDxfId="15173" dataCellStyle="Normal 2"/>
    <tableColumn id="162" xr3:uid="{00000000-0010-0000-0000-0000A2000000}" name="FECHA  REMISION GINECOLOGO" dataDxfId="15172" dataCellStyle="Normal 2"/>
    <tableColumn id="163" xr3:uid="{00000000-0010-0000-0000-0000A3000000}" name="FECHA ASISTENCIA PRIMERA VEZ CON GINECOLOGÍA" dataDxfId="15171" dataCellStyle="Normal 2"/>
    <tableColumn id="250" xr3:uid="{00000000-0010-0000-0000-0000FA000000}" name="FECHA ULTIMA ASISTENCIA A CONSULTA GINECO" dataDxfId="15170" dataCellStyle="Normal 2"/>
    <tableColumn id="164" xr3:uid="{00000000-0010-0000-0000-0000A4000000}" name="No CONSULTAS GINECOLOGO" dataDxfId="15169" dataCellStyle="Normal 2"/>
    <tableColumn id="165" xr3:uid="{00000000-0010-0000-0000-0000A5000000}" name="RESULTADO HEMOGLOBINA INGRESO" dataDxfId="15168" dataCellStyle="Normal 2"/>
    <tableColumn id="167" xr3:uid="{00000000-0010-0000-0000-0000A7000000}" name="FECHA RESULTADO HB" dataDxfId="15167" dataCellStyle="Normal 2"/>
    <tableColumn id="168" xr3:uid="{00000000-0010-0000-0000-0000A8000000}" name="EDAD GESTACIONAL HB" dataDxfId="15166"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15165"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15164"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15163" dataCellStyle="Normal 2"/>
    <tableColumn id="171" xr3:uid="{00000000-0010-0000-0000-0000AB000000}" name="FECHA RESULTADO HB SEM 28" dataDxfId="15162" dataCellStyle="Normal 2"/>
    <tableColumn id="172" xr3:uid="{00000000-0010-0000-0000-0000AC000000}" name="EDAD GESTACIONAL HB - SEM 28" dataDxfId="15161"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15160"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15159" dataCellStyle="Normal 2"/>
    <tableColumn id="175" xr3:uid="{00000000-0010-0000-0000-0000AF000000}" name="FECHA RESULTADO GRUPO SANGUINEO" dataDxfId="15158" dataCellStyle="Normal 2"/>
    <tableColumn id="176" xr3:uid="{00000000-0010-0000-0000-0000B0000000}" name="EDAD GESTACIONAL GRUPO SANGUINEO" dataDxfId="15157"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15156"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15155" dataCellStyle="Normal 2"/>
    <tableColumn id="179" xr3:uid="{00000000-0010-0000-0000-0000B3000000}" name="FECHA GLICEMIA" dataDxfId="15154" dataCellStyle="Normal 2"/>
    <tableColumn id="180" xr3:uid="{00000000-0010-0000-0000-0000B4000000}" name="EDAD GESTACIONAL GLICEMIA" dataDxfId="15153"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15152" dataCellStyle="Normal 2"/>
    <tableColumn id="185" xr3:uid="{00000000-0010-0000-0000-0000B9000000}" name="PTOG. carga 75 gr 1 HORA - VALOR" dataDxfId="15151" dataCellStyle="Normal 2"/>
    <tableColumn id="186" xr3:uid="{00000000-0010-0000-0000-0000BA000000}" name="PTOG. carga 75 gr 2 HORA - VALOR" dataDxfId="15150" dataCellStyle="Normal 2"/>
    <tableColumn id="187" xr3:uid="{00000000-0010-0000-0000-0000BB000000}" name="PTOG. carga 75 gr - RESULTADO" dataDxfId="15149"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15148" dataCellStyle="Normal 2"/>
    <tableColumn id="189" xr3:uid="{00000000-0010-0000-0000-0000BD000000}" name="EDAD GESTACIONAL P.T.O.G" dataDxfId="15147"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15146" dataCellStyle="Normal 2"/>
    <tableColumn id="200" xr3:uid="{00000000-0010-0000-0000-0000C8000000}" name="FECHA RESULTADO I TRIM" dataDxfId="15145" dataCellStyle="Normal 2"/>
    <tableColumn id="201" xr3:uid="{00000000-0010-0000-0000-0000C9000000}" name="ALARMA TAMIZAJE SIFILIS I TRIMESTRE" dataDxfId="15144"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15143" dataCellStyle="Normal 2"/>
    <tableColumn id="203" xr3:uid="{00000000-0010-0000-0000-0000CB000000}" name="FECHA RESULTADO PR-  II TRIM" dataDxfId="15142" dataCellStyle="Normal 2"/>
    <tableColumn id="204" xr3:uid="{00000000-0010-0000-0000-0000CC000000}" name="ALARMA TAMIZAJE SIFILIS II TRIMESTRE2" dataDxfId="15141"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15140" dataCellStyle="Normal 2"/>
    <tableColumn id="206" xr3:uid="{00000000-0010-0000-0000-0000CE000000}" name="FECHA RESULTADO PR-  III TRIM" dataDxfId="15139" dataCellStyle="Normal 2"/>
    <tableColumn id="207" xr3:uid="{00000000-0010-0000-0000-0000CF000000}" name="ALARMA TAMIZAJE SIFILIS III TRIMESTRE22" dataDxfId="15138"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15137" dataCellStyle="Normal 2"/>
    <tableColumn id="209" xr3:uid="{00000000-0010-0000-0000-0000D1000000}" name="FECHA RESULTADO PR INTRAPARTO" dataDxfId="15136" dataCellStyle="Normal 2"/>
    <tableColumn id="210" xr3:uid="{00000000-0010-0000-0000-0000D2000000}" name="ALARMA CONSOLIDADA CASOS SIFILIS GESTACIONAL" dataDxfId="15135"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15134" dataCellStyle="Normal 2"/>
    <tableColumn id="216" xr3:uid="{00000000-0010-0000-0000-0000D8000000}" name="FECHA RESULTADO UROANALISIS ULTIMO" dataDxfId="15133" dataCellStyle="Normal 2"/>
    <tableColumn id="217" xr3:uid="{00000000-0010-0000-0000-0000D9000000}" name="EDAD GESTACIONAL UROANALSIS ULTIMO" dataDxfId="15132"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15131" dataCellStyle="Normal 2"/>
    <tableColumn id="219" xr3:uid="{00000000-0010-0000-0000-0000DB000000}" name="FECHA RESULTADO UROCULTIVO" dataDxfId="15130" dataCellStyle="Normal 2"/>
    <tableColumn id="220" xr3:uid="{00000000-0010-0000-0000-0000DC000000}" name="EDAD GESTACIONAL UROCULTIVO" dataDxfId="1512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15128"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15127" dataCellStyle="Normal 2"/>
    <tableColumn id="223" xr3:uid="{00000000-0010-0000-0000-0000DF000000}" name="TAMIZAJE  PARA VIH I TRIM" dataDxfId="15126" dataCellStyle="Normal 2"/>
    <tableColumn id="224" xr3:uid="{00000000-0010-0000-0000-0000E0000000}" name="FECHA RESULTADO TAMIZAJE VIH I TRIMESTRE" dataDxfId="15125" dataCellStyle="Normal 2"/>
    <tableColumn id="225" xr3:uid="{00000000-0010-0000-0000-0000E1000000}" name="ALARMA TAMIZAJE VIH - I TRIM" dataDxfId="15124"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15123" dataCellStyle="Normal 2"/>
    <tableColumn id="103" xr3:uid="{00000000-0010-0000-0000-000067000000}" name="FECHA RESULTADO TAMIZAJE VIH II TRIM" dataDxfId="15122" dataCellStyle="Normal 2"/>
    <tableColumn id="345" xr3:uid="{00000000-0010-0000-0000-000059010000}" name="ALARMA TAMIZAJE VIH - II TRIM" dataDxfId="15121"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15120" dataCellStyle="Normal 2"/>
    <tableColumn id="228" xr3:uid="{00000000-0010-0000-0000-0000E4000000}" name="FECHA RESULTADO TAMIZAJE VIH III TRIM" dataDxfId="15119" dataCellStyle="Normal 2"/>
    <tableColumn id="229" xr3:uid="{00000000-0010-0000-0000-0000E5000000}" name="ALARMA TAMIZAJE VIH - III TRIM" dataDxfId="15118"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15117" dataCellStyle="Normal 2"/>
    <tableColumn id="91" xr3:uid="{00000000-0010-0000-0000-00005B000000}" name="FECHA RESULTADO TAMIZAJE INTRAPARTO" dataDxfId="15116" dataCellStyle="Normal 2"/>
    <tableColumn id="84" xr3:uid="{00000000-0010-0000-0000-000054000000}" name="SEGUNDA PRUEBA ELISA O PR PARA DEFINIR DIAGNOSTICO VIH SEGÚN PROTOCOLO INS" dataDxfId="15115" dataCellStyle="Normal 2"/>
    <tableColumn id="140" xr3:uid="{00000000-0010-0000-0000-00008C000000}" name="FECHA RESULTADO SEGUNDA PRUEBA ELISA O PR PARA DEFINIR DIAGNOSTICO VIH SEGÚN PROTOCOLO INS" dataDxfId="15114" dataCellStyle="Normal 2"/>
    <tableColumn id="141" xr3:uid="{00000000-0010-0000-0000-00008D000000}" name="RESULTADO CARGA VIRAL SEGÚN PROTOCOLO INS" dataDxfId="15113" dataCellStyle="Normal 2"/>
    <tableColumn id="142" xr3:uid="{00000000-0010-0000-0000-00008E000000}" name="FECHA RESULTADO CARGA VIRAL SEGÚN PROTOCOLO INS" dataDxfId="15112" dataCellStyle="Normal 2"/>
    <tableColumn id="143" xr3:uid="{00000000-0010-0000-0000-00008F000000}" name="RESULTADO HEP B ANTIGENO SUPERFICIE" dataDxfId="15111" dataCellStyle="Normal 2"/>
    <tableColumn id="232" xr3:uid="{00000000-0010-0000-0000-0000E8000000}" name="FECHA RESULTADO H ASB" dataDxfId="15110" dataCellStyle="Normal 2"/>
    <tableColumn id="233" xr3:uid="{00000000-0010-0000-0000-0000E9000000}" name="EDAD GESTACIONAL18" dataDxfId="15109"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15108" dataCellStyle="Normal 2"/>
    <tableColumn id="236" xr3:uid="{00000000-0010-0000-0000-0000EC000000}" name="RESULTADO CONFIRM. TOXO. IgM" dataDxfId="15107" dataCellStyle="Normal 2"/>
    <tableColumn id="237" xr3:uid="{00000000-0010-0000-0000-0000ED000000}" name="ALARMA TOXOPLASMOSIS" dataDxfId="15106"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15105" dataCellStyle="Normal 2"/>
    <tableColumn id="239" xr3:uid="{00000000-0010-0000-0000-0000EF000000}" name="EDAD GESTACIONAL21" dataDxfId="15104"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15103"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15102" dataCellStyle="Normal 2"/>
    <tableColumn id="243" xr3:uid="{00000000-0010-0000-0000-0000F3000000}" name="NUMERO VECES TOMA TOXOPLASMA IgM - Control" dataDxfId="15101" dataCellStyle="Normal 2"/>
    <tableColumn id="244" xr3:uid="{00000000-0010-0000-0000-0000F4000000}" name="RESULTADO ULTIMA CITOLOGIA (SEGÚN NORMA Y VIGENTE)" dataDxfId="15100" dataCellStyle="Normal 2"/>
    <tableColumn id="245" xr3:uid="{00000000-0010-0000-0000-0000F5000000}" name="FECHA RESULTADO2" dataDxfId="15099" dataCellStyle="Normal 2"/>
    <tableColumn id="246" xr3:uid="{00000000-0010-0000-0000-0000F6000000}" name="TIEMPO DE LA TOMA" dataDxfId="15098" dataCellStyle="Normal 2">
      <calculatedColumnFormula>IF(GZ2&gt;0,SUM(GZ2-BK2)/7,"")</calculatedColumnFormula>
    </tableColumn>
    <tableColumn id="247" xr3:uid="{00000000-0010-0000-0000-0000F7000000}" name="CLASIFICACION TIEMPO TOMA" dataDxfId="15097"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15096"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15095" dataCellStyle="Normal 2"/>
    <tableColumn id="368" xr3:uid="{00000000-0010-0000-0000-000070010000}" name="FECHA RESULTADO TAMIZAJE CHAGAS" dataDxfId="15094" dataCellStyle="Normal 2"/>
    <tableColumn id="356" xr3:uid="{00000000-0010-0000-0000-000064010000}" name="TAMIZAJE INICIAL DE GOTA GRUESA PARA MALARIA (En zonas endémicas)" dataDxfId="15093" dataCellStyle="Normal 2"/>
    <tableColumn id="352" xr3:uid="{00000000-0010-0000-0000-000060010000}" name="FECHA RESULTADO TAMIZAJE INICIAL GOTA GRUESA PARA MALARIA" dataDxfId="15092" dataCellStyle="Normal 2"/>
    <tableColumn id="351" xr3:uid="{00000000-0010-0000-0000-00005F010000}" name="RESULTADO ULTIMO TAMIZAJE GOTA GRUESA (Para Zonas endémicas)" dataDxfId="15091" dataCellStyle="Normal 2"/>
    <tableColumn id="346" xr3:uid="{00000000-0010-0000-0000-00005A010000}" name="NUMERO TAMIZAJES TOMADOS DE GOTA GRUESA PARA MALARIA (Debe ser mensual para zonas endémicas)" dataDxfId="15090" dataCellStyle="Normal 2"/>
    <tableColumn id="249" xr3:uid="{00000000-0010-0000-0000-0000F9000000}" name="DIAGNOSTICO POSITIVO COVID19 - INFECCIÓN POR SARS CoV2" dataDxfId="15089" dataCellStyle="Normal 2"/>
    <tableColumn id="252" xr3:uid="{00000000-0010-0000-0000-0000FC000000}" name="ENFERMEDADES PROPIAS O CULTURALES" dataDxfId="15088"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15087"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15086"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15085"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15084"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15083"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15082"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15081"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15080" dataCellStyle="Normal 2"/>
    <tableColumn id="102" xr3:uid="{00000000-0010-0000-0000-000066000000}" name="SUMINISTRO DE ASA SEGÚN GPC" dataDxfId="15079" dataCellStyle="Normal 2"/>
    <tableColumn id="23" xr3:uid="{00000000-0010-0000-0000-000017000000}" name="FECHA INICIO SUMINISTRO CALCIO" dataDxfId="15078" dataCellStyle="Normal 2"/>
    <tableColumn id="181" xr3:uid="{00000000-0010-0000-0000-0000B5000000}" name="SUMINISTRO CALCIO " dataDxfId="15077" dataCellStyle="Normal 2"/>
    <tableColumn id="60" xr3:uid="{00000000-0010-0000-0000-00003C000000}" name="FECHA INICIO SUMINISTRO ACIDO FOLICO " dataDxfId="15076" dataCellStyle="Normal 2"/>
    <tableColumn id="241" xr3:uid="{00000000-0010-0000-0000-0000F1000000}" name="SUMINISTRO DE ACIDO FOLICO " dataDxfId="15075" dataCellStyle="Normal 2"/>
    <tableColumn id="256" xr3:uid="{00000000-0010-0000-0000-000000010000}" name="FECHA INICIO SUMINISTRO SULFATO FERROSO " dataDxfId="15074" dataCellStyle="Normal 2"/>
    <tableColumn id="254" xr3:uid="{00000000-0010-0000-0000-0000FE000000}" name="SUMINISTRO DE SULFATO FERROSO " dataDxfId="15073" dataCellStyle="Normal 2"/>
    <tableColumn id="257" xr3:uid="{00000000-0010-0000-0000-000001010000}" name="SUPLEMENTACION ALIMENTARIA  O DIRECCIONAMIENTO A AUTONOMIA ALIMENTARIA" dataDxfId="15072" dataCellStyle="Normal 2"/>
    <tableColumn id="63" xr3:uid="{00000000-0010-0000-0000-00003F000000}" name="FECHA CONSULTA DE 1RA VEZ POR ODONTOLOGIA" dataDxfId="15071" dataCellStyle="Normal 2"/>
    <tableColumn id="258" xr3:uid="{00000000-0010-0000-0000-000002010000}" name="SEMANAS DE GESTACION A LA CONSULTA ODONTOLOGICA" dataDxfId="15070"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15069" dataCellStyle="Normal 2"/>
    <tableColumn id="388" xr3:uid="{00000000-0010-0000-0000-000084010000}" name="Tipo Biológico Vacuna anti COVID-19 (Disentimiento)" dataDxfId="15068"/>
    <tableColumn id="386" xr3:uid="{00000000-0010-0000-0000-000082010000}" name="Fecha 1ra Dosis Anti COVID-19" dataDxfId="15067"/>
    <tableColumn id="336" xr3:uid="{00000000-0010-0000-0000-000050010000}" name="Tipo Biológico Vacuna anti COVID-19 (2da Dosis)" dataDxfId="15066"/>
    <tableColumn id="382" xr3:uid="{00000000-0010-0000-0000-00007E010000}" name="Fecha 2da Dosis Anti COVID-19" dataDxfId="15065"/>
    <tableColumn id="339" xr3:uid="{00000000-0010-0000-0000-000053010000}" name="Tipo Biológico Vacuna anti COVID-19 (Refuerzo)" dataDxfId="15064"/>
    <tableColumn id="335" xr3:uid="{00000000-0010-0000-0000-00004F010000}" name="Fecha Refuerzo Anti COVID-20" dataDxfId="15063"/>
    <tableColumn id="381" xr3:uid="{00000000-0010-0000-0000-00007D010000}" name="Alarma Vacunación Anti COVID-19" dataDxfId="15062">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15061" dataCellStyle="Normal 2"/>
    <tableColumn id="268" xr3:uid="{00000000-0010-0000-0000-00000C010000}" name="FECHA VACUNA DPT ACELULAR" dataDxfId="15060" dataCellStyle="Normal 2"/>
    <tableColumn id="269" xr3:uid="{00000000-0010-0000-0000-00000D010000}" name="ALARMA DPT ACELULAR" dataDxfId="15059"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15058" dataCellStyle="Normal 2"/>
    <tableColumn id="271" xr3:uid="{00000000-0010-0000-0000-00000F010000}" name="FPP2" dataDxfId="15057" dataCellStyle="Normal 2">
      <calculatedColumnFormula>IF(OR(BL2="SI",BL2="Corregida",BL2="NO"),(BK2+280),IF(BL2="Sin Dato","DEFINIR FPP POR ECO",""))</calculatedColumnFormula>
    </tableColumn>
    <tableColumn id="72" xr3:uid="{00000000-0010-0000-0000-000048000000}" name="DIAS PARA EL PARTO2" dataDxfId="15056" dataCellStyle="Normal 2">
      <calculatedColumnFormula>IF(OR(IP2="DEFINIR FPP POR ECO",BP2="ERROR FUM O INGRESO"),"SIN DEFINIR",IF(IP2="","",IF(IP2&gt;0,SUM(IP2-TODAY()),"X")))</calculatedColumnFormula>
    </tableColumn>
    <tableColumn id="70" xr3:uid="{00000000-0010-0000-0000-000046000000}" name="ALERTA PARA PARTO3" dataDxfId="15055"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15054" dataCellStyle="Normal 2"/>
    <tableColumn id="273" xr3:uid="{00000000-0010-0000-0000-000011010000}" name="SALE DEL PROGRAMA POR" dataDxfId="15053" dataCellStyle="Normal 2"/>
    <tableColumn id="275" xr3:uid="{00000000-0010-0000-0000-000013010000}" name=" EVENTO DE INTERES EN SALUD PÚBLICA DE LA MADRE" dataDxfId="15052" dataCellStyle="Normal 2"/>
    <tableColumn id="276" xr3:uid="{00000000-0010-0000-0000-000014010000}" name=" EVENTO DE INTERES EN SALUD PÚBLICA DEL RECIÉN NACIDO2" dataDxfId="15051" dataCellStyle="Normal 2"/>
    <tableColumn id="277" xr3:uid="{00000000-0010-0000-0000-000015010000}" name="FECHA DE SALIDA  DEL PROGRAMA" dataDxfId="15050" dataCellStyle="Normal 2"/>
    <tableColumn id="278" xr3:uid="{00000000-0010-0000-0000-000016010000}" name="LUGAR DE ATENCION DEL PARTO" dataDxfId="15049" dataCellStyle="Normal 2"/>
    <tableColumn id="281" xr3:uid="{00000000-0010-0000-0000-000019010000}" name="EDAD GESTACIONAL SALIDA PROGRAMA" dataDxfId="15048" dataCellStyle="Normal 2">
      <calculatedColumnFormula>IF(AND(IW2&gt;0,IT2&lt;&gt;""),SUM(IW2-BK2)/7,"")</calculatedColumnFormula>
    </tableColumn>
    <tableColumn id="282" xr3:uid="{00000000-0010-0000-0000-00001A010000}" name="NOMBRE DE LA INSTITUCION DONDE SE ATENDIO EL PARTO O LUGAR ESPECIFICO DEL PARTO SI APLICA" dataDxfId="15047" dataCellStyle="Normal 2"/>
    <tableColumn id="283" xr3:uid="{00000000-0010-0000-0000-00001B010000}" name="NIVEL DE COMPLEJIDAD DE LA ATENCION DE LA INSTITUCION DONDE SE ATENDIO EL PARTO" dataDxfId="15046" dataCellStyle="Normal 2"/>
    <tableColumn id="284" xr3:uid="{00000000-0010-0000-0000-00001C010000}" name="PROFESIONAL O PERSONA QUE ATIENDE EL PARTO" dataDxfId="15045" dataCellStyle="Normal 2"/>
    <tableColumn id="373" xr3:uid="{00000000-0010-0000-0000-000075010000}" name="INICIO TRABAJO DE PARTO" dataDxfId="15044" dataCellStyle="Normal 2"/>
    <tableColumn id="285" xr3:uid="{00000000-0010-0000-0000-00001D010000}" name="ACOMPAÑAMIENTO POR PERSONA DE CONFIANZA DURANTE TRABAJO DE PARTO Y PARTO" dataDxfId="15043" dataCellStyle="Normal 2"/>
    <tableColumn id="251" xr3:uid="{00000000-0010-0000-0000-0000FB000000}" name="DILIGENCIAMIENTO DE PARTOGRAMA (NO APLICA EN EXPULSIVO)" dataDxfId="15042" dataCellStyle="Normal 2"/>
    <tableColumn id="261" xr3:uid="{00000000-0010-0000-0000-000005010000}" name="MANEJO ACTIVO DEL TERCER PERIODO DEL PARTO (USO OXITOCINA,MASAJE UTERINO Y TRACCIÓN SOSTENIDA DE CORDÓN)2" dataDxfId="15041" dataCellStyle="Normal 2"/>
    <tableColumn id="262" xr3:uid="{00000000-0010-0000-0000-000006010000}" name="CONTACTO PIEL A PIEL DURANTE MÍNIMO 30 MINUTOS " dataDxfId="15040" dataCellStyle="Normal 2"/>
    <tableColumn id="263" xr3:uid="{00000000-0010-0000-0000-000007010000}" name="INICIO DE LACTANCIA MATERNA DURANTE EL CONTACTO PIEL A PIEL O EN LA PRIMERA HORA DE VIDA" dataDxfId="15039" dataCellStyle="Normal 2"/>
    <tableColumn id="92" xr3:uid="{00000000-0010-0000-0000-00005C000000}" name="MONITORIA CADA 15 MINUTOS DE SIGNOS VITALES DURANTES LAS PRIMERAS DOS HORAS POSTPARTO (SOPORTE EN HC - 8 VALORACIONES EN LAS PRIMERAS 2 HORAS)" dataDxfId="15038" dataCellStyle="Normal 2"/>
    <tableColumn id="264" xr3:uid="{00000000-0010-0000-0000-000008010000}" name="COMPLICACIONES POSTPARTO - HASTA 42 DÍAS" dataDxfId="15037" dataCellStyle="Normal 2"/>
    <tableColumn id="286" xr3:uid="{00000000-0010-0000-0000-00001E010000}" name="NUMERO NACIDOS VIVOS" dataDxfId="15036" dataCellStyle="Normal 2"/>
    <tableColumn id="288" xr3:uid="{00000000-0010-0000-0000-000020010000}" name="SEXO RN" dataDxfId="15035" dataCellStyle="Normal 2"/>
    <tableColumn id="289" xr3:uid="{00000000-0010-0000-0000-000021010000}" name="PESO RN  EN GRAMOS" dataDxfId="15034" dataCellStyle="Normal 2"/>
    <tableColumn id="290" xr3:uid="{00000000-0010-0000-0000-000022010000}" name="PESO AL NACER POR EDAD GESTACIONAL" dataDxfId="15033"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15032" dataCellStyle="Normal 2"/>
    <tableColumn id="294" xr3:uid="{00000000-0010-0000-0000-000026010000}" name="RESULTADO TSH" dataDxfId="15031" dataCellStyle="Normal 2"/>
    <tableColumn id="295" xr3:uid="{00000000-0010-0000-0000-000027010000}" name=" FECHA RESULTADO TSH" dataDxfId="15030" dataCellStyle="Normal 2"/>
    <tableColumn id="296" xr3:uid="{00000000-0010-0000-0000-000028010000}" name="APLICACIÓN DE VIT K" dataDxfId="15029" dataCellStyle="Normal 2"/>
    <tableColumn id="297" xr3:uid="{00000000-0010-0000-0000-000029010000}" name="GRUPO SANGUINEO RN" dataDxfId="15028" dataCellStyle="Normal 2"/>
    <tableColumn id="298" xr3:uid="{00000000-0010-0000-0000-00002A010000}" name="FECHA APLICACIÓN VACUNA HEPATITIS B" dataDxfId="15027" dataCellStyle="Normal 2"/>
    <tableColumn id="299" xr3:uid="{00000000-0010-0000-0000-00002B010000}" name="FECHA APLICACIÓN VACUNA BCG" dataDxfId="15026" dataCellStyle="Normal 2"/>
    <tableColumn id="300" xr3:uid="{00000000-0010-0000-0000-00002C010000}" name="SEXO RN 2" dataDxfId="15025" dataCellStyle="Normal 2"/>
    <tableColumn id="301" xr3:uid="{00000000-0010-0000-0000-00002D010000}" name="PESO RN 2 EN GRAMOS2" dataDxfId="15024" dataCellStyle="Normal 2"/>
    <tableColumn id="302" xr3:uid="{00000000-0010-0000-0000-00002E010000}" name="PESO AL NACER POR EDAD GESTACIONAL RN 2" dataDxfId="15023"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15022" dataCellStyle="Normal 2"/>
    <tableColumn id="306" xr3:uid="{00000000-0010-0000-0000-000032010000}" name="RESULTADO TSH 2" dataDxfId="15021" dataCellStyle="Normal 2"/>
    <tableColumn id="307" xr3:uid="{00000000-0010-0000-0000-000033010000}" name=" FECHA RESULTADO TSH 2" dataDxfId="15020" dataCellStyle="Normal 2"/>
    <tableColumn id="308" xr3:uid="{00000000-0010-0000-0000-000034010000}" name="APLICACIÓN DE VIT K 2" dataDxfId="15019" dataCellStyle="Normal 2"/>
    <tableColumn id="309" xr3:uid="{00000000-0010-0000-0000-000035010000}" name="GRUPO SANGUINEO RN 2" dataDxfId="15018" dataCellStyle="Normal 2"/>
    <tableColumn id="310" xr3:uid="{00000000-0010-0000-0000-000036010000}" name="FECHA APLICACIÓN VACUNA HEPATITIS B 2" dataDxfId="15017" dataCellStyle="Normal 2"/>
    <tableColumn id="311" xr3:uid="{00000000-0010-0000-0000-000037010000}" name="FECHA APLICACIÓN VACUNA BCG 2" dataDxfId="15016" dataCellStyle="Normal 2"/>
    <tableColumn id="312" xr3:uid="{00000000-0010-0000-0000-000038010000}" name="CONTROL RN FECHA ASISTIO " dataDxfId="15015" dataCellStyle="Normal 2"/>
    <tableColumn id="313" xr3:uid="{00000000-0010-0000-0000-000039010000}" name="ALARMA 1 CONTROL RN" dataDxfId="15014"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15013" dataCellStyle="Normal 2"/>
    <tableColumn id="316" xr3:uid="{00000000-0010-0000-0000-00003C010000}" name="ALARMA CONTROL PUERPERIO" dataDxfId="15012"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15011" dataCellStyle="Normal 2"/>
    <tableColumn id="265" xr3:uid="{00000000-0010-0000-0000-000009010000}" name="ASESORIA EN PLANIFICACIÓN FAMILIAR POST EVENTO OBSTETRICO EN AMBITO HOSPITALARIO" dataDxfId="15010" dataCellStyle="Normal 2"/>
    <tableColumn id="240" xr3:uid="{00000000-0010-0000-0000-0000F0000000}" name="PUERPERA SALE CON PLANIFICACIÓN FAMILIAR POST EVENTO OBSTETRICO " dataDxfId="15009" dataCellStyle="Normal 2"/>
    <tableColumn id="97" xr3:uid="{00000000-0010-0000-0000-000061000000}" name="FECHA INSCRIPCION A PLANIFICACION FAMILIAR2" dataDxfId="15008" dataCellStyle="Normal 2"/>
    <tableColumn id="319" xr3:uid="{00000000-0010-0000-0000-00003F010000}" name="METODO DE ANTICONCEPCION INICIADO POSTPARTO" dataDxfId="15007" dataCellStyle="Normal 2"/>
    <tableColumn id="320" xr3:uid="{00000000-0010-0000-0000-000040010000}" name="TIPO DE APOYO REALIZADO POR LA EPS" dataDxfId="15006" dataCellStyle="Normal 2"/>
    <tableColumn id="321" xr3:uid="{00000000-0010-0000-0000-000041010000}" name="TIPO DE APOYO REALIZADO POR LA IPS PRIMARIA" dataDxfId="15005" dataCellStyle="Normal 2"/>
    <tableColumn id="322" xr3:uid="{00000000-0010-0000-0000-000042010000}" name="FECHA SEGUIMIENTO INICIAL POR PERSONAL DE SALUD EN TERRENO" dataDxfId="15004" dataCellStyle="Normal 2"/>
    <tableColumn id="304" xr3:uid="{00000000-0010-0000-0000-000030010000}" name="FECHA ÚLTIMO SEGUIMIENTO" dataDxfId="15003" dataCellStyle="Normal 2"/>
    <tableColumn id="318" xr3:uid="{00000000-0010-0000-0000-00003E010000}" name="NÚMERO DE SEGUIMIENTOS CPN" dataDxfId="15002" dataCellStyle="Normal 2"/>
    <tableColumn id="183" xr3:uid="{00000000-0010-0000-0000-0000B7000000}" name="HALLAZGO GESTACIÓN SEGUIMIENTO POR VISITA DOMICILIARIA" dataDxfId="15001" dataCellStyle="Normal 2"/>
    <tableColumn id="332" xr3:uid="{00000000-0010-0000-0000-00004C010000}" name="FECHA SEGUIMIENTOS TELÉFONICOS" dataDxfId="15000" dataCellStyle="Normal 2"/>
    <tableColumn id="266" xr3:uid="{00000000-0010-0000-0000-00000A010000}" name="NÚMERO SEGUIMIENTOS TELÉFONCOS" dataDxfId="14999" dataCellStyle="Normal 2"/>
    <tableColumn id="267" xr3:uid="{00000000-0010-0000-0000-00000B010000}" name="OBSERVACIÓN SEGUIMIENTO TELÉFONCO" dataDxfId="14998" dataCellStyle="Normal 2"/>
    <tableColumn id="272" xr3:uid="{00000000-0010-0000-0000-000010010000}" name="FECHA SEGUIMIENTO POR PERSONAL DE SALUD EN TERRENO  EN PUERPERIO" dataDxfId="14997" dataCellStyle="Normal 2"/>
    <tableColumn id="344" xr3:uid="{00000000-0010-0000-0000-000058010000}" name="HALLAZGOS ACOMPAÑAMIENTO PERSONAL DE SALUD PUERPERA" dataDxfId="14996" dataCellStyle="Normal 2"/>
    <tableColumn id="347" xr3:uid="{00000000-0010-0000-0000-00005B010000}" name="HALLAZGOS ACOMPAÑAMIENTO PERSONAL DE SALUD RECIEN NACIDO" dataDxfId="14995" dataCellStyle="Normal 2"/>
    <tableColumn id="348" xr3:uid="{00000000-0010-0000-0000-00005C010000}" name="FECHA ULTIMO SEGUIMIENTO POR PERSONAL DE SALUD EN TERRENO  EN PUERPERIO" dataDxfId="14994" dataCellStyle="Normal 2"/>
    <tableColumn id="349" xr3:uid="{00000000-0010-0000-0000-00005D010000}" name="NÚMERO DE SEGUIMIENTOS EN PUERPERIO" dataDxfId="14993" dataCellStyle="Normal 2"/>
    <tableColumn id="350" xr3:uid="{00000000-0010-0000-0000-00005E010000}" name="FECHA PRIMER ACOMPAÑAMIENTO SABEDOR ANCESTRAL" dataDxfId="14992" dataCellStyle="Normal 2"/>
    <tableColumn id="22" xr3:uid="{00000000-0010-0000-0000-000016000000}" name="TIPO DE SABEDOR" dataDxfId="14991" dataCellStyle="Normal 2"/>
    <tableColumn id="191" xr3:uid="{00000000-0010-0000-0000-0000BF000000}" name="NECESIDAD O DESARMONIA DESDE LO PROPIO 1" dataDxfId="14990" dataCellStyle="Normal 2"/>
    <tableColumn id="353" xr3:uid="{00000000-0010-0000-0000-000061010000}" name="ACTIVIDAD O RITUALIDAD REALIZADA1" dataDxfId="14989" dataCellStyle="Normal 2"/>
    <tableColumn id="93" xr3:uid="{00000000-0010-0000-0000-00005D000000}" name="FECHA  ACOMPAÑAMIENTO SABEDOR ANCESTRAL2" dataDxfId="14988" dataCellStyle="Normal 2"/>
    <tableColumn id="354" xr3:uid="{00000000-0010-0000-0000-000062010000}" name="TIPO DE SABEDOR2" dataDxfId="14987" dataCellStyle="Normal 2"/>
    <tableColumn id="355" xr3:uid="{00000000-0010-0000-0000-000063010000}" name="NECESIDAD O DESARMONIA DESDE LO PROPIO 12" dataDxfId="14986" dataCellStyle="Normal 2"/>
    <tableColumn id="107" xr3:uid="{00000000-0010-0000-0000-00006B000000}" name="ACTIVIDAD O RITUALIDAD REALIZADA13" dataDxfId="14985" dataCellStyle="Normal 2"/>
    <tableColumn id="357" xr3:uid="{00000000-0010-0000-0000-000065010000}" name="FECHA ACOMPAÑAMIENTO SABEDOR ANCESTRAL3" dataDxfId="14984" dataCellStyle="Normal 2"/>
    <tableColumn id="358" xr3:uid="{00000000-0010-0000-0000-000066010000}" name="TIPO DE SABEDOR3" dataDxfId="14983" dataCellStyle="Normal 2"/>
    <tableColumn id="359" xr3:uid="{00000000-0010-0000-0000-000067010000}" name="NECESIDAD O DESARMONIA DESDE LO PROPIO 13" dataDxfId="14982" dataCellStyle="Normal 2"/>
    <tableColumn id="360" xr3:uid="{00000000-0010-0000-0000-000068010000}" name="ACTIVIDAD O RITUALIDAD REALIZADA14" dataDxfId="14981" dataCellStyle="Normal 2"/>
    <tableColumn id="361" xr3:uid="{00000000-0010-0000-0000-000069010000}" name="FECHA ACOMPAÑAMIENTO SABEDOR ANCESTRAL4" dataDxfId="14980" dataCellStyle="Normal 2"/>
    <tableColumn id="109" xr3:uid="{00000000-0010-0000-0000-00006D000000}" name="TIPO DE SABEDOR4" dataDxfId="14979" dataCellStyle="Normal 2"/>
    <tableColumn id="362" xr3:uid="{00000000-0010-0000-0000-00006A010000}" name="NECESIDAD O DESARMONIA DESDE LO PROPIO 14" dataDxfId="14978" dataCellStyle="Normal 2"/>
    <tableColumn id="364" xr3:uid="{00000000-0010-0000-0000-00006C010000}" name="ACTIVIDAD O RITUALIDAD REALIZADA15" dataDxfId="14977" dataCellStyle="Normal 2"/>
    <tableColumn id="365" xr3:uid="{00000000-0010-0000-0000-00006D010000}" name="FECHA ACOMPAÑAMIENTO SABEDOR ANCESTRAL5" dataDxfId="14976" dataCellStyle="Normal 2"/>
    <tableColumn id="366" xr3:uid="{00000000-0010-0000-0000-00006E010000}" name="TIPO DE SABEDOR5" dataDxfId="14975" dataCellStyle="Normal 2"/>
    <tableColumn id="367" xr3:uid="{00000000-0010-0000-0000-00006F010000}" name="NECESIDAD O DESARMONIA DESDE LO PROPIO 15" dataDxfId="14974" dataCellStyle="Normal 2"/>
    <tableColumn id="369" xr3:uid="{00000000-0010-0000-0000-000071010000}" name="ACTIVIDAD O RITUALIDAD REALIZADA16" dataDxfId="14973" dataCellStyle="Normal 2"/>
    <tableColumn id="370" xr3:uid="{00000000-0010-0000-0000-000072010000}" name="FECHA ACOMPAÑAMIENTO SABEDOR ANCESTRAL PUERPERIO Y RECIEN NACIDO" dataDxfId="14972" dataCellStyle="Normal 2"/>
    <tableColumn id="371" xr3:uid="{00000000-0010-0000-0000-000073010000}" name="TIPO DE SABEDOR6" dataDxfId="14971" dataCellStyle="Normal 2"/>
    <tableColumn id="372" xr3:uid="{00000000-0010-0000-0000-000074010000}" name="NECESIDAD O DESARMONIA DESDE LO PROPIO 16" dataDxfId="14970" dataCellStyle="Normal 2"/>
    <tableColumn id="69" xr3:uid="{00000000-0010-0000-0000-000045000000}" name="ACTIVIDAD O RITUALIDAD REALIZADA 6" dataDxfId="14969" dataCellStyle="Normal 2"/>
    <tableColumn id="374" xr3:uid="{00000000-0010-0000-0000-000076010000}" name="FECHA ACOMPAÑAMIENTO SABEDOR ANCESTRAL PUERPERIO Y RECIEN NACIDO2" dataDxfId="14968" dataCellStyle="Normal 2"/>
    <tableColumn id="182" xr3:uid="{00000000-0010-0000-0000-0000B6000000}" name="TIPO DE SABEDOR7" dataDxfId="14967" dataCellStyle="Normal 2"/>
    <tableColumn id="274" xr3:uid="{00000000-0010-0000-0000-000012010000}" name="NECESIDAD O DESARMONIA DESDE LO PROPIO 17" dataDxfId="14966" dataCellStyle="Normal 2"/>
    <tableColumn id="292" xr3:uid="{00000000-0010-0000-0000-000024010000}" name="ACTIVIDAD O RITUALIDAD REALIZADA18" dataDxfId="14965" dataCellStyle="Normal 2"/>
    <tableColumn id="323" xr3:uid="{00000000-0010-0000-0000-000043010000}" name="FECHA ACOMPAÑAMIENTO SABEDOR ANCESTRAL PUERPERIO Y RECIEN NACIDO22" dataDxfId="14964" dataCellStyle="Normal 2"/>
    <tableColumn id="324" xr3:uid="{00000000-0010-0000-0000-000044010000}" name="TIPO DE SABEDOR73" dataDxfId="14963" dataCellStyle="Normal 2"/>
    <tableColumn id="325" xr3:uid="{00000000-0010-0000-0000-000045010000}" name="NECESIDAD O DESARMONIA DESDE LO PROPIO 174" dataDxfId="14962" dataCellStyle="Normal 2"/>
    <tableColumn id="326" xr3:uid="{00000000-0010-0000-0000-000046010000}" name="ACTIVIDAD O RITUALIDAD REALIZADA185" dataDxfId="14961" dataCellStyle="Normal 2"/>
    <tableColumn id="327" xr3:uid="{00000000-0010-0000-0000-000047010000}" name="FECHA ACOMPAÑAMIENTO SABEDOR ANCESTRAL PUERPERIO Y RECIEN NACIDO222" dataDxfId="14960" dataCellStyle="Normal 2"/>
    <tableColumn id="328" xr3:uid="{00000000-0010-0000-0000-000048010000}" name="TIPO DE SABEDOR733" dataDxfId="14959" dataCellStyle="Normal 2"/>
    <tableColumn id="329" xr3:uid="{00000000-0010-0000-0000-000049010000}" name="NECESIDAD O DESARMONIA DESDE LO PROPIO 1744" dataDxfId="14958" dataCellStyle="Normal 2"/>
    <tableColumn id="330" xr3:uid="{00000000-0010-0000-0000-00004A010000}" name="ACTIVIDAD O RITUALIDAD REALIZADA1855" dataDxfId="14957" dataCellStyle="Normal 2"/>
    <tableColumn id="331" xr3:uid="{00000000-0010-0000-0000-00004B010000}" name="FECHA ACOMPAÑAMIENTO SABEDOR ANCESTRAL PUERPERIO Y RECIEN NACIDO2222" dataDxfId="14956" dataCellStyle="Normal 2"/>
    <tableColumn id="375" xr3:uid="{00000000-0010-0000-0000-000077010000}" name="TIPO DE SABEDOR7333" dataDxfId="14955" dataCellStyle="Normal 2"/>
    <tableColumn id="376" xr3:uid="{00000000-0010-0000-0000-000078010000}" name="NECESIDAD O DESARMONIA DESDE LO PROPIO 17444" dataDxfId="14954" dataCellStyle="Normal 2"/>
    <tableColumn id="377" xr3:uid="{00000000-0010-0000-0000-000079010000}" name="ACTIVIDAD O RITUALIDAD REALIZADA18555" dataDxfId="14953" dataCellStyle="Normal 2"/>
    <tableColumn id="383" xr3:uid="{00000000-0010-0000-0000-00007F010000}" name="TOTAL SEGUIMIENTOS POR PARTERA" dataDxfId="14952">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14951">
      <calculatedColumnFormula>IF(BX2="","",IF(OR(BX2="CEFÁLICA",BX2="SD"),0,IF(OR(BX2="PODÁLICA",BX2="TRANSVERSA O DE FRENTE",BX2="OBLICUA"),3,"")))</calculatedColumnFormula>
    </tableColumn>
    <tableColumn id="379" xr3:uid="{00000000-0010-0000-0000-00007B010000}" name="PUNTAJE TAMIZAJE CHAGAS RBPS5" dataDxfId="14950">
      <calculatedColumnFormula>IF(HD2="","",IF(HD2="POSITIVO",2,"0"))</calculatedColumnFormula>
    </tableColumn>
    <tableColumn id="380" xr3:uid="{00000000-0010-0000-0000-00007C010000}" name="PUNTAJE TAMIZAJE MALARIA RBPS6" dataDxfId="14949">
      <calculatedColumnFormula>IF(AND(HF2="",HH2=""),"",IF(OR(HF2="POSITIVO",HH2="POSITIVO"),3,0))</calculatedColumnFormula>
    </tableColumn>
    <tableColumn id="231" xr3:uid="{00000000-0010-0000-0000-0000E7000000}" name="PUNTAJE TOTAL ERBPS2" dataDxfId="14948">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14947">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14946">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14945">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14944"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14943"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14942"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14941" dataCellStyle="Normal 2">
      <calculatedColumnFormula>COUNT(FG2,FJ2,FM2,FO2)</calculatedColumnFormula>
    </tableColumn>
    <tableColumn id="392" xr3:uid="{00000000-0010-0000-0000-000088010000}" name="# DE TAMIZAJES VIH TOMADOS " dataDxfId="14940" dataCellStyle="Normal 2">
      <calculatedColumnFormula>COUNT(GA2,GD2,GG2,GI2)</calculatedColumnFormula>
    </tableColumn>
    <tableColumn id="396" xr3:uid="{00000000-0010-0000-0000-00008C010000}" name="Alarma de apoyo Tamizaje Sífilis" dataDxfId="14939"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14938"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14937"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14936"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14935" priority="5">
      <formula>LEN(TRIM(IY4))&gt;0</formula>
    </cfRule>
  </conditionalFormatting>
  <conditionalFormatting sqref="JN4">
    <cfRule type="notContainsBlanks" dxfId="14934" priority="4">
      <formula>LEN(TRIM(JN4))&gt;0</formula>
    </cfRule>
  </conditionalFormatting>
  <conditionalFormatting sqref="JX4">
    <cfRule type="notContainsBlanks" dxfId="14933" priority="3">
      <formula>LEN(TRIM(JX4))&gt;0</formula>
    </cfRule>
  </conditionalFormatting>
  <conditionalFormatting sqref="KG4">
    <cfRule type="notContainsBlanks" dxfId="14932" priority="2">
      <formula>LEN(TRIM(KG4))&gt;0</formula>
    </cfRule>
  </conditionalFormatting>
  <conditionalFormatting sqref="KI4">
    <cfRule type="notContainsBlanks" dxfId="14931"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58" t="s">
        <v>812</v>
      </c>
      <c r="C13" s="259"/>
      <c r="D13" s="260" t="s">
        <v>833</v>
      </c>
      <c r="E13" s="261"/>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4" t="str">
        <f>IFERROR((SUM(B14/B15)),"")</f>
        <v/>
      </c>
      <c r="D14" s="227">
        <f>COUNTIFS(Tabla1[GESTANTES ACTUALES],"ACTIVA INGRESO A CPN",Tabla1[RIESGO BIOPSICOSOCIAL],"ALTO RIESGO",Tabla1[FECHA ASISTENCIA PRIMERA VEZ CON GINECOLOGÍA],"&lt;&gt;")</f>
        <v>0</v>
      </c>
      <c r="E14" s="254"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5"/>
      <c r="D15" s="227">
        <f>COUNTIFS(Tabla1[GESTANTES ACTUALES],"ACTIVA INGRESO A CPN",Tabla1[RIESGO BIOPSICOSOCIAL],"ALTO RIESGO")</f>
        <v>0</v>
      </c>
      <c r="E15" s="255"/>
      <c r="F15" s="103"/>
      <c r="G15" s="103"/>
      <c r="H15" s="103"/>
      <c r="I15" s="103"/>
      <c r="J15" s="103"/>
      <c r="K15" s="103"/>
      <c r="L15" s="103"/>
      <c r="M15" s="103"/>
    </row>
    <row r="16" spans="1:13" ht="19.5" thickBot="1" x14ac:dyDescent="0.35">
      <c r="B16" s="258" t="s">
        <v>812</v>
      </c>
      <c r="C16" s="259"/>
      <c r="D16" s="260" t="s">
        <v>833</v>
      </c>
      <c r="E16" s="261"/>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6" t="str">
        <f>IFERROR(SUM(B17/B18),"")</f>
        <v/>
      </c>
      <c r="D17" s="227">
        <f>COUNTIFS(Tabla1[GESTANTES ACTUALES],"ACTIVA INGRESO A CPN",Tabla1['# DE MUJERES CON SUMINISTRO ADECUADO DE MICRONUTRIENTES],"COMPLETO")</f>
        <v>0</v>
      </c>
      <c r="E17" s="256"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7"/>
      <c r="D18" s="227">
        <f>COUNTIFS(Tabla1[GESTANTES ACTUALES],"ACTIVA INGRESO A CPN")</f>
        <v>0</v>
      </c>
      <c r="E18" s="257"/>
      <c r="F18" s="103"/>
      <c r="G18" s="103"/>
      <c r="H18" s="103"/>
      <c r="I18" s="103"/>
      <c r="J18" s="103"/>
      <c r="K18" s="103"/>
      <c r="L18" s="103"/>
      <c r="M18" s="103"/>
    </row>
    <row r="19" spans="1:13" ht="19.5" thickBot="1" x14ac:dyDescent="0.35">
      <c r="B19" s="258" t="s">
        <v>812</v>
      </c>
      <c r="C19" s="259"/>
      <c r="D19" s="260" t="s">
        <v>833</v>
      </c>
      <c r="E19" s="261"/>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62" t="str">
        <f>IFERROR(SUM(B20/B21),"")</f>
        <v/>
      </c>
      <c r="D20" s="227">
        <f>COUNTIFS(Tabla1[GESTANTES ACTUALES],"ACTIVA INGRESO A CPN",Tabla1[Alarma de apoyo Tamizaje Sífilis],"COMPLETO")</f>
        <v>0</v>
      </c>
      <c r="E20" s="262"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63"/>
      <c r="D21" s="227">
        <f>COUNTIFS(Tabla1[GESTANTES ACTUALES],"ACTIVA INGRESO A CPN")</f>
        <v>0</v>
      </c>
      <c r="E21" s="263"/>
      <c r="F21" s="103"/>
      <c r="G21" s="103"/>
      <c r="H21" s="103"/>
      <c r="I21" s="103"/>
      <c r="J21" s="103"/>
      <c r="K21" s="103"/>
      <c r="L21" s="103"/>
      <c r="M21" s="103"/>
    </row>
    <row r="22" spans="1:13" ht="19.5" thickBot="1" x14ac:dyDescent="0.35">
      <c r="B22" s="258" t="s">
        <v>812</v>
      </c>
      <c r="C22" s="259"/>
      <c r="D22" s="260" t="s">
        <v>833</v>
      </c>
      <c r="E22" s="261"/>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62" t="str">
        <f>IFERROR(SUM(B23/B24),"")</f>
        <v/>
      </c>
      <c r="D23" s="227">
        <f>COUNTIFS(Tabla1[GESTANTES ACTUALES],"ACTIVA INGRESO A CPN",Tabla1[Alarma de apoyo Tamizaje VIH],"COMPLETO")</f>
        <v>0</v>
      </c>
      <c r="E23" s="262"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63"/>
      <c r="D24" s="227">
        <f>COUNTIFS(Tabla1[GESTANTES ACTUALES],"ACTIVA INGRESO A CPN")</f>
        <v>0</v>
      </c>
      <c r="E24" s="263"/>
      <c r="F24" s="103"/>
      <c r="G24" s="103"/>
      <c r="H24" s="103"/>
      <c r="I24" s="103"/>
      <c r="J24" s="103"/>
      <c r="K24" s="103"/>
      <c r="L24" s="103"/>
      <c r="M24" s="103"/>
    </row>
    <row r="25" spans="1:13" ht="19.5" thickBot="1" x14ac:dyDescent="0.35">
      <c r="B25" s="258" t="s">
        <v>812</v>
      </c>
      <c r="C25" s="259"/>
      <c r="D25" s="260" t="s">
        <v>833</v>
      </c>
      <c r="E25" s="261"/>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62" t="str">
        <f>IFERROR(SUM(B26/B27),"")</f>
        <v/>
      </c>
      <c r="D26" s="227">
        <f>COUNTIFS(Tabla1[GESTANTES ACTUALES],"ACTIVA INGRESO A CPN",Tabla1[SEMANAS DE GESTACION ACTUALIZADAS],"&gt;36",Tabla1[SEMANAS DE GESTACION ACTUALIZADAS],"&lt;44",Tabla1[FECHA DE CONCERTACIÓN PLAN DE PARTO (Soporte HC)],"&lt;&gt;")</f>
        <v>0</v>
      </c>
      <c r="E26" s="262"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63"/>
      <c r="D27" s="227">
        <f>COUNTIFS(Tabla1[GESTANTES ACTUALES],"ACTIVA INGRESO A CPN",Tabla1[SEMANAS DE GESTACION ACTUALIZADAS],"&gt;36",Tabla1[SEMANAS DE GESTACION ACTUALIZADAS],"&lt;44")</f>
        <v>0</v>
      </c>
      <c r="E27" s="263"/>
      <c r="F27" s="103"/>
      <c r="G27" s="103"/>
      <c r="H27" s="103"/>
      <c r="I27" s="103"/>
      <c r="J27" s="103"/>
      <c r="K27" s="103"/>
      <c r="L27" s="103"/>
      <c r="M27" s="103"/>
    </row>
    <row r="28" spans="1:13" ht="19.5" thickBot="1" x14ac:dyDescent="0.35">
      <c r="B28" s="258" t="s">
        <v>812</v>
      </c>
      <c r="C28" s="259"/>
      <c r="D28" s="260" t="s">
        <v>833</v>
      </c>
      <c r="E28" s="261"/>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62" t="str">
        <f>IFERROR(SUM(B29/B30),"")</f>
        <v/>
      </c>
      <c r="D29" s="227">
        <f>COUNTIFS(Tabla1[GESTANTES ACTUALES],"ACTIVA INGRESO A CPN",Tabla1[SEMANAS DE GESTACION ACTUALIZADAS],"&gt;36",Tabla1[SEMANAS DE GESTACION ACTUALIZADAS],"&lt;44",Tabla1[FECHA VACUNA DPT ACELULAR],"&lt;&gt;")</f>
        <v>0</v>
      </c>
      <c r="E29" s="262"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63"/>
      <c r="D30" s="227">
        <f>COUNTIFS(Tabla1[GESTANTES ACTUALES],"ACTIVA INGRESO A CPN",Tabla1[SEMANAS DE GESTACION ACTUALIZADAS],"&gt;36",Tabla1[SEMANAS DE GESTACION ACTUALIZADAS],"&lt;44")</f>
        <v>0</v>
      </c>
      <c r="E30" s="26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4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4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0"/>
      <c r="C133" s="251"/>
      <c r="D133" s="251"/>
      <c r="E133" s="251"/>
      <c r="F133" s="251"/>
      <c r="G133" s="251"/>
      <c r="H133" s="251"/>
      <c r="I133" s="251"/>
      <c r="J133" s="251"/>
      <c r="K133" s="251"/>
      <c r="L133" s="251"/>
      <c r="M133" s="25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0"/>
      <c r="C135" s="251"/>
      <c r="D135" s="251"/>
      <c r="E135" s="251"/>
      <c r="F135" s="251"/>
      <c r="G135" s="251"/>
      <c r="H135" s="251"/>
      <c r="I135" s="251"/>
      <c r="J135" s="251"/>
      <c r="K135" s="251"/>
      <c r="L135" s="251"/>
      <c r="M135" s="25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2"/>
      <c r="C137" s="253"/>
      <c r="D137" s="253"/>
      <c r="E137" s="253"/>
      <c r="F137" s="253"/>
      <c r="G137" s="253"/>
      <c r="H137" s="253"/>
      <c r="I137" s="253"/>
      <c r="J137" s="253"/>
      <c r="K137" s="253"/>
      <c r="L137" s="253"/>
      <c r="M137" s="253"/>
      <c r="N137" s="205" t="str">
        <f>IF(N$128=0,"",SUM((N136/N$128)*100000))</f>
        <v/>
      </c>
    </row>
    <row r="138" spans="1:14" ht="26.25" thickBot="1" x14ac:dyDescent="0.3">
      <c r="A138" s="201" t="s">
        <v>746</v>
      </c>
      <c r="B138" s="252" t="str">
        <f t="shared" ref="B138:N138" si="45">IF(B$136=0,"",SUM(B134/B136))</f>
        <v/>
      </c>
      <c r="C138" s="253" t="str">
        <f t="shared" si="45"/>
        <v/>
      </c>
      <c r="D138" s="253" t="str">
        <f t="shared" si="45"/>
        <v/>
      </c>
      <c r="E138" s="253" t="str">
        <f t="shared" si="45"/>
        <v/>
      </c>
      <c r="F138" s="253" t="str">
        <f t="shared" si="45"/>
        <v/>
      </c>
      <c r="G138" s="253" t="str">
        <f t="shared" si="45"/>
        <v/>
      </c>
      <c r="H138" s="253" t="str">
        <f t="shared" si="45"/>
        <v/>
      </c>
      <c r="I138" s="253" t="str">
        <f t="shared" si="45"/>
        <v/>
      </c>
      <c r="J138" s="253" t="str">
        <f t="shared" si="45"/>
        <v/>
      </c>
      <c r="K138" s="253" t="str">
        <f t="shared" si="45"/>
        <v/>
      </c>
      <c r="L138" s="253" t="str">
        <f t="shared" si="45"/>
        <v/>
      </c>
      <c r="M138" s="25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6" t="str">
        <f>IF(B$139=0,"",SUM(B136/B139))</f>
        <v/>
      </c>
      <c r="C140" s="247"/>
      <c r="D140" s="247"/>
      <c r="E140" s="247"/>
      <c r="F140" s="247"/>
      <c r="G140" s="247"/>
      <c r="H140" s="247"/>
      <c r="I140" s="247"/>
      <c r="J140" s="247"/>
      <c r="K140" s="247"/>
      <c r="L140" s="247"/>
      <c r="M140" s="24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4930" priority="45" operator="containsText" text="SE TRASLADO DE EPS">
      <formula>NOT(ISERROR(SEARCH("SE TRASLADO DE EPS",A33)))</formula>
    </cfRule>
    <cfRule type="containsText" dxfId="14929" priority="46" operator="containsText" text="INMIGRANTE VENEZOLANA">
      <formula>NOT(ISERROR(SEARCH("INMIGRANTE VENEZOLANA",A33)))</formula>
    </cfRule>
    <cfRule type="containsText" dxfId="14928" priority="47" operator="containsText" text="SIN AFILIACIÓN A EPS">
      <formula>NOT(ISERROR(SEARCH("SIN AFILIACIÓN A EPS",A33)))</formula>
    </cfRule>
    <cfRule type="containsText" dxfId="14927" priority="48" operator="containsText" text="NOVEDAD">
      <formula>NOT(ISERROR(SEARCH("NOVEDAD",A33)))</formula>
    </cfRule>
    <cfRule type="containsText" dxfId="14926" priority="49" operator="containsText" text="IDENTIDAD">
      <formula>NOT(ISERROR(SEARCH("IDENTIDAD",A33)))</formula>
    </cfRule>
    <cfRule type="containsText" dxfId="14925" priority="50" operator="containsText" text="CPN">
      <formula>NOT(ISERROR(SEARCH("CPN",A33)))</formula>
    </cfRule>
    <cfRule type="containsText" dxfId="14924" priority="51" operator="containsText" text="VIENE">
      <formula>NOT(ISERROR(SEARCH("VIENE",A33)))</formula>
    </cfRule>
    <cfRule type="cellIs" dxfId="14923" priority="52" operator="equal">
      <formula>"TRAMITE DE PORTABILIDAD"</formula>
    </cfRule>
  </conditionalFormatting>
  <conditionalFormatting sqref="A39">
    <cfRule type="containsText" dxfId="14922" priority="9" operator="containsText" text="SE TRASLADO DE EPS">
      <formula>NOT(ISERROR(SEARCH("SE TRASLADO DE EPS",A39)))</formula>
    </cfRule>
    <cfRule type="containsText" dxfId="14921" priority="10" operator="containsText" text="INMIGRANTE VENEZOLANA">
      <formula>NOT(ISERROR(SEARCH("INMIGRANTE VENEZOLANA",A39)))</formula>
    </cfRule>
    <cfRule type="containsText" dxfId="14920" priority="11" operator="containsText" text="SIN AFILIACIÓN A EPS">
      <formula>NOT(ISERROR(SEARCH("SIN AFILIACIÓN A EPS",A39)))</formula>
    </cfRule>
    <cfRule type="containsText" dxfId="14919" priority="12" operator="containsText" text="NOVEDAD">
      <formula>NOT(ISERROR(SEARCH("NOVEDAD",A39)))</formula>
    </cfRule>
    <cfRule type="containsText" dxfId="14918" priority="13" operator="containsText" text="IDENTIDAD">
      <formula>NOT(ISERROR(SEARCH("IDENTIDAD",A39)))</formula>
    </cfRule>
    <cfRule type="containsText" dxfId="14917" priority="14" operator="containsText" text="CPN">
      <formula>NOT(ISERROR(SEARCH("CPN",A39)))</formula>
    </cfRule>
    <cfRule type="containsText" dxfId="14916" priority="15" operator="containsText" text="VIENE">
      <formula>NOT(ISERROR(SEARCH("VIENE",A39)))</formula>
    </cfRule>
    <cfRule type="cellIs" dxfId="14915"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5"/>
  <sheetViews>
    <sheetView tabSelected="1" zoomScale="70" zoomScaleNormal="70" zoomScaleSheetLayoutView="76" workbookViewId="0">
      <pane ySplit="1" topLeftCell="A2" activePane="bottomLeft" state="frozen"/>
      <selection pane="bottomLeft" activeCell="F22" sqref="F22"/>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313</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t="shared" ref="N2:N5" ca="1" si="0">IF(M2&gt;0,SUM(TODAY()-M2)/365,"")</f>
        <v/>
      </c>
      <c r="O2" s="35"/>
      <c r="P2" s="39" t="str">
        <f t="shared" ref="P2:P5"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 si="2">IF(OR(BJ2="SD",BK2=""),"",IF(BJ2="",0,SUM(BK2-BJ2)/30))</f>
        <v/>
      </c>
      <c r="BN2" s="57" t="str">
        <f t="shared" ref="BN2" si="3">IF(BS2&gt;0,SUM(BR2-NQ2),"")</f>
        <v/>
      </c>
      <c r="BO2" s="44" t="str">
        <f t="shared" ref="BO2" si="4">IF(AND(BL2="Corregida",BK2&gt;0,R2&gt;0,ISBLANK(BS2)),"SIN SEMANAS X ECO",IF(AND(BL2="Corregida",BK2&gt;0,R2&gt;0),SUM(R2-BN2)/7,IF(AND(OR(BL2="SI",BL2="NO"),BK2&gt;0,R2&gt;0),SUM(R2-BK2)/7,"")))</f>
        <v/>
      </c>
      <c r="BP2" s="31" t="str">
        <f t="shared" ref="BP2" si="5">IF(AND(BO2="",IP2=""),"",IF(AND(BO2="",IP2="DEFINIR FPP POR ECO"),"SIN DATO",IF(BO2&lt;0,"ERROR FUM O INGRESO O ECO",IF(BL2="NO","DEFINIR CON ECO",IF(BO2&lt;12,"I TRIM",IF(BO2&lt;27,"II TRIM",IF(AND(BO2&gt;26,BO2&lt;45),"III TRIM","ERROR FUM O INGRESO O ECO")))))))</f>
        <v/>
      </c>
      <c r="BQ2" s="39" t="str">
        <f t="shared" ref="BQ2" ca="1" si="6">IF(SUM((TODAY()-BK2)/7)&gt;43.1,"",IF(AND(BK2&gt;0,OR(BL2="si",BL2="Corregida",BL2="NO")),SUM((TODAY()-BK2)/7),""))</f>
        <v/>
      </c>
      <c r="BR2" s="35"/>
      <c r="BS2" s="43"/>
      <c r="BT2" s="35"/>
      <c r="BU2" s="31"/>
      <c r="BV2" s="40"/>
      <c r="BW2" s="40"/>
      <c r="BX2" s="40"/>
      <c r="BY2" s="40"/>
      <c r="BZ2" s="35"/>
      <c r="CA2" s="31"/>
      <c r="CB2" s="31"/>
      <c r="CC2" s="39" t="str">
        <f t="shared" ref="CC2" si="7">IF(AND(OR(O2&gt;0,R2&gt;0),CA2=""),"SD",IF(AND(OR(O2="",R2=""),CA2=""),"",IF(AND(OR(O2&gt;0,R2&gt;0),CA2&gt;0,CB2&gt;0),SUM(CB2)/(CA2*CA2),"X")))</f>
        <v/>
      </c>
      <c r="CD2" s="45" t="str">
        <f t="shared" ref="CD2" si="8">IF(AND(CC2&lt;10,CB2="SD"),"SIN DATO PESO PREGESTACION O I TRIM",IF(AND(OR(R2&gt;0,O2&gt;0),CC2="X"),"INGRESAR DATO DE PESO",IF(CC2="SD","INGRESAR DATO DE TALLA Y PESO",IF(CC2&lt;18.5,"BAJO PESO",IF(CC2&lt;25,"NORMAL",IF(CC2&lt;30,"SOBREPESO",IF(AND(CC2&gt;=30,CC2&lt;50),"OBESIDAD","")))))))</f>
        <v/>
      </c>
      <c r="CE2" s="35"/>
      <c r="CF2" s="31"/>
      <c r="CG2" s="39" t="str">
        <f t="shared" ref="CG2" si="9">IF(AND(OR(O2&gt;0,R2&gt;0),CA2=""),"SD",IF(AND(OR(O2="",R2=""),CA2=""),"",IF(AND(OR(O2&gt;0,R2&gt;0),CA2&gt;0),SUM(CF2)/(CA2*CA2),"X")))</f>
        <v/>
      </c>
      <c r="CH2" s="31" t="str">
        <f t="shared" ref="CH2"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 si="11">IF(AND(OR(O2&gt;0,R2&gt;0),CA2=""),"SD",IF(AND(OR(O2="",R2=""),CA2=""),"",IF(AND(OR(O2&gt;0,R2&gt;0),CA2&gt;0),SUM(CK2)/(CA2*CA2),"X")))</f>
        <v/>
      </c>
      <c r="CM2" s="31" t="str">
        <f t="shared" ref="CM2" si="12">IF(AND(CJ2="",BK2=""),"",IF(AND(BK2&gt;0,CJ2=""),"NA",IF(CJ2&lt;BK2,"REVISAR FUM O FECHA PESO",IF(CJ2&gt;0,INT(SUM(CJ2-BK2)/7)))))</f>
        <v/>
      </c>
      <c r="CN2" s="31" t="str">
        <f>IF(OR(CM2="",CM2="NA"),"",IF(AND(CM2&gt;0,CM2&lt;=28),"REGISTRAR EN  TRIM RESPECTIVO",IF(CM2&gt;0,HLOOKUP(CM2,$OI$1:PK2,OH2),"")))</f>
        <v/>
      </c>
      <c r="CO2" s="31" t="str">
        <f t="shared" ref="CO2" si="13">IF(AND(OR(O2&gt;0,R2&gt;0),CD2&lt;&gt;"",CI2&lt;&gt;"",CN2&lt;&gt;""),CN2,IF(AND(OR(O2&gt;0,R2&gt;0),CD2&lt;&gt;"",CI2&lt;&gt;"",CN2=""),CI2,IF(AND(OR(O2&gt;0,R2&gt;0),CD2&lt;&gt;"",CI2="",CN2=""),CD2,IF(AND(OR(O2&gt;0,R2&gt;0),CD2&lt;&gt;"",CI2="",CN2&lt;&gt;""),CN2,""))))</f>
        <v/>
      </c>
      <c r="CP2" s="31"/>
      <c r="CQ2" s="31"/>
      <c r="CR2" s="37" t="str">
        <f t="shared" ref="CR2:CR5"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5"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5"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 si="20">IF(AND(DU2="",BK2="",R2=""),"",IF(AND(R2="",BK2&gt;0,DU2=""),"",IF(AND(R2&gt;0,DU2&lt;BK2),"REVISAR FUM O FECHA PESO",IF(AND(R2&gt;0,DU2&gt;0,BK2=""),"SD",IF(AND(R2&gt;0,DU2&gt;0,BK2&gt;0),INT(SUM(DU2-BK2)/7))))))</f>
        <v/>
      </c>
      <c r="DW2" s="43" t="str">
        <f>IF(R2&gt;0,SUM(COUNTA(DC2:DN2)+COUNTA(Tabla1[[#This Row],[FECHA CONSULTA PRIMERA VEZ PROGRAMA CPN ]])),"")</f>
        <v/>
      </c>
      <c r="DX2" s="43" t="str">
        <f t="shared" ref="DX2" si="21">IF(AND(DW2&gt;=0,DW2&lt;4),"NO",IF(AND(DW2&gt;=4,DW2&lt;12),"SI",""))</f>
        <v/>
      </c>
      <c r="DY2" s="39" t="str">
        <f t="shared" ref="DY2" si="22">IF(BO2="","",IF(BO2&gt;0,INT(SUM(((40-BO2)/4)+2)),"X"))</f>
        <v/>
      </c>
      <c r="DZ2" s="47" t="str">
        <f t="shared" ref="DZ2" si="23">IF(DY2="","",IF(DW2&gt;0,SUM(DW2/DY2),"X"))</f>
        <v/>
      </c>
      <c r="EA2" s="35"/>
      <c r="EB2" s="35"/>
      <c r="EC2" s="35"/>
      <c r="ED2" s="35"/>
      <c r="EE2" s="35"/>
      <c r="EF2" s="35"/>
      <c r="EG2" s="35"/>
      <c r="EH2" s="31"/>
      <c r="EI2" s="31"/>
      <c r="EJ2" s="35"/>
      <c r="EK2" s="43" t="str">
        <f t="shared" ref="EK2" si="24">IF(AND(BP2="ERROR FUM O INGRESO",EJ2&gt;0),"ERROR FUM O INGRESO",IF(AND(EJ2="",R2="",O2=""),"",IF(OR(AND(EJ2&lt;&gt;"",EJ2&lt;BK2),AND(EJ2&lt;&gt;"",SUM((EJ2-BK2)/7)&gt;40)),"CORREGIR FECHA RESULTADO",IF(AND(EJ2="",OR(O2&gt;0,R2&gt;0)),"TOMAR EXAMEN",IF(EJ2&gt;0,SUM(EJ2-BK2)/7,"")))))</f>
        <v/>
      </c>
      <c r="EL2" s="39" t="str">
        <f t="shared" ref="EL2" si="25">IF(AND(OR(O2&gt;0,R2&gt;0),EI2=""),"",IF(AND(OR(O2&gt;0,R2&gt;0),EI2&gt;0,EI2&lt;11),"MANEJO MD POR ANEMIA FERROPENICA",IF(AND(OR(O2&gt;0,R2&gt;0),EI2&lt;=14),"NORMAL- SUMINISTRAR SULFATO FERROSO",IF(AND(OR(O2&gt;0,R2&gt;0),EI2&lt;20),"NO DAR SULFATO FERROSO",""))))</f>
        <v/>
      </c>
      <c r="EM2" s="31" t="str">
        <f t="shared" ref="EM2" si="26">IF(AND(EK2="",BP2=""),"",IF(AND(EK2&lt;&gt;"",BP2="SIN DATO"),"SIN DATO",IF(AND(EK2="",BP2&lt;&gt;""),"",IF(AND(EK2&lt;0,BP2&gt;0),"ERROR FUM O INGRESO",IF(EK2&lt;=13,"I TRIM",IF(EK2&lt;28,"II TRIM",IF(AND(EK2&gt;27,EK2&lt;45),"III TRIM","POR DEFINIR")))))))</f>
        <v/>
      </c>
      <c r="EN2" s="37"/>
      <c r="EO2" s="35"/>
      <c r="EP2" s="44" t="str">
        <f t="shared" ref="EP2" si="27">IF(AND(BP2="ERROR FUM O INGRESO",EO2&gt;0),"ERROR FUM O INGRESO",IF(AND(EO2="",R2="",O2=""),"",IF(OR(AND(EO2&lt;&gt;"",EO2&lt;BK2),AND(EO2&lt;&gt;"",SUM((EO2-BK2)/7)&gt;40)),"CORREGIR FECHA RESULTADO",IF(AND(EO2="",OR(O2&gt;0,R2&gt;0)),"TOMAR EXAMEN",IF(EO2&gt;0,SUM(EO2-BK2)/7,"")))))</f>
        <v/>
      </c>
      <c r="EQ2" s="39" t="str">
        <f t="shared" ref="EQ2" si="28">IF(AND(OR(O2&gt;0,R2&gt;0),EN2=""),"",IF(AND(OR(O2&gt;0,R2&gt;0),EN2&gt;0,EN2&lt;10.5),"MANEJO MD POR ANEMIA FERROPENICA",IF(AND(OR(O2&gt;0,R2&gt;0),EN2&lt;14),"NORMAL- SUMINISTRAR SULFATO FERROSO",IF(AND(OR(O2&gt;0,R2&gt;0),EN2&lt;20),"NO DAR SULFATO FERROSO",""))))</f>
        <v/>
      </c>
      <c r="ER2" s="37"/>
      <c r="ES2" s="35"/>
      <c r="ET2" s="44" t="str">
        <f t="shared" ref="ET2" si="29">IF(AND(BP2="ERROR FUM O INGRESO",ES2&gt;0),"ERROR FUM O INGRESO",IF(AND(ES2="",R2="",O2=""),"",IF(OR(AND(ES2&lt;&gt;"",ES2&lt;BK2),AND(ES2&lt;&gt;"",SUM((ES2-BK2)/7)&gt;40)),"CORREGIR FECHA RESULTADO",IF(AND(ES2="",OR(O2&gt;0,R2&gt;0)),"TOMAR EXAMEN",IF(ES2&gt;0,SUM(ES2-BK2)/7,"")))))</f>
        <v/>
      </c>
      <c r="EU2" s="39" t="str">
        <f t="shared" ref="EU2"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5" si="31">IF(AND(BP2="ERROR FUM O INGRESO",EW2&gt;0),"ERROR FUM O INGRESO",IF(AND(EW2="",R2="",O2=""),"",IF(OR(AND(EW2&lt;&gt;"",EW2&lt;BK2),AND(EW2&lt;&gt;"",SUM((EW2-BK2)/7)&gt;40)),"CORREGIR FECHA RESULTADO",IF(AND(EW2="",OR(O2&gt;0,R2&gt;0)),"TOMAR EXAMEN",IF(EW2&gt;0,SUM(EW2-BK2)/7,"")))))</f>
        <v/>
      </c>
      <c r="EY2" s="44"/>
      <c r="EZ2" s="44"/>
      <c r="FA2" s="44"/>
      <c r="FB2" s="31" t="str">
        <f t="shared" ref="FB2:FB5"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5" si="33">IF(AND(BP2="ERROR FUM O INGRESO",FC2&gt;0),"ERROR FUM O INGRESO",IF(AND(FC2="",R2="",O2=""),"",IF(OR(AND(FC2&lt;&gt;"",FC2&lt;BK2),AND(FC2&lt;&gt;"",SUM((FC2-BK2)/7)&gt;40)),"CORREGIR FECHA RESULTADO",IF(AND(FC2="",OR(O2&gt;0,R2&gt;0)),"TOMAR EXAMEN",IF(FC2&gt;0,SUM(FC2-BK2)/7,"")))))</f>
        <v/>
      </c>
      <c r="FE2" s="35"/>
      <c r="FF2" s="35"/>
      <c r="FG2" s="44" t="str">
        <f t="shared" ref="FG2:FG5"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5"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5"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5" si="37">IF(AND(BP2="ERROR FUM O INGRESO",FR2&gt;0),"ERROR FUM O INGRESO",IF(AND(FR2="",R2="",O2=""),"",IF(OR(AND(FR2&lt;&gt;"",FR2&lt;BK2),AND(FR2&lt;&gt;"",SUM((FR2-BK2)/7)&gt;40)),"CORREGIR FECHA RESULTADO",IF(AND(FR2="",OR(O2&gt;0,R2&gt;0)),"TOMAR EXAMEN",IF(FR2&gt;0,SUM(FR2-BK2)/7,"")))))</f>
        <v/>
      </c>
      <c r="FT2" s="43"/>
      <c r="FU2" s="35"/>
      <c r="FV2" s="44" t="str">
        <f t="shared" ref="FV2:FV5" si="38">IF(AND(BP2="ERROR FUM O INGRESO",FU2&gt;0),"ERROR FUM O INGRESO",IF(AND(FU2="",R2="",O2=""),"",IF(OR(AND(FU2&lt;&gt;"",FU2&lt;BK2),AND(FU2&lt;&gt;"",SUM((FU2-BK2)/7)&gt;40)),"CORREGIR FECHA RESULTADO",IF(AND(FU2="",OR(O2&gt;0,R2&gt;0)),"TOMAR EXAMEN",IF(FU2&gt;0,SUM(FU2-BK2)/7,"")))))</f>
        <v/>
      </c>
      <c r="FW2" s="35"/>
      <c r="FX2" s="35"/>
      <c r="FY2" s="35"/>
      <c r="FZ2" s="35"/>
      <c r="GA2" s="44" t="str">
        <f t="shared" ref="GA2:GA5"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5"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5"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5" si="42">IF(AND(BP2="ERROR FUM O INGRESO",GO2&gt;0),"ERROR FUM O INGRESO",IF(AND(GO2="",R2="",O2=""),"",IF(OR(AND(GO2&lt;&gt;"",GO2&lt;BK2),AND(GO2&lt;&gt;"",SUM((GO2-BK2)/7)&gt;40)),"CORREGIR FECHA RESULTADO",IF(AND(GO2="",OR(O2&gt;0,R2&gt;0)),"TOMAR EXAMEN",IF(GO2&gt;0,SUM(GO2-BK2)/7,"")))))</f>
        <v/>
      </c>
      <c r="GQ2" s="43"/>
      <c r="GR2" s="43"/>
      <c r="GS2" s="35" t="str">
        <f t="shared" ref="GS2:GS5" si="43">IF(GQ2="NEGATIVO","CONTROL Igm",IF(AND(GQ2="POSITIVO",GR2="NEGATIVO"),"SE EXCLUYE INFECCION",IF(AND(GQ2="POSITIVO",GR2="POSITIVO"),"TOXOPLASMOSIS, REMITIR PARA MANEJO","")))</f>
        <v/>
      </c>
      <c r="GT2" s="35"/>
      <c r="GU2" s="44" t="str">
        <f t="shared" ref="GU2" si="44">IF(AND(BP2="ERROR FUM O INGRESO",GT2&gt;0),"ERROR FUM O INGRESO",IF(AND(GT2="",R2="",O2=""),"",IF(OR(AND(GT2&lt;&gt;"",GT2&lt;BK2),AND(GT2&lt;&gt;"",SUM((GT2-BK2)/7)&gt;40)),"CORREGIR FECHA RESULTADO",IF(AND(GT2="",OR(O2&gt;0,R2&gt;0)),"TOMAR EXAMEN",IF(GT2&gt;0,SUM(GT2-BK2)/7,"")))))</f>
        <v/>
      </c>
      <c r="GV2" s="31" t="str">
        <f t="shared" ref="GV2" si="45">IF(AND(GU2="",BP2=""),"",IF(AND(GU2&lt;&gt;"",BP2="SIN DATO"),"SIN DATO",IF(AND(GU2="",BP2&lt;&gt;""),"",IF(AND(GU2&lt;0,BP2&gt;0),"ERROR FUM O INGRESO",IF(GU2&lt;=13,"I TRIM",IF(GU2&lt;28,"II TRIM",IF(AND(GU2&gt;27,GU2&lt;45),"III TRIM","POR DEFINIR")))))))</f>
        <v/>
      </c>
      <c r="GW2" s="43"/>
      <c r="GX2" s="46"/>
      <c r="GY2" s="31"/>
      <c r="GZ2" s="35"/>
      <c r="HA2" s="43" t="str">
        <f t="shared" ref="HA2" si="46">IF(GZ2&gt;0,SUM(GZ2-BK2)/7,"")</f>
        <v/>
      </c>
      <c r="HB2" s="31" t="str">
        <f t="shared" ref="HB2" si="47">IF(HA2&lt;0,"ANTES DEL EMBARAZO",IF(AND(HA2&gt;0,HA2&lt;13),"I TRIM",IF(AND(HA2&gt;12,HA2&lt;28),"II TRIM",IF(AND(HA2&gt;27,HA2&lt;41),"III TRIM",""))))</f>
        <v/>
      </c>
      <c r="HC2" s="31" t="str">
        <f t="shared" ref="HC2"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5"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5"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 si="58">IF(OR(BL2="SI",BL2="Corregida",BL2="NO"),(BK2+280),IF(BL2="Sin Dato","DEFINIR FPP POR ECO",""))</f>
        <v/>
      </c>
      <c r="IQ2" s="44" t="str">
        <f t="shared" ref="IQ2" ca="1" si="59">IF(OR(IP2="DEFINIR FPP POR ECO",BP2="ERROR FUM O INGRESO"),"SIN DEFINIR",IF(IP2="","",IF(IP2&gt;0,SUM(IP2-TODAY()),"X")))</f>
        <v/>
      </c>
      <c r="IR2" s="35" t="str">
        <f t="shared" ref="IR2" ca="1" si="60">IF(IQ2&lt;0,"POSIBLEMENTE NACIO",IF(IQ2="SIN DEFINIR","SIN DATO",IF(AND(IQ2&gt;=0,IQ2&lt;=7),"SEMANA DE PARTO",IF(AND(IQ2&gt;=8,IQ2&lt;=28),"MENOS DE 4 SEMANAS",IF(AND(IQ2&gt;=29,IQ2&lt;=280),"PENDIENTE","")))))</f>
        <v/>
      </c>
      <c r="IS2" s="35"/>
      <c r="IT2" s="31"/>
      <c r="IU2" s="31"/>
      <c r="IV2" s="51"/>
      <c r="IW2" s="35"/>
      <c r="IX2" s="31"/>
      <c r="IY2" s="44" t="str">
        <f t="shared" ref="IY2:IY5" si="61">IF(AND(IW2&gt;0,IT2&lt;&gt;""),SUM(IW2-BK2)/7,"")</f>
        <v/>
      </c>
      <c r="IZ2" s="52"/>
      <c r="JA2" s="31"/>
      <c r="JB2" s="31"/>
      <c r="JC2" s="31"/>
      <c r="JD2" s="31"/>
      <c r="JE2" s="31"/>
      <c r="JF2" s="31"/>
      <c r="JG2" s="31"/>
      <c r="JH2" s="31"/>
      <c r="JI2" s="31"/>
      <c r="JJ2" s="31"/>
      <c r="JK2" s="46"/>
      <c r="JL2" s="31"/>
      <c r="JM2" s="53"/>
      <c r="JN2" s="31" t="str">
        <f t="shared" ref="JN2:JN5"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5"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5" si="64">IF(AND(KF2&lt;&gt;"",KF2&lt;IW2),"INCONSISTENCIA FECHA CONTROL",IF(AND(OR(IT2="Parto",IT2="Cesarea"),KF2&gt;0,IW2&gt;0),SUM(KF2-IW2),IF(AND(OR(IT2="Parto",IT2="Cesarea"),KF2="",IW2&gt;0),"INASISTENTE","")))</f>
        <v/>
      </c>
      <c r="KH2" s="50"/>
      <c r="KI2" s="43" t="str">
        <f t="shared" ref="KI2:KI5"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 si="66">SUM(COUNTIF(LD2,"PARTERO (A)"),COUNTIF(LH2,"PARTERO (A)"),COUNTIF(LL2,"PARTERO (A)"),COUNTIF(LP2,"PARTERO (A)"),COUNTIF(LT2,"PARTERO (A)"),COUNTIF(LX2,"PARTERO (A)"),COUNTIF(MN2,"PARTERO (A)"))</f>
        <v>0</v>
      </c>
      <c r="MR2" t="str">
        <f t="shared" ref="MR2:MR5" si="67">IF(AND(R2="",O2=""),"",IF(AND(OR(O2&gt;0,R2&gt;0),LC2&gt;0),SUM(LC2-BK2)/7,""))</f>
        <v/>
      </c>
      <c r="MS2" t="str">
        <f t="shared" ref="MS2:MS5" si="68">IF(AND(MR2="",BP2=""),"",IF(AND(MR2&lt;&gt;"",BP2="SIN DATO"),"SIN DATO",IF(AND(MR2="",BP2&lt;&gt;""),"",IF(AND(MR2&lt;0,BP2&gt;0),"ERROR FUM O INGRESO",IF(MR2&lt;=13,"I TRIM",IF(MR2&lt;28,"II TRIM",IF(AND(MR2&gt;27,MR2&lt;45),"III TRIM","POR DEFINIR")))))))</f>
        <v/>
      </c>
      <c r="MT2">
        <f t="shared" ref="MT2"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5" si="70">IF(AND(O2&gt;0,BK2&gt;0),SUM(O2-BK2)/7,"")</f>
        <v/>
      </c>
      <c r="MW2" t="str">
        <f t="shared" ref="MW2:MW5" si="71">IF(R2&gt;0,MONTH(R2),"")</f>
        <v/>
      </c>
      <c r="MX2" t="str">
        <f t="shared" ref="MX2:MX5" si="72">IF(R2&gt;0,YEAR(R2),"")</f>
        <v/>
      </c>
      <c r="MY2" t="str">
        <f t="shared" ref="MY2" si="73">IF(AND(MW2&gt;=1,MW2&lt;=3),"I TRIMESTRE AÑO",IF(AND(MW2&gt;=4,MW2&lt;=6),"II TRIMESTRE AÑO",IF(AND(MW2&gt;=7,MW2&lt;=9),"III TRIMESTRE AÑO",IF(AND(MW2&gt;=10,MW2&lt;=12),"IV TRIMESTRE AÑO",""))))</f>
        <v/>
      </c>
      <c r="MZ2" t="str">
        <f t="shared" ref="MZ2:MZ5" si="74">IF(AND(M2&gt;0,R2&gt;0),DAYS360(M2,R2)/30.44/12,IF(AND(M2&gt;0,O2&gt;0,R2=""),DAYS360(M2,O2)/30.44/12,""))</f>
        <v/>
      </c>
      <c r="NA2" t="str">
        <f t="shared" ref="NA2" si="75">IF(AND(MZ2&gt;7,MZ2&lt;14),2,IF(MZ2&lt;16,1,IF(MZ2&lt;=35,0,IF(AND(MZ2&gt;35,MZ2&lt;50),2,""))))</f>
        <v/>
      </c>
      <c r="NB2" t="str">
        <f t="shared" ref="NB2" si="76">+IF(MZ2="","",IF(MZ2&lt;14,"MENOR 14 AÑOS",IF(MZ2&lt;20,"DE 14 A 19AÑOS",IF(MZ2&lt;25," DE 20 A 24 AÑOS",IF(MZ2&lt;30," DE 25 A 29 AÑOS",IF(MZ2&lt;35," DE 30 A 34 AÑOS",IF(MZ2&lt;40," DE 35 A 39 AÑOS"," DE 40 Y MAS")))))))</f>
        <v/>
      </c>
      <c r="NC2" t="str">
        <f t="shared" ref="NC2:NC5" si="77">IF(AW2="SI",1,IF(AW2="NO",0,""))</f>
        <v/>
      </c>
      <c r="ND2" t="str">
        <f t="shared" ref="ND2:ND5" si="78">IF(AS2="","",IF(AS2=0,1,IF(AND(AS2&gt;=1,AS2&lt;=4),0,IF(AS2&gt;=5,2,"X"))))</f>
        <v/>
      </c>
      <c r="NE2" t="str">
        <f t="shared" ref="NE2:NE5" si="79">IF(AV2="","",IF(AV2=0,0,IF(AV2=1,1,IF(OR(AV2=2,AV2="3 O MAS"),2,"X"))))</f>
        <v/>
      </c>
      <c r="NF2" t="str">
        <f t="shared" ref="NF2:NF5" si="80">IF(AX2="SI",1,IF(AX2="NO",0,""))</f>
        <v/>
      </c>
      <c r="NG2" t="str">
        <f t="shared" ref="NG2:NG5" si="81">IF(OR(AND(EI2&gt;0,EI2&lt;11),AND(EN2&gt;0,EN2&lt;10.5)),1,"")</f>
        <v/>
      </c>
      <c r="NH2" t="str">
        <f t="shared" ref="NH2:NH5" ca="1" si="82">IF(AND(AND(BQ2&gt;40.9,BQ2&lt;43),IW2=""),1,"")</f>
        <v/>
      </c>
      <c r="NI2" t="str">
        <f t="shared" ref="NI2:NI5" si="83">IF(AND(FY2="",GB2="",GE2="",GH2=""),"",IF(OR(OR(FY2="P.R REACTIVA",FY2="ELISA REACTIVA"),OR(GB2="P.R REACTIVA",GB2="ELISA REACTIVA"),OR(GE2="P.R REACTIVA",GE2="ELISA REACTIVA"),OR(GH2="P.R REACTIVA",GH2="ELISA REACTIVA")),3,""))</f>
        <v/>
      </c>
      <c r="NJ2" t="str">
        <f t="shared" ref="NJ2:NJ5" si="84">IF(BX2="","",IF(OR(BX2="CEFÁLICA",BX2="SD"),0,IF(OR(BX2="PODÁLICA",BX2="TRANSVERSA O DE FRENTE",BX2="OBLICUA"),3,"")))</f>
        <v/>
      </c>
      <c r="NK2" t="str">
        <f t="shared" ref="NK2:NK5" si="85">IF(HD2="","",IF(HD2="POSITIVO",2,"0"))</f>
        <v/>
      </c>
      <c r="NL2" t="str">
        <f t="shared" ref="NL2:NL5" si="86">IF(AND(HF2="",HH2=""),"",IF(OR(HF2="POSITIVO",HH2="POSITIVO"),3,0))</f>
        <v/>
      </c>
      <c r="NM2" t="str">
        <f t="shared" ref="NM2:NM5"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5" si="88">IF(AND(R2="",O2=""),"",IF(AND(OR(O2&gt;0,R2&gt;0),BK2=""),"SD",IF(AND(OR(O2&gt;0,R2&gt;0),IM2&gt;0),SUM(IM2-BK2)/7,"")))</f>
        <v/>
      </c>
      <c r="NP2" t="str">
        <f t="shared" ref="NP2:NP5"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5"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5" si="91">IF(AND(O2&gt;0,R2=""),"NO CPN",IF(AND(O2="",R2=""),"",IF(AND(R2&gt;0,EF2&gt;0,EE2&gt;0),_xlfn.DAYS(EF2,EE2),IF(AND(R2&gt;0,EF2&gt;0,EE2=""),"NO CITA","X"))))</f>
        <v/>
      </c>
      <c r="NV2" t="str">
        <f t="shared" ref="NV2:NV5"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5" si="93">IF(AND(BO2="",IP2=""),"",IF(AND(BO2="",IP2="DEFINIR FPP POR ECO"),"SIN DATO",IF(BO2&lt;0,"ERROR FUM O INGRESO",IF(BL2="NO","DEFINIR CON ECO",IF(BO2&lt;10,"I TRIM",IF(BO2&lt;27,"II TRIM",IF(AND(BO2&gt;26,BO2&lt;45),"III TRIM","ERROR FUM O INGRESO")))))))</f>
        <v/>
      </c>
      <c r="NZ2" s="1" t="str">
        <f t="shared" ref="NZ2:NZ4"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5" si="95">COUNT(FG2,FJ2,FM2,FO2)</f>
        <v>0</v>
      </c>
      <c r="OC2" s="1">
        <f t="shared" ref="OC2:OC5" si="96">COUNT(GA2,GD2,GG2,GI2)</f>
        <v>0</v>
      </c>
      <c r="OD2" s="1" t="str">
        <f>IF(OA2="","",IF(OA2="REVISAR FUM O FECHA SALIDA PROGRAMA","POR DEFINIR",IF(OR(OA2=OB2,OB2&gt;OA2),"COMPLETO",IF(OB2&lt;OA2,"INCOMPLETO",""))))</f>
        <v/>
      </c>
      <c r="OE2" s="1" t="str">
        <f t="shared" ref="OE2:OE5" si="97">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5" si="98">IF(AND(O2="",R2=""),"",IF(OR(IN2="VACUNA APLICADA ENTRE SEMANA 20 Y SEMANA 26",IN2="VACUNA APLICADA ENTRE SEMANA 27 Y EL PARTO",IN2="VACUNA APLICADA ANTES SEMANA 20"),"VACUNADA","SIN VACUNAR"))</f>
        <v/>
      </c>
      <c r="OH2" s="148">
        <f>ROW(Tabla1[[#This Row],[SEMANAS DE GESTACION II TRIM]])</f>
        <v>2</v>
      </c>
      <c r="OI2" t="str">
        <f t="shared" ref="OI2:OI5" si="99">IF(AND(CH2=$OI$1,CG2&gt;10,CG2&lt;20.8),"BAJO PESO",IF(AND(CH2=$OI$1,CG2&gt;20.7,CG2&lt;25.8),"NORMAL",IF(AND(CH2=$OI$1,CG2&gt;25.7,CG2&lt;30.6),"SOBREPESO",IF(AND(CH2=$OI$1,CG2&gt;30.5,CG2&lt;50),"OBESIDAD",""))))</f>
        <v/>
      </c>
      <c r="OJ2" t="str">
        <f t="shared" ref="OJ2:OJ5" si="100">IF(AND(CH2=$OJ$1,CG2&gt;10,CG2&lt;20.9),"BAJO PESO",IF(AND(CH2=$OJ$1,CG2&gt;20.8,CG2&lt;25.9),"NORMAL",IF(AND(CH2=$OJ$1,CG2&gt;25.8,CG2&lt;30.7),"SOBREPESO",IF(AND(CH2=$OJ$1,CG2&gt;30.6,CG2&lt;50),"OBESIDAD",""))))</f>
        <v/>
      </c>
      <c r="OK2" t="str">
        <f t="shared" ref="OK2:OK5" si="101">IF(AND(CH2=$OK$1,CG2&gt;10,CG2&lt;21.1),"BAJO PESO",IF(AND(CH2=$OK$1,CG2&gt;21,CG2&lt;26),"NORMAL",IF(AND(CH2=$OK$1,CG2&gt;25.9,CG2&lt;30.8),"SOBREPESO",IF(AND(CH2=$OK$1,CG2&gt;30.7,CG2&lt;50),"OBESIDAD",""))))</f>
        <v/>
      </c>
      <c r="OL2" t="str">
        <f t="shared" ref="OL2:OL5" si="102">IF(AND(CH2=$OL$1,CG2&gt;10,CG2&lt;21.2),"BAJO PESO",IF(AND(CH2=$OL$1,CG2&gt;21.1,CG2&lt;26.1),"NORMAL",IF(AND(CH2=$OL$1,CG2&gt;26,CG2&lt;31.9),"SOBREPESO",IF(AND(CH2=$OL$1,CG2&gt;30.8,CG2&lt;50),"OBESIDAD",""))))</f>
        <v/>
      </c>
      <c r="OM2" t="str">
        <f t="shared" ref="OM2:OM5" si="103">IF(AND(CH2=$OM$1,CG2&gt;10,CG2&lt;21.3),"BAJO PESO",IF(AND(CH2=$OM$1,CG2&gt;21.2,CG2&lt;26.2),"NORMAL",IF(AND(CH2=$OM$1,CG2&gt;26.1,CG2&lt;31),"SOBREPESO",IF(AND(CH2=$OM$1,CG2&gt;30.9,CG2&lt;50),"OBESIDAD",""))))</f>
        <v/>
      </c>
      <c r="ON2" t="str">
        <f t="shared" ref="ON2:ON5" si="104">IF(AND(CH2=$ON$1,CG2&gt;10,CG2&lt;21.5),"BAJO PESO",IF(AND(CH2=$ON$1,CG2&gt;21.4,CG2&lt;26.3),"NORMAL",IF(AND(CH2=$ON$1,CG2&gt;26.2,CG2&lt;31),"SOBREPESO",IF(AND(CH2=$ON$1,CG2&gt;30.9,CG2&lt;50),"OBESIDAD",""))))</f>
        <v/>
      </c>
      <c r="OO2" t="str">
        <f t="shared" ref="OO2:OO5" si="105">IF(AND(CH2=$OO$1,CG2&gt;10,CG2&lt;21.6),"BAJO PESO",IF(AND(CH2=$OO$1,CG2&gt;21.5,CG2&lt;26.4),"NORMAL",IF(AND(CH2=$OO$1,CG2&gt;26.3,CG2&lt;31.1),"SOBREPESO",IF(AND(CH2=$OO$1,CG2&gt;31,CG2&lt;50),"OBESIDAD",""))))</f>
        <v/>
      </c>
      <c r="OP2" t="str">
        <f t="shared" ref="OP2:OP5" si="106">IF(AND(CH2=$OP$1,CG2&gt;10,CG2&lt;21.8),"BAJO PESO",IF(AND(CH2=$OP$1,CG2&gt;21.7,CG2&lt;26.5),"NORMAL",IF(AND(CH2=$OP$1,CG2&gt;26.4,CG2&lt;31.2),"SOBREPESO",IF(AND(CH2=$OP$1,CG2&gt;31.1,CG2&lt;50),"OBESIDAD",""))))</f>
        <v/>
      </c>
      <c r="OQ2" t="str">
        <f t="shared" ref="OQ2:OQ5" si="107">IF(AND(CH2=$OQ$1,CG2&gt;10,CG2&lt;21.9),"BAJO PESO",IF(AND(CH2=$OQ$1,CG2&gt;21.8,CG2&lt;26.7),"NORMAL",IF(AND(CH2=$OQ$1,CG2&gt;26.6,CG2&lt;31.3),"SOBREPESO",IF(AND(CH2=$OQ$1,CG2&gt;31.2,CG2&lt;50),"OBESIDAD",""))))</f>
        <v/>
      </c>
      <c r="OR2" t="str">
        <f t="shared" ref="OR2:OR5" si="108">IF(AND(CH2=$OR$1,CG2&gt;10,CG2&lt;22.1),"BAJO PESO",IF(AND(CH2=$OR$1,CG2&gt;22,CG2&lt;26.8),"NORMAL",IF(AND(CH2=$OR$1,CG2&gt;26.7,CG2&lt;31.4),"SOBREPESO",IF(AND(CH2=$OR$1,CG2&gt;31.3,CG2&lt;50),"OBESIDAD",""))))</f>
        <v/>
      </c>
      <c r="OS2" t="str">
        <f t="shared" ref="OS2:OS5" si="109">IF(AND(CH2=$OS$1,CG2&gt;10,CG2&lt;22.3),"BAJO PESO",IF(AND(CH2=$OS$1,CG2&gt;22.2,CG2&lt;27),"NORMAL",IF(AND(CH2=$OS$1,CG2&gt;26.9,CG2&lt;31.6),"SOBREPESO",IF(AND(CH2=$OS$1,CG2&gt;31.5,CG2&lt;50),"OBESIDAD",""))))</f>
        <v/>
      </c>
      <c r="OT2" t="str">
        <f t="shared" ref="OT2:OT5" si="110">IF(AND(CH2=$OT$1,$CG2&gt;10,CG2&lt;22.5),"BAJO PESO",IF(AND(CH2=$OT$1,CG2&gt;22.4,CG2&lt;27.1),"NORMAL",IF(AND(CH2=$OT$1,CG2&gt;27,CG2&lt;31.7),"SOBREPESO",IF(AND(CH2=$OT$1,CG2&gt;31.6,CG2&lt;50),"OBESIDAD",""))))</f>
        <v/>
      </c>
      <c r="OU2" t="str">
        <f t="shared" ref="OU2:OU5" si="111">IF(AND(CH2=$OU$1,CG2&gt;10,CG2&lt;22.7),"BAJO PESO",IF(AND(CH2=$OU$1,CG2&gt;22.6,CG2&lt;27.3),"NORMAL",IF(AND(CH2=$OU$1,CG2&gt;27.1,CG2&lt;31.8),"SOBREPESO",IF(AND(CH2=$OU$1,CG2&gt;31.7,CG2&lt;50),"OBESIDAD",""))))</f>
        <v/>
      </c>
      <c r="OV2" t="str">
        <f t="shared" ref="OV2:OV5" si="112">IF(AND(CH2=$OV$1,CG2&gt;10,CG2&lt;22.8),"BAJO PESO",IF(AND(CH2=$OV$1,CG2&gt;22.7,CG2&lt;27.4),"NORMAL",IF(AND(CH2=$OV$1,CG2&gt;27.3,CG2&lt;31.9),"SOBREPESO",IF(AND(CH2=$OV$1,CG2&gt;31.8,CG2&lt;50),"OBESIDAD",""))))</f>
        <v/>
      </c>
      <c r="OW2" t="str">
        <f t="shared" ref="OW2:OW5" si="113">IF(AND(CH2=$OW$1,CG2&gt;10,CG2&lt;23),"BAJO PESO",IF(AND(CH2=$OW$1,CG2&gt;22.9,CG2&lt;27.6),"NORMAL",IF(AND(CH2=$OW$1,CG2&gt;27.5,CG2&lt;32),"SOBREPESO",IF(AND(CH2=$OW$1,CG2&gt;31.9,CG2&lt;50),"OBESIDAD",""))))</f>
        <v/>
      </c>
      <c r="OX2" t="str">
        <f t="shared" ref="OX2:OX5" si="114">IF(AND(CM2=$OX$1,CL2&gt;10,CL2&lt;23.2),"BAJO PESO",IF(AND(CM2=$OX$1,CL2&gt;23.1,CL2&lt;27.7),"NORMAL",IF(AND(CM2=$OX$1,CL2&gt;27.6,CL2&lt;32.1),"SOBREPESO",IF(AND(CM2=$OX$1,CL2&gt;32,CL2&lt;50),"OBESIDAD",""))))</f>
        <v/>
      </c>
      <c r="OY2" t="str">
        <f t="shared" ref="OY2:OY5" si="115">IF(AND(CM2=$OY$1,CL2&gt;10,CL2&lt;23.4),"BAJO PESO",IF(AND(CM2=$OY$1,CL2&gt;23.3,CL2&lt;27.9),"NORMAL",IF(AND(CM2=$OY$1,CL2&gt;27.8,CL2&lt;32.2),"SOBREPESO",IF(AND(CM2=$OY$1,CL2&gt;32.1,CL2&lt;50),"OBESIDAD",""))))</f>
        <v/>
      </c>
      <c r="OZ2" t="str">
        <f t="shared" ref="OZ2:OZ5" si="116">IF(AND(CM2=$OZ$1,CL2&gt;10,CL2&lt;23.5),"BAJO PESO",IF(AND(CM2=$OZ$1,CL2&gt;23.4,CL2&lt;28),"NORMAL",IF(AND(CM2=$OZ$1,CL2&gt;27.9,CL2&lt;32.1),"SOBREPESO",IF(AND(CM2=$OZ$1,CL2&gt;32.2,CL2&lt;50),"OBESIDAD",""))))</f>
        <v/>
      </c>
      <c r="PA2" t="str">
        <f t="shared" ref="PA2:PA5" si="117">IF(AND(CM2=$PA$1,CL2&gt;10,CL2&lt;23.7),"BAJO PESO",IF(AND(CM2=$PA$1,CL2&gt;23.6,CL2&lt;28.1),"NORMAL",IF(AND(CM2=$PA$1,CL2&gt;28,CL2&lt;33.4),"SOBREPESO",IF(AND(CM2=$PA$1,CL2&gt;33.3,CL2&lt;50),"OBESIDAD",""))))</f>
        <v/>
      </c>
      <c r="PB2" t="str">
        <f t="shared" ref="PB2:PB5" si="118">IF(AND(CM2=$PB$1,CL2&gt;10,CL2&lt;23.9),"BAJO PESO",IF(AND(CM2=$PB$1,CL2&gt;23.8,CL2&lt;28.2),"NORMAL",IF(AND(CM2=$PB$1,CL2&gt;28.1,CL2&lt;33.5),"SOBREPESO",IF(AND(CM2=$PB$1,CL2&gt;33.4,CL2&lt;50),"OBESIDAD",""))))</f>
        <v/>
      </c>
      <c r="PC2" t="str">
        <f t="shared" ref="PC2:PC5" si="119">IF(AND(CM2=$PC$1,CL2&gt;10,CL2&lt;24),"BAJO PESO",IF(AND(CM2=$PC$1,CL2&gt;23.9,CL2&lt;28.4),"NORMAL",IF(AND(CM2=$PC$1,CL2&gt;28.3,CL2&lt;33.6),"SOBREPESO",IF(AND(CM2=$PC$1,CL2&gt;33.5,CL2&lt;50),"OBESIDAD",""))))</f>
        <v/>
      </c>
      <c r="PD2" t="str">
        <f t="shared" ref="PD2:PD5" si="120">IF(AND(CM2=$PD$1,CL2&gt;10,CL2&lt;24.2),"BAJO PESO",IF(AND(CM2=$PD$1,CL2&gt;24.1,CL2&lt;28.5),"NORMAL",IF(AND(CM2=$PD$1,CL2&gt;28.4,CL2&lt;33.7),"SOBREPESO",IF(AND(CM2=$PD$1,CL2&gt;33.6,CL2&lt;50),"OBESIDAD",""))))</f>
        <v/>
      </c>
      <c r="PE2" t="str">
        <f t="shared" ref="PE2:PE5" si="121">IF(AND(CM2=$PE$1,CL2&gt;10,CL2&lt;24.3),"BAJO PESO",IF(AND(CM2=$PE$1,CL2&gt;24.2,CL2&lt;28.6),"NORMAL",IF(AND(CM2=$PE$1,CL2&gt;28.5,CL2&lt;33.8),"SOBREPESO",IF(AND(CM2=$PE$1,CL2&gt;33.7,CL2&lt;50),"OBESIDAD",""))))</f>
        <v/>
      </c>
      <c r="PF2" t="str">
        <f t="shared" ref="PF2:PF5" si="122">IF(AND(CM2=$PF$1,CL2&gt;10,CL2&lt;24.5),"BAJO PESO",IF(AND(CM2=$PF$1,CL2&gt;24.4,CL2&lt;28.8),"NORMAL",IF(AND(CM2=$PF$1,CL2&gt;28.7,CL2&lt;32.9),"SOBREPESO",IF(AND(CM2=$PF$1,CL2&gt;32.8,CL2&lt;50),"OBESIDAD",""))))</f>
        <v/>
      </c>
      <c r="PG2" t="str">
        <f t="shared" ref="PG2:PG5" si="123">IF(AND(CM2=$PG$1,CL2&gt;10,CL2&lt;24.6),"BAJO PESO",IF(AND(CM2=$PG$1,CL2&gt;24.5,CL2&lt;28.9),"NORMAL",IF(AND(CM2=$PG$1,CL2&gt;28.8,CL2&lt;33),"SOBREPESO",IF(AND(CM2=$PG$1,CL2&gt;32.9,CL2&lt;50),"OBESIDAD",""))))</f>
        <v/>
      </c>
      <c r="PH2" t="str">
        <f t="shared" ref="PH2:PH5" si="124">IF(AND(CM2=$PH$1,CL2&gt;10,CL2&lt;24.8),"BAJO PESO",IF(AND(CM2=$PH$1,CL2&gt;24.7,CL2&lt;29),"NORMAL",IF(AND(CM2=$PH$1,CL2&gt;28.9,CL2&lt;33.1),"SOBREPESO",IF(AND(CM2=$PH$1,CL2&gt;33,CL2&lt;50),"OBESIDAD",""))))</f>
        <v/>
      </c>
      <c r="PI2" t="str">
        <f t="shared" ref="PI2:PI5" si="125">IF(AND(CM2=$PI$1,CL2&gt;10,CL2&lt;25),"BAJO PESO",IF(AND(CM2=$PI$1,CL2&gt;24.9,CL2&lt;29.2),"NORMAL",IF(AND(CM2=$PI$1,CL2&gt;29.1,CL2&lt;33.2),"SOBREPESO",IF(AND(CM2=$PI$1,CL2&gt;33.1,CL2&lt;50),"OBESIDAD",""))))</f>
        <v/>
      </c>
      <c r="PJ2" t="str">
        <f t="shared" ref="PJ2:PJ5" si="126">IF(AND(CM2=$PJ$1,CL2&gt;10,CL2&lt;25.1),"BAJO PESO",IF(AND(CM2=$PJ$1,CL2&gt;25,CL2&lt;29.3),"NORMAL",IF(AND(CM2=$PJ$1,CL2&gt;29.2,CL2&lt;33.3),"SOBREPESO",IF(AND(CM2=$PJ$1,CL2&gt;33.2,CL2&lt;50),"OBESIDAD",""))))</f>
        <v/>
      </c>
      <c r="PK2" t="str">
        <f t="shared" ref="PK2:PK5" si="127">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8">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t="shared" ca="1" si="0"/>
        <v>21.857534246575341</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ref="BM3:BM5" si="129">IF(OR(BJ3="SD",BK3=""),"",IF(BJ3="",0,SUM(BK3-BJ3)/30))</f>
        <v>20.133333333333333</v>
      </c>
      <c r="BN3" s="57" t="str">
        <f t="shared" ref="BN3:BN5" si="130">IF(BS3&gt;0,SUM(BR3-NQ3),"")</f>
        <v/>
      </c>
      <c r="BO3" s="44">
        <f t="shared" ref="BO3:BO5" si="131">IF(AND(BL3="Corregida",BK3&gt;0,R3&gt;0,ISBLANK(BS3)),"SIN SEMANAS X ECO",IF(AND(BL3="Corregida",BK3&gt;0,R3&gt;0),SUM(R3-BN3)/7,IF(AND(OR(BL3="SI",BL3="NO"),BK3&gt;0,R3&gt;0),SUM(R3-BK3)/7,"")))</f>
        <v>0.7142857142857143</v>
      </c>
      <c r="BP3" s="31" t="str">
        <f t="shared" ref="BP3:BP5" si="132">IF(AND(BO3="",IP3=""),"",IF(AND(BO3="",IP3="DEFINIR FPP POR ECO"),"SIN DATO",IF(BO3&lt;0,"ERROR FUM O INGRESO O ECO",IF(BL3="NO","DEFINIR CON ECO",IF(BO3&lt;12,"I TRIM",IF(BO3&lt;27,"II TRIM",IF(AND(BO3&gt;26,BO3&lt;45),"III TRIM","ERROR FUM O INGRESO O ECO")))))))</f>
        <v>I TRIM</v>
      </c>
      <c r="BQ3" s="39" t="str">
        <f t="shared" ref="BQ3:BQ5" ca="1" si="133">IF(SUM((TODAY()-BK3)/7)&gt;43.1,"",IF(AND(BK3&gt;0,OR(BL3="si",BL3="Corregida",BL3="NO")),SUM((TODAY()-BK3)/7),""))</f>
        <v/>
      </c>
      <c r="BR3" s="35"/>
      <c r="BS3" s="43"/>
      <c r="BT3" s="35"/>
      <c r="BU3" s="31"/>
      <c r="BV3" s="40" t="s">
        <v>886</v>
      </c>
      <c r="BW3" s="40" t="s">
        <v>886</v>
      </c>
      <c r="BX3" s="40" t="s">
        <v>887</v>
      </c>
      <c r="BY3" s="40" t="s">
        <v>887</v>
      </c>
      <c r="BZ3" s="35">
        <v>44662</v>
      </c>
      <c r="CA3" s="31">
        <v>1.6</v>
      </c>
      <c r="CB3" s="31">
        <v>65</v>
      </c>
      <c r="CC3" s="39">
        <f t="shared" ref="CC3:CC5" si="134">IF(AND(OR(O3&gt;0,R3&gt;0),CA3=""),"SD",IF(AND(OR(O3="",R3=""),CA3=""),"",IF(AND(OR(O3&gt;0,R3&gt;0),CA3&gt;0,CB3&gt;0),SUM(CB3)/(CA3*CA3),"X")))</f>
        <v>25.390624999999996</v>
      </c>
      <c r="CD3" s="45" t="str">
        <f t="shared" ref="CD3:CD5" si="135">IF(AND(CC3&lt;10,CB3="SD"),"SIN DATO PESO PREGESTACION O I TRIM",IF(AND(OR(R3&gt;0,O3&gt;0),CC3="X"),"INGRESAR DATO DE PESO",IF(CC3="SD","INGRESAR DATO DE TALLA Y PESO",IF(CC3&lt;18.5,"BAJO PESO",IF(CC3&lt;25,"NORMAL",IF(CC3&lt;30,"SOBREPESO",IF(AND(CC3&gt;=30,CC3&lt;50),"OBESIDAD","")))))))</f>
        <v>SOBREPESO</v>
      </c>
      <c r="CE3" s="35"/>
      <c r="CF3" s="31"/>
      <c r="CG3" s="39">
        <f t="shared" ref="CG3:CG5" si="136">IF(AND(OR(O3&gt;0,R3&gt;0),CA3=""),"SD",IF(AND(OR(O3="",R3=""),CA3=""),"",IF(AND(OR(O3&gt;0,R3&gt;0),CA3&gt;0),SUM(CF3)/(CA3*CA3),"X")))</f>
        <v>0</v>
      </c>
      <c r="CH3" s="31" t="str">
        <f t="shared" ref="CH3:CH5" si="137">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 t="shared" ref="CL3:CL5" si="138">IF(AND(OR(O3&gt;0,R3&gt;0),CA3=""),"SD",IF(AND(OR(O3="",R3=""),CA3=""),"",IF(AND(OR(O3&gt;0,R3&gt;0),CA3&gt;0),SUM(CK3)/(CA3*CA3),"X")))</f>
        <v>0</v>
      </c>
      <c r="CM3" s="31" t="str">
        <f t="shared" ref="CM3:CM5" si="139">IF(AND(CJ3="",BK3=""),"",IF(AND(BK3&gt;0,CJ3=""),"NA",IF(CJ3&lt;BK3,"REVISAR FUM O FECHA PESO",IF(CJ3&gt;0,INT(SUM(CJ3-BK3)/7)))))</f>
        <v>NA</v>
      </c>
      <c r="CN3" s="31" t="str">
        <f>IF(OR(CM3="",CM3="NA"),"",IF(AND(CM3&gt;0,CM3&lt;=28),"REGISTRAR EN  TRIM RESPECTIVO",IF(CM3&gt;0,HLOOKUP(CM3,$OI$1:PK3,OH3),"")))</f>
        <v/>
      </c>
      <c r="CO3" s="31" t="str">
        <f t="shared" ref="CO3:CO5" si="140">IF(AND(OR(O3&gt;0,R3&gt;0),CD3&lt;&gt;"",CI3&lt;&gt;"",CN3&lt;&gt;""),CN3,IF(AND(OR(O3&gt;0,R3&gt;0),CD3&lt;&gt;"",CI3&lt;&gt;"",CN3=""),CI3,IF(AND(OR(O3&gt;0,R3&gt;0),CD3&lt;&gt;"",CI3="",CN3=""),CD3,IF(AND(OR(O3&gt;0,R3&gt;0),CD3&lt;&gt;"",CI3="",CN3&lt;&gt;""),CN3,""))))</f>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ref="DQ3:DQ5" ca="1" si="14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 t="shared" ref="DR3:DR5" si="142">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ref="DT3:DT5" ca="1" si="143">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 t="shared" ref="DV3:DV5" si="144">IF(AND(DU3="",BK3="",R3=""),"",IF(AND(R3="",BK3&gt;0,DU3=""),"",IF(AND(R3&gt;0,DU3&lt;BK3),"REVISAR FUM O FECHA PESO",IF(AND(R3&gt;0,DU3&gt;0,BK3=""),"SD",IF(AND(R3&gt;0,DU3&gt;0,BK3&gt;0),INT(SUM(DU3-BK3)/7))))))</f>
        <v>0</v>
      </c>
      <c r="DW3" s="43">
        <f>IF(R3&gt;0,SUM(COUNTA(DC3:DN3)+COUNTA(Tabla1[[#This Row],[FECHA CONSULTA PRIMERA VEZ PROGRAMA CPN ]])),"")</f>
        <v>1</v>
      </c>
      <c r="DX3" s="43" t="str">
        <f t="shared" ref="DX3:DX5" si="145">IF(AND(DW3&gt;=0,DW3&lt;4),"NO",IF(AND(DW3&gt;=4,DW3&lt;12),"SI",""))</f>
        <v>NO</v>
      </c>
      <c r="DY3" s="39">
        <f t="shared" ref="DY3:DY5" si="146">IF(BO3="","",IF(BO3&gt;0,INT(SUM(((40-BO3)/4)+2)),"X"))</f>
        <v>11</v>
      </c>
      <c r="DZ3" s="47">
        <f t="shared" ref="DZ3:DZ5" si="147">IF(DY3="","",IF(DW3&gt;0,SUM(DW3/DY3),"X"))</f>
        <v>9.0909090909090912E-2</v>
      </c>
      <c r="EA3" s="35">
        <v>44662</v>
      </c>
      <c r="EB3" s="35">
        <v>44662</v>
      </c>
      <c r="EC3" s="35">
        <v>44662</v>
      </c>
      <c r="ED3" s="35"/>
      <c r="EE3" s="35">
        <v>44662</v>
      </c>
      <c r="EF3" s="35"/>
      <c r="EG3" s="35"/>
      <c r="EH3" s="31"/>
      <c r="EI3" s="31">
        <v>14</v>
      </c>
      <c r="EJ3" s="35">
        <v>44662</v>
      </c>
      <c r="EK3" s="43">
        <f t="shared" ref="EK3:EK5" si="148">IF(AND(BP3="ERROR FUM O INGRESO",EJ3&gt;0),"ERROR FUM O INGRESO",IF(AND(EJ3="",R3="",O3=""),"",IF(OR(AND(EJ3&lt;&gt;"",EJ3&lt;BK3),AND(EJ3&lt;&gt;"",SUM((EJ3-BK3)/7)&gt;40)),"CORREGIR FECHA RESULTADO",IF(AND(EJ3="",OR(O3&gt;0,R3&gt;0)),"TOMAR EXAMEN",IF(EJ3&gt;0,SUM(EJ3-BK3)/7,"")))))</f>
        <v>0.7142857142857143</v>
      </c>
      <c r="EL3" s="39" t="str">
        <f t="shared" ref="EL3:EL5" si="149">IF(AND(OR(O3&gt;0,R3&gt;0),EI3=""),"",IF(AND(OR(O3&gt;0,R3&gt;0),EI3&gt;0,EI3&lt;11),"MANEJO MD POR ANEMIA FERROPENICA",IF(AND(OR(O3&gt;0,R3&gt;0),EI3&lt;=14),"NORMAL- SUMINISTRAR SULFATO FERROSO",IF(AND(OR(O3&gt;0,R3&gt;0),EI3&lt;20),"NO DAR SULFATO FERROSO",""))))</f>
        <v>NORMAL- SUMINISTRAR SULFATO FERROSO</v>
      </c>
      <c r="EM3" s="31" t="str">
        <f t="shared" ref="EM3:EM5" si="150">IF(AND(EK3="",BP3=""),"",IF(AND(EK3&lt;&gt;"",BP3="SIN DATO"),"SIN DATO",IF(AND(EK3="",BP3&lt;&gt;""),"",IF(AND(EK3&lt;0,BP3&gt;0),"ERROR FUM O INGRESO",IF(EK3&lt;=13,"I TRIM",IF(EK3&lt;28,"II TRIM",IF(AND(EK3&gt;27,EK3&lt;45),"III TRIM","POR DEFINIR")))))))</f>
        <v>I TRIM</v>
      </c>
      <c r="EN3" s="37"/>
      <c r="EO3" s="35"/>
      <c r="EP3" s="44" t="str">
        <f t="shared" ref="EP3:EP5" si="151">IF(AND(BP3="ERROR FUM O INGRESO",EO3&gt;0),"ERROR FUM O INGRESO",IF(AND(EO3="",R3="",O3=""),"",IF(OR(AND(EO3&lt;&gt;"",EO3&lt;BK3),AND(EO3&lt;&gt;"",SUM((EO3-BK3)/7)&gt;40)),"CORREGIR FECHA RESULTADO",IF(AND(EO3="",OR(O3&gt;0,R3&gt;0)),"TOMAR EXAMEN",IF(EO3&gt;0,SUM(EO3-BK3)/7,"")))))</f>
        <v>TOMAR EXAMEN</v>
      </c>
      <c r="EQ3" s="39" t="str">
        <f t="shared" ref="EQ3:EQ5" si="152">IF(AND(OR(O3&gt;0,R3&gt;0),EN3=""),"",IF(AND(OR(O3&gt;0,R3&gt;0),EN3&gt;0,EN3&lt;10.5),"MANEJO MD POR ANEMIA FERROPENICA",IF(AND(OR(O3&gt;0,R3&gt;0),EN3&lt;14),"NORMAL- SUMINISTRAR SULFATO FERROSO",IF(AND(OR(O3&gt;0,R3&gt;0),EN3&lt;20),"NO DAR SULFATO FERROSO",""))))</f>
        <v/>
      </c>
      <c r="ER3" s="37" t="s">
        <v>893</v>
      </c>
      <c r="ES3" s="35">
        <v>44662</v>
      </c>
      <c r="ET3" s="44">
        <f t="shared" ref="ET3:ET5" si="153">IF(AND(BP3="ERROR FUM O INGRESO",ES3&gt;0),"ERROR FUM O INGRESO",IF(AND(ES3="",R3="",O3=""),"",IF(OR(AND(ES3&lt;&gt;"",ES3&lt;BK3),AND(ES3&lt;&gt;"",SUM((ES3-BK3)/7)&gt;40)),"CORREGIR FECHA RESULTADO",IF(AND(ES3="",OR(O3&gt;0,R3&gt;0)),"TOMAR EXAMEN",IF(ES3&gt;0,SUM(ES3-BK3)/7,"")))))</f>
        <v>0.7142857142857143</v>
      </c>
      <c r="EU3" s="39" t="str">
        <f t="shared" ref="EU3:EU5" si="154">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ref="GU3:GU5" si="155">IF(AND(BP3="ERROR FUM O INGRESO",GT3&gt;0),"ERROR FUM O INGRESO",IF(AND(GT3="",R3="",O3=""),"",IF(OR(AND(GT3&lt;&gt;"",GT3&lt;BK3),AND(GT3&lt;&gt;"",SUM((GT3-BK3)/7)&gt;40)),"CORREGIR FECHA RESULTADO",IF(AND(GT3="",OR(O3&gt;0,R3&gt;0)),"TOMAR EXAMEN",IF(GT3&gt;0,SUM(GT3-BK3)/7,"")))))</f>
        <v>0.7142857142857143</v>
      </c>
      <c r="GV3" s="31" t="str">
        <f t="shared" ref="GV3:GV5" si="156">IF(AND(GU3="",BP3=""),"",IF(AND(GU3&lt;&gt;"",BP3="SIN DATO"),"SIN DATO",IF(AND(GU3="",BP3&lt;&gt;""),"",IF(AND(GU3&lt;0,BP3&gt;0),"ERROR FUM O INGRESO",IF(GU3&lt;=13,"I TRIM",IF(GU3&lt;28,"II TRIM",IF(AND(GU3&gt;27,GU3&lt;45),"III TRIM","POR DEFINIR")))))))</f>
        <v>I TRIM</v>
      </c>
      <c r="GW3" s="43"/>
      <c r="GX3" s="46"/>
      <c r="GY3" s="31"/>
      <c r="GZ3" s="35"/>
      <c r="HA3" s="43" t="str">
        <f t="shared" ref="HA3:HA5" si="157">IF(GZ3&gt;0,SUM(GZ3-BK3)/7,"")</f>
        <v/>
      </c>
      <c r="HB3" s="31" t="str">
        <f t="shared" ref="HB3:HB5" si="158">IF(HA3&lt;0,"ANTES DEL EMBARAZO",IF(AND(HA3&gt;0,HA3&lt;13),"I TRIM",IF(AND(HA3&gt;12,HA3&lt;28),"II TRIM",IF(AND(HA3&gt;27,HA3&lt;41),"III TRIM",""))))</f>
        <v/>
      </c>
      <c r="HC3" s="31" t="str">
        <f t="shared" ref="HC3:HC5" si="159">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ref="HL3:HL5" si="160">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t="shared" ref="HM3:HM5" ca="1" si="16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t="shared" ref="HN3:HN5" ca="1" si="162">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 t="shared" ref="HO3:HO5" si="163">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 t="shared" ref="HP3:HP5" si="164">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t="shared" ref="HQ3:HQ5" ca="1" si="165">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 t="shared" ref="HR3:HR5" si="166">IF(AND(R3&lt;&gt;"",IT3="CAMBIO DE RESIDENCIA"),"SEGUIMIENTO REPORTE EPS",IF(AND(R3&lt;&gt;"",OR(IT3&lt;&gt;"",IW3&lt;&gt;"")),"SALIO PROGRAMA",IF(AND(AND(R3="",O3&gt;0),OR(IT3&lt;&gt;"",IW3&lt;&gt;"")),"SALE SIN INGRESO CPN",IF(AND(R3="",O3&gt;0,IT3="",IW3=""),"ACTIVA SIN INGRESO CPN",IF(AND(R3&lt;&gt;"",OR(IT3="",IW3="")),"ACTIVA INGRESO A CPN","")))))</f>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ref="IP3:IP5" si="167">IF(OR(BL3="SI",BL3="Corregida",BL3="NO"),(BK3+280),IF(BL3="Sin Dato","DEFINIR FPP POR ECO",""))</f>
        <v>44937</v>
      </c>
      <c r="IQ3" s="44">
        <f t="shared" ref="IQ3:IQ5" ca="1" si="168">IF(OR(IP3="DEFINIR FPP POR ECO",BP3="ERROR FUM O INGRESO"),"SIN DEFINIR",IF(IP3="","",IF(IP3&gt;0,SUM(IP3-TODAY()),"X")))</f>
        <v>-288</v>
      </c>
      <c r="IR3" s="35" t="str">
        <f t="shared" ref="IR3:IR5" ca="1" si="169">IF(IQ3&lt;0,"POSIBLEMENTE NACIO",IF(IQ3="SIN DEFINIR","SIN DATO",IF(AND(IQ3&gt;=0,IQ3&lt;=7),"SEMANA DE PARTO",IF(AND(IQ3&gt;=8,IQ3&lt;=28),"MENOS DE 4 SEMANAS",IF(AND(IQ3&gt;=29,IQ3&lt;=280),"PENDIENTE","")))))</f>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ref="MQ3:MQ5" si="170">SUM(COUNTIF(LD3,"PARTERO (A)"),COUNTIF(LH3,"PARTERO (A)"),COUNTIF(LL3,"PARTERO (A)"),COUNTIF(LP3,"PARTERO (A)"),COUNTIF(LT3,"PARTERO (A)"),COUNTIF(LX3,"PARTERO (A)"),COUNTIF(MN3,"PARTERO (A)"))</f>
        <v>0</v>
      </c>
      <c r="MR3" t="str">
        <f t="shared" si="67"/>
        <v/>
      </c>
      <c r="MS3" t="str">
        <f t="shared" si="68"/>
        <v/>
      </c>
      <c r="MT3">
        <f t="shared" ref="MT3:MT5" si="171">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ref="MY3:MY5" si="172">IF(AND(MW3&gt;=1,MW3&lt;=3),"I TRIMESTRE AÑO",IF(AND(MW3&gt;=4,MW3&lt;=6),"II TRIMESTRE AÑO",IF(AND(MW3&gt;=7,MW3&lt;=9),"III TRIMESTRE AÑO",IF(AND(MW3&gt;=10,MW3&lt;=12),"IV TRIMESTRE AÑO",""))))</f>
        <v>II TRIMESTRE AÑO</v>
      </c>
      <c r="MZ3">
        <f t="shared" si="74"/>
        <v>20.009307928164695</v>
      </c>
      <c r="NA3">
        <f t="shared" ref="NA3:NA5" si="173">IF(AND(MZ3&gt;7,MZ3&lt;14),2,IF(MZ3&lt;16,1,IF(MZ3&lt;=35,0,IF(AND(MZ3&gt;35,MZ3&lt;50),2,""))))</f>
        <v>0</v>
      </c>
      <c r="NB3" t="str">
        <f t="shared" ref="NB3:NB5" si="174">+IF(MZ3="","",IF(MZ3&lt;14,"MENOR 14 AÑOS",IF(MZ3&lt;20,"DE 14 A 19AÑOS",IF(MZ3&lt;25," DE 20 A 24 AÑOS",IF(MZ3&lt;30," DE 25 A 29 AÑOS",IF(MZ3&lt;35," DE 30 A 34 AÑOS",IF(MZ3&lt;40," DE 35 A 39 AÑOS"," DE 40 Y MAS")))))))</f>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 t="shared" si="94"/>
        <v>2</v>
      </c>
      <c r="OA3" s="1" t="str">
        <f t="shared" ref="OA3:OA5" ca="1" si="175">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t="shared" ca="1" si="95"/>
        <v>1</v>
      </c>
      <c r="OC3" s="1">
        <f t="shared" ca="1" si="96"/>
        <v>1</v>
      </c>
      <c r="OD3" s="1" t="str">
        <f t="shared" ref="OD3:OD5" ca="1" si="176">IF(OA3="","",IF(OA3="REVISAR FUM O FECHA SALIDA PROGRAMA","POR DEFINIR",IF(OR(OA3=OB3,OB3&gt;OA3),"COMPLETO",IF(OB3&lt;OA3,"INCOMPLETO",""))))</f>
        <v>POR DEFINIR</v>
      </c>
      <c r="OE3" s="1" t="str">
        <f t="shared" ca="1" si="97"/>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8"/>
        <v>SIN VACUNAR</v>
      </c>
      <c r="OH3" s="148">
        <f>ROW(Tabla1[[#This Row],[SEMANAS DE GESTACION II TRIM]])</f>
        <v>3</v>
      </c>
      <c r="OI3" t="str">
        <f t="shared" si="99"/>
        <v/>
      </c>
      <c r="OJ3" t="str">
        <f t="shared" si="100"/>
        <v/>
      </c>
      <c r="OK3" t="str">
        <f t="shared" si="101"/>
        <v/>
      </c>
      <c r="OL3" t="str">
        <f t="shared" si="102"/>
        <v/>
      </c>
      <c r="OM3" t="str">
        <f t="shared" si="103"/>
        <v/>
      </c>
      <c r="ON3" t="str">
        <f t="shared" si="104"/>
        <v/>
      </c>
      <c r="OO3" t="str">
        <f t="shared" si="105"/>
        <v/>
      </c>
      <c r="OP3" t="str">
        <f t="shared" si="106"/>
        <v/>
      </c>
      <c r="OQ3" t="str">
        <f t="shared" si="107"/>
        <v/>
      </c>
      <c r="OR3" t="str">
        <f t="shared" si="108"/>
        <v/>
      </c>
      <c r="OS3" t="str">
        <f t="shared" si="109"/>
        <v/>
      </c>
      <c r="OT3" t="str">
        <f t="shared" si="110"/>
        <v/>
      </c>
      <c r="OU3" t="str">
        <f t="shared" si="111"/>
        <v/>
      </c>
      <c r="OV3" t="str">
        <f t="shared" si="112"/>
        <v/>
      </c>
      <c r="OW3" t="str">
        <f t="shared" si="113"/>
        <v/>
      </c>
      <c r="OX3" t="str">
        <f t="shared" si="114"/>
        <v/>
      </c>
      <c r="OY3" t="str">
        <f t="shared" si="115"/>
        <v/>
      </c>
      <c r="OZ3" t="str">
        <f t="shared" si="116"/>
        <v/>
      </c>
      <c r="PA3" t="str">
        <f t="shared" si="117"/>
        <v/>
      </c>
      <c r="PB3" t="str">
        <f t="shared" si="118"/>
        <v/>
      </c>
      <c r="PC3" t="str">
        <f t="shared" si="119"/>
        <v/>
      </c>
      <c r="PD3" t="str">
        <f t="shared" si="120"/>
        <v/>
      </c>
      <c r="PE3" t="str">
        <f t="shared" si="121"/>
        <v/>
      </c>
      <c r="PF3" t="str">
        <f t="shared" si="122"/>
        <v/>
      </c>
      <c r="PG3" t="str">
        <f t="shared" si="123"/>
        <v/>
      </c>
      <c r="PH3" t="str">
        <f t="shared" si="124"/>
        <v/>
      </c>
      <c r="PI3" t="str">
        <f t="shared" si="125"/>
        <v/>
      </c>
      <c r="PJ3" t="str">
        <f t="shared" si="126"/>
        <v/>
      </c>
      <c r="PK3" t="str">
        <f t="shared" si="127"/>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8"/>
        <v/>
      </c>
      <c r="PN3" s="161" t="str">
        <f t="shared" ref="PN3:PN5" si="177">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19.452054794520549</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129"/>
        <v>0</v>
      </c>
      <c r="BN4" s="57">
        <f t="shared" si="130"/>
        <v>44669</v>
      </c>
      <c r="BO4" s="44">
        <f t="shared" si="131"/>
        <v>10</v>
      </c>
      <c r="BP4" s="31" t="str">
        <f t="shared" si="132"/>
        <v>I TRIM</v>
      </c>
      <c r="BQ4" s="39" t="str">
        <f t="shared" ca="1" si="133"/>
        <v/>
      </c>
      <c r="BR4" s="35">
        <v>44767</v>
      </c>
      <c r="BS4" s="43">
        <v>14</v>
      </c>
      <c r="BT4" s="35">
        <v>44823</v>
      </c>
      <c r="BU4" s="31">
        <v>22</v>
      </c>
      <c r="BV4" s="40" t="s">
        <v>886</v>
      </c>
      <c r="BW4" s="40" t="s">
        <v>886</v>
      </c>
      <c r="BX4" s="40" t="s">
        <v>891</v>
      </c>
      <c r="BY4" s="40" t="s">
        <v>886</v>
      </c>
      <c r="BZ4" s="35">
        <v>44734</v>
      </c>
      <c r="CA4" s="31">
        <v>1.6</v>
      </c>
      <c r="CB4" s="31">
        <v>59</v>
      </c>
      <c r="CC4" s="39">
        <f t="shared" si="134"/>
        <v>23.046874999999996</v>
      </c>
      <c r="CD4" s="45" t="str">
        <f t="shared" si="135"/>
        <v>NORMAL</v>
      </c>
      <c r="CE4" s="35">
        <v>44792</v>
      </c>
      <c r="CF4" s="31">
        <v>54</v>
      </c>
      <c r="CG4" s="39">
        <f t="shared" si="136"/>
        <v>21.093749999999996</v>
      </c>
      <c r="CH4" s="31">
        <f t="shared" si="137"/>
        <v>18</v>
      </c>
      <c r="CI4" s="31" t="str">
        <f>IF(OR(CH4="",CH4="NA"),"",IF(AND(CH4&gt;=29,CH4&lt;=42),"REGISTRAR EN III TRIM",IF(AND(CH4&gt;0,CH4&lt;=13),"REGISTRAR EN I TRIM",IF(CH4="REVISAR FUM O FECHA PESO","REVISAR",IF(CH4&gt;0,HLOOKUP(CH4,$OI$1:PK4,OH4),"")))))</f>
        <v>BAJO PESO</v>
      </c>
      <c r="CJ4" s="35">
        <v>44883</v>
      </c>
      <c r="CK4" s="31">
        <v>60</v>
      </c>
      <c r="CL4" s="39">
        <f t="shared" si="138"/>
        <v>23.437499999999996</v>
      </c>
      <c r="CM4" s="31">
        <f t="shared" si="139"/>
        <v>31</v>
      </c>
      <c r="CN4" s="31" t="str">
        <f>IF(OR(CM4="",CM4="NA"),"",IF(AND(CM4&gt;0,CM4&lt;=28),"REGISTRAR EN  TRIM RESPECTIVO",IF(CM4&gt;0,HLOOKUP(CM4,$OI$1:PK4,OH4),"")))</f>
        <v>BAJO PESO</v>
      </c>
      <c r="CO4" s="31" t="str">
        <f t="shared" si="140"/>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41"/>
        <v>SALE SIN PLAN DE PARTO</v>
      </c>
      <c r="DR4" s="46" t="str">
        <f t="shared" si="142"/>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43"/>
        <v/>
      </c>
      <c r="DU4" s="35">
        <f>IF(R4="","",IF(R4&gt;0,MAX(Tabla1[[#This Row],[FECHA C2]:[FECHA C13]],Tabla1[[#This Row],[FECHA CONSULTA PRIMERA VEZ PROGRAMA CPN ]])))</f>
        <v>44923</v>
      </c>
      <c r="DV4" s="31">
        <f t="shared" si="144"/>
        <v>37</v>
      </c>
      <c r="DW4" s="43">
        <f>IF(R4&gt;0,SUM(COUNTA(DC4:DN4)+COUNTA(Tabla1[[#This Row],[FECHA CONSULTA PRIMERA VEZ PROGRAMA CPN ]])),"")</f>
        <v>6</v>
      </c>
      <c r="DX4" s="43" t="str">
        <f t="shared" si="145"/>
        <v>SI</v>
      </c>
      <c r="DY4" s="39">
        <f t="shared" si="146"/>
        <v>9</v>
      </c>
      <c r="DZ4" s="47">
        <f t="shared" si="147"/>
        <v>0.66666666666666663</v>
      </c>
      <c r="EA4" s="35">
        <v>44734</v>
      </c>
      <c r="EB4" s="35">
        <v>44734</v>
      </c>
      <c r="EC4" s="35">
        <v>44734</v>
      </c>
      <c r="ED4" s="35">
        <v>44761</v>
      </c>
      <c r="EE4" s="35">
        <v>44734</v>
      </c>
      <c r="EF4" s="35">
        <v>44767</v>
      </c>
      <c r="EG4" s="35">
        <v>44823</v>
      </c>
      <c r="EH4" s="31">
        <v>2</v>
      </c>
      <c r="EI4" s="31">
        <v>13</v>
      </c>
      <c r="EJ4" s="35">
        <v>44734</v>
      </c>
      <c r="EK4" s="43">
        <f t="shared" si="148"/>
        <v>10</v>
      </c>
      <c r="EL4" s="39" t="str">
        <f t="shared" si="149"/>
        <v>NORMAL- SUMINISTRAR SULFATO FERROSO</v>
      </c>
      <c r="EM4" s="31" t="str">
        <f t="shared" si="150"/>
        <v>I TRIM</v>
      </c>
      <c r="EN4" s="37">
        <v>15</v>
      </c>
      <c r="EO4" s="35">
        <v>44883</v>
      </c>
      <c r="EP4" s="44">
        <f t="shared" si="151"/>
        <v>31.285714285714285</v>
      </c>
      <c r="EQ4" s="39" t="str">
        <f t="shared" si="152"/>
        <v>NO DAR SULFATO FERROSO</v>
      </c>
      <c r="ER4" s="37" t="s">
        <v>893</v>
      </c>
      <c r="ES4" s="35">
        <v>44734</v>
      </c>
      <c r="ET4" s="44">
        <f t="shared" si="153"/>
        <v>10</v>
      </c>
      <c r="EU4" s="39" t="str">
        <f t="shared" si="154"/>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155"/>
        <v>10</v>
      </c>
      <c r="GV4" s="31" t="str">
        <f t="shared" si="156"/>
        <v>I TRIM</v>
      </c>
      <c r="GW4" s="43" t="s">
        <v>895</v>
      </c>
      <c r="GX4" s="46">
        <v>5</v>
      </c>
      <c r="GY4" s="31"/>
      <c r="GZ4" s="35"/>
      <c r="HA4" s="43" t="str">
        <f t="shared" si="157"/>
        <v/>
      </c>
      <c r="HB4" s="31" t="str">
        <f t="shared" si="158"/>
        <v/>
      </c>
      <c r="HC4" s="31" t="str">
        <f t="shared" si="159"/>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160"/>
        <v>****BAJO PESO*****PREVENCIÓN CONTAGIO TOXOPLASMOSIS***</v>
      </c>
      <c r="HM4" s="35" t="str">
        <f t="shared" ca="1" si="161"/>
        <v>CON RIESGO</v>
      </c>
      <c r="HN4" s="31" t="str">
        <f t="shared" ca="1" si="162"/>
        <v>**********************MULTIPARIDAD**********</v>
      </c>
      <c r="HO4" s="31" t="str">
        <f t="shared" si="163"/>
        <v>SIN ANTECEDENTES DE RIESGO</v>
      </c>
      <c r="HP4" s="37" t="str">
        <f t="shared" si="164"/>
        <v>APARENTEMENTE NORMAL</v>
      </c>
      <c r="HQ4" s="31" t="str">
        <f t="shared" ca="1" si="165"/>
        <v/>
      </c>
      <c r="HR4" s="46" t="str">
        <f t="shared" si="166"/>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167"/>
        <v>44944</v>
      </c>
      <c r="IQ4" s="44">
        <f t="shared" ca="1" si="168"/>
        <v>-281</v>
      </c>
      <c r="IR4" s="35" t="str">
        <f t="shared" ca="1" si="169"/>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170"/>
        <v>0</v>
      </c>
      <c r="MR4" t="str">
        <f t="shared" si="67"/>
        <v/>
      </c>
      <c r="MS4" t="str">
        <f t="shared" si="68"/>
        <v/>
      </c>
      <c r="MT4">
        <f t="shared" si="171"/>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172"/>
        <v>II TRIMESTRE AÑO</v>
      </c>
      <c r="MZ4">
        <f t="shared" si="74"/>
        <v>17.832895313184405</v>
      </c>
      <c r="NA4">
        <f t="shared" si="173"/>
        <v>0</v>
      </c>
      <c r="NB4" t="str">
        <f t="shared" si="174"/>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 t="shared" si="94"/>
        <v/>
      </c>
      <c r="OA4" s="1">
        <f t="shared" si="175"/>
        <v>3</v>
      </c>
      <c r="OB4" s="213">
        <f t="shared" ca="1" si="95"/>
        <v>3</v>
      </c>
      <c r="OC4" s="1">
        <f t="shared" ca="1" si="96"/>
        <v>3</v>
      </c>
      <c r="OD4" s="1" t="str">
        <f t="shared" ca="1" si="176"/>
        <v>COMPLETO</v>
      </c>
      <c r="OE4" s="1" t="str">
        <f t="shared" ca="1" si="97"/>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8"/>
        <v>VACUNADA</v>
      </c>
      <c r="OH4" s="148">
        <f>ROW(Tabla1[[#This Row],[SEMANAS DE GESTACION II TRIM]])</f>
        <v>4</v>
      </c>
      <c r="OI4" t="str">
        <f t="shared" si="99"/>
        <v/>
      </c>
      <c r="OJ4" t="str">
        <f t="shared" si="100"/>
        <v/>
      </c>
      <c r="OK4" t="str">
        <f t="shared" si="101"/>
        <v/>
      </c>
      <c r="OL4" t="str">
        <f t="shared" si="102"/>
        <v/>
      </c>
      <c r="OM4" t="str">
        <f t="shared" si="103"/>
        <v>BAJO PESO</v>
      </c>
      <c r="ON4" t="str">
        <f t="shared" si="104"/>
        <v/>
      </c>
      <c r="OO4" t="str">
        <f t="shared" si="105"/>
        <v/>
      </c>
      <c r="OP4" t="str">
        <f t="shared" si="106"/>
        <v/>
      </c>
      <c r="OQ4" t="str">
        <f t="shared" si="107"/>
        <v/>
      </c>
      <c r="OR4" t="str">
        <f t="shared" si="108"/>
        <v/>
      </c>
      <c r="OS4" t="str">
        <f t="shared" si="109"/>
        <v/>
      </c>
      <c r="OT4" t="str">
        <f t="shared" si="110"/>
        <v/>
      </c>
      <c r="OU4" t="str">
        <f t="shared" si="111"/>
        <v/>
      </c>
      <c r="OV4" t="str">
        <f t="shared" si="112"/>
        <v/>
      </c>
      <c r="OW4" t="str">
        <f t="shared" si="113"/>
        <v/>
      </c>
      <c r="OX4" t="str">
        <f t="shared" si="114"/>
        <v/>
      </c>
      <c r="OY4" t="str">
        <f t="shared" si="115"/>
        <v/>
      </c>
      <c r="OZ4" t="str">
        <f t="shared" si="116"/>
        <v>BAJO PESO</v>
      </c>
      <c r="PA4" t="str">
        <f t="shared" si="117"/>
        <v/>
      </c>
      <c r="PB4" t="str">
        <f t="shared" si="118"/>
        <v/>
      </c>
      <c r="PC4" t="str">
        <f t="shared" si="119"/>
        <v/>
      </c>
      <c r="PD4" t="str">
        <f t="shared" si="120"/>
        <v/>
      </c>
      <c r="PE4" t="str">
        <f t="shared" si="121"/>
        <v/>
      </c>
      <c r="PF4" t="str">
        <f t="shared" si="122"/>
        <v/>
      </c>
      <c r="PG4" t="str">
        <f t="shared" si="123"/>
        <v/>
      </c>
      <c r="PH4" t="str">
        <f t="shared" si="124"/>
        <v/>
      </c>
      <c r="PI4" t="str">
        <f t="shared" si="125"/>
        <v/>
      </c>
      <c r="PJ4" t="str">
        <f t="shared" si="126"/>
        <v/>
      </c>
      <c r="PK4" t="str">
        <f t="shared" si="127"/>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8"/>
        <v/>
      </c>
      <c r="PN4" s="161" t="str">
        <f t="shared" si="177"/>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16.383561643835616</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129"/>
        <v>0</v>
      </c>
      <c r="BN5" s="57">
        <f t="shared" si="130"/>
        <v>44660.6</v>
      </c>
      <c r="BO5" s="44">
        <f t="shared" si="131"/>
        <v>10</v>
      </c>
      <c r="BP5" s="31" t="str">
        <f t="shared" si="132"/>
        <v>I TRIM</v>
      </c>
      <c r="BQ5" s="39" t="str">
        <f t="shared" ca="1" si="133"/>
        <v/>
      </c>
      <c r="BR5" s="35">
        <v>44774</v>
      </c>
      <c r="BS5" s="43">
        <v>16.2</v>
      </c>
      <c r="BT5" s="35"/>
      <c r="BU5" s="31"/>
      <c r="BV5" s="40" t="s">
        <v>886</v>
      </c>
      <c r="BW5" s="40" t="s">
        <v>886</v>
      </c>
      <c r="BX5" s="40" t="s">
        <v>887</v>
      </c>
      <c r="BY5" s="40" t="s">
        <v>887</v>
      </c>
      <c r="BZ5" s="35">
        <v>44737</v>
      </c>
      <c r="CA5" s="31">
        <v>1.53</v>
      </c>
      <c r="CB5" s="31">
        <v>58</v>
      </c>
      <c r="CC5" s="39">
        <f t="shared" si="134"/>
        <v>24.776795249690291</v>
      </c>
      <c r="CD5" s="45" t="str">
        <f t="shared" si="135"/>
        <v>NORMAL</v>
      </c>
      <c r="CE5" s="35">
        <v>44803</v>
      </c>
      <c r="CF5" s="31">
        <v>51</v>
      </c>
      <c r="CG5" s="39">
        <f t="shared" si="136"/>
        <v>21.786492374727668</v>
      </c>
      <c r="CH5" s="31">
        <f t="shared" si="137"/>
        <v>19</v>
      </c>
      <c r="CI5" s="31" t="str">
        <f>IF(OR(CH5="",CH5="NA"),"",IF(AND(CH5&gt;=29,CH5&lt;=42),"REGISTRAR EN III TRIM",IF(AND(CH5&gt;0,CH5&lt;=13),"REGISTRAR EN I TRIM",IF(CH5="REVISAR FUM O FECHA PESO","REVISAR",IF(CH5&gt;0,HLOOKUP(CH5,$OI$1:PK5,OH5),"")))))</f>
        <v>NORMAL</v>
      </c>
      <c r="CJ5" s="35">
        <v>44897</v>
      </c>
      <c r="CK5" s="31">
        <v>58</v>
      </c>
      <c r="CL5" s="39">
        <f t="shared" si="138"/>
        <v>24.776795249690291</v>
      </c>
      <c r="CM5" s="31">
        <f t="shared" si="139"/>
        <v>32</v>
      </c>
      <c r="CN5" s="31" t="str">
        <f>IF(OR(CM5="",CM5="NA"),"",IF(AND(CM5&gt;0,CM5&lt;=28),"REGISTRAR EN  TRIM RESPECTIVO",IF(CM5&gt;0,HLOOKUP(CM5,$OI$1:PK5,OH5),"")))</f>
        <v>NORMAL</v>
      </c>
      <c r="CO5" s="31" t="str">
        <f t="shared" si="140"/>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41"/>
        <v>SALE SIN PLAN DE PARTO</v>
      </c>
      <c r="DR5" s="46" t="str">
        <f t="shared" si="142"/>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43"/>
        <v/>
      </c>
      <c r="DU5" s="35">
        <f>IF(R5="","",IF(R5&gt;0,MAX(Tabla1[[#This Row],[FECHA C2]:[FECHA C13]],Tabla1[[#This Row],[FECHA CONSULTA PRIMERA VEZ PROGRAMA CPN ]])))</f>
        <v>44930</v>
      </c>
      <c r="DV5" s="31">
        <f t="shared" si="144"/>
        <v>37</v>
      </c>
      <c r="DW5" s="43">
        <f>IF(R5&gt;0,SUM(COUNTA(DC5:DN5)+COUNTA(Tabla1[[#This Row],[FECHA CONSULTA PRIMERA VEZ PROGRAMA CPN ]])),"")</f>
        <v>7</v>
      </c>
      <c r="DX5" s="43" t="str">
        <f t="shared" si="145"/>
        <v>SI</v>
      </c>
      <c r="DY5" s="39">
        <f t="shared" si="146"/>
        <v>9</v>
      </c>
      <c r="DZ5" s="47">
        <f t="shared" si="147"/>
        <v>0.77777777777777779</v>
      </c>
      <c r="EA5" s="35">
        <v>44737</v>
      </c>
      <c r="EB5" s="35">
        <v>44737</v>
      </c>
      <c r="EC5" s="35">
        <v>44737</v>
      </c>
      <c r="ED5" s="35">
        <v>44765</v>
      </c>
      <c r="EE5" s="35">
        <v>44737</v>
      </c>
      <c r="EF5" s="35">
        <v>44774</v>
      </c>
      <c r="EG5" s="35"/>
      <c r="EH5" s="31">
        <v>1</v>
      </c>
      <c r="EI5" s="31">
        <v>13</v>
      </c>
      <c r="EJ5" s="35">
        <v>44737</v>
      </c>
      <c r="EK5" s="43">
        <f t="shared" si="148"/>
        <v>10</v>
      </c>
      <c r="EL5" s="39" t="str">
        <f t="shared" si="149"/>
        <v>NORMAL- SUMINISTRAR SULFATO FERROSO</v>
      </c>
      <c r="EM5" s="31" t="str">
        <f t="shared" si="150"/>
        <v>I TRIM</v>
      </c>
      <c r="EN5" s="37">
        <v>14</v>
      </c>
      <c r="EO5" s="35">
        <v>44866</v>
      </c>
      <c r="EP5" s="44">
        <f t="shared" si="151"/>
        <v>28.428571428571427</v>
      </c>
      <c r="EQ5" s="39" t="str">
        <f t="shared" si="152"/>
        <v>NO DAR SULFATO FERROSO</v>
      </c>
      <c r="ER5" s="37" t="s">
        <v>893</v>
      </c>
      <c r="ES5" s="35">
        <v>44737</v>
      </c>
      <c r="ET5" s="44">
        <f t="shared" si="153"/>
        <v>10</v>
      </c>
      <c r="EU5" s="39" t="str">
        <f t="shared" si="154"/>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155"/>
        <v>10</v>
      </c>
      <c r="GV5" s="31" t="str">
        <f t="shared" si="156"/>
        <v>I TRIM</v>
      </c>
      <c r="GW5" s="43" t="s">
        <v>895</v>
      </c>
      <c r="GX5" s="46">
        <v>5</v>
      </c>
      <c r="GY5" s="31"/>
      <c r="GZ5" s="35"/>
      <c r="HA5" s="43" t="str">
        <f t="shared" si="157"/>
        <v/>
      </c>
      <c r="HB5" s="31" t="str">
        <f t="shared" si="158"/>
        <v/>
      </c>
      <c r="HC5" s="31" t="str">
        <f t="shared" si="159"/>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160"/>
        <v>*********PREVENCIÓN CONTAGIO TOXOPLASMOSIS***</v>
      </c>
      <c r="HM5" s="35" t="str">
        <f t="shared" ca="1" si="161"/>
        <v>CON RIESGO</v>
      </c>
      <c r="HN5" s="31" t="str">
        <f t="shared" ca="1" si="162"/>
        <v>**********************MULTIPARIDAD**RIESGO POR EDAD********</v>
      </c>
      <c r="HO5" s="31" t="str">
        <f t="shared" si="163"/>
        <v>SIN ANTECEDENTES DE RIESGO</v>
      </c>
      <c r="HP5" s="37" t="str">
        <f t="shared" si="164"/>
        <v>APARENTEMENTE NORMAL</v>
      </c>
      <c r="HQ5" s="31" t="str">
        <f t="shared" ca="1" si="165"/>
        <v/>
      </c>
      <c r="HR5" s="46" t="str">
        <f t="shared" si="166"/>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167"/>
        <v>44947</v>
      </c>
      <c r="IQ5" s="44">
        <f t="shared" ca="1" si="168"/>
        <v>-278</v>
      </c>
      <c r="IR5" s="35" t="str">
        <f t="shared" ca="1" si="169"/>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170"/>
        <v>0</v>
      </c>
      <c r="MR5" t="str">
        <f t="shared" si="67"/>
        <v/>
      </c>
      <c r="MS5" t="str">
        <f t="shared" si="68"/>
        <v/>
      </c>
      <c r="MT5">
        <f t="shared" si="171"/>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172"/>
        <v>II TRIMESTRE AÑO</v>
      </c>
      <c r="MZ5">
        <f t="shared" si="74"/>
        <v>14.818769163381516</v>
      </c>
      <c r="NA5">
        <f t="shared" si="173"/>
        <v>1</v>
      </c>
      <c r="NB5" t="str">
        <f t="shared" si="174"/>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175"/>
        <v>3</v>
      </c>
      <c r="OB5" s="213">
        <f t="shared" ca="1" si="95"/>
        <v>2</v>
      </c>
      <c r="OC5" s="1">
        <f t="shared" ca="1" si="96"/>
        <v>2</v>
      </c>
      <c r="OD5" s="1" t="str">
        <f t="shared" ca="1" si="176"/>
        <v>INCOMPLETO</v>
      </c>
      <c r="OE5" s="1" t="str">
        <f t="shared" ca="1" si="97"/>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8"/>
        <v>VACUNADA</v>
      </c>
      <c r="OH5" s="148">
        <f>ROW(Tabla1[[#This Row],[SEMANAS DE GESTACION II TRIM]])</f>
        <v>5</v>
      </c>
      <c r="OI5" t="str">
        <f t="shared" si="99"/>
        <v/>
      </c>
      <c r="OJ5" t="str">
        <f t="shared" si="100"/>
        <v/>
      </c>
      <c r="OK5" t="str">
        <f t="shared" si="101"/>
        <v/>
      </c>
      <c r="OL5" t="str">
        <f t="shared" si="102"/>
        <v/>
      </c>
      <c r="OM5" t="str">
        <f t="shared" si="103"/>
        <v/>
      </c>
      <c r="ON5" t="str">
        <f t="shared" si="104"/>
        <v>NORMAL</v>
      </c>
      <c r="OO5" t="str">
        <f t="shared" si="105"/>
        <v/>
      </c>
      <c r="OP5" t="str">
        <f t="shared" si="106"/>
        <v/>
      </c>
      <c r="OQ5" t="str">
        <f t="shared" si="107"/>
        <v/>
      </c>
      <c r="OR5" t="str">
        <f t="shared" si="108"/>
        <v/>
      </c>
      <c r="OS5" t="str">
        <f t="shared" si="109"/>
        <v/>
      </c>
      <c r="OT5" t="str">
        <f t="shared" si="110"/>
        <v/>
      </c>
      <c r="OU5" t="str">
        <f t="shared" si="111"/>
        <v/>
      </c>
      <c r="OV5" t="str">
        <f t="shared" si="112"/>
        <v/>
      </c>
      <c r="OW5" t="str">
        <f t="shared" si="113"/>
        <v/>
      </c>
      <c r="OX5" t="str">
        <f t="shared" si="114"/>
        <v/>
      </c>
      <c r="OY5" t="str">
        <f t="shared" si="115"/>
        <v/>
      </c>
      <c r="OZ5" t="str">
        <f t="shared" si="116"/>
        <v/>
      </c>
      <c r="PA5" t="str">
        <f t="shared" si="117"/>
        <v>NORMAL</v>
      </c>
      <c r="PB5" t="str">
        <f t="shared" si="118"/>
        <v/>
      </c>
      <c r="PC5" t="str">
        <f t="shared" si="119"/>
        <v/>
      </c>
      <c r="PD5" t="str">
        <f t="shared" si="120"/>
        <v/>
      </c>
      <c r="PE5" t="str">
        <f t="shared" si="121"/>
        <v/>
      </c>
      <c r="PF5" t="str">
        <f t="shared" si="122"/>
        <v/>
      </c>
      <c r="PG5" t="str">
        <f t="shared" si="123"/>
        <v/>
      </c>
      <c r="PH5" t="str">
        <f t="shared" si="124"/>
        <v/>
      </c>
      <c r="PI5" t="str">
        <f t="shared" si="125"/>
        <v/>
      </c>
      <c r="PJ5" t="str">
        <f t="shared" si="126"/>
        <v/>
      </c>
      <c r="PK5" t="str">
        <f t="shared" si="127"/>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8"/>
        <v/>
      </c>
      <c r="PN5" s="161" t="str">
        <f t="shared" si="177"/>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BBA3D0E5-F747-4619-B0E4-B45CDD569BFE}"/>
    </customSheetView>
  </customSheetViews>
  <phoneticPr fontId="33" type="noConversion"/>
  <conditionalFormatting sqref="D2:D5">
    <cfRule type="cellIs" dxfId="14914" priority="26722" operator="equal">
      <formula>"SIN DATO"</formula>
    </cfRule>
    <cfRule type="cellIs" dxfId="14913" priority="26723" operator="equal">
      <formula>"SIN ATENCIÓN"</formula>
    </cfRule>
    <cfRule type="cellIs" dxfId="14912" priority="26724" operator="equal">
      <formula>"PROCESO PARCIAL DE ATENCIÓN"</formula>
    </cfRule>
    <cfRule type="cellIs" dxfId="14911" priority="26725" operator="equal">
      <formula>"PROCESO COMPLETO DE ATENCIÓN"</formula>
    </cfRule>
  </conditionalFormatting>
  <conditionalFormatting sqref="P2:P5">
    <cfRule type="containsText" dxfId="14910" priority="27200" operator="containsText" text="SI">
      <formula>NOT(ISERROR(SEARCH("SI",P2)))</formula>
    </cfRule>
    <cfRule type="containsText" dxfId="14909" priority="27201" operator="containsText" text="NO">
      <formula>NOT(ISERROR(SEARCH("NO",P2)))</formula>
    </cfRule>
    <cfRule type="containsText" dxfId="14908" priority="27202" operator="containsText" text="NA">
      <formula>NOT(ISERROR(SEARCH("NA",P2)))</formula>
    </cfRule>
  </conditionalFormatting>
  <conditionalFormatting sqref="Q2:Q5">
    <cfRule type="containsText" dxfId="14907" priority="26906" operator="containsText" text="SE TRASLADO DE EPS">
      <formula>NOT(ISERROR(SEARCH("SE TRASLADO DE EPS",Q2)))</formula>
    </cfRule>
    <cfRule type="containsText" dxfId="14906" priority="26911" operator="containsText" text="INMIGRANTE VENEZOLANA">
      <formula>NOT(ISERROR(SEARCH("INMIGRANTE VENEZOLANA",Q2)))</formula>
    </cfRule>
    <cfRule type="containsText" dxfId="14905" priority="26912" operator="containsText" text="SIN AFILIACIÓN A EPS">
      <formula>NOT(ISERROR(SEARCH("SIN AFILIACIÓN A EPS",Q2)))</formula>
    </cfRule>
    <cfRule type="containsText" dxfId="14904" priority="27195" operator="containsText" text="NOVEDAD">
      <formula>NOT(ISERROR(SEARCH("NOVEDAD",Q2)))</formula>
    </cfRule>
    <cfRule type="containsText" dxfId="14903" priority="27196" operator="containsText" text="IDENTIDAD">
      <formula>NOT(ISERROR(SEARCH("IDENTIDAD",Q2)))</formula>
    </cfRule>
    <cfRule type="containsText" dxfId="14902" priority="27197" operator="containsText" text="CPN">
      <formula>NOT(ISERROR(SEARCH("CPN",Q2)))</formula>
    </cfRule>
    <cfRule type="containsText" dxfId="14901" priority="27198" operator="containsText" text="VIENE">
      <formula>NOT(ISERROR(SEARCH("VIENE",Q2)))</formula>
    </cfRule>
    <cfRule type="cellIs" dxfId="14900" priority="27199" operator="equal">
      <formula>"TRAMITE DE PORTABILIDAD"</formula>
    </cfRule>
  </conditionalFormatting>
  <conditionalFormatting sqref="AC2:AC5">
    <cfRule type="containsText" dxfId="14899" priority="27191" operator="containsText" text="SABE">
      <formula>NOT(ISERROR(SEARCH("SABE",AC2)))</formula>
    </cfRule>
    <cfRule type="containsText" dxfId="14898" priority="27192" operator="containsText" text="SECUNDARIA">
      <formula>NOT(ISERROR(SEARCH("SECUNDARIA",AC2)))</formula>
    </cfRule>
    <cfRule type="containsText" dxfId="14897" priority="27193" operator="containsText" text="PRIMARIA INCOMPLETA">
      <formula>NOT(ISERROR(SEARCH("PRIMARIA INCOMPLETA",AC2)))</formula>
    </cfRule>
    <cfRule type="cellIs" dxfId="14896" priority="27194" operator="equal">
      <formula>"ANALFABETA"</formula>
    </cfRule>
  </conditionalFormatting>
  <conditionalFormatting sqref="AE2:AF5">
    <cfRule type="containsText" dxfId="14895" priority="26526" operator="containsText" text="NO">
      <formula>NOT(ISERROR(SEARCH("NO",AE2)))</formula>
    </cfRule>
    <cfRule type="containsText" dxfId="14894" priority="26527" operator="containsText" text="SI">
      <formula>NOT(ISERROR(SEARCH("SI",AE2)))</formula>
    </cfRule>
  </conditionalFormatting>
  <conditionalFormatting sqref="AG2:AH5 AJ2:AJ5 AL2:BI5 BV2:BW5 BY2:BY5">
    <cfRule type="cellIs" dxfId="14893" priority="27256" operator="equal">
      <formula>"SD"</formula>
    </cfRule>
    <cfRule type="cellIs" dxfId="14892" priority="27266" operator="equal">
      <formula>"NO"</formula>
    </cfRule>
    <cfRule type="cellIs" dxfId="14891" priority="27267" operator="equal">
      <formula>"SI"</formula>
    </cfRule>
  </conditionalFormatting>
  <conditionalFormatting sqref="AI2:AI5">
    <cfRule type="containsText" dxfId="14890" priority="26966" operator="containsText" text="NINGUNO">
      <formula>NOT(ISERROR(SEARCH("NINGUNO",AI2)))</formula>
    </cfRule>
    <cfRule type="containsText" dxfId="14889" priority="26967" operator="containsText" text="MIGRATORIA">
      <formula>NOT(ISERROR(SEARCH("MIGRATORIA",AI2)))</formula>
    </cfRule>
    <cfRule type="containsText" dxfId="14888" priority="26968" operator="containsText" text="DISCAPACIDAD">
      <formula>NOT(ISERROR(SEARCH("DISCAPACIDAD",AI2)))</formula>
    </cfRule>
    <cfRule type="containsText" dxfId="14887" priority="26969" operator="containsText" text="DESPLAZADA">
      <formula>NOT(ISERROR(SEARCH("DESPLAZADA",AI2)))</formula>
    </cfRule>
  </conditionalFormatting>
  <conditionalFormatting sqref="AK2:AK5">
    <cfRule type="containsText" dxfId="14886" priority="26970" operator="containsText" text="CON RIESGO">
      <formula>NOT(ISERROR(SEARCH("CON RIESGO",AK2)))</formula>
    </cfRule>
    <cfRule type="containsText" dxfId="14885" priority="26971" operator="containsText" text="SIN RIESGO">
      <formula>NOT(ISERROR(SEARCH("SIN RIESGO",AK2)))</formula>
    </cfRule>
  </conditionalFormatting>
  <conditionalFormatting sqref="AV2:AV5">
    <cfRule type="cellIs" dxfId="14884" priority="27186" operator="equal">
      <formula>1</formula>
    </cfRule>
    <cfRule type="cellIs" dxfId="14883" priority="27187" operator="equal">
      <formula>"3 O MAS"</formula>
    </cfRule>
    <cfRule type="cellIs" dxfId="14882" priority="27188" operator="equal">
      <formula>2</formula>
    </cfRule>
  </conditionalFormatting>
  <conditionalFormatting sqref="BL2:BL5">
    <cfRule type="cellIs" dxfId="14881" priority="27183" operator="equal">
      <formula>"NO"</formula>
    </cfRule>
    <cfRule type="cellIs" dxfId="14880" priority="27184" operator="equal">
      <formula>"SI"</formula>
    </cfRule>
    <cfRule type="cellIs" dxfId="14879" priority="27185" operator="equal">
      <formula>"CORREGIDA"</formula>
    </cfRule>
  </conditionalFormatting>
  <conditionalFormatting sqref="BO1:BO1048576">
    <cfRule type="cellIs" dxfId="14878" priority="26730" operator="equal">
      <formula>"SIN SEMANAS X ECO"</formula>
    </cfRule>
  </conditionalFormatting>
  <conditionalFormatting sqref="BP2:BP5">
    <cfRule type="cellIs" dxfId="14877" priority="27178" operator="equal">
      <formula>"DEFINIR CON ECO"</formula>
    </cfRule>
    <cfRule type="cellIs" dxfId="14876" priority="27179" operator="equal">
      <formula>"ERROR FUM O INGRESO O ECO"</formula>
    </cfRule>
    <cfRule type="cellIs" dxfId="14875" priority="27180" operator="equal">
      <formula>"III TRIM"</formula>
    </cfRule>
    <cfRule type="cellIs" dxfId="14874" priority="27181" operator="equal">
      <formula>"II TRIM"</formula>
    </cfRule>
    <cfRule type="cellIs" dxfId="14873" priority="27182" operator="equal">
      <formula>"I TRIM"</formula>
    </cfRule>
  </conditionalFormatting>
  <conditionalFormatting sqref="BX2:BX5">
    <cfRule type="cellIs" dxfId="14872" priority="26717" operator="equal">
      <formula>"SD"</formula>
    </cfRule>
    <cfRule type="cellIs" dxfId="14871" priority="26718" operator="equal">
      <formula>"OBLICUA"</formula>
    </cfRule>
    <cfRule type="cellIs" dxfId="14870" priority="26720" operator="equal">
      <formula>"PODÁLICA"</formula>
    </cfRule>
    <cfRule type="cellIs" dxfId="14869" priority="26721" operator="equal">
      <formula>"CEFÁLICA"</formula>
    </cfRule>
  </conditionalFormatting>
  <conditionalFormatting sqref="CD2:CD5">
    <cfRule type="containsText" dxfId="14868" priority="27172" operator="containsText" text="SOBREPESO">
      <formula>NOT(ISERROR(SEARCH("SOBREPESO",CD2)))</formula>
    </cfRule>
    <cfRule type="containsText" dxfId="14867" priority="27173" operator="containsText" text="NORMAL">
      <formula>NOT(ISERROR(SEARCH("NORMAL",CD2)))</formula>
    </cfRule>
    <cfRule type="containsText" dxfId="14866" priority="27174" operator="containsText" text="OBESIDAD">
      <formula>NOT(ISERROR(SEARCH("OBESIDAD",CD2)))</formula>
    </cfRule>
    <cfRule type="containsText" dxfId="14865" priority="27175" operator="containsText" text="BAJO PESO">
      <formula>NOT(ISERROR(SEARCH("BAJO PESO",CD2)))</formula>
    </cfRule>
    <cfRule type="containsText" dxfId="14864" priority="27176" operator="containsText" text="PREGESTACION">
      <formula>NOT(ISERROR(SEARCH("PREGESTACION",CD2)))</formula>
    </cfRule>
    <cfRule type="containsText" dxfId="14863" priority="27177" operator="containsText" text="INGRESAR">
      <formula>NOT(ISERROR(SEARCH("INGRESAR",CD2)))</formula>
    </cfRule>
  </conditionalFormatting>
  <conditionalFormatting sqref="CI2:CI5">
    <cfRule type="containsText" dxfId="14862" priority="27166" operator="containsText" text="REVISAR">
      <formula>NOT(ISERROR(SEARCH("REVISAR",CI2)))</formula>
    </cfRule>
    <cfRule type="containsText" dxfId="14861" priority="27167" operator="containsText" text="SOBREPESO">
      <formula>NOT(ISERROR(SEARCH("SOBREPESO",CI2)))</formula>
    </cfRule>
    <cfRule type="containsText" dxfId="14860" priority="27168" operator="containsText" text="OBESIDAD">
      <formula>NOT(ISERROR(SEARCH("OBESIDAD",CI2)))</formula>
    </cfRule>
    <cfRule type="containsText" dxfId="14859" priority="27169" operator="containsText" text="BAJO PESO">
      <formula>NOT(ISERROR(SEARCH("BAJO PESO",CI2)))</formula>
    </cfRule>
    <cfRule type="containsText" dxfId="14858" priority="27170" operator="containsText" text="NORMAL">
      <formula>NOT(ISERROR(SEARCH("NORMAL",CI2)))</formula>
    </cfRule>
    <cfRule type="containsText" dxfId="14857" priority="27171" operator="containsText" text="REGISTRAR">
      <formula>NOT(ISERROR(SEARCH("REGISTRAR",CI2)))</formula>
    </cfRule>
  </conditionalFormatting>
  <conditionalFormatting sqref="CN2:CO5">
    <cfRule type="containsText" dxfId="14856" priority="27160" operator="containsText" text="BAJO PESO">
      <formula>NOT(ISERROR(SEARCH("BAJO PESO",CN2)))</formula>
    </cfRule>
    <cfRule type="containsText" dxfId="14855" priority="27161" operator="containsText" text="NORMAL">
      <formula>NOT(ISERROR(SEARCH("NORMAL",CN2)))</formula>
    </cfRule>
    <cfRule type="containsText" dxfId="14854" priority="27162" operator="containsText" text="OBESIDAD">
      <formula>NOT(ISERROR(SEARCH("OBESIDAD",CN2)))</formula>
    </cfRule>
    <cfRule type="containsText" dxfId="14853" priority="27163" operator="containsText" text="SOBREPESO">
      <formula>NOT(ISERROR(SEARCH("SOBREPESO",CN2)))</formula>
    </cfRule>
    <cfRule type="containsText" dxfId="14852" priority="27164" operator="containsText" text="REVISAR">
      <formula>NOT(ISERROR(SEARCH("REVISAR",CN2)))</formula>
    </cfRule>
    <cfRule type="containsText" dxfId="14851" priority="27165" operator="containsText" text="REGISTRAR">
      <formula>NOT(ISERROR(SEARCH("REGISTRAR",CN2)))</formula>
    </cfRule>
  </conditionalFormatting>
  <conditionalFormatting sqref="CO2:CO5">
    <cfRule type="containsText" dxfId="14850" priority="26975" operator="containsText" text="INGRESAR">
      <formula>NOT(ISERROR(SEARCH("INGRESAR",CO2)))</formula>
    </cfRule>
  </conditionalFormatting>
  <conditionalFormatting sqref="CR2:CR5">
    <cfRule type="containsText" dxfId="14849" priority="27157" operator="containsText" text="HIPOTENSION">
      <formula>NOT(ISERROR(SEARCH("HIPOTENSION",CR2)))</formula>
    </cfRule>
    <cfRule type="containsText" dxfId="14848" priority="27158" operator="containsText" text="NORMAL">
      <formula>NOT(ISERROR(SEARCH("NORMAL",CR2)))</formula>
    </cfRule>
    <cfRule type="containsText" dxfId="14847" priority="27159" operator="containsText" text="HTA">
      <formula>NOT(ISERROR(SEARCH("HTA",CR2)))</formula>
    </cfRule>
  </conditionalFormatting>
  <conditionalFormatting sqref="CU2:CU5">
    <cfRule type="containsText" dxfId="14846" priority="27153" operator="containsText" text="HIPOTENSION">
      <formula>NOT(ISERROR(SEARCH("HIPOTENSION",CU2)))</formula>
    </cfRule>
    <cfRule type="containsText" dxfId="14845" priority="27154" operator="containsText" text="VIGILAR">
      <formula>NOT(ISERROR(SEARCH("VIGILAR",CU2)))</formula>
    </cfRule>
    <cfRule type="containsText" dxfId="14844" priority="27155" operator="containsText" text="NORMAL">
      <formula>NOT(ISERROR(SEARCH("NORMAL",CU2)))</formula>
    </cfRule>
    <cfRule type="containsText" dxfId="14843" priority="27156" operator="containsText" text="HTA">
      <formula>NOT(ISERROR(SEARCH("HTA",CU2)))</formula>
    </cfRule>
  </conditionalFormatting>
  <conditionalFormatting sqref="CZ2:CZ5 HP2:HP5">
    <cfRule type="containsText" dxfId="14842" priority="27150" operator="containsText" text="NORMAL">
      <formula>NOT(ISERROR(SEARCH("NORMAL",CZ2)))</formula>
    </cfRule>
    <cfRule type="containsText" dxfId="14841" priority="27151" operator="containsText" text="VIGILAR">
      <formula>NOT(ISERROR(SEARCH("VIGILAR",CZ2)))</formula>
    </cfRule>
    <cfRule type="containsText" dxfId="14840" priority="27152" operator="containsText" text="HTA">
      <formula>NOT(ISERROR(SEARCH("HTA",CZ2)))</formula>
    </cfRule>
  </conditionalFormatting>
  <conditionalFormatting sqref="DO2:DO5">
    <cfRule type="containsBlanks" priority="26565" stopIfTrue="1">
      <formula>LEN(TRIM(DO2))=0</formula>
    </cfRule>
    <cfRule type="cellIs" dxfId="14839" priority="26566" operator="greaterThanOrEqual">
      <formula>6</formula>
    </cfRule>
    <cfRule type="cellIs" dxfId="14838" priority="26567" operator="between">
      <formula>4</formula>
      <formula>5</formula>
    </cfRule>
    <cfRule type="cellIs" dxfId="14837" priority="26568" operator="between">
      <formula>0</formula>
      <formula>3</formula>
    </cfRule>
  </conditionalFormatting>
  <conditionalFormatting sqref="DQ2:DQ5">
    <cfRule type="cellIs" dxfId="14836" priority="26557" operator="between">
      <formula>28</formula>
      <formula>44</formula>
    </cfRule>
    <cfRule type="cellIs" dxfId="14835" priority="26559" operator="equal">
      <formula>"SALE SIN PLAN DE PARTO"</formula>
    </cfRule>
    <cfRule type="cellIs" dxfId="14834" priority="26560" operator="equal">
      <formula>"SALE PROGRAMA ANTES SEMANA 35"</formula>
    </cfRule>
    <cfRule type="cellIs" dxfId="14833" priority="26561" operator="equal">
      <formula>"EN ESPERA"</formula>
    </cfRule>
    <cfRule type="cellIs" dxfId="14832" priority="26562" operator="equal">
      <formula>"CONCERTAR PLAN DE PARTO INMEDIATO"</formula>
    </cfRule>
    <cfRule type="cellIs" dxfId="14831" priority="26563" operator="equal">
      <formula>"PLANEAR PLAN DE PARTO"</formula>
    </cfRule>
    <cfRule type="cellIs" dxfId="14830" priority="26564" operator="equal">
      <formula>"PLAN REALIZADO ANTES III TRIM"</formula>
    </cfRule>
  </conditionalFormatting>
  <conditionalFormatting sqref="DR2:DR5 HR2:HR5">
    <cfRule type="containsText" dxfId="14829" priority="27137" operator="containsText" text="activa sin">
      <formula>NOT(ISERROR(SEARCH("activa sin",DR2)))</formula>
    </cfRule>
    <cfRule type="containsText" dxfId="14828" priority="27138" operator="containsText" text="Activa ingreso">
      <formula>NOT(ISERROR(SEARCH("Activa ingreso",DR2)))</formula>
    </cfRule>
    <cfRule type="containsText" dxfId="14827" priority="27139" operator="containsText" text="seguimiento">
      <formula>NOT(ISERROR(SEARCH("seguimiento",DR2)))</formula>
    </cfRule>
    <cfRule type="containsText" dxfId="14826" priority="27140" operator="containsText" text="salio">
      <formula>NOT(ISERROR(SEARCH("salio",DR2)))</formula>
    </cfRule>
    <cfRule type="containsText" dxfId="14825" priority="27141" operator="containsText" text="sale">
      <formula>NOT(ISERROR(SEARCH("sale",DR2)))</formula>
    </cfRule>
  </conditionalFormatting>
  <conditionalFormatting sqref="DT2:DT5 HQ2:HQ5">
    <cfRule type="containsText" dxfId="14824" priority="26934" operator="containsText" text="DEFINIR">
      <formula>NOT(ISERROR(SEARCH("DEFINIR",DT2)))</formula>
    </cfRule>
    <cfRule type="containsText" dxfId="14823" priority="27131" operator="containsText" text="MES">
      <formula>NOT(ISERROR(SEARCH("MES",DT2)))</formula>
    </cfRule>
    <cfRule type="containsText" dxfId="14822" priority="27132" operator="containsText" text="SEMANA">
      <formula>NOT(ISERROR(SEARCH("SEMANA",DT2)))</formula>
    </cfRule>
    <cfRule type="containsText" dxfId="14821" priority="27133" operator="containsText" text="DIA">
      <formula>NOT(ISERROR(SEARCH("DIA",DT2)))</formula>
    </cfRule>
    <cfRule type="containsText" dxfId="14820" priority="27134" operator="containsText" text="FUERA">
      <formula>NOT(ISERROR(SEARCH("FUERA",DT2)))</formula>
    </cfRule>
    <cfRule type="containsText" dxfId="14819" priority="27135" operator="containsText" text="BUSCAR">
      <formula>NOT(ISERROR(SEARCH("BUSCAR",DT2)))</formula>
    </cfRule>
    <cfRule type="containsText" dxfId="14818" priority="27136" operator="containsText" text="INASISTENTE">
      <formula>NOT(ISERROR(SEARCH("INASISTENTE",DT2)))</formula>
    </cfRule>
  </conditionalFormatting>
  <conditionalFormatting sqref="DT2:DT5">
    <cfRule type="containsText" dxfId="14817" priority="26556" operator="containsText" text="DILIGENCIAR">
      <formula>NOT(ISERROR(SEARCH("DILIGENCIAR",DT2)))</formula>
    </cfRule>
  </conditionalFormatting>
  <conditionalFormatting sqref="EL2:EL5 EQ2:EQ5">
    <cfRule type="containsText" dxfId="14816" priority="27147" operator="containsText" text="DAR">
      <formula>NOT(ISERROR(SEARCH("DAR",EL2)))</formula>
    </cfRule>
    <cfRule type="containsText" dxfId="14815" priority="27148" operator="containsText" text="NORMAL">
      <formula>NOT(ISERROR(SEARCH("NORMAL",EL2)))</formula>
    </cfRule>
    <cfRule type="containsText" dxfId="14814" priority="27149" operator="containsText" text="ANEMIA">
      <formula>NOT(ISERROR(SEARCH("ANEMIA",EL2)))</formula>
    </cfRule>
  </conditionalFormatting>
  <conditionalFormatting sqref="EU2:EU5">
    <cfRule type="containsText" dxfId="14813" priority="27142" operator="containsText" text="NO">
      <formula>NOT(ISERROR(SEARCH("NO",EU2)))</formula>
    </cfRule>
    <cfRule type="containsText" dxfId="14812" priority="27143" operator="containsText" text="RIESGO">
      <formula>NOT(ISERROR(SEARCH("RIESGO",EU2)))</formula>
    </cfRule>
  </conditionalFormatting>
  <conditionalFormatting sqref="FB2:FB5">
    <cfRule type="containsText" dxfId="14811" priority="26841" operator="containsText" text="NORMAL,">
      <formula>NOT(ISERROR(SEARCH("NORMAL,",FB2)))</formula>
    </cfRule>
    <cfRule type="containsText" dxfId="14810" priority="26842" operator="containsText" text="PROGRAMAR">
      <formula>NOT(ISERROR(SEARCH("PROGRAMAR",FB2)))</formula>
    </cfRule>
    <cfRule type="containsText" dxfId="14809" priority="26843" operator="containsText" text="NORMAL">
      <formula>NOT(ISERROR(SEARCH("NORMAL",FB2)))</formula>
    </cfRule>
    <cfRule type="containsText" dxfId="14808" priority="26844" operator="containsText" text="DIABETES">
      <formula>NOT(ISERROR(SEARCH("DIABETES",FB2)))</formula>
    </cfRule>
    <cfRule type="containsText" dxfId="14807" priority="26845" operator="containsText" text="TOMAR">
      <formula>NOT(ISERROR(SEARCH("TOMAR",FB2)))</formula>
    </cfRule>
    <cfRule type="containsText" dxfId="14806" priority="26884" operator="containsText" text="COMPLETA">
      <formula>NOT(ISERROR(SEARCH("COMPLETA",FB2)))</formula>
    </cfRule>
  </conditionalFormatting>
  <conditionalFormatting sqref="FE2:FE5">
    <cfRule type="containsText" dxfId="14805" priority="26668" operator="containsText" text="POSITIVA CICATRIZ">
      <formula>NOT(ISERROR(SEARCH("POSITIVA CICATRIZ",FE2)))</formula>
    </cfRule>
    <cfRule type="containsText" dxfId="14804" priority="26669" operator="containsText" text="POSITIVA CASO SIFILIS">
      <formula>NOT(ISERROR(SEARCH("POSITIVA CASO SIFILIS",FE2)))</formula>
    </cfRule>
    <cfRule type="containsText" dxfId="14803" priority="26670" operator="containsText" text="NEGATIVA">
      <formula>NOT(ISERROR(SEARCH("NEGATIVA",FE2)))</formula>
    </cfRule>
  </conditionalFormatting>
  <conditionalFormatting sqref="FG2:FG5">
    <cfRule type="containsText" dxfId="14802" priority="26633" operator="containsText" text="NO APLICA">
      <formula>NOT(ISERROR(SEARCH("NO APLICA",FG2)))</formula>
    </cfRule>
    <cfRule type="containsText" dxfId="14801" priority="26634" operator="containsText" text="PIERDE">
      <formula>NOT(ISERROR(SEARCH("PIERDE",FG2)))</formula>
    </cfRule>
    <cfRule type="containsText" dxfId="14800" priority="26635" operator="containsText" text="REGISTRAR">
      <formula>NOT(ISERROR(SEARCH("REGISTRAR",FG2)))</formula>
    </cfRule>
    <cfRule type="cellIs" dxfId="14799" priority="26636" operator="between">
      <formula>0</formula>
      <formula>13</formula>
    </cfRule>
    <cfRule type="containsText" dxfId="14798" priority="26637" operator="containsText" text="EN ESPERA">
      <formula>NOT(ISERROR(SEARCH("EN ESPERA",FG2)))</formula>
    </cfRule>
    <cfRule type="containsText" dxfId="14797" priority="26638" operator="containsText" text="RANGO">
      <formula>NOT(ISERROR(SEARCH("RANGO",FG2)))</formula>
    </cfRule>
    <cfRule type="containsText" dxfId="14796" priority="26639" operator="containsText" text="INMEDIATA">
      <formula>NOT(ISERROR(SEARCH("INMEDIATA",FG2)))</formula>
    </cfRule>
  </conditionalFormatting>
  <conditionalFormatting sqref="FH2:FH5 FK2:FK5 FN2:FN5">
    <cfRule type="containsText" dxfId="14795" priority="26627" operator="containsText" text="REINFECCIÓN">
      <formula>NOT(ISERROR(SEARCH("REINFECCIÓN",FH2)))</formula>
    </cfRule>
    <cfRule type="containsText" dxfId="14794" priority="26628" operator="containsText" text="DILUCIONES DISMINUYEN">
      <formula>NOT(ISERROR(SEARCH("DILUCIONES DISMINUYEN",FH2)))</formula>
    </cfRule>
    <cfRule type="containsText" dxfId="14793" priority="26629" operator="containsText" text="DILUCIONES ESTABLES">
      <formula>NOT(ISERROR(SEARCH("DILUCIONES ESTABLES",FH2)))</formula>
    </cfRule>
    <cfRule type="containsText" dxfId="14792" priority="26630" operator="containsText" text="POSITIVA CICATRIZ">
      <formula>NOT(ISERROR(SEARCH("POSITIVA CICATRIZ",FH2)))</formula>
    </cfRule>
    <cfRule type="containsText" dxfId="14791" priority="26631" operator="containsText" text="POSITIVA CASO SIFILIS">
      <formula>NOT(ISERROR(SEARCH("POSITIVA CASO SIFILIS",FH2)))</formula>
    </cfRule>
    <cfRule type="containsText" dxfId="14790" priority="26632" operator="containsText" text="NEGATIVA">
      <formula>NOT(ISERROR(SEARCH("NEGATIVA",FH2)))</formula>
    </cfRule>
  </conditionalFormatting>
  <conditionalFormatting sqref="FJ2:FJ5 FM2:FM5">
    <cfRule type="containsText" dxfId="14789" priority="26620" operator="containsText" text="NO APLICA">
      <formula>NOT(ISERROR(SEARCH("NO APLICA",FJ2)))</formula>
    </cfRule>
    <cfRule type="containsText" dxfId="14788" priority="26621" operator="containsText" text="PIERDE">
      <formula>NOT(ISERROR(SEARCH("PIERDE",FJ2)))</formula>
    </cfRule>
    <cfRule type="containsText" dxfId="14787" priority="26622" operator="containsText" text="REGISTRAR">
      <formula>NOT(ISERROR(SEARCH("REGISTRAR",FJ2)))</formula>
    </cfRule>
    <cfRule type="containsText" dxfId="14786" priority="26625" operator="containsText" text="RANGO">
      <formula>NOT(ISERROR(SEARCH("RANGO",FJ2)))</formula>
    </cfRule>
    <cfRule type="containsText" dxfId="14785" priority="26626" operator="containsText" text="INMEDIATA">
      <formula>NOT(ISERROR(SEARCH("INMEDIATA",FJ2)))</formula>
    </cfRule>
  </conditionalFormatting>
  <conditionalFormatting sqref="FJ2:FJ5">
    <cfRule type="cellIs" dxfId="14784" priority="26554" operator="between">
      <formula>12</formula>
      <formula>28</formula>
    </cfRule>
  </conditionalFormatting>
  <conditionalFormatting sqref="FJ2:FJ5 FM2:FM5">
    <cfRule type="containsText" dxfId="14783" priority="26624" operator="containsText" text="EN ESPERA">
      <formula>NOT(ISERROR(SEARCH("EN ESPERA",FJ2)))</formula>
    </cfRule>
  </conditionalFormatting>
  <conditionalFormatting sqref="FM2:FM5">
    <cfRule type="cellIs" dxfId="14782" priority="26623" operator="between">
      <formula>28</formula>
      <formula>44</formula>
    </cfRule>
  </conditionalFormatting>
  <conditionalFormatting sqref="FP2:FP5">
    <cfRule type="containsText" dxfId="14781" priority="27102" operator="containsText" text="GESTACIONAL">
      <formula>NOT(ISERROR(SEARCH("GESTACIONAL",FP2)))</formula>
    </cfRule>
  </conditionalFormatting>
  <conditionalFormatting sqref="FT2:FT5 GN2:GN5 GQ2:GR5 GW2:GW5">
    <cfRule type="containsText" dxfId="14780" priority="27100" operator="containsText" text="POSITIVO">
      <formula>NOT(ISERROR(SEARCH("POSITIVO",FT2)))</formula>
    </cfRule>
    <cfRule type="containsText" dxfId="14779" priority="27101" operator="containsText" text="NEGATIVO">
      <formula>NOT(ISERROR(SEARCH("NEGATIVO",FT2)))</formula>
    </cfRule>
  </conditionalFormatting>
  <conditionalFormatting sqref="FY2:FY5 GE2:GE5 GH2:GH5 GJ2:GJ5 GB2:GB5">
    <cfRule type="containsText" dxfId="14778" priority="27097" operator="containsText" text="P.R REACTIVA">
      <formula>NOT(ISERROR(SEARCH("P.R REACTIVA",FY2)))</formula>
    </cfRule>
    <cfRule type="containsText" dxfId="14777" priority="27098" operator="containsText" text="NO REACTIVA">
      <formula>NOT(ISERROR(SEARCH("NO REACTIVA",FY2)))</formula>
    </cfRule>
    <cfRule type="containsText" dxfId="14776" priority="27099" operator="containsText" text="ELISA REACTIVA">
      <formula>NOT(ISERROR(SEARCH("ELISA REACTIVA",FY2)))</formula>
    </cfRule>
  </conditionalFormatting>
  <conditionalFormatting sqref="GA2:GA5">
    <cfRule type="containsText" dxfId="14775" priority="26613" operator="containsText" text="NO APLICA">
      <formula>NOT(ISERROR(SEARCH("NO APLICA",GA2)))</formula>
    </cfRule>
    <cfRule type="containsText" dxfId="14774" priority="26614" operator="containsText" text="PIERDE">
      <formula>NOT(ISERROR(SEARCH("PIERDE",GA2)))</formula>
    </cfRule>
    <cfRule type="containsText" dxfId="14773" priority="26615" operator="containsText" text="REGISTRAR">
      <formula>NOT(ISERROR(SEARCH("REGISTRAR",GA2)))</formula>
    </cfRule>
    <cfRule type="cellIs" dxfId="14772" priority="26616" operator="between">
      <formula>0</formula>
      <formula>13</formula>
    </cfRule>
    <cfRule type="containsText" dxfId="14771" priority="26617" operator="containsText" text="EN ESPERA">
      <formula>NOT(ISERROR(SEARCH("EN ESPERA",GA2)))</formula>
    </cfRule>
    <cfRule type="containsText" dxfId="14770" priority="26618" operator="containsText" text="RANGO">
      <formula>NOT(ISERROR(SEARCH("RANGO",GA2)))</formula>
    </cfRule>
    <cfRule type="containsText" dxfId="14769" priority="26619" operator="containsText" text="INMEDIATA">
      <formula>NOT(ISERROR(SEARCH("INMEDIATA",GA2)))</formula>
    </cfRule>
  </conditionalFormatting>
  <conditionalFormatting sqref="GD2:GD5">
    <cfRule type="containsText" dxfId="14768" priority="26606" operator="containsText" text="NO APLICA">
      <formula>NOT(ISERROR(SEARCH("NO APLICA",GD2)))</formula>
    </cfRule>
    <cfRule type="containsText" dxfId="14767" priority="26607" operator="containsText" text="PIERDE">
      <formula>NOT(ISERROR(SEARCH("PIERDE",GD2)))</formula>
    </cfRule>
    <cfRule type="containsText" dxfId="14766" priority="26608" operator="containsText" text="REGISTRAR">
      <formula>NOT(ISERROR(SEARCH("REGISTRAR",GD2)))</formula>
    </cfRule>
    <cfRule type="cellIs" dxfId="14765" priority="26609" operator="between">
      <formula>12</formula>
      <formula>28</formula>
    </cfRule>
    <cfRule type="containsText" dxfId="14764" priority="26610" operator="containsText" text="EN ESPERA">
      <formula>NOT(ISERROR(SEARCH("EN ESPERA",GD2)))</formula>
    </cfRule>
    <cfRule type="containsText" dxfId="14763" priority="26611" operator="containsText" text="RANGO">
      <formula>NOT(ISERROR(SEARCH("RANGO",GD2)))</formula>
    </cfRule>
    <cfRule type="containsText" dxfId="14762" priority="26612" operator="containsText" text="INMEDIATA">
      <formula>NOT(ISERROR(SEARCH("INMEDIATA",GD2)))</formula>
    </cfRule>
  </conditionalFormatting>
  <conditionalFormatting sqref="GG2:GG5">
    <cfRule type="containsText" dxfId="14761" priority="26599" operator="containsText" text="NO APLICA">
      <formula>NOT(ISERROR(SEARCH("NO APLICA",GG2)))</formula>
    </cfRule>
    <cfRule type="containsText" dxfId="14760" priority="26600" operator="containsText" text="PIERDE">
      <formula>NOT(ISERROR(SEARCH("PIERDE",GG2)))</formula>
    </cfRule>
    <cfRule type="containsText" dxfId="14759" priority="26601" operator="containsText" text="REGISTRAR">
      <formula>NOT(ISERROR(SEARCH("REGISTRAR",GG2)))</formula>
    </cfRule>
    <cfRule type="cellIs" dxfId="14758" priority="26602" operator="between">
      <formula>28</formula>
      <formula>44</formula>
    </cfRule>
    <cfRule type="containsText" dxfId="14757" priority="26603" operator="containsText" text="EN ESPERA">
      <formula>NOT(ISERROR(SEARCH("EN ESPERA",GG2)))</formula>
    </cfRule>
    <cfRule type="containsText" dxfId="14756" priority="26604" operator="containsText" text="RANGO">
      <formula>NOT(ISERROR(SEARCH("RANGO",GG2)))</formula>
    </cfRule>
    <cfRule type="containsText" dxfId="14755" priority="26605" operator="containsText" text="INMEDIATA">
      <formula>NOT(ISERROR(SEARCH("INMEDIATA",GG2)))</formula>
    </cfRule>
  </conditionalFormatting>
  <conditionalFormatting sqref="GL2:GL5">
    <cfRule type="containsText" dxfId="14754" priority="27081" operator="containsText" text="NO APLICA">
      <formula>NOT(ISERROR(SEARCH("NO APLICA",GL2)))</formula>
    </cfRule>
    <cfRule type="containsText" dxfId="14753" priority="27082" operator="containsText" text="NO CONLUYENTE">
      <formula>NOT(ISERROR(SEARCH("NO CONLUYENTE",GL2)))</formula>
    </cfRule>
    <cfRule type="containsText" dxfId="14752" priority="27083" operator="containsText" text="NEGATIVA">
      <formula>NOT(ISERROR(SEARCH("NEGATIVA",GL2)))</formula>
    </cfRule>
    <cfRule type="containsText" dxfId="14751" priority="27084" operator="containsText" text="POSITIVA">
      <formula>NOT(ISERROR(SEARCH("POSITIVA",GL2)))</formula>
    </cfRule>
  </conditionalFormatting>
  <conditionalFormatting sqref="GS2:GS5">
    <cfRule type="containsText" dxfId="14750" priority="27072" operator="containsText" text="Igm">
      <formula>NOT(ISERROR(SEARCH("Igm",GS2)))</formula>
    </cfRule>
    <cfRule type="containsText" dxfId="14749" priority="27073" operator="containsText" text="REMITIR">
      <formula>NOT(ISERROR(SEARCH("REMITIR",GS2)))</formula>
    </cfRule>
    <cfRule type="containsText" dxfId="14748" priority="27074" operator="containsText" text="EXCLUYE">
      <formula>NOT(ISERROR(SEARCH("EXCLUYE",GS2)))</formula>
    </cfRule>
  </conditionalFormatting>
  <conditionalFormatting sqref="GY2:GY5">
    <cfRule type="containsText" dxfId="14747" priority="27066" operator="containsText" text="CARCINOMA">
      <formula>NOT(ISERROR(SEARCH("CARCINOMA",GY2)))</formula>
    </cfRule>
    <cfRule type="containsText" dxfId="14746" priority="27067" operator="containsText" text="VPH">
      <formula>NOT(ISERROR(SEARCH("VPH",GY2)))</formula>
    </cfRule>
    <cfRule type="containsText" dxfId="14745" priority="27068" operator="containsText" text="NIC">
      <formula>NOT(ISERROR(SEARCH("NIC",GY2)))</formula>
    </cfRule>
    <cfRule type="containsText" dxfId="14744" priority="27069" operator="containsText" text="NEGATIVA">
      <formula>NOT(ISERROR(SEARCH("NEGATIVA",GY2)))</formula>
    </cfRule>
  </conditionalFormatting>
  <conditionalFormatting sqref="HC2:HC5">
    <cfRule type="containsText" dxfId="14743" priority="27064" operator="containsText" text="COLPOSCOPIA">
      <formula>NOT(ISERROR(SEARCH("COLPOSCOPIA",HC2)))</formula>
    </cfRule>
    <cfRule type="containsText" dxfId="14742" priority="27065" operator="containsText" text="ESQUEMA">
      <formula>NOT(ISERROR(SEARCH("ESQUEMA",HC2)))</formula>
    </cfRule>
  </conditionalFormatting>
  <conditionalFormatting sqref="HD2:HD5">
    <cfRule type="containsText" dxfId="14741" priority="26594" operator="containsText" text="INDETERMINADO">
      <formula>NOT(ISERROR(SEARCH("INDETERMINADO",HD2)))</formula>
    </cfRule>
    <cfRule type="containsText" dxfId="14740" priority="26595" operator="containsText" text="NO TOMADO">
      <formula>NOT(ISERROR(SEARCH("NO TOMADO",HD2)))</formula>
    </cfRule>
    <cfRule type="cellIs" dxfId="14739" priority="26597" operator="equal">
      <formula>"NEGATIVO"</formula>
    </cfRule>
    <cfRule type="cellIs" dxfId="14738" priority="26598" operator="equal">
      <formula>"POSITIVO"</formula>
    </cfRule>
  </conditionalFormatting>
  <conditionalFormatting sqref="HF2:HF5">
    <cfRule type="containsText" dxfId="14737" priority="26574" operator="containsText" text="INDETERMINADO">
      <formula>NOT(ISERROR(SEARCH("INDETERMINADO",HF2)))</formula>
    </cfRule>
    <cfRule type="containsText" dxfId="14736" priority="26575" operator="containsText" text="NO TOMADO">
      <formula>NOT(ISERROR(SEARCH("NO TOMADO",HF2)))</formula>
    </cfRule>
    <cfRule type="cellIs" dxfId="14735" priority="26577" operator="equal">
      <formula>"NEGATIVO"</formula>
    </cfRule>
    <cfRule type="cellIs" dxfId="14734" priority="26578" operator="equal">
      <formula>"POSITIVO"</formula>
    </cfRule>
  </conditionalFormatting>
  <conditionalFormatting sqref="HH2:HH5">
    <cfRule type="containsText" dxfId="14733" priority="26569" operator="containsText" text="INDETERMINADO">
      <formula>NOT(ISERROR(SEARCH("INDETERMINADO",HH2)))</formula>
    </cfRule>
    <cfRule type="containsText" dxfId="14732" priority="26570" operator="containsText" text="NO TOMADO">
      <formula>NOT(ISERROR(SEARCH("NO TOMADO",HH2)))</formula>
    </cfRule>
    <cfRule type="cellIs" dxfId="14731" priority="26572" operator="equal">
      <formula>"NEGATIVO"</formula>
    </cfRule>
    <cfRule type="cellIs" dxfId="14730" priority="26573" operator="equal">
      <formula>"POSITIVO"</formula>
    </cfRule>
  </conditionalFormatting>
  <conditionalFormatting sqref="HJ2:HJ5">
    <cfRule type="containsText" dxfId="14729" priority="26731" operator="containsText" text="COVID19 PUERPERIO">
      <formula>NOT(ISERROR(SEARCH("COVID19 PUERPERIO",HJ2)))</formula>
    </cfRule>
    <cfRule type="containsText" dxfId="14728" priority="26732" operator="containsText" text="COVID19 TERCER TRIMESTRE">
      <formula>NOT(ISERROR(SEARCH("COVID19 TERCER TRIMESTRE",HJ2)))</formula>
    </cfRule>
    <cfRule type="containsText" dxfId="14727" priority="26733" operator="containsText" text="COVID19 SEGUNDO TRIMESTRE">
      <formula>NOT(ISERROR(SEARCH("COVID19 SEGUNDO TRIMESTRE",HJ2)))</formula>
    </cfRule>
    <cfRule type="containsText" dxfId="14726" priority="26734" operator="containsText" text="COVID19 PRIMER TRIMESTRE">
      <formula>NOT(ISERROR(SEARCH("COVID19 PRIMER TRIMESTRE",HJ2)))</formula>
    </cfRule>
    <cfRule type="containsText" dxfId="14725" priority="26735" operator="containsText" text="FACTOR DE RIESGO">
      <formula>NOT(ISERROR(SEARCH("FACTOR DE RIESGO",HJ2)))</formula>
    </cfRule>
    <cfRule type="containsText" dxfId="14724" priority="26736" operator="containsText" text="SIN INFECCIÓN">
      <formula>NOT(ISERROR(SEARCH("SIN INFECCIÓN",HJ2)))</formula>
    </cfRule>
    <cfRule type="containsText" dxfId="14723" priority="26737" operator="containsText" text="NO SE EVALUA RIESGO INFECCIÓN COVID19">
      <formula>NOT(ISERROR(SEARCH("NO SE EVALUA RIESGO INFECCIÓN COVID19",HJ2)))</formula>
    </cfRule>
  </conditionalFormatting>
  <conditionalFormatting sqref="HK2:HK5">
    <cfRule type="cellIs" dxfId="14722" priority="26925" operator="equal">
      <formula>"******"</formula>
    </cfRule>
  </conditionalFormatting>
  <conditionalFormatting sqref="HK2:HL5">
    <cfRule type="notContainsBlanks" dxfId="14721" priority="26931">
      <formula>LEN(TRIM(HK2))&gt;0</formula>
    </cfRule>
  </conditionalFormatting>
  <conditionalFormatting sqref="HL2:HL5">
    <cfRule type="cellIs" dxfId="14720" priority="26924" operator="equal">
      <formula>"************"</formula>
    </cfRule>
  </conditionalFormatting>
  <conditionalFormatting sqref="HM2:HM5">
    <cfRule type="cellIs" dxfId="14719" priority="26926" operator="equal">
      <formula>"CON RIESGO"</formula>
    </cfRule>
    <cfRule type="containsText" dxfId="14718" priority="26928" operator="containsText" text="BAJO">
      <formula>NOT(ISERROR(SEARCH("BAJO",HM2)))</formula>
    </cfRule>
    <cfRule type="containsText" dxfId="14717" priority="26929" operator="containsText" text="ALTO">
      <formula>NOT(ISERROR(SEARCH("ALTO",HM2)))</formula>
    </cfRule>
  </conditionalFormatting>
  <conditionalFormatting sqref="HN2:HN5">
    <cfRule type="cellIs" dxfId="14716" priority="26671" operator="equal">
      <formula>"********************************"</formula>
    </cfRule>
    <cfRule type="notContainsBlanks" dxfId="14715" priority="26672">
      <formula>LEN(TRIM(HN2))&gt;0</formula>
    </cfRule>
  </conditionalFormatting>
  <conditionalFormatting sqref="HO2:HO5">
    <cfRule type="cellIs" dxfId="14714" priority="26922" operator="equal">
      <formula>"SIN ANTECEDENTES DE RIESGO"</formula>
    </cfRule>
    <cfRule type="containsText" dxfId="14713" priority="26930" operator="containsText" text="ASA">
      <formula>NOT(ISERROR(SEARCH("ASA",HO2)))</formula>
    </cfRule>
  </conditionalFormatting>
  <conditionalFormatting sqref="HQ2:HQ5">
    <cfRule type="containsText" dxfId="14712" priority="26555" operator="containsText" text="DILIGENCIAR">
      <formula>NOT(ISERROR(SEARCH("DILIGENCIAR",HQ2)))</formula>
    </cfRule>
  </conditionalFormatting>
  <conditionalFormatting sqref="HS2:HT5">
    <cfRule type="cellIs" dxfId="14711" priority="27211" operator="equal">
      <formula>"SD"</formula>
    </cfRule>
    <cfRule type="cellIs" dxfId="14710" priority="27213" operator="equal">
      <formula>"NO"</formula>
    </cfRule>
    <cfRule type="cellIs" dxfId="14709" priority="27214" operator="equal">
      <formula>"SI"</formula>
    </cfRule>
  </conditionalFormatting>
  <conditionalFormatting sqref="HV2:HV5 HX2:HX5 HZ2:HZ5">
    <cfRule type="containsText" dxfId="14708" priority="26935" operator="containsText" text="NO SE FORMULA">
      <formula>NOT(ISERROR(SEARCH("NO SE FORMULA",HV2)))</formula>
    </cfRule>
    <cfRule type="containsText" dxfId="14707" priority="27042" operator="containsText" text="OTRO">
      <formula>NOT(ISERROR(SEARCH("OTRO",HV2)))</formula>
    </cfRule>
    <cfRule type="containsText" dxfId="14706" priority="27043" operator="containsText" text="IRREGULAR">
      <formula>NOT(ISERROR(SEARCH("IRREGULAR",HV2)))</formula>
    </cfRule>
    <cfRule type="containsText" dxfId="14705" priority="27044" operator="containsText" text="ADECUADO">
      <formula>NOT(ISERROR(SEARCH("ADECUADO",HV2)))</formula>
    </cfRule>
  </conditionalFormatting>
  <conditionalFormatting sqref="AE2:AF5 IA2:IA5 ID2:IE5 IK2:IK5">
    <cfRule type="cellIs" dxfId="14704" priority="27239" operator="equal">
      <formula>"SD"</formula>
    </cfRule>
  </conditionalFormatting>
  <conditionalFormatting sqref="IA2:IA5 ID2:IE5 IK2:IK5">
    <cfRule type="cellIs" dxfId="14703" priority="27240" operator="equal">
      <formula>"SI"</formula>
    </cfRule>
    <cfRule type="cellIs" dxfId="14702" priority="27241" operator="equal">
      <formula>"NO"</formula>
    </cfRule>
  </conditionalFormatting>
  <conditionalFormatting sqref="IK2:IK5">
    <cfRule type="containsText" dxfId="14701" priority="26552" operator="containsText" text="PENDIENTE">
      <formula>NOT(ISERROR(SEARCH("PENDIENTE",IK2)))</formula>
    </cfRule>
    <cfRule type="containsText" dxfId="14700" priority="26553" operator="containsText" text="PROGRAMAR">
      <formula>NOT(ISERROR(SEARCH("PROGRAMAR",IK2)))</formula>
    </cfRule>
    <cfRule type="cellIs" dxfId="14699" priority="26726" operator="equal">
      <formula>"Error en Fecha x No Acepta no Firma"</formula>
    </cfRule>
    <cfRule type="cellIs" dxfId="14698" priority="26727" operator="equal">
      <formula>"NO ACEPTA VACUNA Y NO FIRMA DISCENTIMIENTO"</formula>
    </cfRule>
    <cfRule type="cellIs" dxfId="14697" priority="26728" operator="equal">
      <formula>"CON REFUERZO"</formula>
    </cfRule>
    <cfRule type="cellIs" dxfId="14696" priority="26729" operator="equal">
      <formula>"FIRMA DISENTIMIENTO"</formula>
    </cfRule>
  </conditionalFormatting>
  <conditionalFormatting sqref="IN2:IN5">
    <cfRule type="containsText" dxfId="14695" priority="26854" operator="containsText" text="APLICADA ANTES">
      <formula>NOT(ISERROR(SEARCH("APLICADA ANTES",IN2)))</formula>
    </cfRule>
    <cfRule type="containsText" dxfId="14694" priority="26855" operator="containsText" text="EDAD">
      <formula>NOT(ISERROR(SEARCH("EDAD",IN2)))</formula>
    </cfRule>
    <cfRule type="containsText" dxfId="14693" priority="26856" operator="containsText" text="SALE">
      <formula>NOT(ISERROR(SEARCH("SALE",IN2)))</formula>
    </cfRule>
    <cfRule type="containsText" dxfId="14692" priority="26857" operator="containsText" text="SEMANA 26">
      <formula>NOT(ISERROR(SEARCH("SEMANA 26",IN2)))</formula>
    </cfRule>
    <cfRule type="containsText" dxfId="14691" priority="26858" operator="containsText" text="SEMANA 27">
      <formula>NOT(ISERROR(SEARCH("SEMANA 27",IN2)))</formula>
    </cfRule>
    <cfRule type="containsText" dxfId="14690" priority="26859" operator="containsText" text="INASISTENTE">
      <formula>NOT(ISERROR(SEARCH("INASISTENTE",IN2)))</formula>
    </cfRule>
    <cfRule type="containsText" dxfId="14689" priority="26860" operator="containsText" text="COLOCACIÓN">
      <formula>NOT(ISERROR(SEARCH("COLOCACIÓN",IN2)))</formula>
    </cfRule>
    <cfRule type="containsText" dxfId="14688" priority="26861" operator="containsText" text="ESPERA">
      <formula>NOT(ISERROR(SEARCH("ESPERA",IN2)))</formula>
    </cfRule>
  </conditionalFormatting>
  <conditionalFormatting sqref="IR2:IR5">
    <cfRule type="containsText" dxfId="14687" priority="27034" operator="containsText" text="PENDIENTE">
      <formula>NOT(ISERROR(SEARCH("PENDIENTE",IR2)))</formula>
    </cfRule>
    <cfRule type="containsText" dxfId="14686" priority="27035" operator="containsText" text="SEMANA">
      <formula>NOT(ISERROR(SEARCH("SEMANA",IR2)))</formula>
    </cfRule>
    <cfRule type="containsText" dxfId="14685" priority="27036" operator="containsText" text="MENOS">
      <formula>NOT(ISERROR(SEARCH("MENOS",IR2)))</formula>
    </cfRule>
    <cfRule type="containsText" dxfId="14684" priority="27037" operator="containsText" text="POSIBLEMENTE">
      <formula>NOT(ISERROR(SEARCH("POSIBLEMENTE",IR2)))</formula>
    </cfRule>
  </conditionalFormatting>
  <conditionalFormatting sqref="IT2:IT5">
    <cfRule type="containsText" dxfId="14683" priority="27028" operator="containsText" text="CAMBIO">
      <formula>NOT(ISERROR(SEARCH("CAMBIO",IT2)))</formula>
    </cfRule>
    <cfRule type="containsText" dxfId="14682" priority="27029" operator="containsText" text="NEGACION">
      <formula>NOT(ISERROR(SEARCH("NEGACION",IT2)))</formula>
    </cfRule>
    <cfRule type="containsText" dxfId="14681" priority="27030" operator="containsText" text="IVE">
      <formula>NOT(ISERROR(SEARCH("IVE",IT2)))</formula>
    </cfRule>
    <cfRule type="containsText" dxfId="14680" priority="27031" operator="containsText" text="ABORTO">
      <formula>NOT(ISERROR(SEARCH("ABORTO",IT2)))</formula>
    </cfRule>
    <cfRule type="containsText" dxfId="14679" priority="27032" operator="containsText" text="CESAREA">
      <formula>NOT(ISERROR(SEARCH("CESAREA",IT2)))</formula>
    </cfRule>
    <cfRule type="containsText" dxfId="14678" priority="27033" operator="containsText" text="PARTO">
      <formula>NOT(ISERROR(SEARCH("PARTO",IT2)))</formula>
    </cfRule>
  </conditionalFormatting>
  <conditionalFormatting sqref="IU2:IU5">
    <cfRule type="cellIs" dxfId="14677" priority="26541" operator="equal">
      <formula>"MORBILIDAD MATERNA EXTREMA"</formula>
    </cfRule>
    <cfRule type="containsText" dxfId="14676" priority="27024" operator="containsText" text="MME">
      <formula>NOT(ISERROR(SEARCH("MME",IU2)))</formula>
    </cfRule>
    <cfRule type="cellIs" dxfId="14675" priority="27025" operator="equal">
      <formula>"MUERTE Y MORBILIDAD MATERNA EXTREMA"</formula>
    </cfRule>
    <cfRule type="containsText" dxfId="14674" priority="27026" operator="containsText" text="MUERTE">
      <formula>NOT(ISERROR(SEARCH("MUERTE",IU2)))</formula>
    </cfRule>
    <cfRule type="containsText" dxfId="14673" priority="27027" operator="containsText" text="SANA">
      <formula>NOT(ISERROR(SEARCH("SANA",IU2)))</formula>
    </cfRule>
  </conditionalFormatting>
  <conditionalFormatting sqref="IV2:IV5">
    <cfRule type="cellIs" dxfId="14672" priority="26540" operator="equal">
      <formula>"MUERTE PERINATAL Y MALFORMACIÓN CONGÉNITA"</formula>
    </cfRule>
    <cfRule type="containsText" dxfId="14671" priority="27018" operator="containsText" text="SIFILIS">
      <formula>NOT(ISERROR(SEARCH("SIFILIS",IV2)))</formula>
    </cfRule>
    <cfRule type="containsText" dxfId="14670" priority="27019" operator="containsText" text="MALFORMACIÓN">
      <formula>NOT(ISERROR(SEARCH("MALFORMACIÓN",IV2)))</formula>
    </cfRule>
    <cfRule type="containsText" dxfId="14669" priority="27020" operator="containsText" text="MUERTE">
      <formula>NOT(ISERROR(SEARCH("MUERTE",IV2)))</formula>
    </cfRule>
    <cfRule type="containsText" dxfId="14668" priority="27021" operator="containsText" text="UCI">
      <formula>NOT(ISERROR(SEARCH("UCI",IV2)))</formula>
    </cfRule>
    <cfRule type="containsText" dxfId="14667" priority="27022" operator="containsText" text="HOSPITALIZACION">
      <formula>NOT(ISERROR(SEARCH("HOSPITALIZACION",IV2)))</formula>
    </cfRule>
    <cfRule type="containsText" dxfId="14666" priority="27023" operator="containsText" text="SANO">
      <formula>NOT(ISERROR(SEARCH("SANO",IV2)))</formula>
    </cfRule>
  </conditionalFormatting>
  <conditionalFormatting sqref="IX2:IX5">
    <cfRule type="containsText" dxfId="14665" priority="27014" operator="containsText" text="NO APLICA">
      <formula>NOT(ISERROR(SEARCH("NO APLICA",IX2)))</formula>
    </cfRule>
    <cfRule type="containsText" dxfId="14664" priority="27015" operator="containsText" text="OTRO">
      <formula>NOT(ISERROR(SEARCH("OTRO",IX2)))</formula>
    </cfRule>
    <cfRule type="containsText" dxfId="14663" priority="27016" operator="containsText" text="DOMICILIO">
      <formula>NOT(ISERROR(SEARCH("DOMICILIO",IX2)))</formula>
    </cfRule>
    <cfRule type="containsText" dxfId="14662" priority="27017" operator="containsText" text="INSTITUCIONAL">
      <formula>NOT(ISERROR(SEARCH("INSTITUCIONAL",IX2)))</formula>
    </cfRule>
  </conditionalFormatting>
  <conditionalFormatting sqref="IY2:IY5">
    <cfRule type="containsBlanks" priority="26539" stopIfTrue="1">
      <formula>LEN(TRIM(IY2))=0</formula>
    </cfRule>
    <cfRule type="cellIs" dxfId="14661" priority="26546" operator="greaterThanOrEqual">
      <formula>43</formula>
    </cfRule>
    <cfRule type="cellIs" dxfId="14660" priority="26547" operator="between">
      <formula>37</formula>
      <formula>40.5</formula>
    </cfRule>
    <cfRule type="cellIs" dxfId="14659" priority="26548" operator="between">
      <formula>"&gt;40,5"</formula>
      <formula>42</formula>
    </cfRule>
    <cfRule type="cellIs" dxfId="14658" priority="26549" operator="between">
      <formula>33</formula>
      <formula>"&lt;37"</formula>
    </cfRule>
    <cfRule type="cellIs" dxfId="14657" priority="26550" operator="between">
      <formula>22</formula>
      <formula>"&lt;33"</formula>
    </cfRule>
    <cfRule type="cellIs" dxfId="14656" priority="26551" operator="between">
      <formula>1</formula>
      <formula>21</formula>
    </cfRule>
  </conditionalFormatting>
  <conditionalFormatting sqref="JA2:JA5">
    <cfRule type="containsText" dxfId="14655" priority="27010" operator="containsText" text="NO APLICA">
      <formula>NOT(ISERROR(SEARCH("NO APLICA",JA2)))</formula>
    </cfRule>
    <cfRule type="containsText" dxfId="14654" priority="27011" operator="containsText" text="ALTA">
      <formula>NOT(ISERROR(SEARCH("ALTA",JA2)))</formula>
    </cfRule>
    <cfRule type="containsText" dxfId="14653" priority="27012" operator="containsText" text="MEDIANA">
      <formula>NOT(ISERROR(SEARCH("MEDIANA",JA2)))</formula>
    </cfRule>
    <cfRule type="containsText" dxfId="14652" priority="27013" operator="containsText" text="BAJA">
      <formula>NOT(ISERROR(SEARCH("BAJA",JA2)))</formula>
    </cfRule>
  </conditionalFormatting>
  <conditionalFormatting sqref="JB3:JC5 JB2">
    <cfRule type="containsText" dxfId="14651" priority="27003" operator="containsText" text="NO APLICA">
      <formula>NOT(ISERROR(SEARCH("NO APLICA",JB2)))</formula>
    </cfRule>
    <cfRule type="containsText" dxfId="14650" priority="27004" operator="containsText" text="SIN">
      <formula>NOT(ISERROR(SEARCH("SIN",JB2)))</formula>
    </cfRule>
    <cfRule type="containsText" dxfId="14649" priority="27005" operator="containsText" text="EQUIPO">
      <formula>NOT(ISERROR(SEARCH("EQUIPO",JB2)))</formula>
    </cfRule>
    <cfRule type="containsText" dxfId="14648" priority="27006" operator="containsText" text="MEDICO TRADICIONAL">
      <formula>NOT(ISERROR(SEARCH("MEDICO TRADICIONAL",JB2)))</formula>
    </cfRule>
    <cfRule type="containsText" dxfId="14647" priority="27007" operator="containsText" text="PARTERA">
      <formula>NOT(ISERROR(SEARCH("PARTERA",JB2)))</formula>
    </cfRule>
    <cfRule type="containsText" dxfId="14646" priority="27008" operator="containsText" text="TÉCNICO">
      <formula>NOT(ISERROR(SEARCH("TÉCNICO",JB2)))</formula>
    </cfRule>
    <cfRule type="containsText" dxfId="14645" priority="27009" operator="containsText" text="PROFESIONAL">
      <formula>NOT(ISERROR(SEARCH("PROFESIONAL",JB2)))</formula>
    </cfRule>
  </conditionalFormatting>
  <conditionalFormatting sqref="JC2">
    <cfRule type="containsText" dxfId="14644" priority="26542" operator="containsText" text="SIN DATO">
      <formula>NOT(ISERROR(SEARCH("SIN DATO",JC2)))</formula>
    </cfRule>
  </conditionalFormatting>
  <conditionalFormatting sqref="JC2:JC5">
    <cfRule type="containsText" dxfId="14643" priority="26543" operator="containsText" text="LE HACEN CESÁREA SIN INICIO TRABAJO DE PARTO">
      <formula>NOT(ISERROR(SEARCH("LE HACEN CESÁREA SIN INICIO TRABAJO DE PARTO",JC2)))</formula>
    </cfRule>
    <cfRule type="containsText" dxfId="14642" priority="26544" operator="containsText" text="LE HACEN INDUCCIÓN">
      <formula>NOT(ISERROR(SEARCH("LE HACEN INDUCCIÓN",JC2)))</formula>
    </cfRule>
    <cfRule type="containsText" dxfId="14641" priority="26545" operator="containsText" text="ESPONTÁNEO">
      <formula>NOT(ISERROR(SEARCH("ESPONTÁNEO",JC2)))</formula>
    </cfRule>
  </conditionalFormatting>
  <conditionalFormatting sqref="JD2:JI5 KJ2:KL5">
    <cfRule type="cellIs" dxfId="14640" priority="27229" operator="equal">
      <formula>"SD"</formula>
    </cfRule>
    <cfRule type="cellIs" dxfId="14639" priority="27230" operator="equal">
      <formula>"NO APLICA"</formula>
    </cfRule>
    <cfRule type="cellIs" dxfId="14638" priority="27231" operator="equal">
      <formula>"NO"</formula>
    </cfRule>
    <cfRule type="cellIs" dxfId="14637" priority="27232" operator="equal">
      <formula>"SI"</formula>
    </cfRule>
  </conditionalFormatting>
  <conditionalFormatting sqref="JJ2:JJ5">
    <cfRule type="containsText" dxfId="14636" priority="27000" operator="containsText" text="SIN DATO">
      <formula>NOT(ISERROR(SEARCH("SIN DATO",JJ2)))</formula>
    </cfRule>
    <cfRule type="containsText" dxfId="14635" priority="27001" operator="containsText" text="SIN COMPLICACION">
      <formula>NOT(ISERROR(SEARCH("SIN COMPLICACION",JJ2)))</formula>
    </cfRule>
    <cfRule type="notContainsBlanks" dxfId="14634" priority="27277">
      <formula>LEN(TRIM(JJ2))&gt;0</formula>
    </cfRule>
  </conditionalFormatting>
  <conditionalFormatting sqref="JN2:JN5 JX2:JX5">
    <cfRule type="containsText" dxfId="14633" priority="26996" operator="containsText" text="PREMATURO">
      <formula>NOT(ISERROR(SEARCH("PREMATURO",JN2)))</formula>
    </cfRule>
    <cfRule type="containsText" dxfId="14632" priority="26997" operator="containsText" text="GRANDE">
      <formula>NOT(ISERROR(SEARCH("GRANDE",JN2)))</formula>
    </cfRule>
    <cfRule type="containsText" dxfId="14631" priority="26998" operator="containsText" text="ADECUADO">
      <formula>NOT(ISERROR(SEARCH("ADECUADO",JN2)))</formula>
    </cfRule>
    <cfRule type="containsText" dxfId="14630" priority="26999" operator="containsText" text="BAJO">
      <formula>NOT(ISERROR(SEARCH("BAJO",JN2)))</formula>
    </cfRule>
  </conditionalFormatting>
  <conditionalFormatting sqref="JP2:JP5 JZ2:JZ5">
    <cfRule type="containsText" dxfId="14629" priority="26989" operator="containsText" text="SIN DATO">
      <formula>NOT(ISERROR(SEARCH("SIN DATO",JP2)))</formula>
    </cfRule>
    <cfRule type="containsText" dxfId="14628" priority="26990" operator="containsText" text="ANORMAL">
      <formula>NOT(ISERROR(SEARCH("ANORMAL",JP2)))</formula>
    </cfRule>
    <cfRule type="containsText" dxfId="14627" priority="26991" operator="containsText" text="NORMAL">
      <formula>NOT(ISERROR(SEARCH("NORMAL",JP2)))</formula>
    </cfRule>
  </conditionalFormatting>
  <conditionalFormatting sqref="JR2:JR5 KB2:KB5">
    <cfRule type="containsText" dxfId="14626" priority="26985" operator="containsText" text="NO APLICA">
      <formula>NOT(ISERROR(SEARCH("NO APLICA",JR2)))</formula>
    </cfRule>
    <cfRule type="containsText" dxfId="14625" priority="26986" operator="containsText" text="SIN DATO">
      <formula>NOT(ISERROR(SEARCH("SIN DATO",JR2)))</formula>
    </cfRule>
    <cfRule type="containsText" dxfId="14624" priority="26987" operator="containsText" text="NO">
      <formula>NOT(ISERROR(SEARCH("NO",JR2)))</formula>
    </cfRule>
    <cfRule type="containsText" dxfId="14623" priority="26988" operator="containsText" text="SI">
      <formula>NOT(ISERROR(SEARCH("SI",JR2)))</formula>
    </cfRule>
  </conditionalFormatting>
  <conditionalFormatting sqref="KG2:KG5 KI2:KI5">
    <cfRule type="containsText" dxfId="14622" priority="26905" operator="containsText" text="INASISTENTE">
      <formula>NOT(ISERROR(SEARCH("INASISTENTE",KG2)))</formula>
    </cfRule>
  </conditionalFormatting>
  <conditionalFormatting sqref="KG2:KG5">
    <cfRule type="containsText" dxfId="14621" priority="26529" operator="containsText" text="INCONSISTENCIA">
      <formula>NOT(ISERROR(SEARCH("INCONSISTENCIA",KG2)))</formula>
    </cfRule>
  </conditionalFormatting>
  <conditionalFormatting sqref="KI2:KI5">
    <cfRule type="containsText" dxfId="14620" priority="26528"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5 DA2:DB5 GM2:GM5 GK2:GK5" xr:uid="{00000000-0002-0000-0200-000000000000}">
      <formula1>43191</formula1>
    </dataValidation>
    <dataValidation type="list" showInputMessage="1" showErrorMessage="1" sqref="HT2:HT5" xr:uid="{00000000-0002-0000-0200-000004000000}">
      <formula1>"SI, SUMINISTRO IRREGULAR,NO,SD,NO APLICA"</formula1>
    </dataValidation>
    <dataValidation type="list" allowBlank="1" showInputMessage="1" showErrorMessage="1" sqref="JR2:JR5 KB2:KB5" xr:uid="{00000000-0002-0000-0200-000005000000}">
      <formula1>"SI,NO,SIN DATO,NO APLICA"</formula1>
    </dataValidation>
    <dataValidation type="list" allowBlank="1" showInputMessage="1" showErrorMessage="1" sqref="JS2:JS5 KC2:KC5" xr:uid="{00000000-0002-0000-0200-000006000000}">
      <formula1>"O+,O-,A+,A-,B+,B-,AB+,AB-,SIN DATO,NO APLICA"</formula1>
    </dataValidation>
    <dataValidation type="list" allowBlank="1" showInputMessage="1" showErrorMessage="1" sqref="D2:D5" xr:uid="{00000000-0002-0000-0200-000007000000}">
      <formula1>"PROCESO COMPLETO DE ATENCIÓN,PROCESO PARCIAL DE ATENCIÓN, SIN ATENCIÓN, SIN DATO"</formula1>
    </dataValidation>
    <dataValidation type="list" allowBlank="1" showInputMessage="1" showErrorMessage="1" sqref="HX3:HX5"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5" xr:uid="{00000000-0002-0000-0200-00000A000000}">
      <formula1>43101</formula1>
    </dataValidation>
    <dataValidation type="date" operator="greaterThan" allowBlank="1" showInputMessage="1" showErrorMessage="1" error="SOLO FECHA" sqref="GT2:GT5 GO2:GO5" xr:uid="{00000000-0002-0000-0200-00000B000000}">
      <formula1>43556</formula1>
    </dataValidation>
    <dataValidation type="list" allowBlank="1" showInputMessage="1" showErrorMessage="1" sqref="LP2:LP5 MN2:MN5 LL2:LL5 LH2:LH5 LX2:LX5 LT2:LT5 LD2:LD5" xr:uid="{00000000-0002-0000-0200-00000C000000}">
      <formula1>"MEDICO (A) TRADICIONAL,PARTERO (A),PULESEADOR (A),SOBANDERO (A),YERBATERO (A),OTRO "</formula1>
    </dataValidation>
    <dataValidation type="date" operator="greaterThan" allowBlank="1" showInputMessage="1" showErrorMessage="1" sqref="IL2:IM5" xr:uid="{00000000-0002-0000-0200-00000D000000}">
      <formula1>43556</formula1>
    </dataValidation>
    <dataValidation type="date" operator="greaterThan" allowBlank="1" showInputMessage="1" showErrorMessage="1" error="SOLO FECHA" sqref="IW2:IW5" xr:uid="{00000000-0002-0000-0200-00000E000000}">
      <formula1>43831</formula1>
    </dataValidation>
    <dataValidation type="date" operator="greaterThan" allowBlank="1" showInputMessage="1" showErrorMessage="1" error="SOLO FECHA" prompt="COLOCAR FECHA SEGUNDO CONTROL, NO REPETIR LA FECHA DE INGRESO" sqref="DC2:DC5" xr:uid="{00000000-0002-0000-0200-00000F000000}">
      <formula1>43191</formula1>
    </dataValidation>
    <dataValidation type="list" allowBlank="1" showInputMessage="1" showErrorMessage="1" sqref="JP2:JP5" xr:uid="{00000000-0002-0000-0200-000010000000}">
      <formula1>"NORMAL,ANORMAL,NO APLICA,SIN DATO"</formula1>
    </dataValidation>
    <dataValidation type="list" allowBlank="1" showInputMessage="1" showErrorMessage="1" sqref="AS2:AS5" xr:uid="{00000000-0002-0000-0200-000011000000}">
      <formula1>"0,1,2,3,4,5,6,7,8,9,10,11,12,13,14,15"</formula1>
    </dataValidation>
    <dataValidation type="list" allowBlank="1" showInputMessage="1" showErrorMessage="1" sqref="AR2:AR5" xr:uid="{00000000-0002-0000-0200-000012000000}">
      <formula1>"0,1,2,3,4,5,6,7,8,9,10,11,12,13,14,15,16"</formula1>
    </dataValidation>
    <dataValidation type="list" allowBlank="1" showInputMessage="1" showErrorMessage="1" sqref="AV2:AV5" xr:uid="{00000000-0002-0000-0200-000013000000}">
      <formula1>"0,1,2,3 o MAS"</formula1>
    </dataValidation>
    <dataValidation type="list" allowBlank="1" showInputMessage="1" showErrorMessage="1" sqref="AT2:AT5" xr:uid="{00000000-0002-0000-0200-000014000000}">
      <formula1>"0,1,2,3,4,5,6"</formula1>
    </dataValidation>
    <dataValidation type="list" allowBlank="1" showInputMessage="1" showErrorMessage="1" sqref="K2:K5" xr:uid="{00000000-0002-0000-0200-000015000000}">
      <formula1>"SOLTERA,UNION LIBRE, CASADA, VIUDA, SEPARADA, "</formula1>
    </dataValidation>
    <dataValidation type="list" allowBlank="1" showInputMessage="1" showErrorMessage="1" sqref="KS2:KS5 KV2:KV5" xr:uid="{00000000-0002-0000-0200-000016000000}">
      <formula1>"0,1,2,3,4,5,6,7,8,9,10,11,12,13,14,15,SD"</formula1>
    </dataValidation>
    <dataValidation type="list" allowBlank="1" showInputMessage="1" showErrorMessage="1" sqref="ER2:ER5" xr:uid="{00000000-0002-0000-0200-000017000000}">
      <formula1>"O+,O-,O--,A+,A-,A--,B+,B-,B--,AB+,AB-,AB--"</formula1>
    </dataValidation>
    <dataValidation type="list" allowBlank="1" showInputMessage="1" showErrorMessage="1" sqref="KJ2:KL5 JD2:JI5" xr:uid="{00000000-0002-0000-0200-000018000000}">
      <formula1>"SI, NO, NO APLICA, SD"</formula1>
    </dataValidation>
    <dataValidation type="list" allowBlank="1" showInputMessage="1" showErrorMessage="1" sqref="JK2:JK5" xr:uid="{00000000-0002-0000-0200-000019000000}">
      <formula1>"0,1,2,3,4,SIN DATO,NO APLICA"</formula1>
    </dataValidation>
    <dataValidation type="list" allowBlank="1" showInputMessage="1" showErrorMessage="1" sqref="AI2:AI5"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5 GX2:GX5" xr:uid="{00000000-0002-0000-0200-00001B000000}">
      <formula1>"0,1,2,3,4,5,6,7,8,9,NO APLICA"</formula1>
    </dataValidation>
    <dataValidation type="list" allowBlank="1" showInputMessage="1" showErrorMessage="1" sqref="BL2:BL5" xr:uid="{00000000-0002-0000-0200-00001C000000}">
      <formula1>"SI,NO,SD,CORREGIDA"</formula1>
    </dataValidation>
    <dataValidation type="list" allowBlank="1" showInputMessage="1" showErrorMessage="1" sqref="AW2:BI5 BV2:BW5 BY2:BY5 ID2:ID5 AE2:AH5 AJ2:AJ5 AL2:AQ5 AU2:AU5 IA2:IA5" xr:uid="{00000000-0002-0000-0200-00001D000000}">
      <formula1>"SI,NO,SD"</formula1>
    </dataValidation>
    <dataValidation type="list" allowBlank="1" showInputMessage="1" showErrorMessage="1" sqref="AD2:AD5" xr:uid="{00000000-0002-0000-0200-00001E000000}">
      <formula1>"SEMILLAS DE VIDA,CERO A SIEMPRE, RED UNIDOS,PROGRAMA ICBF, FAMILIAS ACCIÓN, OTRO, NINGUNO, SIN DATO"</formula1>
    </dataValidation>
    <dataValidation type="list" allowBlank="1" showInputMessage="1" showErrorMessage="1" sqref="I2:I5"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5" xr:uid="{00000000-0002-0000-0200-000020000000}">
      <formula1>"INSTITUCIONAL,DOMICILIO,OTRO,NO APLICA,SIN DATO"</formula1>
    </dataValidation>
    <dataValidation type="list" allowBlank="1" showInputMessage="1" showErrorMessage="1" sqref="EH2:EH5" xr:uid="{00000000-0002-0000-0200-000021000000}">
      <formula1>"0,1,2,3,4,5,6,7,8,9,SIN DATO"</formula1>
    </dataValidation>
    <dataValidation type="list" allowBlank="1" showInputMessage="1" showErrorMessage="1" sqref="AA2:AA5" xr:uid="{00000000-0002-0000-0200-000022000000}">
      <formula1>"INDIGENA,ROM-GITANO,RAIZAL,PALENQUERO,AFRODESCENDIENTE,MESTIZA,OTRO"</formula1>
    </dataValidation>
    <dataValidation type="list" allowBlank="1" showInputMessage="1" showErrorMessage="1" sqref="V2:V5" xr:uid="{00000000-0002-0000-0200-000023000000}">
      <formula1>"URBANO,RURAL,SIN DATO"</formula1>
    </dataValidation>
    <dataValidation type="list" allowBlank="1" showInputMessage="1" showErrorMessage="1" sqref="S2:S5" xr:uid="{00000000-0002-0000-0200-000024000000}">
      <formula1>"SUBSIDIADO,CONTRIBUTIVO,REGIMEN ESPECIAL,PARTICULAR,NO AFILIADO,SIN DATO"</formula1>
    </dataValidation>
    <dataValidation type="list" allowBlank="1" showInputMessage="1" showErrorMessage="1" sqref="AC2:AC5"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5 GQ2:GR5 GN2:GN5" xr:uid="{00000000-0002-0000-0200-000026000000}">
      <formula1>"NEGATIVO,POSITIVO,SIN DATO"</formula1>
    </dataValidation>
    <dataValidation type="list" allowBlank="1" showInputMessage="1" showErrorMessage="1" sqref="JV2:JV5 JL2:JL5" xr:uid="{00000000-0002-0000-0200-000027000000}">
      <formula1>"FEMENINO,MASCULINO,NO APLICA,SIN DATO"</formula1>
    </dataValidation>
    <dataValidation type="list" allowBlank="1" showInputMessage="1" showErrorMessage="1" sqref="JZ2:JZ5" xr:uid="{00000000-0002-0000-0200-000028000000}">
      <formula1>"NORMAL,ANORMAL,SIN DATO,NO APLICA"</formula1>
    </dataValidation>
    <dataValidation type="list" allowBlank="1" showInputMessage="1" showErrorMessage="1" sqref="AB2:AB5"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5"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5" xr:uid="{00000000-0002-0000-0200-00002B000000}">
      <formula1>1</formula1>
      <formula2>3</formula2>
    </dataValidation>
    <dataValidation type="list" allowBlank="1" showInputMessage="1" showErrorMessage="1" sqref="GH2:GH5 FY2:FY5 GJ2:GJ5 GE2:GE5 GB2:GB5" xr:uid="{00000000-0002-0000-0200-00002C000000}">
      <formula1>"P.R REACTIVA,P.R NO REACTIVA,ELISA REACTIVA,ELISA NO REACTIVA,SIN DATO,NO APLICA"</formula1>
    </dataValidation>
    <dataValidation type="list" allowBlank="1" showInputMessage="1" showErrorMessage="1" sqref="GL2:GL5" xr:uid="{00000000-0002-0000-0200-00002D000000}">
      <formula1>"POSITIVA,NEGATIVA,NO CONCLUYENTE, SIN DATO, NO APLICA"</formula1>
    </dataValidation>
    <dataValidation type="list" allowBlank="1" showInputMessage="1" showErrorMessage="1" sqref="HS2:HS5" xr:uid="{00000000-0002-0000-0200-00002E000000}">
      <formula1>"SI, NO,SD"</formula1>
    </dataValidation>
    <dataValidation type="list" allowBlank="1" showInputMessage="1" showErrorMessage="1" sqref="JA2:JA5" xr:uid="{00000000-0002-0000-0200-00002F000000}">
      <formula1>"BAJA,MEDIANA,ALTA,NO APLICA,SIN DATO"</formula1>
    </dataValidation>
    <dataValidation type="list" allowBlank="1" showInputMessage="1" showErrorMessage="1" sqref="JJ2:JJ5"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5"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5" xr:uid="{00000000-0002-0000-0200-000032000000}">
      <formula1>0.1</formula1>
      <formula2>42</formula2>
    </dataValidation>
    <dataValidation type="whole" allowBlank="1" showInputMessage="1" showErrorMessage="1" error="SOLO NÚMERO ENTERO" sqref="CP2:CQ5 CS2:CT5" xr:uid="{00000000-0002-0000-0200-000033000000}">
      <formula1>40</formula1>
      <formula2>200</formula2>
    </dataValidation>
    <dataValidation type="whole" allowBlank="1" showInputMessage="1" showErrorMessage="1" error="DIGITE NÚMERO ENTERO" sqref="CV2:CY5" xr:uid="{00000000-0002-0000-0200-000034000000}">
      <formula1>40</formula1>
      <formula2>250</formula2>
    </dataValidation>
    <dataValidation type="decimal" allowBlank="1" showInputMessage="1" showErrorMessage="1" error="SOLO NÚMERO" sqref="EI2:EI5" xr:uid="{00000000-0002-0000-0200-000035000000}">
      <formula1>1</formula1>
      <formula2>20</formula2>
    </dataValidation>
    <dataValidation type="list" allowBlank="1" showInputMessage="1" showErrorMessage="1" sqref="GW2:GW5" xr:uid="{00000000-0002-0000-0200-000036000000}">
      <formula1>"NEGATIVO,POSITIVO,NO APLICA,SIN DATO"</formula1>
    </dataValidation>
    <dataValidation type="date" operator="greaterThan" allowBlank="1" showInputMessage="1" showErrorMessage="1" error="SOLO FECHA VIGENTE UN AÑO" sqref="GZ2:GZ5" xr:uid="{00000000-0002-0000-0200-000037000000}">
      <formula1>42370</formula1>
    </dataValidation>
    <dataValidation type="list" allowBlank="1" showInputMessage="1" showErrorMessage="1" sqref="GY2:GY5"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5" xr:uid="{00000000-0002-0000-0200-000039000000}">
      <formula1>36526</formula1>
    </dataValidation>
    <dataValidation type="date" operator="greaterThan" allowBlank="1" showInputMessage="1" showErrorMessage="1" error="SOLO FECHA" sqref="IS2:IS5" xr:uid="{00000000-0002-0000-0200-00003A000000}">
      <formula1>42736</formula1>
    </dataValidation>
    <dataValidation type="list" allowBlank="1" showInputMessage="1" showErrorMessage="1" sqref="KO2:KP5"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5" xr:uid="{00000000-0002-0000-0200-00003C000000}">
      <formula1>40909</formula1>
    </dataValidation>
    <dataValidation type="whole" allowBlank="1" showInputMessage="1" showErrorMessage="1" error="SOLO NÚMEROS " promptTitle="ADVERTENCIA" prompt="SOLO ESCRIBIR NÚMEROS " sqref="EY2:EY5"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5" xr:uid="{00000000-0002-0000-0200-00003E000000}">
      <formula1>0</formula1>
      <formula2>700</formula2>
    </dataValidation>
    <dataValidation type="list" allowBlank="1" showInputMessage="1" showErrorMessage="1" prompt="REVISAR LISTA DESPLEGABLE, SE AUMENTAN NOVEDADES" sqref="Q2:Q5"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5" xr:uid="{00000000-0002-0000-0200-000040000000}">
      <formula1>44561</formula1>
    </dataValidation>
    <dataValidation type="date" operator="greaterThan" allowBlank="1" showInputMessage="1" showErrorMessage="1" error="VERIFICAR FECHA" sqref="R2:R5" xr:uid="{00000000-0002-0000-0200-000041000000}">
      <formula1>43831</formula1>
    </dataValidation>
    <dataValidation type="date" operator="greaterThan" allowBlank="1" showInputMessage="1" showErrorMessage="1" error="DIGITE FECHA" sqref="BZ2:BZ5" xr:uid="{00000000-0002-0000-0200-000042000000}">
      <formula1>43831</formula1>
    </dataValidation>
    <dataValidation type="date" operator="greaterThan" allowBlank="1" showInputMessage="1" showErrorMessage="1" error="DIGITE FECHA " sqref="CE2:CE5" xr:uid="{00000000-0002-0000-0200-000043000000}">
      <formula1>43831</formula1>
    </dataValidation>
    <dataValidation type="date" operator="greaterThan" allowBlank="1" showInputMessage="1" showErrorMessage="1" error="DIGITE SOLO FECHA" sqref="FC2:FC5" xr:uid="{00000000-0002-0000-0200-000044000000}">
      <formula1>43831</formula1>
    </dataValidation>
    <dataValidation type="date" operator="lessThanOrEqual" allowBlank="1" showInputMessage="1" showErrorMessage="1" error="INGRESE SOLO FECHA" sqref="BR2:BR5 BK2:BK5" xr:uid="{00000000-0002-0000-0200-000045000000}">
      <formula1>45013</formula1>
    </dataValidation>
    <dataValidation type="list" allowBlank="1" showInputMessage="1" showErrorMessage="1" sqref="HJ2:HJ5"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5 IH2:IH5 IF2:IF5" xr:uid="{00000000-0002-0000-0200-000047000000}">
      <formula1>44255</formula1>
    </dataValidation>
    <dataValidation type="list" allowBlank="1" showInputMessage="1" showErrorMessage="1" sqref="IE2:IE5" xr:uid="{00000000-0002-0000-0200-000048000000}">
      <formula1>"Astrazeneca,Firma Disentimiento,Janssen,Moderna,No Acepta y No Firma Disentimiento,Pfizer,Sinovac"</formula1>
    </dataValidation>
    <dataValidation type="list" operator="greaterThan" allowBlank="1" showInputMessage="1" showErrorMessage="1" sqref="II2:II5 IG2:IG5" xr:uid="{00000000-0002-0000-0200-000049000000}">
      <formula1>"Astrazeneca,Firma Disentimiento,Janssen,Moderna,No Acepta y No Firma Disentimiento,Pfizer,Sinovac"</formula1>
    </dataValidation>
    <dataValidation type="list" allowBlank="1" showInputMessage="1" showErrorMessage="1" sqref="BX3:BX5" xr:uid="{00000000-0002-0000-0200-00004C000000}">
      <formula1>"CEFÁLICA,PODÁLICA,TRANSVERSA,OBLICUA,SD"</formula1>
    </dataValidation>
    <dataValidation type="list" allowBlank="1" showInputMessage="1" showErrorMessage="1" sqref="HH2:HH5" xr:uid="{00000000-0002-0000-0200-00004D000000}">
      <formula1>"NO APLICA (Sin factor de riesgo - no zona endémica),NEGATIVO, POSITIVO,SOLICITADO NO TOMADO"</formula1>
    </dataValidation>
    <dataValidation type="list" allowBlank="1" showInputMessage="1" showErrorMessage="1" sqref="HD2:HD5" xr:uid="{00000000-0002-0000-0200-00004E000000}">
      <formula1>"NO APLICA (Sin factor de riesgo),NEGATIVO,POSITIVO,INDETERMINADO,SOLICITADO Y NO TOMADO"</formula1>
    </dataValidation>
    <dataValidation type="list" allowBlank="1" showInputMessage="1" showErrorMessage="1" sqref="FH2:FH5 FN2:FN5 FK2:FK5"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5" xr:uid="{00000000-0002-0000-0200-000050000000}">
      <formula1>"INICIO ESPONTÁNEO, LE HACEN INDUCCIÓN, LE HACEN CESÁREA SIN INICIO TRABAJO DE PARTO,SIN DATO"</formula1>
    </dataValidation>
    <dataValidation type="list" allowBlank="1" showInputMessage="1" showErrorMessage="1" sqref="FE2:FE5" xr:uid="{00000000-0002-0000-0200-000051000000}">
      <formula1>"P. R NEGATIVA,P. R POSITIVA CASO SIFILIS,P.R POSITIVA CICATRIZ"</formula1>
    </dataValidation>
    <dataValidation type="list" allowBlank="1" showInputMessage="1" showErrorMessage="1" sqref="HF2:HF5" xr:uid="{00000000-0002-0000-0200-000052000000}">
      <formula1>"NO APLICA (Sin factor de riesgo - No zona endémica),NEGATIVO, POSITIVO,SOLICITADO NO TOMADO"</formula1>
    </dataValidation>
    <dataValidation type="list" allowBlank="1" showInputMessage="1" showErrorMessage="1" sqref="T2:T5"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5" xr:uid="{00000000-0002-0000-0200-000055000000}">
      <formula1>"MADRE SANA, MORBILIDAD MATERNA EXTREMA, MUERTE MATERNA, MUERTE Y MORBILIDAD MATERNA EXTREMA, MADRE HOSPITALIZADA SIN MME,SIN DATO"</formula1>
    </dataValidation>
    <dataValidation type="list" allowBlank="1" showInputMessage="1" showErrorMessage="1" sqref="IV2:IV5"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5"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5" xr:uid="{00000000-0002-0000-0200-000059000000}"/>
    <dataValidation type="list" allowBlank="1" showInputMessage="1" showErrorMessage="1" sqref="HV2:HV5" xr:uid="{00000000-0002-0000-0200-00005A000000}">
      <formula1>"ADECUADO SEGÚN GPC, SUMINISTRO IRREGULAR, NO SE FORMULA, SUMINISTRO OTRO COMPLEMENTO NUTRICIONAL, NO APLICA, SIN DATO"</formula1>
    </dataValidation>
    <dataValidation type="list" allowBlank="1" showInputMessage="1" showErrorMessage="1" sqref="HZ2:HZ5"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5 KF2:KF5" xr:uid="{00000000-0002-0000-0200-00005C000000}">
      <formula1>44561</formula1>
    </dataValidation>
    <dataValidation type="list" operator="greaterThan" allowBlank="1" showInputMessage="1" showErrorMessage="1" error="SOLO FECHA" sqref="DO2:DO5" xr:uid="{00000000-0002-0000-0200-00004A000000}">
      <formula1>"0,1,2,3,4,5,6,7"</formula1>
    </dataValidation>
    <dataValidation operator="greaterThan" allowBlank="1" showInputMessage="1" showErrorMessage="1" error="SOLO FECHA" sqref="DP2:DQ5" xr:uid="{00000000-0002-0000-0200-00004B000000}"/>
    <dataValidation type="date" operator="greaterThanOrEqual" allowBlank="1" showInputMessage="1" showErrorMessage="1" error="REVISAR FECHA INGRESO CPN" sqref="HU2:HU5" xr:uid="{00000000-0002-0000-0200-000001000000}">
      <formula1>R2</formula1>
    </dataValidation>
    <dataValidation type="date" operator="greaterThanOrEqual" allowBlank="1" showInputMessage="1" showErrorMessage="1" error="REVISAR FECHA INGRESO CPN" sqref="HW2:HW5" xr:uid="{00000000-0002-0000-0200-000002000000}">
      <formula1>R2</formula1>
    </dataValidation>
    <dataValidation type="date" operator="greaterThanOrEqual" allowBlank="1" showInputMessage="1" showErrorMessage="1" error="REVISAR FECHA INGRESO CPN" sqref="HY2:HY5"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P2:P5</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BX2:BX5</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HD2:HD5</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HF2:HF5</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