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codeName="ThisWorkbook" defaultThemeVersion="124226"/>
  <mc:AlternateContent xmlns:mc="http://schemas.openxmlformats.org/markup-compatibility/2006">
    <mc:Choice Requires="x15">
      <x15ac:absPath xmlns:x15ac="http://schemas.microsoft.com/office/spreadsheetml/2010/11/ac" url="C:\Users\ADM_ANARVAEZ\Desktop\NOTAS\"/>
    </mc:Choice>
  </mc:AlternateContent>
  <xr:revisionPtr revIDLastSave="0" documentId="13_ncr:1_{016E4C5D-2CFB-45C7-88C6-419E7F91E5D4}" xr6:coauthVersionLast="47" xr6:coauthVersionMax="47" xr10:uidLastSave="{00000000-0000-0000-0000-000000000000}"/>
  <bookViews>
    <workbookView xWindow="-120" yWindow="-120" windowWidth="29040" windowHeight="15720" tabRatio="740" activeTab="2" xr2:uid="{00000000-000D-0000-FFFF-FFFF00000000}"/>
  </bookViews>
  <sheets>
    <sheet name="INSTRUCTIVO " sheetId="32" r:id="rId1"/>
    <sheet name="INDICADORES" sheetId="30" r:id="rId2"/>
    <sheet name="CPN 2022" sheetId="5" r:id="rId3"/>
  </sheets>
  <externalReferences>
    <externalReference r:id="rId4"/>
  </externalReferences>
  <definedNames>
    <definedName name="_06_05_2011" localSheetId="0">'[1]CPN 2022'!#REF!</definedName>
    <definedName name="_06_05_2011">'CPN 2022'!#REF!</definedName>
    <definedName name="_29_11_1984" localSheetId="0">'[1]CPN 2022'!#REF!</definedName>
    <definedName name="_29_11_1984">'CPN 2022'!#REF!</definedName>
    <definedName name="_xlnm._FilterDatabase" localSheetId="2" hidden="1">'CPN 2022'!#REF!</definedName>
    <definedName name="AIC" localSheetId="0">'[1]CPN 2022'!#REF!</definedName>
    <definedName name="AIC">'CPN 2022'!#REF!</definedName>
    <definedName name="AIDA" localSheetId="0">'[1]CPN 2022'!#REF!</definedName>
    <definedName name="AIDA">'CPN 2022'!#REF!</definedName>
    <definedName name="CC" localSheetId="0">'[1]CPN 2022'!#REF!</definedName>
    <definedName name="CC">'CPN 2022'!#REF!</definedName>
    <definedName name="CCC" localSheetId="0">'[1]CPN 2022'!#REF!</definedName>
    <definedName name="CCC">'CPN 2022'!#REF!</definedName>
    <definedName name="CHOCUE" localSheetId="0">'[1]CPN 2022'!#REF!</definedName>
    <definedName name="CHOCUE">'CPN 2022'!#REF!</definedName>
    <definedName name="EL_HOGAR" localSheetId="0">'[1]CPN 2022'!#REF!</definedName>
    <definedName name="EL_HOGAR">'CPN 2022'!#REF!</definedName>
    <definedName name="INDIGENA" localSheetId="0">'[1]CPN 2022'!#REF!</definedName>
    <definedName name="INDIGENA">'CPN 2022'!#REF!</definedName>
    <definedName name="LA_PLAYA_MIRASOLES" localSheetId="0">'[1]CPN 2022'!#REF!</definedName>
    <definedName name="LA_PLAYA_MIRASOLES">'CPN 2022'!#REF!</definedName>
    <definedName name="LORENA" localSheetId="0">'[1]CPN 2022'!#REF!</definedName>
    <definedName name="LORENA">'CPN 2022'!#REF!</definedName>
    <definedName name="MESTIZA" localSheetId="0">'[1]CPN 2022'!#REF!</definedName>
    <definedName name="MESTIZA">'CPN 2022'!#REF!</definedName>
    <definedName name="RIVERA" localSheetId="0">'[1]CPN 2022'!#REF!</definedName>
    <definedName name="RIVERA">'CPN 2022'!#REF!</definedName>
    <definedName name="RURAL" localSheetId="0">'[1]CPN 2022'!#REF!</definedName>
    <definedName name="RURAL">'CPN 2022'!#REF!</definedName>
    <definedName name="SIN_RIESGO_POR_EDAD" localSheetId="0">'[1]CPN 2022'!#REF!</definedName>
    <definedName name="SIN_RIESGO_POR_EDAD">'CPN 2022'!#REF!</definedName>
    <definedName name="SUB" localSheetId="0">'[1]CPN 2022'!#REF!</definedName>
    <definedName name="SUB">'CPN 2022'!#REF!</definedName>
    <definedName name="UNION_L" localSheetId="0">'[1]CPN 2022'!#REF!</definedName>
    <definedName name="UNION_L">'CPN 2022'!#REF!</definedName>
    <definedName name="Z_87C82D0B_BF3B_4D48_8D40_9A69123EBFA4_.wvu.Cols" localSheetId="2" hidden="1">'CPN 2022'!#REF!,'CPN 2022'!#REF!,'CPN 2022'!#REF!,'CPN 2022'!#REF!,'CPN 2022'!#REF!,'CPN 2022'!#REF!,'CPN 2022'!#REF!,'CPN 2022'!$DC:$DC,'CPN 2022'!#REF!,'CPN 2022'!#REF!,'CPN 2022'!#REF!,'CPN 2022'!#REF!,'CPN 2022'!#REF!,'CPN 2022'!#REF!,'CPN 2022'!#REF!,'CPN 2022'!#REF!,'CPN 2022'!#REF!,'CPN 2022'!#REF!,'CPN 2022'!#REF!,'CPN 2022'!#REF!,'CPN 2022'!#REF!,'CPN 2022'!#REF!,'CPN 2022'!#REF!,'CPN 2022'!#REF!,'CPN 2022'!#REF!,'CPN 2022'!#REF!,'CPN 2022'!#REF!,'CPN 2022'!#REF!,'CPN 2022'!#REF!,'CPN 2022'!#REF!,'CPN 2022'!#REF!,'CPN 2022'!$GZ:$GZ,'CPN 2022'!$IW:$IX,'CPN 2022'!$JU:$KD,'CPN 2022'!#REF!,'CPN 2022'!#REF!,'CPN 2022'!#REF!</definedName>
    <definedName name="Z_87C82D0B_BF3B_4D48_8D40_9A69123EBFA4_.wvu.FilterData" localSheetId="2" hidden="1">'CPN 2022'!$D$1:$KN$4</definedName>
    <definedName name="Z_87C82D0B_BF3B_4D48_8D40_9A69123EBFA4_.wvu.Rows" localSheetId="2" hidden="1">'CPN 2022'!#REF!</definedName>
  </definedNames>
  <calcPr calcId="191029"/>
  <customWorkbookViews>
    <customWorkbookView name="electrom pc - Vista personalizada" guid="{87C82D0B-BF3B-4D48-8D40-9A69123EBFA4}" mergeInterval="0" personalView="1" maximized="1" xWindow="1" yWindow="1" windowWidth="1366" windowHeight="496" tabRatio="599" activeSheetId="5"/>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KI2" i="5" l="1"/>
  <c r="KI3" i="5"/>
  <c r="KI4" i="5"/>
  <c r="KG2" i="5"/>
  <c r="KG3" i="5"/>
  <c r="KG4" i="5"/>
  <c r="IY2" i="5"/>
  <c r="IY3" i="5"/>
  <c r="IY4" i="5"/>
  <c r="IP2" i="5"/>
  <c r="IP3" i="5"/>
  <c r="IP4" i="5"/>
  <c r="HK2" i="5"/>
  <c r="HR2" i="5"/>
  <c r="HK3" i="5"/>
  <c r="HR3" i="5"/>
  <c r="HK4" i="5"/>
  <c r="HR4" i="5"/>
  <c r="HA2" i="5"/>
  <c r="HB2" i="5" s="1"/>
  <c r="HC2" i="5"/>
  <c r="HA3" i="5"/>
  <c r="HB3" i="5" s="1"/>
  <c r="HC3" i="5"/>
  <c r="HA4" i="5"/>
  <c r="HB4" i="5" s="1"/>
  <c r="HC4" i="5"/>
  <c r="GS2" i="5"/>
  <c r="GS3" i="5"/>
  <c r="GS4" i="5"/>
  <c r="FP2" i="5"/>
  <c r="FP3" i="5"/>
  <c r="FP4" i="5"/>
  <c r="EU2" i="5"/>
  <c r="EU3" i="5"/>
  <c r="EU4" i="5"/>
  <c r="EQ2" i="5"/>
  <c r="EQ3" i="5"/>
  <c r="EQ4" i="5"/>
  <c r="EL2" i="5"/>
  <c r="EL3" i="5"/>
  <c r="EL4" i="5"/>
  <c r="DU2" i="5"/>
  <c r="DV2" i="5" s="1"/>
  <c r="DW2" i="5"/>
  <c r="DX2" i="5" s="1"/>
  <c r="DU3" i="5"/>
  <c r="DV3" i="5" s="1"/>
  <c r="DW3" i="5"/>
  <c r="DX3" i="5" s="1"/>
  <c r="DU4" i="5"/>
  <c r="DV4" i="5" s="1"/>
  <c r="DW4" i="5"/>
  <c r="DX4" i="5" s="1"/>
  <c r="DR2" i="5"/>
  <c r="DR3" i="5"/>
  <c r="DR4" i="5"/>
  <c r="CZ2" i="5"/>
  <c r="CZ3" i="5"/>
  <c r="CZ4" i="5"/>
  <c r="CU2" i="5"/>
  <c r="CU3" i="5"/>
  <c r="CU4" i="5"/>
  <c r="CR2" i="5"/>
  <c r="CR3" i="5"/>
  <c r="CR4" i="5"/>
  <c r="HP4" i="5" s="1"/>
  <c r="CL2" i="5"/>
  <c r="CM2" i="5"/>
  <c r="CN2" i="5" s="1"/>
  <c r="CL3" i="5"/>
  <c r="CM3" i="5"/>
  <c r="CL4" i="5"/>
  <c r="CM4" i="5"/>
  <c r="CG2" i="5"/>
  <c r="CH2" i="5"/>
  <c r="CI2" i="5" s="1"/>
  <c r="CG3" i="5"/>
  <c r="CH3" i="5"/>
  <c r="CG4" i="5"/>
  <c r="CH4" i="5"/>
  <c r="CC2" i="5"/>
  <c r="CD2" i="5" s="1"/>
  <c r="CC3" i="5"/>
  <c r="CD3" i="5" s="1"/>
  <c r="CC4" i="5"/>
  <c r="CD4" i="5" s="1"/>
  <c r="BM2" i="5"/>
  <c r="BN2" i="5"/>
  <c r="BO2" i="5"/>
  <c r="DY2" i="5" s="1"/>
  <c r="BQ2" i="5"/>
  <c r="BM3" i="5"/>
  <c r="BO3" i="5"/>
  <c r="DY3" i="5" s="1"/>
  <c r="BQ3" i="5"/>
  <c r="BM4" i="5"/>
  <c r="BO4" i="5"/>
  <c r="DY4" i="5" s="1"/>
  <c r="BQ4" i="5"/>
  <c r="P2" i="5"/>
  <c r="P3" i="5"/>
  <c r="P4" i="5"/>
  <c r="N2" i="5"/>
  <c r="N3" i="5"/>
  <c r="N4" i="5"/>
  <c r="HP3" i="5" l="1"/>
  <c r="HP2" i="5"/>
  <c r="DZ3" i="5"/>
  <c r="DZ2" i="5"/>
  <c r="JN4" i="5"/>
  <c r="JX4" i="5"/>
  <c r="JN3" i="5"/>
  <c r="JX3" i="5"/>
  <c r="JN2" i="5"/>
  <c r="JX2" i="5"/>
  <c r="DZ4" i="5"/>
  <c r="CO2" i="5"/>
  <c r="HL2" i="5" s="1"/>
  <c r="BP2" i="5" l="1"/>
  <c r="BP3" i="5"/>
  <c r="BP4" i="5"/>
  <c r="IQ4" i="5" l="1"/>
  <c r="IR4" i="5" s="1"/>
  <c r="IC4" i="5"/>
  <c r="IC3" i="5"/>
  <c r="IQ3" i="5"/>
  <c r="IR3" i="5" s="1"/>
  <c r="IC2" i="5"/>
  <c r="IQ2" i="5"/>
  <c r="IR2" i="5" s="1"/>
  <c r="GU4" i="5"/>
  <c r="GV4" i="5" s="1"/>
  <c r="GP4" i="5"/>
  <c r="GU3" i="5"/>
  <c r="GV3" i="5" s="1"/>
  <c r="GP3" i="5"/>
  <c r="GU2" i="5"/>
  <c r="GV2" i="5" s="1"/>
  <c r="GP2" i="5"/>
  <c r="GD2" i="5"/>
  <c r="GG2" i="5"/>
  <c r="GD4" i="5"/>
  <c r="GG4" i="5"/>
  <c r="GG3" i="5"/>
  <c r="GD3" i="5"/>
  <c r="FV2" i="5"/>
  <c r="GA2" i="5"/>
  <c r="FV4" i="5"/>
  <c r="GA4" i="5"/>
  <c r="FV3" i="5"/>
  <c r="GA3" i="5"/>
  <c r="FS4" i="5"/>
  <c r="FS2" i="5"/>
  <c r="FS3" i="5"/>
  <c r="FJ4" i="5"/>
  <c r="FM4" i="5"/>
  <c r="FJ2" i="5"/>
  <c r="FM2" i="5"/>
  <c r="FJ3" i="5"/>
  <c r="FM3" i="5"/>
  <c r="FD4" i="5"/>
  <c r="FB4" i="5" s="1"/>
  <c r="EX4" i="5"/>
  <c r="FG4" i="5"/>
  <c r="FD3" i="5"/>
  <c r="FB3" i="5" s="1"/>
  <c r="EX3" i="5"/>
  <c r="FG3" i="5"/>
  <c r="FD2" i="5"/>
  <c r="FB2" i="5" s="1"/>
  <c r="EX2" i="5"/>
  <c r="FG2" i="5"/>
  <c r="EP4" i="5"/>
  <c r="ET4" i="5"/>
  <c r="EP3" i="5"/>
  <c r="ET3" i="5"/>
  <c r="EP2" i="5"/>
  <c r="ET2" i="5"/>
  <c r="DQ2" i="5"/>
  <c r="EK2" i="5"/>
  <c r="EM2" i="5" s="1"/>
  <c r="DQ3" i="5"/>
  <c r="EK3" i="5"/>
  <c r="EM3" i="5" s="1"/>
  <c r="DQ4" i="5"/>
  <c r="EK4" i="5"/>
  <c r="EM4" i="5" s="1"/>
  <c r="OF2" i="5" l="1"/>
  <c r="OF3" i="5"/>
  <c r="OF4" i="5"/>
  <c r="XFD105" i="30"/>
  <c r="NZ2" i="5" l="1"/>
  <c r="NZ3" i="5"/>
  <c r="NZ4" i="5"/>
  <c r="NJ2" i="5" l="1"/>
  <c r="NJ3" i="5"/>
  <c r="NJ4" i="5"/>
  <c r="NL2" i="5" l="1"/>
  <c r="NL3" i="5"/>
  <c r="NL4" i="5"/>
  <c r="NK2" i="5"/>
  <c r="NK3" i="5"/>
  <c r="NK4" i="5"/>
  <c r="PL2" i="5" l="1"/>
  <c r="PL3" i="5"/>
  <c r="PL4" i="5"/>
  <c r="PQ3" i="5"/>
  <c r="PQ4" i="5"/>
  <c r="DS2" i="5" l="1"/>
  <c r="DS3" i="5"/>
  <c r="DS4" i="5"/>
  <c r="B29" i="30" l="1"/>
  <c r="B18" i="30"/>
  <c r="D29" i="30"/>
  <c r="D30" i="30"/>
  <c r="B30" i="30"/>
  <c r="B27" i="30"/>
  <c r="D27" i="30"/>
  <c r="B26" i="30"/>
  <c r="D26" i="30"/>
  <c r="D24" i="30"/>
  <c r="B24" i="30"/>
  <c r="D21" i="30"/>
  <c r="B17" i="30"/>
  <c r="D18" i="30"/>
  <c r="B21" i="30"/>
  <c r="D17" i="30"/>
  <c r="OA4" i="5"/>
  <c r="OA3" i="5"/>
  <c r="OA2" i="5"/>
  <c r="NR2" i="5"/>
  <c r="NR4" i="5"/>
  <c r="NR3" i="5"/>
  <c r="PN2" i="5"/>
  <c r="PM2" i="5"/>
  <c r="PO2" i="5"/>
  <c r="PP2" i="5" s="1"/>
  <c r="PQ2" i="5" s="1"/>
  <c r="PN3" i="5"/>
  <c r="PM3" i="5"/>
  <c r="PO3" i="5"/>
  <c r="PP3" i="5" s="1"/>
  <c r="PN4" i="5"/>
  <c r="PM4" i="5"/>
  <c r="PO4" i="5"/>
  <c r="PP4" i="5" s="1"/>
  <c r="OH2" i="5"/>
  <c r="OI2" i="5"/>
  <c r="OJ2" i="5"/>
  <c r="OK2" i="5"/>
  <c r="OL2" i="5"/>
  <c r="OM2" i="5"/>
  <c r="ON2" i="5"/>
  <c r="OO2" i="5"/>
  <c r="OP2" i="5"/>
  <c r="OQ2" i="5"/>
  <c r="OR2" i="5"/>
  <c r="OS2" i="5"/>
  <c r="OT2" i="5"/>
  <c r="OU2" i="5"/>
  <c r="OV2" i="5"/>
  <c r="OW2" i="5"/>
  <c r="OX2" i="5"/>
  <c r="OY2" i="5"/>
  <c r="OZ2" i="5"/>
  <c r="PA2" i="5"/>
  <c r="PB2" i="5"/>
  <c r="PC2" i="5"/>
  <c r="PD2" i="5"/>
  <c r="PE2" i="5"/>
  <c r="PF2" i="5"/>
  <c r="PG2" i="5"/>
  <c r="PH2" i="5"/>
  <c r="PI2" i="5"/>
  <c r="PJ2" i="5"/>
  <c r="PK2" i="5"/>
  <c r="OH3" i="5"/>
  <c r="OI3" i="5"/>
  <c r="OJ3" i="5"/>
  <c r="OK3" i="5"/>
  <c r="OL3" i="5"/>
  <c r="OM3" i="5"/>
  <c r="ON3" i="5"/>
  <c r="OO3" i="5"/>
  <c r="OP3" i="5"/>
  <c r="OQ3" i="5"/>
  <c r="OR3" i="5"/>
  <c r="OS3" i="5"/>
  <c r="OT3" i="5"/>
  <c r="OU3" i="5"/>
  <c r="OV3" i="5"/>
  <c r="OW3" i="5"/>
  <c r="OX3" i="5"/>
  <c r="OY3" i="5"/>
  <c r="OZ3" i="5"/>
  <c r="PA3" i="5"/>
  <c r="PB3" i="5"/>
  <c r="PC3" i="5"/>
  <c r="PD3" i="5"/>
  <c r="PE3" i="5"/>
  <c r="PF3" i="5"/>
  <c r="PG3" i="5"/>
  <c r="PH3" i="5"/>
  <c r="PI3" i="5"/>
  <c r="PJ3" i="5"/>
  <c r="PK3" i="5"/>
  <c r="OH4" i="5"/>
  <c r="OI4" i="5"/>
  <c r="OJ4" i="5"/>
  <c r="OK4" i="5"/>
  <c r="OL4" i="5"/>
  <c r="OM4" i="5"/>
  <c r="ON4" i="5"/>
  <c r="OO4" i="5"/>
  <c r="OP4" i="5"/>
  <c r="OQ4" i="5"/>
  <c r="OR4" i="5"/>
  <c r="OS4" i="5"/>
  <c r="OT4" i="5"/>
  <c r="OU4" i="5"/>
  <c r="OV4" i="5"/>
  <c r="OW4" i="5"/>
  <c r="OX4" i="5"/>
  <c r="OY4" i="5"/>
  <c r="OZ4" i="5"/>
  <c r="PA4" i="5"/>
  <c r="PB4" i="5"/>
  <c r="PC4" i="5"/>
  <c r="PD4" i="5"/>
  <c r="PE4" i="5"/>
  <c r="PF4" i="5"/>
  <c r="PG4" i="5"/>
  <c r="PH4" i="5"/>
  <c r="PI4" i="5"/>
  <c r="PJ4" i="5"/>
  <c r="PK4" i="5"/>
  <c r="NV2" i="5"/>
  <c r="NW2" i="5"/>
  <c r="NX2" i="5"/>
  <c r="NY2" i="5"/>
  <c r="NV3" i="5"/>
  <c r="NW3" i="5"/>
  <c r="NX3" i="5"/>
  <c r="NY3" i="5"/>
  <c r="NV4" i="5"/>
  <c r="NW4" i="5"/>
  <c r="NX4" i="5"/>
  <c r="NY4" i="5"/>
  <c r="NS2" i="5"/>
  <c r="NT2" i="5"/>
  <c r="NU2" i="5"/>
  <c r="NS3" i="5"/>
  <c r="NT3" i="5"/>
  <c r="NU3" i="5"/>
  <c r="NS4" i="5"/>
  <c r="NT4" i="5"/>
  <c r="NU4" i="5"/>
  <c r="NO2" i="5"/>
  <c r="IN2" i="5" s="1"/>
  <c r="NP2" i="5"/>
  <c r="AK2" i="5" s="1"/>
  <c r="NQ2" i="5"/>
  <c r="NO3" i="5"/>
  <c r="IN3" i="5" s="1"/>
  <c r="NP3" i="5"/>
  <c r="AK3" i="5" s="1"/>
  <c r="NQ3" i="5"/>
  <c r="BN3" i="5" s="1"/>
  <c r="NO4" i="5"/>
  <c r="IN4" i="5" s="1"/>
  <c r="NP4" i="5"/>
  <c r="AK4" i="5" s="1"/>
  <c r="NQ4" i="5"/>
  <c r="BN4" i="5" s="1"/>
  <c r="NG2" i="5"/>
  <c r="NI2" i="5"/>
  <c r="NG3" i="5"/>
  <c r="NI3" i="5"/>
  <c r="NG4" i="5"/>
  <c r="NI4" i="5"/>
  <c r="NC2" i="5"/>
  <c r="ND2" i="5"/>
  <c r="NE2" i="5"/>
  <c r="NF2" i="5"/>
  <c r="NC3" i="5"/>
  <c r="ND3" i="5"/>
  <c r="NE3" i="5"/>
  <c r="NF3" i="5"/>
  <c r="NC4" i="5"/>
  <c r="ND4" i="5"/>
  <c r="NE4" i="5"/>
  <c r="NF4" i="5"/>
  <c r="MZ2" i="5"/>
  <c r="NA2" i="5" s="1"/>
  <c r="MZ3" i="5"/>
  <c r="NN3" i="5" s="1"/>
  <c r="HO3" i="5" s="1"/>
  <c r="MZ4" i="5"/>
  <c r="NN4" i="5" s="1"/>
  <c r="HO4" i="5" s="1"/>
  <c r="MU2" i="5"/>
  <c r="MV2" i="5"/>
  <c r="MW2" i="5"/>
  <c r="MY2" i="5" s="1"/>
  <c r="MX2" i="5"/>
  <c r="MU3" i="5"/>
  <c r="MV3" i="5"/>
  <c r="MW3" i="5"/>
  <c r="MY3" i="5" s="1"/>
  <c r="MX3" i="5"/>
  <c r="MU4" i="5"/>
  <c r="MV4" i="5"/>
  <c r="MW4" i="5"/>
  <c r="MY4" i="5" s="1"/>
  <c r="MX4" i="5"/>
  <c r="MQ2" i="5"/>
  <c r="MR2" i="5"/>
  <c r="MT2" i="5"/>
  <c r="MQ3" i="5"/>
  <c r="MR3" i="5"/>
  <c r="MT3" i="5"/>
  <c r="MQ4" i="5"/>
  <c r="MR4" i="5"/>
  <c r="MT4" i="5"/>
  <c r="NH2" i="5"/>
  <c r="NH3" i="5"/>
  <c r="NH4" i="5"/>
  <c r="C17" i="30" l="1"/>
  <c r="IK3" i="5"/>
  <c r="HN2" i="5"/>
  <c r="CN4" i="5"/>
  <c r="IK4" i="5"/>
  <c r="IK2" i="5"/>
  <c r="DT2" i="5"/>
  <c r="HQ2" i="5"/>
  <c r="DT3" i="5"/>
  <c r="HQ3" i="5"/>
  <c r="DT4" i="5"/>
  <c r="HQ4" i="5"/>
  <c r="CN3" i="5"/>
  <c r="CI4" i="5"/>
  <c r="CI3" i="5"/>
  <c r="C29" i="30"/>
  <c r="E17" i="30"/>
  <c r="C26" i="30"/>
  <c r="E29" i="30"/>
  <c r="OG4" i="5"/>
  <c r="E26" i="30"/>
  <c r="OG3" i="5"/>
  <c r="OG2" i="5"/>
  <c r="OB3" i="5"/>
  <c r="OD3" i="5" s="1"/>
  <c r="OB4" i="5"/>
  <c r="OD4" i="5" s="1"/>
  <c r="OC3" i="5"/>
  <c r="OE3" i="5" s="1"/>
  <c r="NA4" i="5"/>
  <c r="HN4" i="5" s="1"/>
  <c r="NN2" i="5"/>
  <c r="HO2" i="5" s="1"/>
  <c r="NB4" i="5"/>
  <c r="NA3" i="5"/>
  <c r="NM3" i="5" s="1"/>
  <c r="NB3" i="5"/>
  <c r="NB2" i="5"/>
  <c r="CO4" i="5" l="1"/>
  <c r="HL4" i="5" s="1"/>
  <c r="HN3" i="5"/>
  <c r="CO3" i="5"/>
  <c r="HL3" i="5" s="1"/>
  <c r="HM3" i="5" s="1"/>
  <c r="NM4" i="5"/>
  <c r="HM4" i="5" s="1"/>
  <c r="NM2" i="5"/>
  <c r="HM2" i="5" s="1"/>
  <c r="OC2" i="5"/>
  <c r="OE2" i="5" s="1"/>
  <c r="OC4" i="5"/>
  <c r="OE4" i="5" s="1"/>
  <c r="OB2" i="5"/>
  <c r="OD2" i="5" s="1"/>
  <c r="F10" i="30" l="1"/>
  <c r="G7" i="30"/>
  <c r="M9" i="30"/>
  <c r="C7" i="30"/>
  <c r="I9" i="30"/>
  <c r="J10" i="30"/>
  <c r="E9" i="30"/>
  <c r="K7" i="30"/>
  <c r="L10" i="30"/>
  <c r="H9" i="30"/>
  <c r="M10" i="30"/>
  <c r="L7" i="30"/>
  <c r="F9" i="30"/>
  <c r="K10" i="30"/>
  <c r="K9" i="30"/>
  <c r="I10" i="30"/>
  <c r="G9" i="30"/>
  <c r="B10" i="30"/>
  <c r="L9" i="30"/>
  <c r="B9" i="30"/>
  <c r="J9" i="30"/>
  <c r="E7" i="30"/>
  <c r="D10" i="30"/>
  <c r="D9" i="30"/>
  <c r="F7" i="30"/>
  <c r="E10" i="30"/>
  <c r="D7" i="30"/>
  <c r="C10" i="30"/>
  <c r="I7" i="30"/>
  <c r="C9" i="30"/>
  <c r="H10" i="30"/>
  <c r="J7" i="30"/>
  <c r="H7" i="30"/>
  <c r="G10" i="30"/>
  <c r="M7" i="30"/>
  <c r="MS3" i="5" l="1"/>
  <c r="MS4" i="5"/>
  <c r="MS2" i="5"/>
  <c r="B14" i="30" l="1"/>
  <c r="B15" i="30"/>
  <c r="B23" i="30"/>
  <c r="C23" i="30" s="1"/>
  <c r="D14" i="30"/>
  <c r="D15" i="30"/>
  <c r="B20" i="30"/>
  <c r="C20" i="30" s="1"/>
  <c r="D23" i="30"/>
  <c r="E23" i="30" s="1"/>
  <c r="D20" i="30"/>
  <c r="E20" i="30" s="1"/>
  <c r="C14" i="30" l="1"/>
  <c r="E14" i="30"/>
  <c r="B7" i="30" l="1"/>
  <c r="B126" i="30" l="1"/>
  <c r="B61" i="30" l="1"/>
  <c r="B115" i="30"/>
  <c r="B58" i="30"/>
  <c r="B117" i="30"/>
  <c r="D83" i="30"/>
  <c r="L121" i="30"/>
  <c r="H121" i="30"/>
  <c r="D121" i="30"/>
  <c r="M119" i="30"/>
  <c r="I119" i="30"/>
  <c r="E119" i="30"/>
  <c r="K83" i="30"/>
  <c r="G83" i="30"/>
  <c r="C83" i="30"/>
  <c r="L81" i="30"/>
  <c r="G81" i="30"/>
  <c r="J121" i="30"/>
  <c r="G119" i="30"/>
  <c r="C119" i="30"/>
  <c r="E83" i="30"/>
  <c r="I81" i="30"/>
  <c r="M121" i="30"/>
  <c r="J119" i="30"/>
  <c r="B119" i="30"/>
  <c r="H81" i="30"/>
  <c r="K121" i="30"/>
  <c r="G121" i="30"/>
  <c r="C121" i="30"/>
  <c r="L119" i="30"/>
  <c r="H119" i="30"/>
  <c r="D119" i="30"/>
  <c r="J83" i="30"/>
  <c r="F83" i="30"/>
  <c r="B83" i="30"/>
  <c r="J81" i="30"/>
  <c r="F81" i="30"/>
  <c r="F121" i="30"/>
  <c r="K119" i="30"/>
  <c r="M83" i="30"/>
  <c r="I83" i="30"/>
  <c r="B79" i="30"/>
  <c r="E81" i="30"/>
  <c r="I121" i="30"/>
  <c r="F119" i="30"/>
  <c r="L83" i="30"/>
  <c r="M81" i="30"/>
  <c r="B121" i="30"/>
  <c r="E121" i="30"/>
  <c r="H83" i="30"/>
  <c r="K81" i="30"/>
  <c r="D81" i="30"/>
  <c r="C81" i="30"/>
  <c r="B81" i="30"/>
  <c r="K79" i="30"/>
  <c r="G79" i="30"/>
  <c r="C79" i="30"/>
  <c r="J79" i="30"/>
  <c r="F79" i="30"/>
  <c r="H79" i="30"/>
  <c r="D79" i="30"/>
  <c r="M79" i="30"/>
  <c r="I79" i="30"/>
  <c r="E79" i="30"/>
  <c r="L79" i="30"/>
  <c r="J77" i="30"/>
  <c r="F77" i="30"/>
  <c r="I77" i="30"/>
  <c r="E77" i="30"/>
  <c r="G77" i="30"/>
  <c r="M77" i="30"/>
  <c r="H77" i="30"/>
  <c r="L77" i="30"/>
  <c r="K77" i="30"/>
  <c r="D77" i="30"/>
  <c r="C77" i="30"/>
  <c r="B77" i="30"/>
  <c r="B75" i="30"/>
  <c r="J75" i="30"/>
  <c r="F75" i="30"/>
  <c r="K73" i="30"/>
  <c r="G73" i="30"/>
  <c r="C73" i="30"/>
  <c r="C75" i="30"/>
  <c r="M75" i="30"/>
  <c r="I75" i="30"/>
  <c r="E75" i="30"/>
  <c r="B73" i="30"/>
  <c r="J73" i="30"/>
  <c r="F73" i="30"/>
  <c r="H73" i="30"/>
  <c r="L75" i="30"/>
  <c r="H75" i="30"/>
  <c r="D75" i="30"/>
  <c r="M73" i="30"/>
  <c r="I73" i="30"/>
  <c r="E73" i="30"/>
  <c r="L73" i="30"/>
  <c r="D73" i="30"/>
  <c r="K75" i="30"/>
  <c r="G75" i="30"/>
  <c r="B67" i="30"/>
  <c r="J71" i="30"/>
  <c r="F71" i="30"/>
  <c r="B71" i="30"/>
  <c r="M71" i="30"/>
  <c r="I71" i="30"/>
  <c r="E71" i="30"/>
  <c r="L71" i="30"/>
  <c r="H71" i="30"/>
  <c r="D71" i="30"/>
  <c r="K71" i="30"/>
  <c r="G71" i="30"/>
  <c r="C71" i="30"/>
  <c r="M112" i="30"/>
  <c r="I112" i="30"/>
  <c r="E112" i="30"/>
  <c r="D112" i="30"/>
  <c r="F112" i="30"/>
  <c r="L112" i="30"/>
  <c r="H112" i="30"/>
  <c r="J112" i="30"/>
  <c r="K112" i="30"/>
  <c r="G112" i="30"/>
  <c r="C112" i="30"/>
  <c r="B112" i="30"/>
  <c r="M113" i="30"/>
  <c r="M114" i="30" s="1"/>
  <c r="I113" i="30"/>
  <c r="I114" i="30" s="1"/>
  <c r="G113" i="30"/>
  <c r="G114" i="30" s="1"/>
  <c r="J113" i="30"/>
  <c r="J114" i="30" s="1"/>
  <c r="D113" i="30"/>
  <c r="L113" i="30"/>
  <c r="L114" i="30" s="1"/>
  <c r="H113" i="30"/>
  <c r="H114" i="30" s="1"/>
  <c r="F113" i="30"/>
  <c r="F114" i="30" s="1"/>
  <c r="K113" i="30"/>
  <c r="C113" i="30"/>
  <c r="E113" i="30"/>
  <c r="E114" i="30" s="1"/>
  <c r="B113" i="30"/>
  <c r="M110" i="30"/>
  <c r="M111" i="30" s="1"/>
  <c r="I110" i="30"/>
  <c r="I111" i="30" s="1"/>
  <c r="E110" i="30"/>
  <c r="E111" i="30" s="1"/>
  <c r="J110" i="30"/>
  <c r="J111" i="30" s="1"/>
  <c r="L110" i="30"/>
  <c r="L111" i="30" s="1"/>
  <c r="H110" i="30"/>
  <c r="H111" i="30" s="1"/>
  <c r="D110" i="30"/>
  <c r="D111" i="30" s="1"/>
  <c r="B110" i="30"/>
  <c r="K110" i="30"/>
  <c r="K111" i="30" s="1"/>
  <c r="G110" i="30"/>
  <c r="G111" i="30" s="1"/>
  <c r="C110" i="30"/>
  <c r="F110" i="30"/>
  <c r="F111" i="30" s="1"/>
  <c r="B65" i="30"/>
  <c r="L109" i="30"/>
  <c r="H109" i="30"/>
  <c r="D109" i="30"/>
  <c r="L53" i="30"/>
  <c r="L49" i="30" s="1"/>
  <c r="H53" i="30"/>
  <c r="H49" i="30" s="1"/>
  <c r="D53" i="30"/>
  <c r="M53" i="30"/>
  <c r="M49" i="30" s="1"/>
  <c r="C109" i="30"/>
  <c r="K109" i="30"/>
  <c r="G109" i="30"/>
  <c r="B109" i="30"/>
  <c r="K53" i="30"/>
  <c r="K49" i="30" s="1"/>
  <c r="G53" i="30"/>
  <c r="G49" i="30" s="1"/>
  <c r="C53" i="30"/>
  <c r="F53" i="30"/>
  <c r="F49" i="30" s="1"/>
  <c r="B53" i="30"/>
  <c r="I109" i="30"/>
  <c r="E109" i="30"/>
  <c r="I53" i="30"/>
  <c r="I49" i="30" s="1"/>
  <c r="B60" i="30"/>
  <c r="B62" i="30" s="1"/>
  <c r="J109" i="30"/>
  <c r="F109" i="30"/>
  <c r="B104" i="30"/>
  <c r="J53" i="30"/>
  <c r="J49" i="30" s="1"/>
  <c r="M109" i="30"/>
  <c r="E53" i="30"/>
  <c r="E49" i="30" s="1"/>
  <c r="M69" i="30"/>
  <c r="I69" i="30"/>
  <c r="E69" i="30"/>
  <c r="J107" i="30"/>
  <c r="F107" i="30"/>
  <c r="M106" i="30"/>
  <c r="I106" i="30"/>
  <c r="E106" i="30"/>
  <c r="B106" i="30"/>
  <c r="C126" i="30"/>
  <c r="K104" i="30"/>
  <c r="G104" i="30"/>
  <c r="C104" i="30"/>
  <c r="K107" i="30"/>
  <c r="J106" i="30"/>
  <c r="D104" i="30"/>
  <c r="L69" i="30"/>
  <c r="H69" i="30"/>
  <c r="D69" i="30"/>
  <c r="M107" i="30"/>
  <c r="I107" i="30"/>
  <c r="E107" i="30"/>
  <c r="L106" i="30"/>
  <c r="H106" i="30"/>
  <c r="D106" i="30"/>
  <c r="J104" i="30"/>
  <c r="F104" i="30"/>
  <c r="B69" i="30"/>
  <c r="C107" i="30"/>
  <c r="B107" i="30"/>
  <c r="H104" i="30"/>
  <c r="K69" i="30"/>
  <c r="G69" i="30"/>
  <c r="C69" i="30"/>
  <c r="L107" i="30"/>
  <c r="H107" i="30"/>
  <c r="D107" i="30"/>
  <c r="K106" i="30"/>
  <c r="G106" i="30"/>
  <c r="C106" i="30"/>
  <c r="M104" i="30"/>
  <c r="I104" i="30"/>
  <c r="E104" i="30"/>
  <c r="J69" i="30"/>
  <c r="F69" i="30"/>
  <c r="G107" i="30"/>
  <c r="F106" i="30"/>
  <c r="L104" i="30"/>
  <c r="J58" i="30"/>
  <c r="F58" i="30"/>
  <c r="K56" i="30"/>
  <c r="G56" i="30"/>
  <c r="C56" i="30"/>
  <c r="M58" i="30"/>
  <c r="I58" i="30"/>
  <c r="E58" i="30"/>
  <c r="B56" i="30"/>
  <c r="J56" i="30"/>
  <c r="F56" i="30"/>
  <c r="L58" i="30"/>
  <c r="H58" i="30"/>
  <c r="D58" i="30"/>
  <c r="M56" i="30"/>
  <c r="I56" i="30"/>
  <c r="E56" i="30"/>
  <c r="K58" i="30"/>
  <c r="G58" i="30"/>
  <c r="C58" i="30"/>
  <c r="L56" i="30"/>
  <c r="H56" i="30"/>
  <c r="D56" i="30"/>
  <c r="B55" i="30"/>
  <c r="M55" i="30"/>
  <c r="I55" i="30"/>
  <c r="E55" i="30"/>
  <c r="B90" i="30"/>
  <c r="L55" i="30"/>
  <c r="H55" i="30"/>
  <c r="D55" i="30"/>
  <c r="J55" i="30"/>
  <c r="G55" i="30"/>
  <c r="F55" i="30"/>
  <c r="K55" i="30"/>
  <c r="C55" i="30"/>
  <c r="L61" i="30"/>
  <c r="K61" i="30"/>
  <c r="F61" i="30"/>
  <c r="B89" i="30"/>
  <c r="H61" i="30"/>
  <c r="G61" i="30"/>
  <c r="D61" i="30"/>
  <c r="C61" i="30"/>
  <c r="M61" i="30"/>
  <c r="I61" i="30"/>
  <c r="J61" i="30"/>
  <c r="E61" i="30"/>
  <c r="K117" i="30"/>
  <c r="G117" i="30"/>
  <c r="C117" i="30"/>
  <c r="M115" i="30"/>
  <c r="I115" i="30"/>
  <c r="E115" i="30"/>
  <c r="B123" i="30"/>
  <c r="K67" i="30"/>
  <c r="G67" i="30"/>
  <c r="C67" i="30"/>
  <c r="C115" i="30"/>
  <c r="H117" i="30"/>
  <c r="F115" i="30"/>
  <c r="D67" i="30"/>
  <c r="J117" i="30"/>
  <c r="F117" i="30"/>
  <c r="L115" i="30"/>
  <c r="H115" i="30"/>
  <c r="D115" i="30"/>
  <c r="M67" i="30"/>
  <c r="J67" i="30"/>
  <c r="F67" i="30"/>
  <c r="G115" i="30"/>
  <c r="E67" i="30"/>
  <c r="D117" i="30"/>
  <c r="M117" i="30"/>
  <c r="I117" i="30"/>
  <c r="E117" i="30"/>
  <c r="B125" i="30"/>
  <c r="K115" i="30"/>
  <c r="I67" i="30"/>
  <c r="L117" i="30"/>
  <c r="J115" i="30"/>
  <c r="L67" i="30"/>
  <c r="H67" i="30"/>
  <c r="H139" i="30"/>
  <c r="C136" i="30"/>
  <c r="J136" i="30"/>
  <c r="J138" i="30" s="1"/>
  <c r="E136" i="30"/>
  <c r="E138" i="30" s="1"/>
  <c r="I139" i="30"/>
  <c r="C134" i="30"/>
  <c r="E134" i="30"/>
  <c r="L134" i="30"/>
  <c r="B139" i="30"/>
  <c r="I125" i="30"/>
  <c r="E126" i="30"/>
  <c r="D125" i="30"/>
  <c r="F126" i="30"/>
  <c r="K126" i="30"/>
  <c r="F125" i="30"/>
  <c r="E65" i="30"/>
  <c r="J132" i="30"/>
  <c r="K63" i="30"/>
  <c r="L65" i="30"/>
  <c r="I63" i="30"/>
  <c r="E60" i="30"/>
  <c r="E54" i="30" s="1"/>
  <c r="H132" i="30"/>
  <c r="G60" i="30"/>
  <c r="G54" i="30" s="1"/>
  <c r="L63" i="30"/>
  <c r="H60" i="30"/>
  <c r="H54" i="30" s="1"/>
  <c r="C63" i="30"/>
  <c r="G123" i="30"/>
  <c r="D123" i="30"/>
  <c r="B134" i="30"/>
  <c r="J134" i="30"/>
  <c r="D139" i="30"/>
  <c r="M134" i="30"/>
  <c r="J139" i="30"/>
  <c r="H134" i="30"/>
  <c r="L136" i="30"/>
  <c r="L138" i="30" s="1"/>
  <c r="D134" i="30"/>
  <c r="D136" i="30"/>
  <c r="D138" i="30" s="1"/>
  <c r="E125" i="30"/>
  <c r="D126" i="30"/>
  <c r="L126" i="30"/>
  <c r="K125" i="30"/>
  <c r="G126" i="30"/>
  <c r="J126" i="30"/>
  <c r="B63" i="30"/>
  <c r="J60" i="30"/>
  <c r="J54" i="30" s="1"/>
  <c r="F132" i="30"/>
  <c r="K60" i="30"/>
  <c r="K54" i="30" s="1"/>
  <c r="H65" i="30"/>
  <c r="E63" i="30"/>
  <c r="M132" i="30"/>
  <c r="D132" i="30"/>
  <c r="C132" i="30"/>
  <c r="H63" i="30"/>
  <c r="D60" i="30"/>
  <c r="D54" i="30" s="1"/>
  <c r="K132" i="30"/>
  <c r="M123" i="30"/>
  <c r="C123" i="30"/>
  <c r="K123" i="30"/>
  <c r="E139" i="30"/>
  <c r="K136" i="30"/>
  <c r="K138" i="30" s="1"/>
  <c r="F134" i="30"/>
  <c r="G139" i="30"/>
  <c r="I134" i="30"/>
  <c r="F139" i="30"/>
  <c r="H136" i="30"/>
  <c r="H138" i="30" s="1"/>
  <c r="K139" i="30"/>
  <c r="C139" i="30"/>
  <c r="G134" i="30"/>
  <c r="M126" i="30"/>
  <c r="L125" i="30"/>
  <c r="H126" i="30"/>
  <c r="G125" i="30"/>
  <c r="M65" i="30"/>
  <c r="J63" i="30"/>
  <c r="F60" i="30"/>
  <c r="F54" i="30" s="1"/>
  <c r="B132" i="30"/>
  <c r="C60" i="30"/>
  <c r="D65" i="30"/>
  <c r="M60" i="30"/>
  <c r="M54" i="30" s="1"/>
  <c r="I132" i="30"/>
  <c r="K65" i="30"/>
  <c r="D63" i="30"/>
  <c r="L132" i="30"/>
  <c r="I123" i="30"/>
  <c r="L123" i="30"/>
  <c r="J123" i="30"/>
  <c r="C65" i="30"/>
  <c r="L139" i="30"/>
  <c r="G136" i="30"/>
  <c r="G138" i="30" s="1"/>
  <c r="B136" i="30"/>
  <c r="I136" i="30"/>
  <c r="I138" i="30" s="1"/>
  <c r="K134" i="30"/>
  <c r="F136" i="30"/>
  <c r="F138" i="30" s="1"/>
  <c r="M136" i="30"/>
  <c r="M138" i="30" s="1"/>
  <c r="M139" i="30"/>
  <c r="M125" i="30"/>
  <c r="I126" i="30"/>
  <c r="H125" i="30"/>
  <c r="C125" i="30"/>
  <c r="J125" i="30"/>
  <c r="I65" i="30"/>
  <c r="F63" i="30"/>
  <c r="B96" i="30"/>
  <c r="J65" i="30"/>
  <c r="G132" i="30"/>
  <c r="M63" i="30"/>
  <c r="I60" i="30"/>
  <c r="I54" i="30" s="1"/>
  <c r="E132" i="30"/>
  <c r="G63" i="30"/>
  <c r="G65" i="30"/>
  <c r="L60" i="30"/>
  <c r="L54" i="30" s="1"/>
  <c r="F65" i="30"/>
  <c r="E123" i="30"/>
  <c r="H123" i="30"/>
  <c r="F123" i="30"/>
  <c r="M102" i="30"/>
  <c r="I102" i="30"/>
  <c r="E102" i="30"/>
  <c r="L102" i="30"/>
  <c r="H102" i="30"/>
  <c r="D102" i="30"/>
  <c r="K102" i="30"/>
  <c r="G102" i="30"/>
  <c r="C102" i="30"/>
  <c r="C120" i="30" s="1"/>
  <c r="J102" i="30"/>
  <c r="F102" i="30"/>
  <c r="B102" i="30"/>
  <c r="I130" i="30"/>
  <c r="E130" i="30"/>
  <c r="M130" i="30"/>
  <c r="B129" i="30"/>
  <c r="I129" i="30"/>
  <c r="I131" i="30" s="1"/>
  <c r="E129" i="30"/>
  <c r="B128" i="30"/>
  <c r="J130" i="30"/>
  <c r="F129" i="30"/>
  <c r="L130" i="30"/>
  <c r="H130" i="30"/>
  <c r="D130" i="30"/>
  <c r="L129" i="30"/>
  <c r="H129" i="30"/>
  <c r="D129" i="30"/>
  <c r="F130" i="30"/>
  <c r="J129" i="30"/>
  <c r="K130" i="30"/>
  <c r="G130" i="30"/>
  <c r="B130" i="30"/>
  <c r="K129" i="30"/>
  <c r="G129" i="30"/>
  <c r="C129" i="30"/>
  <c r="B98" i="30"/>
  <c r="C130" i="30"/>
  <c r="M129" i="30"/>
  <c r="L128" i="30"/>
  <c r="H128" i="30"/>
  <c r="D128" i="30"/>
  <c r="K128" i="30"/>
  <c r="G128" i="30"/>
  <c r="C128" i="30"/>
  <c r="F128" i="30"/>
  <c r="J128" i="30"/>
  <c r="I128" i="30"/>
  <c r="E128" i="30"/>
  <c r="M128" i="30"/>
  <c r="J94" i="30"/>
  <c r="F94" i="30"/>
  <c r="B94" i="30"/>
  <c r="E96" i="30"/>
  <c r="I96" i="30"/>
  <c r="M96" i="30"/>
  <c r="F98" i="30"/>
  <c r="J98" i="30"/>
  <c r="E100" i="30"/>
  <c r="I100" i="30"/>
  <c r="M94" i="30"/>
  <c r="I94" i="30"/>
  <c r="E94" i="30"/>
  <c r="F96" i="30"/>
  <c r="J96" i="30"/>
  <c r="C98" i="30"/>
  <c r="G98" i="30"/>
  <c r="K98" i="30"/>
  <c r="F100" i="30"/>
  <c r="J100" i="30"/>
  <c r="L94" i="30"/>
  <c r="H94" i="30"/>
  <c r="D94" i="30"/>
  <c r="C96" i="30"/>
  <c r="G96" i="30"/>
  <c r="K96" i="30"/>
  <c r="D98" i="30"/>
  <c r="H98" i="30"/>
  <c r="L98" i="30"/>
  <c r="G100" i="30"/>
  <c r="K100" i="30"/>
  <c r="K94" i="30"/>
  <c r="G94" i="30"/>
  <c r="C94" i="30"/>
  <c r="D96" i="30"/>
  <c r="H96" i="30"/>
  <c r="L96" i="30"/>
  <c r="E98" i="30"/>
  <c r="I98" i="30"/>
  <c r="M98" i="30"/>
  <c r="H100" i="30"/>
  <c r="L100" i="30"/>
  <c r="C90" i="30"/>
  <c r="G90" i="30"/>
  <c r="K90" i="30"/>
  <c r="C89" i="30"/>
  <c r="G89" i="30"/>
  <c r="K89" i="30"/>
  <c r="F90" i="30"/>
  <c r="J89" i="30"/>
  <c r="D90" i="30"/>
  <c r="H90" i="30"/>
  <c r="L90" i="30"/>
  <c r="D89" i="30"/>
  <c r="H89" i="30"/>
  <c r="L89" i="30"/>
  <c r="J90" i="30"/>
  <c r="F89" i="30"/>
  <c r="E90" i="30"/>
  <c r="I90" i="30"/>
  <c r="M90" i="30"/>
  <c r="E89" i="30"/>
  <c r="I89" i="30"/>
  <c r="M89" i="30"/>
  <c r="B108" i="30" l="1"/>
  <c r="B105" i="30"/>
  <c r="B116" i="30"/>
  <c r="B54" i="30"/>
  <c r="B64" i="30"/>
  <c r="B66" i="30"/>
  <c r="N81" i="30"/>
  <c r="H105" i="30"/>
  <c r="H120" i="30"/>
  <c r="M105" i="30"/>
  <c r="M120" i="30"/>
  <c r="D108" i="30"/>
  <c r="D122" i="30"/>
  <c r="D118" i="30"/>
  <c r="C122" i="30"/>
  <c r="C118" i="30"/>
  <c r="I108" i="30"/>
  <c r="I122" i="30"/>
  <c r="I118" i="30"/>
  <c r="K108" i="30"/>
  <c r="K122" i="30"/>
  <c r="K118" i="30"/>
  <c r="N83" i="30"/>
  <c r="G105" i="30"/>
  <c r="G120" i="30"/>
  <c r="H108" i="30"/>
  <c r="H118" i="30"/>
  <c r="H122" i="30"/>
  <c r="M108" i="30"/>
  <c r="M118" i="30"/>
  <c r="M122" i="30"/>
  <c r="F108" i="30"/>
  <c r="F118" i="30"/>
  <c r="F122" i="30"/>
  <c r="L105" i="30"/>
  <c r="L120" i="30"/>
  <c r="F105" i="30"/>
  <c r="F120" i="30"/>
  <c r="K105" i="30"/>
  <c r="K120" i="30"/>
  <c r="E105" i="30"/>
  <c r="E120" i="30"/>
  <c r="L108" i="30"/>
  <c r="L122" i="30"/>
  <c r="L118" i="30"/>
  <c r="J108" i="30"/>
  <c r="J118" i="30"/>
  <c r="J122" i="30"/>
  <c r="B120" i="30"/>
  <c r="N119" i="30"/>
  <c r="J105" i="30"/>
  <c r="J120" i="30"/>
  <c r="D105" i="30"/>
  <c r="D120" i="30"/>
  <c r="I105" i="30"/>
  <c r="I120" i="30"/>
  <c r="G108" i="30"/>
  <c r="G122" i="30"/>
  <c r="G118" i="30"/>
  <c r="E108" i="30"/>
  <c r="E122" i="30"/>
  <c r="E118" i="30"/>
  <c r="B122" i="30"/>
  <c r="N121" i="30"/>
  <c r="B118" i="30"/>
  <c r="N79" i="30"/>
  <c r="N77" i="30"/>
  <c r="N73" i="30"/>
  <c r="N75" i="30"/>
  <c r="C138" i="30"/>
  <c r="N71" i="30"/>
  <c r="N113" i="30"/>
  <c r="C111" i="30"/>
  <c r="B111" i="30"/>
  <c r="N110" i="30"/>
  <c r="N112" i="30"/>
  <c r="C105" i="30"/>
  <c r="C108" i="30"/>
  <c r="N53" i="30"/>
  <c r="N49" i="30" s="1"/>
  <c r="N109" i="30"/>
  <c r="C64" i="30"/>
  <c r="C54" i="30"/>
  <c r="N104" i="30"/>
  <c r="N106" i="30"/>
  <c r="N107" i="30"/>
  <c r="K114" i="30"/>
  <c r="D114" i="30"/>
  <c r="C114" i="30"/>
  <c r="N56" i="30"/>
  <c r="N58" i="30"/>
  <c r="F59" i="30"/>
  <c r="F57" i="30"/>
  <c r="H57" i="30"/>
  <c r="H59" i="30"/>
  <c r="I59" i="30"/>
  <c r="I57" i="30"/>
  <c r="G59" i="30"/>
  <c r="G57" i="30"/>
  <c r="L57" i="30"/>
  <c r="L59" i="30"/>
  <c r="M59" i="30"/>
  <c r="M57" i="30"/>
  <c r="C59" i="30"/>
  <c r="C57" i="30"/>
  <c r="J59" i="30"/>
  <c r="J57" i="30"/>
  <c r="K59" i="30"/>
  <c r="K57" i="30"/>
  <c r="D57" i="30"/>
  <c r="D59" i="30"/>
  <c r="E59" i="30"/>
  <c r="E57" i="30"/>
  <c r="B59" i="30"/>
  <c r="B57" i="30"/>
  <c r="N55" i="30"/>
  <c r="C124" i="30"/>
  <c r="C116" i="30"/>
  <c r="H124" i="30"/>
  <c r="H116" i="30"/>
  <c r="M124" i="30"/>
  <c r="M116" i="30"/>
  <c r="I127" i="30"/>
  <c r="N65" i="30"/>
  <c r="C62" i="30"/>
  <c r="C66" i="30"/>
  <c r="M127" i="30"/>
  <c r="K62" i="30"/>
  <c r="K66" i="30"/>
  <c r="K64" i="30"/>
  <c r="J127" i="30"/>
  <c r="D127" i="30"/>
  <c r="E127" i="30"/>
  <c r="N69" i="30"/>
  <c r="B114" i="30"/>
  <c r="B124" i="30"/>
  <c r="L124" i="30"/>
  <c r="L116" i="30"/>
  <c r="L62" i="30"/>
  <c r="L66" i="30"/>
  <c r="L64" i="30"/>
  <c r="I62" i="30"/>
  <c r="I64" i="30"/>
  <c r="I66" i="30"/>
  <c r="B138" i="30"/>
  <c r="N136" i="30"/>
  <c r="D62" i="30"/>
  <c r="D66" i="30"/>
  <c r="D64" i="30"/>
  <c r="G127" i="30"/>
  <c r="H62" i="30"/>
  <c r="H66" i="30"/>
  <c r="H64" i="30"/>
  <c r="E62" i="30"/>
  <c r="E64" i="30"/>
  <c r="E66" i="30"/>
  <c r="K127" i="30"/>
  <c r="N123" i="30"/>
  <c r="G124" i="30"/>
  <c r="G116" i="30"/>
  <c r="F124" i="30"/>
  <c r="F116" i="30"/>
  <c r="K124" i="30"/>
  <c r="K116" i="30"/>
  <c r="E124" i="30"/>
  <c r="E116" i="30"/>
  <c r="C127" i="30"/>
  <c r="B127" i="30"/>
  <c r="N126" i="30"/>
  <c r="N61" i="30"/>
  <c r="M62" i="30"/>
  <c r="M64" i="30"/>
  <c r="M66" i="30"/>
  <c r="F62" i="30"/>
  <c r="F66" i="30"/>
  <c r="F64" i="30"/>
  <c r="H127" i="30"/>
  <c r="J62" i="30"/>
  <c r="J66" i="30"/>
  <c r="J64" i="30"/>
  <c r="N60" i="30"/>
  <c r="N54" i="30" s="1"/>
  <c r="F127" i="30"/>
  <c r="B140" i="30"/>
  <c r="N139" i="30"/>
  <c r="N125" i="30"/>
  <c r="N117" i="30"/>
  <c r="J124" i="30"/>
  <c r="J116" i="30"/>
  <c r="D124" i="30"/>
  <c r="D116" i="30"/>
  <c r="I124" i="30"/>
  <c r="I116" i="30"/>
  <c r="N63" i="30"/>
  <c r="L127" i="30"/>
  <c r="G62" i="30"/>
  <c r="G66" i="30"/>
  <c r="G64" i="30"/>
  <c r="N115" i="30"/>
  <c r="N67" i="30"/>
  <c r="B91" i="30"/>
  <c r="B68" i="30" s="1"/>
  <c r="M131" i="30"/>
  <c r="L131" i="30"/>
  <c r="K131" i="30"/>
  <c r="J131" i="30"/>
  <c r="H131" i="30"/>
  <c r="G131" i="30"/>
  <c r="F131" i="30"/>
  <c r="E131" i="30"/>
  <c r="C131" i="30"/>
  <c r="D131" i="30"/>
  <c r="N132" i="30"/>
  <c r="K91" i="30"/>
  <c r="K84" i="30" s="1"/>
  <c r="N134" i="30"/>
  <c r="N130" i="30"/>
  <c r="N129" i="30"/>
  <c r="B131" i="30"/>
  <c r="F91" i="30"/>
  <c r="C91" i="30"/>
  <c r="C84" i="30" s="1"/>
  <c r="N94" i="30"/>
  <c r="N128" i="30"/>
  <c r="N135" i="30" s="1"/>
  <c r="N102" i="30"/>
  <c r="N96" i="30"/>
  <c r="N98" i="30"/>
  <c r="J91" i="30"/>
  <c r="N90" i="30"/>
  <c r="N89" i="30"/>
  <c r="L91" i="30"/>
  <c r="H91" i="30"/>
  <c r="G91" i="30"/>
  <c r="M91" i="30"/>
  <c r="I91" i="30"/>
  <c r="E91" i="30"/>
  <c r="D91" i="30"/>
  <c r="D84" i="30" s="1"/>
  <c r="N57" i="30" l="1"/>
  <c r="N59" i="30"/>
  <c r="K82" i="30"/>
  <c r="C82" i="30"/>
  <c r="E82" i="30"/>
  <c r="E84" i="30"/>
  <c r="H84" i="30"/>
  <c r="H82" i="30"/>
  <c r="J84" i="30"/>
  <c r="J82" i="30"/>
  <c r="B80" i="30"/>
  <c r="B84" i="30"/>
  <c r="B82" i="30"/>
  <c r="D82" i="30"/>
  <c r="G82" i="30"/>
  <c r="G84" i="30"/>
  <c r="N120" i="30"/>
  <c r="F84" i="30"/>
  <c r="F82" i="30"/>
  <c r="I82" i="30"/>
  <c r="I84" i="30"/>
  <c r="L82" i="30"/>
  <c r="L84" i="30"/>
  <c r="M82" i="30"/>
  <c r="M84" i="30"/>
  <c r="N122" i="30"/>
  <c r="N118" i="30"/>
  <c r="F78" i="30"/>
  <c r="F80" i="30"/>
  <c r="M78" i="30"/>
  <c r="M80" i="30"/>
  <c r="C76" i="30"/>
  <c r="C80" i="30"/>
  <c r="D76" i="30"/>
  <c r="D80" i="30"/>
  <c r="G78" i="30"/>
  <c r="G80" i="30"/>
  <c r="E78" i="30"/>
  <c r="E80" i="30"/>
  <c r="H78" i="30"/>
  <c r="H80" i="30"/>
  <c r="J78" i="30"/>
  <c r="J80" i="30"/>
  <c r="K76" i="30"/>
  <c r="K80" i="30"/>
  <c r="I78" i="30"/>
  <c r="I80" i="30"/>
  <c r="L78" i="30"/>
  <c r="L80" i="30"/>
  <c r="B78" i="30"/>
  <c r="B74" i="30"/>
  <c r="B76" i="30"/>
  <c r="K78" i="30"/>
  <c r="D78" i="30"/>
  <c r="C78" i="30"/>
  <c r="D72" i="30"/>
  <c r="D74" i="30"/>
  <c r="E72" i="30"/>
  <c r="E74" i="30"/>
  <c r="E76" i="30"/>
  <c r="I72" i="30"/>
  <c r="I76" i="30"/>
  <c r="I74" i="30"/>
  <c r="M72" i="30"/>
  <c r="M74" i="30"/>
  <c r="M76" i="30"/>
  <c r="G72" i="30"/>
  <c r="G76" i="30"/>
  <c r="G74" i="30"/>
  <c r="H72" i="30"/>
  <c r="H74" i="30"/>
  <c r="H76" i="30"/>
  <c r="L72" i="30"/>
  <c r="L76" i="30"/>
  <c r="L74" i="30"/>
  <c r="J72" i="30"/>
  <c r="J76" i="30"/>
  <c r="J74" i="30"/>
  <c r="C72" i="30"/>
  <c r="C74" i="30"/>
  <c r="F72" i="30"/>
  <c r="F76" i="30"/>
  <c r="F74" i="30"/>
  <c r="K72" i="30"/>
  <c r="K74" i="30"/>
  <c r="B72" i="30"/>
  <c r="N111" i="30"/>
  <c r="N105" i="30"/>
  <c r="N108" i="30"/>
  <c r="B70" i="30"/>
  <c r="B93" i="30"/>
  <c r="N138" i="30"/>
  <c r="N140" i="30"/>
  <c r="N62" i="30"/>
  <c r="N66" i="30"/>
  <c r="N64" i="30"/>
  <c r="N114" i="30"/>
  <c r="N127" i="30"/>
  <c r="N124" i="30"/>
  <c r="N116" i="30"/>
  <c r="F103" i="30"/>
  <c r="F70" i="30"/>
  <c r="F68" i="30"/>
  <c r="G68" i="30"/>
  <c r="G70" i="30"/>
  <c r="E70" i="30"/>
  <c r="E68" i="30"/>
  <c r="J92" i="30"/>
  <c r="J70" i="30"/>
  <c r="J68" i="30"/>
  <c r="K101" i="30"/>
  <c r="K68" i="30"/>
  <c r="K70" i="30"/>
  <c r="M70" i="30"/>
  <c r="M68" i="30"/>
  <c r="C92" i="30"/>
  <c r="C68" i="30"/>
  <c r="C70" i="30"/>
  <c r="D68" i="30"/>
  <c r="D70" i="30"/>
  <c r="H68" i="30"/>
  <c r="H70" i="30"/>
  <c r="I70" i="30"/>
  <c r="I68" i="30"/>
  <c r="L68" i="30"/>
  <c r="L70" i="30"/>
  <c r="B95" i="30"/>
  <c r="B103" i="30"/>
  <c r="B99" i="30"/>
  <c r="N137" i="30"/>
  <c r="K93" i="30"/>
  <c r="B97" i="30"/>
  <c r="N131" i="30"/>
  <c r="C93" i="30"/>
  <c r="B92" i="30"/>
  <c r="F93" i="30"/>
  <c r="F95" i="30"/>
  <c r="F92" i="30"/>
  <c r="F101" i="30"/>
  <c r="F99" i="30"/>
  <c r="K92" i="30"/>
  <c r="K95" i="30"/>
  <c r="F97" i="30"/>
  <c r="K99" i="30"/>
  <c r="J93" i="30"/>
  <c r="K103" i="30"/>
  <c r="K97" i="30"/>
  <c r="L99" i="30"/>
  <c r="L101" i="30"/>
  <c r="L95" i="30"/>
  <c r="L103" i="30"/>
  <c r="L97" i="30"/>
  <c r="J99" i="30"/>
  <c r="J95" i="30"/>
  <c r="J101" i="30"/>
  <c r="J103" i="30"/>
  <c r="J97" i="30"/>
  <c r="I103" i="30"/>
  <c r="I97" i="30"/>
  <c r="I101" i="30"/>
  <c r="I99" i="30"/>
  <c r="I95" i="30"/>
  <c r="M103" i="30"/>
  <c r="M97" i="30"/>
  <c r="M99" i="30"/>
  <c r="M95" i="30"/>
  <c r="C103" i="30"/>
  <c r="C99" i="30"/>
  <c r="C95" i="30"/>
  <c r="C97" i="30"/>
  <c r="D99" i="30"/>
  <c r="D103" i="30"/>
  <c r="D95" i="30"/>
  <c r="D97" i="30"/>
  <c r="G101" i="30"/>
  <c r="G97" i="30"/>
  <c r="G99" i="30"/>
  <c r="G95" i="30"/>
  <c r="G103" i="30"/>
  <c r="N133" i="30"/>
  <c r="E103" i="30"/>
  <c r="E97" i="30"/>
  <c r="E101" i="30"/>
  <c r="E99" i="30"/>
  <c r="E95" i="30"/>
  <c r="H95" i="30"/>
  <c r="H103" i="30"/>
  <c r="H97" i="30"/>
  <c r="H101" i="30"/>
  <c r="H99" i="30"/>
  <c r="L93" i="30"/>
  <c r="L92" i="30"/>
  <c r="I92" i="30"/>
  <c r="I93" i="30"/>
  <c r="H92" i="30"/>
  <c r="H93" i="30"/>
  <c r="E93" i="30"/>
  <c r="E92" i="30"/>
  <c r="D93" i="30"/>
  <c r="D92" i="30"/>
  <c r="M93" i="30"/>
  <c r="M92" i="30"/>
  <c r="G93" i="30"/>
  <c r="G92" i="30"/>
  <c r="N91" i="30"/>
  <c r="N80" i="30" l="1"/>
  <c r="N84" i="30"/>
  <c r="N82" i="30"/>
  <c r="N74" i="30"/>
  <c r="N78" i="30"/>
  <c r="N72" i="30"/>
  <c r="N76" i="30"/>
  <c r="N70" i="30"/>
  <c r="N68" i="30"/>
  <c r="N99" i="30"/>
  <c r="N103" i="30"/>
  <c r="N97" i="30"/>
  <c r="N95" i="30"/>
  <c r="N92" i="30"/>
  <c r="N93" i="30"/>
  <c r="J48" i="30" l="1"/>
  <c r="F48" i="30"/>
  <c r="M48" i="30"/>
  <c r="I48" i="30"/>
  <c r="E48" i="30"/>
  <c r="C48" i="30"/>
  <c r="C49" i="30" s="1"/>
  <c r="L48" i="30"/>
  <c r="H48" i="30"/>
  <c r="D48" i="30"/>
  <c r="D49" i="30" s="1"/>
  <c r="B48" i="30"/>
  <c r="K48" i="30"/>
  <c r="G48" i="30"/>
  <c r="B40" i="30"/>
  <c r="L50" i="30"/>
  <c r="H50" i="30"/>
  <c r="D50" i="30"/>
  <c r="M51" i="30"/>
  <c r="I51" i="30"/>
  <c r="E51" i="30"/>
  <c r="K50" i="30"/>
  <c r="G50" i="30"/>
  <c r="C50" i="30"/>
  <c r="L51" i="30"/>
  <c r="H51" i="30"/>
  <c r="D51" i="30"/>
  <c r="J50" i="30"/>
  <c r="F50" i="30"/>
  <c r="B50" i="30"/>
  <c r="K51" i="30"/>
  <c r="G51" i="30"/>
  <c r="C51" i="30"/>
  <c r="M50" i="30"/>
  <c r="I50" i="30"/>
  <c r="E50" i="30"/>
  <c r="B51" i="30"/>
  <c r="J51" i="30"/>
  <c r="F51" i="30"/>
  <c r="C43" i="30"/>
  <c r="J43" i="30"/>
  <c r="F43" i="30"/>
  <c r="B43" i="30"/>
  <c r="M43" i="30"/>
  <c r="I43" i="30"/>
  <c r="E43" i="30"/>
  <c r="C40" i="30"/>
  <c r="L43" i="30"/>
  <c r="K43" i="30"/>
  <c r="G43" i="30"/>
  <c r="D43" i="30"/>
  <c r="B41" i="30"/>
  <c r="H43" i="30"/>
  <c r="F52" i="30" l="1"/>
  <c r="E52" i="30"/>
  <c r="G52" i="30"/>
  <c r="H52" i="30"/>
  <c r="K52" i="30"/>
  <c r="L52" i="30"/>
  <c r="I52" i="30"/>
  <c r="M52" i="30"/>
  <c r="J52" i="30"/>
  <c r="N48" i="30"/>
  <c r="B49" i="30"/>
  <c r="B52" i="30"/>
  <c r="D52" i="30"/>
  <c r="C52" i="30"/>
  <c r="N50" i="30"/>
  <c r="N51" i="30"/>
  <c r="B42" i="30"/>
  <c r="C44" i="30"/>
  <c r="B44" i="30"/>
  <c r="N52" i="30" l="1"/>
  <c r="B37" i="30"/>
  <c r="F38" i="30"/>
  <c r="D38" i="30"/>
  <c r="I38" i="30"/>
  <c r="L37" i="30"/>
  <c r="L39" i="30" s="1"/>
  <c r="G37" i="30"/>
  <c r="H38" i="30"/>
  <c r="M37" i="30"/>
  <c r="K38" i="30"/>
  <c r="J37" i="30"/>
  <c r="J39" i="30" s="1"/>
  <c r="E37" i="30"/>
  <c r="C38" i="30"/>
  <c r="K37" i="30"/>
  <c r="K39" i="30" s="1"/>
  <c r="M38" i="30"/>
  <c r="H37" i="30"/>
  <c r="H39" i="30" s="1"/>
  <c r="C37" i="30"/>
  <c r="E38" i="30"/>
  <c r="J38" i="30"/>
  <c r="D37" i="30"/>
  <c r="F37" i="30"/>
  <c r="B38" i="30"/>
  <c r="G38" i="30"/>
  <c r="L38" i="30"/>
  <c r="I37" i="30"/>
  <c r="I39" i="30" s="1"/>
  <c r="M39" i="30" l="1"/>
  <c r="G39" i="30"/>
  <c r="B39" i="30"/>
  <c r="J8" i="30"/>
  <c r="K8" i="30"/>
  <c r="D8" i="30"/>
  <c r="F8" i="30"/>
  <c r="E8" i="30"/>
  <c r="H8" i="30"/>
  <c r="G8" i="30"/>
  <c r="M8" i="30"/>
  <c r="L8" i="30"/>
  <c r="B8" i="30"/>
  <c r="C8" i="30"/>
  <c r="I8" i="30"/>
  <c r="N43" i="30"/>
  <c r="B46" i="30"/>
  <c r="B45" i="30"/>
  <c r="B47" i="30" l="1"/>
  <c r="D39" i="30"/>
  <c r="G146" i="30"/>
  <c r="M85" i="30"/>
  <c r="F87" i="30"/>
  <c r="B146" i="30"/>
  <c r="C144" i="30"/>
  <c r="K87" i="30"/>
  <c r="F144" i="30"/>
  <c r="D144" i="30"/>
  <c r="L85" i="30"/>
  <c r="D146" i="30"/>
  <c r="L87" i="30"/>
  <c r="F85" i="30"/>
  <c r="L144" i="30"/>
  <c r="H87" i="30"/>
  <c r="B85" i="30"/>
  <c r="I144" i="30"/>
  <c r="F146" i="30"/>
  <c r="M87" i="30"/>
  <c r="G85" i="30"/>
  <c r="I146" i="30"/>
  <c r="G87" i="30"/>
  <c r="H85" i="30"/>
  <c r="K144" i="30"/>
  <c r="C146" i="30"/>
  <c r="D85" i="30"/>
  <c r="G144" i="30"/>
  <c r="L146" i="30"/>
  <c r="I85" i="30"/>
  <c r="B87" i="30"/>
  <c r="E144" i="30"/>
  <c r="J144" i="30"/>
  <c r="I87" i="30"/>
  <c r="C85" i="30"/>
  <c r="E146" i="30"/>
  <c r="C87" i="30"/>
  <c r="B144" i="30"/>
  <c r="M146" i="30"/>
  <c r="K85" i="30"/>
  <c r="J146" i="30"/>
  <c r="H144" i="30"/>
  <c r="D87" i="30"/>
  <c r="H146" i="30"/>
  <c r="E85" i="30"/>
  <c r="J85" i="30"/>
  <c r="K146" i="30"/>
  <c r="M144" i="30"/>
  <c r="E87" i="30"/>
  <c r="J87" i="30"/>
  <c r="I40" i="30"/>
  <c r="D40" i="30"/>
  <c r="L41" i="30"/>
  <c r="L46" i="30" s="1"/>
  <c r="E40" i="30"/>
  <c r="K40" i="30"/>
  <c r="H41" i="30"/>
  <c r="H46" i="30" s="1"/>
  <c r="J41" i="30"/>
  <c r="J46" i="30" s="1"/>
  <c r="K41" i="30"/>
  <c r="K46" i="30" s="1"/>
  <c r="L40" i="30"/>
  <c r="I41" i="30"/>
  <c r="I46" i="30" s="1"/>
  <c r="J40" i="30"/>
  <c r="G40" i="30"/>
  <c r="M40" i="30"/>
  <c r="F41" i="30"/>
  <c r="H40" i="30"/>
  <c r="F40" i="30"/>
  <c r="G41" i="30"/>
  <c r="G46" i="30" s="1"/>
  <c r="F44" i="30" l="1"/>
  <c r="E44" i="30"/>
  <c r="D45" i="30"/>
  <c r="D44" i="30"/>
  <c r="M45" i="30"/>
  <c r="M44" i="30"/>
  <c r="L45" i="30"/>
  <c r="L47" i="30" s="1"/>
  <c r="L44" i="30"/>
  <c r="K45" i="30"/>
  <c r="K47" i="30" s="1"/>
  <c r="K44" i="30"/>
  <c r="I45" i="30"/>
  <c r="I47" i="30" s="1"/>
  <c r="I44" i="30"/>
  <c r="G45" i="30"/>
  <c r="G47" i="30" s="1"/>
  <c r="G44" i="30"/>
  <c r="H45" i="30"/>
  <c r="H47" i="30" s="1"/>
  <c r="H44" i="30"/>
  <c r="J45" i="30"/>
  <c r="J47" i="30" s="1"/>
  <c r="J44" i="30"/>
  <c r="E39" i="30"/>
  <c r="E45" i="30"/>
  <c r="N38" i="30"/>
  <c r="F46" i="30"/>
  <c r="F39" i="30"/>
  <c r="B145" i="30"/>
  <c r="B147" i="30"/>
  <c r="B88" i="30"/>
  <c r="B86" i="30"/>
  <c r="N85" i="30"/>
  <c r="N146" i="30"/>
  <c r="N87" i="30"/>
  <c r="N144" i="30"/>
  <c r="L147" i="30"/>
  <c r="L145" i="30"/>
  <c r="K147" i="30"/>
  <c r="K145" i="30"/>
  <c r="D147" i="30"/>
  <c r="D145" i="30"/>
  <c r="H147" i="30"/>
  <c r="H145" i="30"/>
  <c r="G145" i="30"/>
  <c r="G147" i="30"/>
  <c r="C147" i="30"/>
  <c r="C145" i="30"/>
  <c r="J145" i="30"/>
  <c r="J147" i="30"/>
  <c r="E145" i="30"/>
  <c r="E147" i="30"/>
  <c r="I145" i="30"/>
  <c r="I147" i="30"/>
  <c r="F145" i="30"/>
  <c r="F147" i="30"/>
  <c r="M147" i="30"/>
  <c r="M145" i="30"/>
  <c r="L42" i="30"/>
  <c r="L88" i="30"/>
  <c r="L86" i="30"/>
  <c r="K42" i="30"/>
  <c r="K88" i="30"/>
  <c r="K86" i="30"/>
  <c r="D86" i="30"/>
  <c r="D88" i="30"/>
  <c r="H42" i="30"/>
  <c r="H86" i="30"/>
  <c r="H88" i="30"/>
  <c r="G42" i="30"/>
  <c r="G88" i="30"/>
  <c r="G86" i="30"/>
  <c r="C88" i="30"/>
  <c r="C86" i="30"/>
  <c r="N40" i="30"/>
  <c r="J42" i="30"/>
  <c r="J86" i="30"/>
  <c r="J88" i="30"/>
  <c r="E88" i="30"/>
  <c r="E86" i="30"/>
  <c r="I42" i="30"/>
  <c r="I86" i="30"/>
  <c r="I88" i="30"/>
  <c r="F42" i="30"/>
  <c r="F88" i="30"/>
  <c r="F86" i="30"/>
  <c r="M88" i="30"/>
  <c r="M86" i="30"/>
  <c r="N44" i="30" l="1"/>
  <c r="F45" i="30"/>
  <c r="F47" i="30" s="1"/>
  <c r="C39" i="30"/>
  <c r="N37" i="30"/>
  <c r="N39" i="30" s="1"/>
  <c r="C45" i="30"/>
  <c r="N145" i="30"/>
  <c r="N147" i="30"/>
  <c r="N86" i="30"/>
  <c r="N88" i="30"/>
  <c r="N45" i="30" l="1"/>
  <c r="M148" i="30" l="1"/>
  <c r="M149" i="30" s="1"/>
  <c r="M150" i="30"/>
  <c r="M151" i="30" s="1"/>
  <c r="M152" i="30"/>
  <c r="M153" i="30" s="1"/>
  <c r="L148" i="30"/>
  <c r="L149" i="30" s="1"/>
  <c r="L150" i="30"/>
  <c r="L151" i="30" s="1"/>
  <c r="L152" i="30"/>
  <c r="L153" i="30" s="1"/>
  <c r="K152" i="30"/>
  <c r="K153" i="30" s="1"/>
  <c r="K148" i="30"/>
  <c r="K149" i="30" s="1"/>
  <c r="K150" i="30"/>
  <c r="K151" i="30" s="1"/>
  <c r="J150" i="30"/>
  <c r="J151" i="30" s="1"/>
  <c r="J148" i="30"/>
  <c r="J149" i="30" s="1"/>
  <c r="J152" i="30"/>
  <c r="J153" i="30" s="1"/>
  <c r="I150" i="30"/>
  <c r="I151" i="30" s="1"/>
  <c r="I152" i="30"/>
  <c r="I153" i="30" s="1"/>
  <c r="I148" i="30"/>
  <c r="I149" i="30" s="1"/>
  <c r="H152" i="30"/>
  <c r="H153" i="30" s="1"/>
  <c r="H150" i="30"/>
  <c r="H151" i="30" s="1"/>
  <c r="H148" i="30"/>
  <c r="H149" i="30" s="1"/>
  <c r="G150" i="30"/>
  <c r="G151" i="30" s="1"/>
  <c r="G148" i="30"/>
  <c r="G149" i="30" s="1"/>
  <c r="G152" i="30"/>
  <c r="G153" i="30" s="1"/>
  <c r="F152" i="30"/>
  <c r="F153" i="30" s="1"/>
  <c r="F148" i="30"/>
  <c r="F149" i="30" s="1"/>
  <c r="F150" i="30"/>
  <c r="F151" i="30" s="1"/>
  <c r="E41" i="30" l="1"/>
  <c r="D41" i="30"/>
  <c r="M41" i="30"/>
  <c r="M46" i="30" s="1"/>
  <c r="M47" i="30" s="1"/>
  <c r="C41" i="30"/>
  <c r="M42" i="30" l="1"/>
  <c r="C42" i="30"/>
  <c r="C46" i="30"/>
  <c r="C47" i="30" s="1"/>
  <c r="D42" i="30"/>
  <c r="D46" i="30"/>
  <c r="D47" i="30" s="1"/>
  <c r="E42" i="30"/>
  <c r="E46" i="30"/>
  <c r="E47" i="30" s="1"/>
  <c r="N41" i="30"/>
  <c r="N42" i="30" s="1"/>
  <c r="N46" i="30" l="1"/>
  <c r="N47" i="30" s="1"/>
  <c r="C100" i="30"/>
  <c r="C101" i="30" s="1"/>
  <c r="B100" i="30"/>
  <c r="B101" i="30" s="1"/>
  <c r="D100" i="30"/>
  <c r="D101" i="30" s="1"/>
  <c r="M100" i="30" l="1"/>
  <c r="N100" i="30" l="1"/>
  <c r="N101" i="30" s="1"/>
  <c r="M101" i="30"/>
  <c r="M11" i="30"/>
  <c r="I11" i="30"/>
  <c r="E11" i="30"/>
  <c r="B11" i="30"/>
  <c r="J11" i="30"/>
  <c r="F11" i="30"/>
  <c r="K11" i="30"/>
  <c r="G11" i="30"/>
  <c r="C11" i="30"/>
  <c r="L11" i="30"/>
  <c r="H11" i="30"/>
  <c r="D11" i="30"/>
  <c r="B152" i="30" l="1"/>
  <c r="B153" i="30" s="1"/>
  <c r="B150" i="30"/>
  <c r="B151" i="30" s="1"/>
  <c r="B148" i="30"/>
  <c r="B149" i="30" s="1"/>
  <c r="D150" i="30"/>
  <c r="D151" i="30" s="1"/>
  <c r="D148" i="30"/>
  <c r="D149" i="30" s="1"/>
  <c r="D152" i="30"/>
  <c r="D153" i="30" s="1"/>
  <c r="E150" i="30"/>
  <c r="E151" i="30" s="1"/>
  <c r="E152" i="30"/>
  <c r="E153" i="30" s="1"/>
  <c r="E148" i="30"/>
  <c r="E149" i="30" s="1"/>
  <c r="C150" i="30"/>
  <c r="C148" i="30"/>
  <c r="C152" i="30"/>
  <c r="N152" i="30" l="1"/>
  <c r="N153" i="30" s="1"/>
  <c r="C153" i="30"/>
  <c r="N148" i="30"/>
  <c r="N149" i="30" s="1"/>
  <c r="C149" i="30"/>
  <c r="N150" i="30"/>
  <c r="N151" i="30" s="1"/>
  <c r="C151" i="30"/>
</calcChain>
</file>

<file path=xl/sharedStrings.xml><?xml version="1.0" encoding="utf-8"?>
<sst xmlns="http://schemas.openxmlformats.org/spreadsheetml/2006/main" count="1526" uniqueCount="920">
  <si>
    <t>NOMBRE 1</t>
  </si>
  <si>
    <t>NOMBRE 2</t>
  </si>
  <si>
    <t>TIPO DE DOCUMENTO</t>
  </si>
  <si>
    <t>No DE IDENTIFICACION</t>
  </si>
  <si>
    <t>FECHA DE NACIMIENTO</t>
  </si>
  <si>
    <t>EDAD ACTUAL</t>
  </si>
  <si>
    <t>ASEGURADORA</t>
  </si>
  <si>
    <t>ZONA DE RESIDENCIA</t>
  </si>
  <si>
    <t>TELEFONO FIJO O CELULAR</t>
  </si>
  <si>
    <t>ESTUDIOS</t>
  </si>
  <si>
    <t>APOYO FAMILIAR</t>
  </si>
  <si>
    <t>SEMANAS DE GESTACION AL INGRESO</t>
  </si>
  <si>
    <t>TRIMESTRE DE  INGRESO AL CPN</t>
  </si>
  <si>
    <t>SEMANAS DE GESTACION ACTUALIZADAS</t>
  </si>
  <si>
    <t>SEMANAS DE GESTACION A LA CONSULTA ODONTOLOGICA</t>
  </si>
  <si>
    <t>LUGAR DE ATENCION DEL PARTO</t>
  </si>
  <si>
    <t>PROFESIONAL O PERSONA QUE ATIENDE EL PARTO</t>
  </si>
  <si>
    <t>IMC</t>
  </si>
  <si>
    <t>AÑO</t>
  </si>
  <si>
    <t>ESTADO CIVIL</t>
  </si>
  <si>
    <t>OCUPACION</t>
  </si>
  <si>
    <t>APELLIDO 2</t>
  </si>
  <si>
    <t>CITA PROXIMO CONTROL</t>
  </si>
  <si>
    <t>SALE DEL PROGRAMA POR</t>
  </si>
  <si>
    <t>RESULTADO ULTIMA CITOLOGIA (SEGÚN NORMA Y VIGENTE)</t>
  </si>
  <si>
    <t>TIPO DE ETNIA</t>
  </si>
  <si>
    <t>MUJER CABEZA DE FAMILIA</t>
  </si>
  <si>
    <t>HA SIDO VICTIMA DE VIOLENCIA FISICA O PSICOLOGICA</t>
  </si>
  <si>
    <t xml:space="preserve">FECHA DE SALIDA </t>
  </si>
  <si>
    <t>REGIMEN</t>
  </si>
  <si>
    <t>GRUPO DE POBLACION ESPECIAL</t>
  </si>
  <si>
    <t>GRUPO INDIGENA ESPECIFICO</t>
  </si>
  <si>
    <t>PUNTO O CENTRO DE ATENCION</t>
  </si>
  <si>
    <t>ADHERENCIA AL CPN</t>
  </si>
  <si>
    <t>FECHA CONSULTA DE 1RA VEZ POR ODONTOLOGIA</t>
  </si>
  <si>
    <t>PERIODO INTERGENESICO (MESES)</t>
  </si>
  <si>
    <t>CONDUCTA ANTE RESULTADO PATOLOGICO</t>
  </si>
  <si>
    <t>TIEMPO DE LA TOMA</t>
  </si>
  <si>
    <t>CLASIFICACION TIEMPO TOMA</t>
  </si>
  <si>
    <t>NUMERO NACIDOS VIVOS</t>
  </si>
  <si>
    <t>FUM FORMULA CONFIABLE</t>
  </si>
  <si>
    <t>APLICACIÓN DE VIT K</t>
  </si>
  <si>
    <t>GRUPO SANGUINEO RN</t>
  </si>
  <si>
    <t>TOTAL CONTROLES</t>
  </si>
  <si>
    <t>PESO AL NACER POR EDAD GESTACIONAL</t>
  </si>
  <si>
    <t>TALLA EN Mts       (Coma para decimal)</t>
  </si>
  <si>
    <t>EFECTIVIDAD DEMANDA</t>
  </si>
  <si>
    <t>FECHA INDUCCION A LA DEMANDA CPN</t>
  </si>
  <si>
    <t>GESTANTES ACTUALES</t>
  </si>
  <si>
    <t>RESGUARDO O CORREGIMIENTO</t>
  </si>
  <si>
    <t xml:space="preserve">NOVEDAD AL MOMENTO CAPTACION </t>
  </si>
  <si>
    <t xml:space="preserve">CONTROLES PROGRAMADOS </t>
  </si>
  <si>
    <t>VEREDA/BARRIO</t>
  </si>
  <si>
    <t>RIESGO PSICOSOCIAL</t>
  </si>
  <si>
    <t>FUM</t>
  </si>
  <si>
    <t>FECHA ECO 1</t>
  </si>
  <si>
    <t>SEMANAS GESTACION ECO 1</t>
  </si>
  <si>
    <t>FUM X ECO 1</t>
  </si>
  <si>
    <t>FECHA ECO 2</t>
  </si>
  <si>
    <t>SEMANAS GESTACION ECO 2</t>
  </si>
  <si>
    <t>CLASIFICACION NUTRICIONAL 1</t>
  </si>
  <si>
    <t>FECHA DEL PESO Y TALLA II TRIM</t>
  </si>
  <si>
    <t>FECHA DEL PESO Y TALLA III TRIM</t>
  </si>
  <si>
    <t>FECHA C2</t>
  </si>
  <si>
    <t>FECHA C3</t>
  </si>
  <si>
    <t>FECHA C4</t>
  </si>
  <si>
    <t>FECHA C5</t>
  </si>
  <si>
    <t>FECHA C6</t>
  </si>
  <si>
    <t>FECHA C7</t>
  </si>
  <si>
    <t>FECHA C8</t>
  </si>
  <si>
    <t>FECHA C9</t>
  </si>
  <si>
    <t>FECHA C10</t>
  </si>
  <si>
    <t>FECHA C11</t>
  </si>
  <si>
    <t>% CUMPLIM INDIVIDUAL</t>
  </si>
  <si>
    <t>FECHA  REMISION PSICOLOGIA</t>
  </si>
  <si>
    <t>FECHA ASISTENCIA A CONSULTA PSICOLOGIA</t>
  </si>
  <si>
    <t>FECHA  REMISION NUTRICION</t>
  </si>
  <si>
    <t>FECHA ASISTENCIA A CONSULTA NUTRICION</t>
  </si>
  <si>
    <t>FECHA  REMISION GINECOLOGO</t>
  </si>
  <si>
    <t>FECHA RESULTADO HB</t>
  </si>
  <si>
    <t>EDAD GESTACIONAL HB</t>
  </si>
  <si>
    <t xml:space="preserve">RESULTADO UROCULTIVO </t>
  </si>
  <si>
    <t>FECHA RESULTADO UROCULTIVO</t>
  </si>
  <si>
    <t>EDAD GESTACIONAL UROCULTIVO</t>
  </si>
  <si>
    <t>RESULTADO HEP B ANTIGENO SUPERFICIE</t>
  </si>
  <si>
    <t>FECHA RESULTADO H ASB</t>
  </si>
  <si>
    <t>RESULTADO Toxoplasma IgG</t>
  </si>
  <si>
    <t>FECHA RESULTADO TOXO</t>
  </si>
  <si>
    <t>RESULTADO CONFIRM. TOXO. IgM</t>
  </si>
  <si>
    <t>EDAD GESTACIONAL SALIDA PROGRAMA</t>
  </si>
  <si>
    <t>SEXO RN</t>
  </si>
  <si>
    <t>RESULTADO TSH</t>
  </si>
  <si>
    <t xml:space="preserve"> FECHA RESULTADO TSH</t>
  </si>
  <si>
    <t>SEXO RN 2</t>
  </si>
  <si>
    <t>PESO AL NACER POR EDAD GESTACIONAL RN 2</t>
  </si>
  <si>
    <t>TOMA  TSH 2</t>
  </si>
  <si>
    <t>RESULTADO TSH 2</t>
  </si>
  <si>
    <t xml:space="preserve"> FECHA RESULTADO TSH 2</t>
  </si>
  <si>
    <t>APLICACIÓN DE VIT K 2</t>
  </si>
  <si>
    <t>GRUPO SANGUINEO RN 2</t>
  </si>
  <si>
    <t xml:space="preserve">CONTROL RN FECHA ASISTIO </t>
  </si>
  <si>
    <t>CONTROL DE PUERPERIO FECHA</t>
  </si>
  <si>
    <t>APELLIDO</t>
  </si>
  <si>
    <t>RESULTADO HEMOGLOBINA INGRESO</t>
  </si>
  <si>
    <t>RESULTADO HEMOGLOBINA SEMANA 28</t>
  </si>
  <si>
    <t>FECHA APLICACIÓN VACUNA BCG</t>
  </si>
  <si>
    <t>FECHA APLICACIÓN VACUNA BCG 2</t>
  </si>
  <si>
    <t>PTOG. carga 75 gr - RESULTADO</t>
  </si>
  <si>
    <t>EDAD GESTACIONAL HB - SEM 28</t>
  </si>
  <si>
    <t>FECHA RESULTADO HB SEM 28</t>
  </si>
  <si>
    <t>PTOG. carga 75 gr PRE - VALOR</t>
  </si>
  <si>
    <t>PTOG. carga 75 gr 1 HORA - VALOR</t>
  </si>
  <si>
    <t>PTOG. carga 75 gr 2 HORA - VALOR</t>
  </si>
  <si>
    <t>FECHA TOMA EXAMEN PTOG</t>
  </si>
  <si>
    <t>FECHA RESULTADO PR-  II TRIM</t>
  </si>
  <si>
    <t>FECHA RESULTADO PR-  III TRIM</t>
  </si>
  <si>
    <t>FECHA RESULTADO PR INTRAPARTO</t>
  </si>
  <si>
    <t>FECHA VACUNA ANTI INFLUENZA</t>
  </si>
  <si>
    <t>FECHA VACUNA DPT ACELULAR</t>
  </si>
  <si>
    <t>ALARMA TOXOPLASMOSIS</t>
  </si>
  <si>
    <t>NUMERO VECES TOMA TOXOPLASMA IgM - Control</t>
  </si>
  <si>
    <t>FECHA DEL PESO Y TALLA PREGESTACIONAL O I TRIM GESTACION</t>
  </si>
  <si>
    <t>PESO EN Kg INGRESO I TRIM O PRE GESTACION</t>
  </si>
  <si>
    <t>ANTECEDENTE GRAVIDA</t>
  </si>
  <si>
    <t>No CONSULTAS GINECOLOGO</t>
  </si>
  <si>
    <t>FECHA ULTIMA ASISTENCIA A CONSULTA GINECO</t>
  </si>
  <si>
    <t>CONDUCTA HEMOGLOBINA</t>
  </si>
  <si>
    <t>RESULTADO GRUPO  SANGUINEO</t>
  </si>
  <si>
    <t>FECHA RESULTADO GRUPO SANGUINEO</t>
  </si>
  <si>
    <t>EDAD GESTACIONAL GRUPO SANGUINEO</t>
  </si>
  <si>
    <t>OBSERVACION GRUPO SANGUINEO</t>
  </si>
  <si>
    <t>FECHA APLICACIÓN VACUNA HEPATITIS B</t>
  </si>
  <si>
    <t>FECHA APLICACIÓN VACUNA HEPATITIS B 2</t>
  </si>
  <si>
    <t>FECHA INSCRIPCION A PLANIFICACION FAMILIAR</t>
  </si>
  <si>
    <t>T.A. SISTOLICA - ANTES DE SEMANA 12</t>
  </si>
  <si>
    <t>T.A. DIASTOLICA - ANTES DE SEMANA 12</t>
  </si>
  <si>
    <t>ALARMA CASOS SIFILIS GESTACIONAL</t>
  </si>
  <si>
    <t>FECHA RESULTADO UROANALISIS ULTIMO</t>
  </si>
  <si>
    <t>EDAD GESTACIONAL UROANALSIS ULTIMO</t>
  </si>
  <si>
    <t>EDAD GESTACIONAL P.T.O.G</t>
  </si>
  <si>
    <t>RESULTADO ULTIMO UROANALISIS</t>
  </si>
  <si>
    <t>TA. SISTOLICA SEM 30 A 34</t>
  </si>
  <si>
    <t>TA SISTOLICA SEM 35 A 37 ULTIMO CONTROL</t>
  </si>
  <si>
    <t>TA DIASTOLICA SEM 35 A 37 ULTIMO CONTROL</t>
  </si>
  <si>
    <t>METODO DE ANTICONCEPCION INICIADO</t>
  </si>
  <si>
    <t>COMPLICACIONES POSTPARTO</t>
  </si>
  <si>
    <t>TA. DIASTOLICA SEM 30 A 34</t>
  </si>
  <si>
    <t>MUNICIPIO DE RESIDENCIA</t>
  </si>
  <si>
    <t>ANTE. 3 ABORTOS SEGUIDOS O INFERTILIDAD</t>
  </si>
  <si>
    <t>ALARMA 1 T.A.  ANTES 12 SEMANAS</t>
  </si>
  <si>
    <t>ANSIEDAD (Tensión emocional, Humor depresivo y sx angustia).</t>
  </si>
  <si>
    <t>EMBARAZO ACEPTADO Y/O  DESEADO</t>
  </si>
  <si>
    <t>FECHA GLICEMIA</t>
  </si>
  <si>
    <t>TIENE ENFERMEDADES AUTOINMUNES</t>
  </si>
  <si>
    <t>TIENE DIABETES MELLITUS</t>
  </si>
  <si>
    <t>TIENE ENFERMEDAD CARDIACA</t>
  </si>
  <si>
    <t>TIENE HTA CRONICA</t>
  </si>
  <si>
    <t>TIENE POLIHIDRAMNIOS</t>
  </si>
  <si>
    <t>EN EMB ACTUAL HEMORRAGIA VAGINAL &lt; 20 SEM</t>
  </si>
  <si>
    <t>EN EMB ACTUAL RPM</t>
  </si>
  <si>
    <t xml:space="preserve"> EN EMB ACTUAL HEMORRAGIA VAGINAL &gt; 20 SEM</t>
  </si>
  <si>
    <t>EN EMB. ACTUAL  RCIU</t>
  </si>
  <si>
    <t>CONDUCTA HEMOGLOBINA10</t>
  </si>
  <si>
    <t>EDAD GESTACIONAL18</t>
  </si>
  <si>
    <t>EDAD GESTACIONAL21</t>
  </si>
  <si>
    <t>T.A. SISTOLICA (Entre semana 20 y 26)</t>
  </si>
  <si>
    <t>T.A. DIATOLICA (Entre semana 20 y 26)</t>
  </si>
  <si>
    <t>EN EMB ACTUAL ENFERMEDADES INFECCIOSAS AGUDAS(BACTERIANAS)2</t>
  </si>
  <si>
    <t>TIENE ENF RENAL CRONICA</t>
  </si>
  <si>
    <t>TRIMESTRE DE GESTACION A LA TOMA EXAMEN</t>
  </si>
  <si>
    <t>TRIMESTRE DE GESTACION A LA TOMA EXAMEN52</t>
  </si>
  <si>
    <t>EDAD GESTACIONAL GLICEMIA</t>
  </si>
  <si>
    <t xml:space="preserve">FECHA CONSULTA PRIMERA VEZ PROGRAMA CPN </t>
  </si>
  <si>
    <t xml:space="preserve">ALARMA 2 T.A.  ENTRE SEMANA 20 Y 26 </t>
  </si>
  <si>
    <t>ALARMA 3 T.A.  III TRIMESTRE</t>
  </si>
  <si>
    <t>NOMBRE DE LA INSTITUCION DONDE SE ATENDIO EL PARTO O LUGAR ESPECIFICO DEL PARTO SI APLICA</t>
  </si>
  <si>
    <t>ALARMA 1 CONTROL RN</t>
  </si>
  <si>
    <t>ALARMA CONTROL PUERPERIO</t>
  </si>
  <si>
    <t>PESO RN 2 EN GRAMOS2</t>
  </si>
  <si>
    <t>PESO RN  EN GRAMOS</t>
  </si>
  <si>
    <t>Se registra el primer apellido de la gestante como aparece en el documento de identidad</t>
  </si>
  <si>
    <t>Se registra el segundo apellido de la gestante como aparece en el documento de identidad</t>
  </si>
  <si>
    <t>Se registra el primer nombre de la gestante como aparece en el documento de identidad</t>
  </si>
  <si>
    <t>Se registra el segundo nombre de la gestante como aparece en el documento de identidad</t>
  </si>
  <si>
    <r>
      <t xml:space="preserve">Lista desplegable: </t>
    </r>
    <r>
      <rPr>
        <sz val="11"/>
        <color theme="1"/>
        <rFont val="Calibri"/>
        <family val="2"/>
        <scheme val="minor"/>
      </rPr>
      <t xml:space="preserve">Elegir de las opciones según corresponda al documento que presente la gestante para el ingreso: Cédula de ciudadanía, Tarjeta de identidad, Registro Civil, Cedula de extranjería, Menor sin identificación, adulto sin identificación, otro, sin Dato </t>
    </r>
  </si>
  <si>
    <t>Registrar el número del documento que presenta la gestante</t>
  </si>
  <si>
    <r>
      <t xml:space="preserve">Lista desplegable: </t>
    </r>
    <r>
      <rPr>
        <sz val="11"/>
        <color theme="1"/>
        <rFont val="Calibri"/>
        <family val="2"/>
        <scheme val="minor"/>
      </rPr>
      <t xml:space="preserve">Elegir de la lista desplegable según corresponda por los datos  suministrados por la gestante: </t>
    </r>
    <r>
      <rPr>
        <b/>
        <sz val="11"/>
        <color theme="1"/>
        <rFont val="Calibri"/>
        <family val="2"/>
        <scheme val="minor"/>
      </rPr>
      <t>Soltera, Casada, Viuda, Unión Libre y Sin Dato</t>
    </r>
  </si>
  <si>
    <t>Registrar la ocupación de la gestante según indique en el interrogatorio de historia clínica de ingreso</t>
  </si>
  <si>
    <r>
      <t xml:space="preserve">Formula,  </t>
    </r>
    <r>
      <rPr>
        <sz val="11"/>
        <color theme="1"/>
        <rFont val="Calibri"/>
        <family val="2"/>
        <scheme val="minor"/>
      </rPr>
      <t>automáticamente sale el dato de la edad actual luego de registrar correctamente la fecha de nacimiento</t>
    </r>
    <r>
      <rPr>
        <b/>
        <sz val="11"/>
        <color theme="1"/>
        <rFont val="Calibri"/>
        <family val="2"/>
        <scheme val="minor"/>
      </rPr>
      <t xml:space="preserve"> </t>
    </r>
  </si>
  <si>
    <t>FECHA INDUCCION A LA DEMANDA CPN: registrar fecha de inducción a la demanda de la gestante, Importante sea en el siguiente orden: DIA/MES/AÑO usando el  /  para  sepáralas ejemplo: 01/09/2014</t>
  </si>
  <si>
    <r>
      <t xml:space="preserve">Registrar fecha de nacimiento de la gestante, </t>
    </r>
    <r>
      <rPr>
        <b/>
        <sz val="11"/>
        <color theme="1"/>
        <rFont val="Calibri"/>
        <family val="2"/>
        <scheme val="minor"/>
      </rPr>
      <t xml:space="preserve">Importante </t>
    </r>
    <r>
      <rPr>
        <sz val="11"/>
        <color theme="1"/>
        <rFont val="Calibri"/>
        <family val="2"/>
        <scheme val="minor"/>
      </rPr>
      <t xml:space="preserve">sea en el siguiente orden: </t>
    </r>
    <r>
      <rPr>
        <b/>
        <sz val="11"/>
        <color theme="1"/>
        <rFont val="Calibri"/>
        <family val="2"/>
        <scheme val="minor"/>
      </rPr>
      <t xml:space="preserve">DIA/MES/AÑO </t>
    </r>
    <r>
      <rPr>
        <sz val="11"/>
        <color theme="1"/>
        <rFont val="Calibri"/>
        <family val="2"/>
        <scheme val="minor"/>
      </rPr>
      <t>usando el</t>
    </r>
    <r>
      <rPr>
        <b/>
        <sz val="11"/>
        <color theme="1"/>
        <rFont val="Calibri"/>
        <family val="2"/>
        <scheme val="minor"/>
      </rPr>
      <t xml:space="preserve"> </t>
    </r>
    <r>
      <rPr>
        <sz val="11"/>
        <color theme="1"/>
        <rFont val="Calibri"/>
        <family val="2"/>
        <scheme val="minor"/>
      </rPr>
      <t xml:space="preserve"> /  para  sepáralas ejemplo:</t>
    </r>
    <r>
      <rPr>
        <b/>
        <sz val="11"/>
        <color theme="1"/>
        <rFont val="Calibri"/>
        <family val="2"/>
        <scheme val="minor"/>
      </rPr>
      <t xml:space="preserve"> 01/04/1979</t>
    </r>
  </si>
  <si>
    <r>
      <rPr>
        <sz val="11"/>
        <color rgb="FFFF0000"/>
        <rFont val="Calibri"/>
        <family val="2"/>
        <scheme val="minor"/>
      </rPr>
      <t>Lista desplegable</t>
    </r>
    <r>
      <rPr>
        <sz val="11"/>
        <color theme="1"/>
        <rFont val="Calibri"/>
        <family val="2"/>
        <scheme val="minor"/>
      </rPr>
      <t xml:space="preserve"> Elegir de las opciones según corresponda: Subsidiado, Contributivo, Régimen Especial, Particular, No Afiliado, Sin dato</t>
    </r>
  </si>
  <si>
    <r>
      <rPr>
        <sz val="11"/>
        <color rgb="FFFF0000"/>
        <rFont val="Calibri"/>
        <family val="2"/>
        <scheme val="minor"/>
      </rPr>
      <t xml:space="preserve"> Lista desplegable </t>
    </r>
    <r>
      <rPr>
        <sz val="11"/>
        <color theme="1"/>
        <rFont val="Calibri"/>
        <family val="2"/>
        <scheme val="minor"/>
      </rPr>
      <t xml:space="preserve">Elegir de las opciones según corresponda la Aseguradora a la que pertence la gestante </t>
    </r>
  </si>
  <si>
    <r>
      <rPr>
        <sz val="11"/>
        <color rgb="FFFF0000"/>
        <rFont val="Calibri"/>
        <family val="2"/>
        <scheme val="minor"/>
      </rPr>
      <t xml:space="preserve"> Lista desplegable </t>
    </r>
    <r>
      <rPr>
        <sz val="11"/>
        <color theme="1"/>
        <rFont val="Calibri"/>
        <family val="2"/>
        <scheme val="minor"/>
      </rPr>
      <t xml:space="preserve">Elegir de las opciones según corresponda al municipio en que resida la gestante </t>
    </r>
  </si>
  <si>
    <r>
      <rPr>
        <sz val="11"/>
        <color rgb="FFFF0000"/>
        <rFont val="Calibri"/>
        <family val="2"/>
        <scheme val="minor"/>
      </rPr>
      <t>Lista desplegable</t>
    </r>
    <r>
      <rPr>
        <sz val="11"/>
        <color theme="1"/>
        <rFont val="Calibri"/>
        <family val="2"/>
        <scheme val="minor"/>
      </rPr>
      <t xml:space="preserve"> Elegir de las opciones según corresponda: opciones: URBANO, RUAL,  SIN DATO </t>
    </r>
  </si>
  <si>
    <r>
      <t xml:space="preserve">Registrar el nombre de la vereda o Barrio de residencia de la gestante. Se debe </t>
    </r>
    <r>
      <rPr>
        <sz val="11"/>
        <color rgb="FFFF0000"/>
        <rFont val="Calibri"/>
        <family val="2"/>
        <scheme val="minor"/>
      </rPr>
      <t>elaborar lista desplegable</t>
    </r>
    <r>
      <rPr>
        <sz val="11"/>
        <color theme="1"/>
        <rFont val="Calibri"/>
        <family val="2"/>
        <scheme val="minor"/>
      </rPr>
      <t xml:space="preserve"> en cada municipio</t>
    </r>
  </si>
  <si>
    <t>Registrar dirección especifica de residencia de la gestante o datos de como ubicarla</t>
  </si>
  <si>
    <t>Registrar el nombre del  resguardo o corregimiento de residencia de la gestante</t>
  </si>
  <si>
    <t>Registrar el número de teléfono de contacto, ubicación de la gestante o pariente más cercano</t>
  </si>
  <si>
    <t>DIRECCION -(ESPECIFICAR UBICACIÓN EN VEREDA)</t>
  </si>
  <si>
    <t>DIRECCION - (ESPECIFICAR UBICACIÓN EN VEREDA)</t>
  </si>
  <si>
    <r>
      <rPr>
        <sz val="11"/>
        <color rgb="FFFF0000"/>
        <rFont val="Calibri"/>
        <family val="2"/>
        <scheme val="minor"/>
      </rPr>
      <t>Lista desplegable</t>
    </r>
    <r>
      <rPr>
        <sz val="11"/>
        <color theme="1"/>
        <rFont val="Calibri"/>
        <family val="2"/>
        <scheme val="minor"/>
      </rPr>
      <t xml:space="preserve"> Elegir de las opciones según corresponda: INDEGENA – ROM GITANO – RAIZAL – PALENQUERO – AFRODESCENDIENTE – MESTIZA - OTRO</t>
    </r>
  </si>
  <si>
    <r>
      <rPr>
        <sz val="11"/>
        <color rgb="FFFF0000"/>
        <rFont val="Calibri"/>
        <family val="2"/>
        <scheme val="minor"/>
      </rPr>
      <t>Lista desplegable</t>
    </r>
    <r>
      <rPr>
        <sz val="11"/>
        <color theme="1"/>
        <rFont val="Calibri"/>
        <family val="2"/>
        <scheme val="minor"/>
      </rPr>
      <t xml:space="preserve"> Elegir de las opciones según corresponda: Nasa/Paez. Misak/ Guambianos, Yanaconas, Coconucos, Totoroez, Epedara/ Siapidara, Inga, Polindaras, Embera, Quilacingas, Jambaleños, Guanacas, Pubenences, Otros.</t>
    </r>
  </si>
  <si>
    <r>
      <rPr>
        <sz val="11"/>
        <color rgb="FFFF0000"/>
        <rFont val="Calibri"/>
        <family val="2"/>
        <scheme val="minor"/>
      </rPr>
      <t>Lista desplegable</t>
    </r>
    <r>
      <rPr>
        <sz val="11"/>
        <color theme="1"/>
        <rFont val="Calibri"/>
        <family val="2"/>
        <scheme val="minor"/>
      </rPr>
      <t xml:space="preserve"> Elegir de las opciones según corresponda: Analfabeta, Primaria incompleta  primaria completa, Secundaria incompleta, Secundaria completa,  Técnico, Universitario, Sabe leer y Escribir, esta última opción es para personas que no han recibido estudio formal pero saben leer y escribir.</t>
    </r>
  </si>
  <si>
    <r>
      <rPr>
        <sz val="11"/>
        <color rgb="FFFF0000"/>
        <rFont val="Calibri"/>
        <family val="2"/>
        <scheme val="minor"/>
      </rPr>
      <t xml:space="preserve">Lista desplegable </t>
    </r>
    <r>
      <rPr>
        <sz val="11"/>
        <color theme="1"/>
        <rFont val="Calibri"/>
        <family val="2"/>
        <scheme val="minor"/>
      </rPr>
      <t>Opciones: SI, si la gestante  Acepta o desea este embarazo;   NO  si la gestante no desea o no acepta este embarazo o  SIN DATO  si no se tiene información, Cabe aclarar que si la paciente no desea este embarazo debe hacer interconsulta con psicología y si no se tiene 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</si>
  <si>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que recibe apoyo de su familia;  NO  cuando la paciente manifiesta no recibir apoyo familiar o  SIN DATO  cuando no se dispone del dato, Igual que el anterior si la respuesta es NO tiene apoyo familiar se deberá intervenir con psicología y en lo posible con trabajadora social. De no disponer del dato   se debe preguntar por el en la siguiente consulta</t>
    </r>
  </si>
  <si>
    <r>
      <rPr>
        <sz val="11"/>
        <color rgb="FFFF0000"/>
        <rFont val="Calibri"/>
        <family val="2"/>
        <scheme val="minor"/>
      </rPr>
      <t>Lista desplegable</t>
    </r>
    <r>
      <rPr>
        <sz val="11"/>
        <color theme="1"/>
        <rFont val="Calibri"/>
        <family val="2"/>
        <scheme val="minor"/>
      </rPr>
      <t xml:space="preserve"> Opciones  SI  cuando la mujer sea la responsable  del sostenimiento económico y social de la familia; NO  cuando la mujer no sea la responsable principal del sostenimiento económico de la familia y  SIN DATO cuando no se disponga del dato preguntarlo en la siguiente consulta</t>
    </r>
  </si>
  <si>
    <r>
      <rPr>
        <sz val="11"/>
        <color rgb="FFFF0000"/>
        <rFont val="Calibri"/>
        <family val="2"/>
        <scheme val="minor"/>
      </rPr>
      <t>Lista desplegable</t>
    </r>
    <r>
      <rPr>
        <sz val="11"/>
        <color theme="1"/>
        <rFont val="Calibri"/>
        <family val="2"/>
        <scheme val="minor"/>
      </rPr>
      <t xml:space="preserve"> Opciones: SI cuando la gestante manifieste tension emocional, depresion o angustia ;  NO  cuando la paciente  no manifiesta ninguno de los items anterioes  o  SIN DATO  cuando no se dispone del dato. De no disponer del dato  se debe interrogar por el en la siguiente consulta de acuerdo a los lineamientos establecidos en la GAI de CPN del MPS</t>
    </r>
  </si>
  <si>
    <r>
      <rPr>
        <sz val="11"/>
        <color rgb="FFFF0000"/>
        <rFont val="Calibri"/>
        <family val="2"/>
        <scheme val="minor"/>
      </rPr>
      <t>Lista desplegable</t>
    </r>
    <r>
      <rPr>
        <sz val="11"/>
        <color theme="1"/>
        <rFont val="Calibri"/>
        <family val="2"/>
        <scheme val="minor"/>
      </rPr>
      <t xml:space="preserve"> opciones SI cuando la gestante manifiesta que ha sido victima de violencia física o psicológica;  NO cuando no ha sido víctima de Violencia física o psicológica o SIN DATO, consultar en la guía del ministerio como preguntar adecuadamente a la gestante acerca de este evento</t>
    </r>
  </si>
  <si>
    <r>
      <rPr>
        <sz val="11"/>
        <color rgb="FFFF0000"/>
        <rFont val="Calibri"/>
        <family val="2"/>
        <scheme val="minor"/>
      </rPr>
      <t>Formula,</t>
    </r>
    <r>
      <rPr>
        <sz val="11"/>
        <color theme="1"/>
        <rFont val="Calibri"/>
        <family val="2"/>
        <scheme val="minor"/>
      </rPr>
      <t xml:space="preserve">  evalúa la efectividad entre la fecha de inducción de la demanda y la fecha en que la gestante es inscrita y las opciones que saldrán automáticamente según corresponda son: SI, cuando la gestante fue inducida y acude al CPN;  NO  cuando la gestante se induce pero no acude al CPN es decir toda gestante a la que se le realice inducción debe estar registrada en la base de datos, DEMANDA ESPONTANEA, cuando la paciente acude espontáneamente y no existió demanda por parte de la IPS </t>
    </r>
  </si>
  <si>
    <r>
      <rPr>
        <sz val="11"/>
        <color rgb="FFFF0000"/>
        <rFont val="Calibri"/>
        <family val="2"/>
        <scheme val="minor"/>
      </rPr>
      <t>Formula automatica</t>
    </r>
    <r>
      <rPr>
        <sz val="11"/>
        <color theme="1"/>
        <rFont val="Calibri"/>
        <family val="2"/>
        <scheme val="minor"/>
      </rPr>
      <t xml:space="preserve">: Evalua Riesgo Psicosocial de acuerdo a los datos registrados en las columnas anteriores, con las Opciones : SIN RIESGO: cuando la gestante por valoracion no presenta riesgo psicosocial, CON RIESGO :cuando la paciente Tiene Riesgo psicosocial y debe ser valorada por psicologia y SIN DATO: Cuando no se han diligenciado completamente las casillas anteriores  </t>
    </r>
  </si>
  <si>
    <t>En estas columnas, se registra  segun corresponda y hacen relación a  los antecedentes o diagnósticos  patológicos y obstétricos de la gestante y las opciones de acuerdo a lo registrado en la historia clínica de la gestante con las opciones  SI o NO  de acuerdo a los eventos de cada columna ante respuesta SI  se consideran gestantes de Alto Riesgo Obstétrico y deben tener remisión a Ginecologia. La opcion Sin DATO  se registrara cuando no se dispone del dato                                                                                                                                                                                                                        Para la Casilla ANTECEDENTE FAMILIAR DE PREECLAMPSIA: Registrar SI o No Según Corresponda. SI aplica para gestantes con Madre o hermana con antecedente de preeclampsia</t>
  </si>
  <si>
    <t xml:space="preserve">Elegir el numero de según corresponda al número de partos que la gestante haya tenido. Esta columna esta semaorizada y aparecera en rojo luego del cuarto parto, es decir multiparas </t>
  </si>
  <si>
    <t xml:space="preserve">Elegir según corresponda al número de Abortos que la gestante haya tenido como antecedente. Esta columna esta semaorizada y aparecera en rojo luego del tercer aborto </t>
  </si>
  <si>
    <t xml:space="preserve">Elegir según corresponda al número de cesareas que la gestante haya tenido como antecedente. Esta columna esta semaorizada y aparecera en rojo luego de la tercera cesarea </t>
  </si>
  <si>
    <t xml:space="preserve">TIENE EMB. MUTIPLE ACTUAL </t>
  </si>
  <si>
    <t>Registrar SI  o NO según corresponda. La opción SI estará semaforizada en rojo pues se considera antecedente de Riesgo Obstétrico  y la gestante debe ser valorada por ginecólogo</t>
  </si>
  <si>
    <r>
      <t xml:space="preserve">Registrar SI  o NO según corresponda. La opción SI estará semaforizada en rojo pues se considera antecedente de Riesgo Obstétrico  y la gestante debe ser valorada por ginecólogo </t>
    </r>
    <r>
      <rPr>
        <b/>
        <sz val="11"/>
        <color theme="1"/>
        <rFont val="Calibri"/>
        <family val="2"/>
        <scheme val="minor"/>
      </rPr>
      <t xml:space="preserve">y especialista </t>
    </r>
  </si>
  <si>
    <r>
      <t xml:space="preserve">Elegir el número de </t>
    </r>
    <r>
      <rPr>
        <b/>
        <sz val="11"/>
        <color theme="1"/>
        <rFont val="Calibri"/>
        <family val="2"/>
        <scheme val="minor"/>
      </rPr>
      <t>embarazos anteriores</t>
    </r>
    <r>
      <rPr>
        <sz val="11"/>
        <color theme="1"/>
        <rFont val="Calibri"/>
        <family val="2"/>
        <scheme val="minor"/>
      </rPr>
      <t xml:space="preserve"> a este.Es el Antecedente, no se incluye este embarazo actual;  Es decir que si este es el primer embarazo se elige la opción del número 0, si es el segundo embarazo, se elige la opción  del número 1.  Esta columna semaforiza en rojo luego del cuarto embarazo, es decir las de riesgo por  multígravidez</t>
    </r>
  </si>
  <si>
    <t>Registrar SI  o NO según corresponda al embarazo actual. La opción SI estará semaforizada en rojo pues se considera antecedente de Riesgo Obstétrico  y la gestante debe ser valorada por ginecólogo</t>
  </si>
  <si>
    <r>
      <t xml:space="preserve">Registrar SI  o NO según corresponda como patologia de base. La opción SI estará semaforizada en rojo pues se considera antecedente de Riesgo Obstétrico  y la gestante debe ser valorada por ginecólogo y </t>
    </r>
    <r>
      <rPr>
        <b/>
        <sz val="11"/>
        <color theme="1"/>
        <rFont val="Calibri"/>
        <family val="2"/>
        <scheme val="minor"/>
      </rPr>
      <t>nutricionista</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</si>
  <si>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cardiologo</t>
    </r>
  </si>
  <si>
    <r>
      <t>Registrar SI  o NO según corresponda como patologia de base. La opción SI estará semaforizada en rojo pues se considera antecedente de Riesgo Obstétrico  y la gestante debe ser valorada por ginecólogo</t>
    </r>
    <r>
      <rPr>
        <b/>
        <sz val="11"/>
        <color theme="1"/>
        <rFont val="Calibri"/>
        <family val="2"/>
        <scheme val="minor"/>
      </rPr>
      <t xml:space="preserve"> y nefrologo</t>
    </r>
  </si>
  <si>
    <t>Registrar fecha ultimo parto o aborto  D/ M / A</t>
  </si>
  <si>
    <r>
      <rPr>
        <sz val="11"/>
        <color rgb="FFFF0000"/>
        <rFont val="Calibri"/>
        <family val="2"/>
        <scheme val="minor"/>
      </rPr>
      <t xml:space="preserve">Formula automatica </t>
    </r>
    <r>
      <rPr>
        <sz val="11"/>
        <color theme="1"/>
        <rFont val="Calibri"/>
        <family val="2"/>
        <scheme val="minor"/>
      </rPr>
      <t>con el resultado del periodo intergenesico</t>
    </r>
  </si>
  <si>
    <t>Registrar fecha ultima mestruación  D/ M / A</t>
  </si>
  <si>
    <t>Formula automatica de las semanas de gestacion al ingreso</t>
  </si>
  <si>
    <t xml:space="preserve">Formula automatica de las semanas de gestacion actualizadas  </t>
  </si>
  <si>
    <t>Registrar fecha PRIMERA ECOGRAFIA D/ M / A</t>
  </si>
  <si>
    <t xml:space="preserve">Registrar Semanas de gestaciónsegun  PRIMERA ECOGRAFIA </t>
  </si>
  <si>
    <t>Registrar fecha SEGUNDA ECOGRAFIA D/ M / A</t>
  </si>
  <si>
    <t xml:space="preserve">Registrar Semanas de gestación segun  SEGUNDA ECOGRAFIA </t>
  </si>
  <si>
    <t xml:space="preserve">registre Talla en Metros con coma para decimal </t>
  </si>
  <si>
    <t>Formula Automatica del Indice de Masa Corporal según datos registrados de Peso y talla de las 2 colunmas ateriores</t>
  </si>
  <si>
    <t xml:space="preserve">Formula automatica según corresponda al IMC con las Opciones : Bajo Peso, Normal, Sobrepeso y Obesidad, Si aparece otro opcion revisar casillas DK y DL </t>
  </si>
  <si>
    <t>Formula automatica según corresponda a las TA Sistolica y Diastolica anotadas. Opciones: Pre HTA Seguimiento, Aparentemente Normal , Definir estadio HTA</t>
  </si>
  <si>
    <t>Formula automatica según corresponda a las TA Sistolica y Diastolica anotadas. Opciones: ALTO RIESGO PREECLAMPSIA,DEFINIR ESTADIO HTA"PRE HTA SEGUIMIENTO,RIESGO HIPERTENSION INDUCIDA POR EL EMBARAZO""PRE HTA SEGUIMIENTO, RIESGO HIPERTENSION INDUCIDA POR EL EMBARAZO";VIGILAR CIFRAS PRESION ARTERIAL";"PRE HTA SEGUIMIENTO""APARENTEMENTE NORMAL;"APARENTEMENTE NORMAL;"APARENTEMENTE NORMAL";</t>
  </si>
  <si>
    <t>Reguistre en numeros la TA Sistolica entre las 30 y 34 semanas de gestacion</t>
  </si>
  <si>
    <t>Reguistre en numeros la TA Diastolica entre las 30 y 34 semanas de gestacion</t>
  </si>
  <si>
    <t>Reguistre en numeros la TA Sistolica entre las 35 y 37 semanas de gestacion</t>
  </si>
  <si>
    <t>Reguistre en numeros la TA Diastolica entre las 35 y 37 semanas de gestacion</t>
  </si>
  <si>
    <t>Formula automatica del numero de controles prenatales realizados</t>
  </si>
  <si>
    <t xml:space="preserve">Formula automatica de la adherencia según controles prenatales realizados con las Opciones SI y NO </t>
  </si>
  <si>
    <t>Formula automatica según numero de controles proyectados a realizar según semanas de gestacion al ingreso</t>
  </si>
  <si>
    <t>Registrar fechas de remision y controles a Psicologia, Nutrición y Ginecologia</t>
  </si>
  <si>
    <t xml:space="preserve">Reporte el resultado de la hemoglobina de ingreso </t>
  </si>
  <si>
    <t>Fecha en D M A del Resultado de la HB</t>
  </si>
  <si>
    <t>Formula automatica de la edad gestacional al momento del resultado de la HB</t>
  </si>
  <si>
    <t>Formula Automatica según reporte de HB:  MANEJO MD POR ANEMIA FERROPENICA, NORMAL- SUMINISTRAR SULFATO FERROSO, NO DAR SULFATO FERROSO</t>
  </si>
  <si>
    <t>Formula Automatica según trimestre de gestacion de la toma de HB</t>
  </si>
  <si>
    <t>Reporte el resultado de la hemoglobina de la semana 28</t>
  </si>
  <si>
    <t>Fecha en D M A del Resultado del GS</t>
  </si>
  <si>
    <t>Formula automatica: de la edad gestacional al momento de la toma del GS</t>
  </si>
  <si>
    <t>Formula automatica según reporte de GS con las opciones: RIESGO DE INCOMPATIBILIDAD DE RH, NO HAY RIESGO POR RH.</t>
  </si>
  <si>
    <t>Registre resultado de la glicemia pre</t>
  </si>
  <si>
    <t>Formula automatica: de la edad gestacional al momento de la toma de la glicemia</t>
  </si>
  <si>
    <t>Registre resultado de la PTOG con 75 gr pre</t>
  </si>
  <si>
    <t>Registre resultado de la PTOG con 75 gr a la hora</t>
  </si>
  <si>
    <t>Registre resultado de la PTOG con 75 gr a la segunda hora</t>
  </si>
  <si>
    <t>Formula automatica: NO APLICA REPETIR EXAMEN &gt; SEMANA 24, ORDENAR PTOG, DIABETES, REMITIR, NORMAL</t>
  </si>
  <si>
    <t>Formula automatica: de la edad gestacional al momento de la toma de la PTOG</t>
  </si>
  <si>
    <t>Fecha en D M A del Resultado de la Prueba Rapida</t>
  </si>
  <si>
    <t>Fecha en D M A del Resultado de la Prueba Rapida intraparto</t>
  </si>
  <si>
    <t>Fecha en D M A del Resultado dell Uroanalisis</t>
  </si>
  <si>
    <t>Formula automatica: de la edad gestacional al momento de la toma del Uroanalisis</t>
  </si>
  <si>
    <t>Formula automatica: de la edad gestacional al momento de la toma del Urocultivo</t>
  </si>
  <si>
    <t>Lista desplegable del resultado del urocultivo según corresponda : Positivo, Negativo, Sin Dato</t>
  </si>
  <si>
    <t>Lista Desplegable según resultado del uroanalisis según corresponda : IVU, NORMAL o Sin Dato</t>
  </si>
  <si>
    <t>Fecha en D M A del Resultado del Urocultivo</t>
  </si>
  <si>
    <t>Fecha en D M A del Resultado del la Prueba de  ELISA</t>
  </si>
  <si>
    <t>Formula automatica para indicar toma de laboratorios</t>
  </si>
  <si>
    <t>Formula automatica: de la edad gestacional al momento del HASB</t>
  </si>
  <si>
    <t>Formula automatica: de la edad gestacional al momento del  Toxo</t>
  </si>
  <si>
    <t>Fecha en D M A del Resultado del la Prueba las pruebas dela citologia</t>
  </si>
  <si>
    <t xml:space="preserve">Formula automatica </t>
  </si>
  <si>
    <t xml:space="preserve">Fecha en D M A </t>
  </si>
  <si>
    <t>Fecha en D M A de la consulta con odontologo primera vez</t>
  </si>
  <si>
    <t>Lista desplegable , elegir la opcion por la cual sale la paciente del programa</t>
  </si>
  <si>
    <t>Formula automatica de  la edad gestacional al salir del programa</t>
  </si>
  <si>
    <t xml:space="preserve">Registre en numeros el peso en gramos </t>
  </si>
  <si>
    <t>Registre fecha en formato D/ M / A</t>
  </si>
  <si>
    <t xml:space="preserve">Registrar si existe un segundo nacido vivo </t>
  </si>
  <si>
    <t>Formula interna de alarma para control de RN</t>
  </si>
  <si>
    <t>Formula interna de alarma para control la puerpera</t>
  </si>
  <si>
    <t>RESULTADO TOXOPLASMOSIS ULTIMO IgM - SI APLICA SEGÚN GPC</t>
  </si>
  <si>
    <t>FECHA ULTIMA REMISION URG</t>
  </si>
  <si>
    <t>METODO DE ANTICONCEPCION INICIADO POSTPARTO</t>
  </si>
  <si>
    <t>TOTAL SEGUIMIENTOS POR MEDICINA TRADICIONAL</t>
  </si>
  <si>
    <t>TOTAL SEGUIMIENTOS POR PARTERA</t>
  </si>
  <si>
    <t>OPORTUNIDAD EN DIAS, INGRESO AL CONTROL PRENATAL DESDE EL MOMENDO DE LA IDENTIFICACIÓN</t>
  </si>
  <si>
    <t xml:space="preserve">TALLA EN Mts     </t>
  </si>
  <si>
    <t>FECHA ULTIMO CPN</t>
  </si>
  <si>
    <t>EDAD GESTACIONAL ÚLTIMO CPN</t>
  </si>
  <si>
    <t xml:space="preserve">SUMINISTRO DE ACIDO FOLICO </t>
  </si>
  <si>
    <t xml:space="preserve">SUMINISTRO CALCIO </t>
  </si>
  <si>
    <t>FECHA TOMA TSH</t>
  </si>
  <si>
    <t>FECHA TOMA TSH 2</t>
  </si>
  <si>
    <t>NECESIDAD O DESARMONIA DESDE LO PROPIO 1</t>
  </si>
  <si>
    <t>TIPO DE SABEDOR</t>
  </si>
  <si>
    <t xml:space="preserve">SUMINISTRO DE SULFATO FERROSO </t>
  </si>
  <si>
    <t>FECHA PRIMER ACOMPAÑAMIENTO SABEDOR ANCESTRAL</t>
  </si>
  <si>
    <t>TIPO DE SABEDOR3</t>
  </si>
  <si>
    <t>FECHA  ACOMPAÑAMIENTO SABEDOR ANCESTRAL2</t>
  </si>
  <si>
    <t>TIPO DE SABEDOR2</t>
  </si>
  <si>
    <t>FECHA ACOMPAÑAMIENTO SABEDOR ANCESTRAL3</t>
  </si>
  <si>
    <t>FECHA ACOMPAÑAMIENTO SABEDOR ANCESTRAL4</t>
  </si>
  <si>
    <t>TIPO DE SABEDOR4</t>
  </si>
  <si>
    <t>FECHA ACOMPAÑAMIENTO SABEDOR ANCESTRAL5</t>
  </si>
  <si>
    <t>TIPO DE SABEDOR5</t>
  </si>
  <si>
    <t>TIPO DE SABEDOR6</t>
  </si>
  <si>
    <t>ACTIVIDAD O RITUALIDAD REALIZADA 6</t>
  </si>
  <si>
    <t>TIPO DE SABEDOR7</t>
  </si>
  <si>
    <t>FECHA DE IDENTIFICACION DE LA GESTANTE</t>
  </si>
  <si>
    <t xml:space="preserve"> RESPONSABLE DE LA ZONA</t>
  </si>
  <si>
    <t>RANGO DE EDAD INICIO7</t>
  </si>
  <si>
    <t>OBITO MUERTE PERINAT2</t>
  </si>
  <si>
    <t>PARTOS23</t>
  </si>
  <si>
    <t>CESAREAS34</t>
  </si>
  <si>
    <t>EMB ECTOP CX UTER5</t>
  </si>
  <si>
    <t>PUNT. RIESGO MODERADO COMPL HIPERTENSIVAS2</t>
  </si>
  <si>
    <t>ENFERMEDADES PROPIAS O CULTURALES</t>
  </si>
  <si>
    <t>CUENTA RIESGO PSICOSOCIAL</t>
  </si>
  <si>
    <t>DIAS GESTACION ECO 12</t>
  </si>
  <si>
    <t>ALARMA FACTORES DE RIESGO COMPLICACIONES HIPERTENSIVAS3</t>
  </si>
  <si>
    <t>SUMINISTRO DE ASA SEGÚN GPC</t>
  </si>
  <si>
    <t>FECHA C12</t>
  </si>
  <si>
    <t>ALERTA SEGUIMIENTO</t>
  </si>
  <si>
    <t>FECHA ACOMPAÑAMIENTO SABEDOR ANCESTRAL PUERPERIO Y RECIEN NACIDO</t>
  </si>
  <si>
    <t>NECESIDAD O DESARMONIA DESDE LO PROPIO 12</t>
  </si>
  <si>
    <t>ACTIVIDAD O RITUALIDAD REALIZADA1</t>
  </si>
  <si>
    <t>ACTIVIDAD O RITUALIDAD REALIZADA13</t>
  </si>
  <si>
    <t>NECESIDAD O DESARMONIA DESDE LO PROPIO 13</t>
  </si>
  <si>
    <t>ACTIVIDAD O RITUALIDAD REALIZADA14</t>
  </si>
  <si>
    <t>NECESIDAD O DESARMONIA DESDE LO PROPIO 14</t>
  </si>
  <si>
    <t>ACTIVIDAD O RITUALIDAD REALIZADA15</t>
  </si>
  <si>
    <t>NECESIDAD O DESARMONIA DESDE LO PROPIO 15</t>
  </si>
  <si>
    <t>ACTIVIDAD O RITUALIDAD REALIZADA16</t>
  </si>
  <si>
    <t>NECESIDAD O DESARMONIA DESDE LO PROPIO 16</t>
  </si>
  <si>
    <t>NECESIDAD O DESARMONIA DESDE LO PROPIO 17</t>
  </si>
  <si>
    <t>ACTIVIDAD O RITUALIDAD REALIZADA18</t>
  </si>
  <si>
    <t>TAMIZAJE  PARA VIH II TRIM</t>
  </si>
  <si>
    <t>FECHA RESULTADO ELISA O PR II TRIM</t>
  </si>
  <si>
    <t>SEGUNDA PRUEBA ELISA O PR PARA DEFINIR DIAGNOSTICO VIH SEGÚN PROTOCOLO INS</t>
  </si>
  <si>
    <t>FECHA RESULTADO2</t>
  </si>
  <si>
    <t>FECHA RESULTADO SEGUNDA PRUEBA ELISA O PR PARA DEFINIR DIAGNOSTICO VIH SEGÚN PROTOCOLO INS</t>
  </si>
  <si>
    <t>RESULTADO CARGA VIRAL SEGÚN PROTOCOLO INS</t>
  </si>
  <si>
    <t>FECHA RESULTADO CARGA VIRAL SEGÚN PROTOCOLO INS</t>
  </si>
  <si>
    <t xml:space="preserve">GESTANTES CON RESULTADO DE EXAMENES DE INGRESO </t>
  </si>
  <si>
    <t>GESTANTES CON RESULTADOS DE EXAMENES II TRIMESTRE</t>
  </si>
  <si>
    <t>GESTANTES CON RESULTADOS DE EXAMENES III TRIMESTRE2</t>
  </si>
  <si>
    <t>FECHA INSCRIPCION A PLANIFICACION FAMILIAR2</t>
  </si>
  <si>
    <t>FECHA ASISTENCIA PRIMERA VEZ CON GINECOLOGÍA</t>
  </si>
  <si>
    <t>OPORTUNIDAD CONSULTA GINECOLOGÍA (DIAS)</t>
  </si>
  <si>
    <t>ACOMPAÑAMIENTO POR PERSONA DE CONFIANZA DURANTE TRABAJO DE PARTO Y PARTO</t>
  </si>
  <si>
    <t>MANEJO ACTIVO DEL TERCER PERIODO DEL PARTO (USO OXITOCINA,MASAJE UTERINO Y TRACCIÓN SOSTENIDA DE CORDÓN)2</t>
  </si>
  <si>
    <t>DILIGENCIAMIENTO DE PARTOGRAMA (NO APLICA EN EXPULSIVO)</t>
  </si>
  <si>
    <t>MONITORIA CADA 15 MINUTOS DE SIGNOS VITALES DURANTES LAS PRIMERAS DOS HORAS POSTPARTO (SOPORTE EN HC)</t>
  </si>
  <si>
    <t>FECHA ASESORIA EN LACTANCIA MATERNA DURANTE CPN</t>
  </si>
  <si>
    <t>FECHA ASESORIA EN ANTICONCEPCION DURANTE CPN</t>
  </si>
  <si>
    <t>PUEBLO INDIGENA ESPECIFICO</t>
  </si>
  <si>
    <t>FECHA TERMINACIÓN ÚLTIMO EMBARAZO</t>
  </si>
  <si>
    <t>HA SIDO VICTIMA DE VIOLENCIA BASADA EN GENERO</t>
  </si>
  <si>
    <t>FECHA REGISTRO ASESORIA PRE TEST VIH EN HC</t>
  </si>
  <si>
    <t xml:space="preserve"> EN EMB ACTUAL HEMORRAGIA VAGINAL &gt; 20 SEM22</t>
  </si>
  <si>
    <t>ALARMA DPT ACELULAR</t>
  </si>
  <si>
    <t>EN EMB ACTUAL ENFERMEDADES INFECCIOSAS AGUDAS(BACTERIANAS)</t>
  </si>
  <si>
    <t>FECHA FIRMA DE CONSENTIMIENTO INFORMADO EN HC</t>
  </si>
  <si>
    <t>TAMIZAJE  PARA VIH III TRIM</t>
  </si>
  <si>
    <t>ALARMA POR SEGUIMIENTO CIFRAS PRESIÓN ARTERIAL ÚLTIMO REGISTRO.</t>
  </si>
  <si>
    <t>MOTIVOS PARA LA CLASIFICACION DEL RIESGO BIOPSICOSOCIAL</t>
  </si>
  <si>
    <t>FECHA ACOMPAÑAMIENTO SABEDOR ANCESTRAL PUERPERIO Y RECIEN NACIDO2</t>
  </si>
  <si>
    <t xml:space="preserve">GLICEMIA PRE </t>
  </si>
  <si>
    <t>DIAS PARA EL PARTO2</t>
  </si>
  <si>
    <t>ALERTA PARA PARTO3</t>
  </si>
  <si>
    <t>FPP2</t>
  </si>
  <si>
    <t>GESTANTES ACTUALES22</t>
  </si>
  <si>
    <t>ALERTA SEGUIMIENTO2</t>
  </si>
  <si>
    <t>FECHA ÚLTIMO SEGUIMIENTO</t>
  </si>
  <si>
    <t>NÚMERO DE SEGUIMIENTOS CPN</t>
  </si>
  <si>
    <t xml:space="preserve">PROGRAMAS DE APOYO SOCIAL </t>
  </si>
  <si>
    <t>RIESGO BIOPSICOSOCIAL</t>
  </si>
  <si>
    <t>PUNTAJE ANEMIA RBPS</t>
  </si>
  <si>
    <t>PUNTAJE EMBARAZO PROLONGADO RBPS2</t>
  </si>
  <si>
    <t>PUNTAJE VIH RBPS3</t>
  </si>
  <si>
    <t>FECHA RESULTADO TAMIZAJE INTRAPARTO</t>
  </si>
  <si>
    <t xml:space="preserve">OTROS FACTORES DE RIESGO </t>
  </si>
  <si>
    <t>FECHA SEGUIMIENTO INICIAL POR PERSONAL DE SALUD EN TERRENO</t>
  </si>
  <si>
    <t>HALLAZGO5 GESTACIÓN</t>
  </si>
  <si>
    <t>NÚMERO DE SEGUIMIENTOS EN PUERPERIO</t>
  </si>
  <si>
    <t>HALLAZGOS ACOMPAÑAMIENTO PERSONAL DE SALUD PUERPERA</t>
  </si>
  <si>
    <t>FECHA ULTIMO SEGUIMIENTO POR PERSONAL DE SALUD EN TERRENO 112</t>
  </si>
  <si>
    <t>HALLAZGOS ACOMPAÑAMIENTO PERSONAL DE SALUD RECIEN NACIDO</t>
  </si>
  <si>
    <t>EDAD GESTACIONAL PRIMER ACOMPAÑAMIENTO SABEDOR ANCESTRAL</t>
  </si>
  <si>
    <t>CONTACTO PIEL A PIEL DURANTE 30 MINUTOS</t>
  </si>
  <si>
    <t>INICIO DE LACTANCIA MATERNA DURANTE EL CONTACTO PIEL A PIEL</t>
  </si>
  <si>
    <t>ASESORIA EN PLANIFICACIÓN FAMILIAR POST EVENTO OBSTETRICO EN AMBITO HOSPITALARIO</t>
  </si>
  <si>
    <t xml:space="preserve">PUERPERA SALE CON PLANIFICACIÓN FAMILIAR POST EVENTO OBSTETRICO </t>
  </si>
  <si>
    <t>LA CLASIFICACIÓN DEL RIESGO ES ADECUADA</t>
  </si>
  <si>
    <t>ENE</t>
  </si>
  <si>
    <t>FEB</t>
  </si>
  <si>
    <t>MAR</t>
  </si>
  <si>
    <t>ABR</t>
  </si>
  <si>
    <t>MAY</t>
  </si>
  <si>
    <t>JUN</t>
  </si>
  <si>
    <t>JUL</t>
  </si>
  <si>
    <t>AGO</t>
  </si>
  <si>
    <t>SEP</t>
  </si>
  <si>
    <t>OCT</t>
  </si>
  <si>
    <t>NOV</t>
  </si>
  <si>
    <t>DIC</t>
  </si>
  <si>
    <t>INDICADORES</t>
  </si>
  <si>
    <t xml:space="preserve"> Total de mujeres gestantes captadas antes de las 12 ss  x </t>
  </si>
  <si>
    <t>Total mujeres adolescentes menores de 19 años</t>
  </si>
  <si>
    <t>% GESTANTES ADOLESCENTES &lt; 19 AÑOS</t>
  </si>
  <si>
    <t>Mujeres menores de 14 años que ingresan al CPN</t>
  </si>
  <si>
    <t xml:space="preserve">% MUJERES gestantes &lt; 14 años </t>
  </si>
  <si>
    <t>TOTAL PARTOS</t>
  </si>
  <si>
    <t>% DE PARTOS VAGINALES</t>
  </si>
  <si>
    <t>% DE PARTOS POR CESAREA</t>
  </si>
  <si>
    <t>NÚMERO IVE</t>
  </si>
  <si>
    <t>% IVE</t>
  </si>
  <si>
    <t>ATENCION INSTITUCIONAL DEL PARTO</t>
  </si>
  <si>
    <t>% ATECIÓN INSTITUCIONAL DE PARTO</t>
  </si>
  <si>
    <t>PARTOS EN DOMICILIO</t>
  </si>
  <si>
    <t>% ATENCIÓN DE PARTO EN DOMICILIO</t>
  </si>
  <si>
    <t>ADHERENCIA CPN:MUJERES CON 4 O MAS CPN AL TERMINAR PARTO/CESAREA</t>
  </si>
  <si>
    <t xml:space="preserve">% ADHERENCIA AL CPN </t>
  </si>
  <si>
    <t>Número nacidos vivos</t>
  </si>
  <si>
    <t>Número de nacidos vivos a Término.</t>
  </si>
  <si>
    <t>Número de nacidos vivos a Término con bajo peso al nacer.</t>
  </si>
  <si>
    <t>% BAJO PESO AL NACER RN A TERMINO</t>
  </si>
  <si>
    <t>RAZÓN MUERTES PERINATALES X 1000 NV</t>
  </si>
  <si>
    <t>Numero casos de morbilidad materna extrema</t>
  </si>
  <si>
    <t>RAZÓN MORBILIDAD MATERNA EXTREMA X 1000 NV</t>
  </si>
  <si>
    <t>MUJERES ACTIVAS INASISTENTES</t>
  </si>
  <si>
    <t>FIJAR MENSUALMENTE</t>
  </si>
  <si>
    <t>TABLERO DE INDICADORES BÁSICOS PARA SEGUIMIENTO PROGRAMA DE GESTANTES</t>
  </si>
  <si>
    <t>NÚMERO DE GESTANTES CON ATENCION INICIAL POR SABEDOR I TRIM GESTACIÓN</t>
  </si>
  <si>
    <t>NÚMERO DE GESTANTES CON ATENCION INICIAL POR SABEDOR II TRIM GESTACIÓN</t>
  </si>
  <si>
    <t>INDICADORES SEGUIMIENTO SABEDORES</t>
  </si>
  <si>
    <t>ACTIVA EN CPN</t>
  </si>
  <si>
    <t>ACTIVA SIN CPN</t>
  </si>
  <si>
    <t>SALE SIN INGRESO A CPN</t>
  </si>
  <si>
    <t>% MUJERES INASITENTES AL CPN</t>
  </si>
  <si>
    <t>MESES</t>
  </si>
  <si>
    <t>MES PARTO</t>
  </si>
  <si>
    <t>AÑO PARTO</t>
  </si>
  <si>
    <t>NÚMERO DE GESTANTES  CON SEGUIMIENTO POR PARTERA, SEGÚN MES DEL AÑO DE INGRESO AL PROGRAMA</t>
  </si>
  <si>
    <t>NÚMERO DE GESTANTES CON SEGUIMIENTO POR MEDICO TRADICIONAL, SEGÚN MES DEL AÑO DE INGRESO AL PROGRAMA</t>
  </si>
  <si>
    <t>TRIMESTRE DE GESTACIÓN AL PRIMER SEGUIMIENTO POR SABEDOR</t>
  </si>
  <si>
    <t>NÚMERO DE GESTANTES CON ATENCION INICIAL POR SABEDOR III TRIM GESTACIÓN</t>
  </si>
  <si>
    <t>% GESTANTES CON SEGUIMIENTO POR PARTERA</t>
  </si>
  <si>
    <t>% GESTANTES CON SEGUIMIENTO POR MEDICO TRADICIONAL</t>
  </si>
  <si>
    <t>% GESTANTES ATENDIDAS EN I TRIM POR SABEDOR.</t>
  </si>
  <si>
    <t>% GESTANTES ATENDIDAS EN II TRIM POR SABEDOR.</t>
  </si>
  <si>
    <t>% GESTANTES ATENDIDAS EN III TRIM POR SABEDOR.</t>
  </si>
  <si>
    <t>TOTAL</t>
  </si>
  <si>
    <t>RAZÓN MORTALIDAD MATERNA X 100000 NV</t>
  </si>
  <si>
    <t>ASESORIA EN LACTANCIA MATERNA EXCLUSIVA EN AMBITO HOSPITALARIO</t>
  </si>
  <si>
    <t>NIVEL DE COMPLEJIDAD DE LA ATENCION DE LA INSTITUCION DONDE SE ATENDIO EL PARTO</t>
  </si>
  <si>
    <t>EDAD GESTACIONAL AL MOMENTO DE LA IDENTIFICACIÓN</t>
  </si>
  <si>
    <t>MES2 INGRESO CPN</t>
  </si>
  <si>
    <t>AÑO3 INGRESO CPN</t>
  </si>
  <si>
    <t>TRIM DEL AÑOS4 INGRESO CPN</t>
  </si>
  <si>
    <t>AÑOS AL INICIO5 CPN</t>
  </si>
  <si>
    <t>PUNTAJE ERBPS6 EDAD</t>
  </si>
  <si>
    <t>PUNTAJE TOTAL ERBPS2</t>
  </si>
  <si>
    <t xml:space="preserve">DIAS2 </t>
  </si>
  <si>
    <t>EDAD GESTACIÓN DPT ACELULAR</t>
  </si>
  <si>
    <t>TAMIZAJE  PARA VIH INTRAPARTO SEGÚN GPC.</t>
  </si>
  <si>
    <t>TAMIZAJE  PARA SIFILIS  SEGÚN GPC SIFILIS II TRIMESTRE</t>
  </si>
  <si>
    <t>TAMIZAJE  PARA SIFILIS  SEGÚN GPC SIFILIS III TRIMESTRE</t>
  </si>
  <si>
    <t>TAMIZAJE  PARA SIFILIS  SEGÚN GPC SIFILIS INTRAPARTO</t>
  </si>
  <si>
    <t>Se registran aspectos de seguimiento a tener en cuenta, como por ejemplo, acciones pendientes a verificar en los proximos controles u otros aspectos relevantes a juicio de quien diligencia la información.</t>
  </si>
  <si>
    <t>Se registra el nombre de la persona encargada de hacer el seguimiento de la gestante en las diferentes zonas del municipio.</t>
  </si>
  <si>
    <t>A este formato, deben ingresar todas las mujeres identificadas con gestación, incluyendo las mujeres que apliquen para IVE.</t>
  </si>
  <si>
    <r>
      <t>Registrar el nombre del punto de atención, cada Municipio debe</t>
    </r>
    <r>
      <rPr>
        <sz val="11"/>
        <color rgb="FFFF0000"/>
        <rFont val="Calibri"/>
        <family val="2"/>
        <scheme val="minor"/>
      </rPr>
      <t xml:space="preserve"> generar una lista desplegable </t>
    </r>
    <r>
      <rPr>
        <sz val="11"/>
        <color theme="1"/>
        <rFont val="Calibri"/>
        <family val="2"/>
        <scheme val="minor"/>
      </rPr>
      <t>para esta columna según los puntos de atención de los que dispongan.</t>
    </r>
  </si>
  <si>
    <t>Lista Desplegable:  Correponde a los programas sociales, donde la gestantes esta incluida, se debe definir la forma al interior de la insitución de recolectar esta información. - Cero a Siempre. - Semillas de vida. - Familias en Acción. - Red Unidos. - Programa ICBF. - Otro. - Ninguno. - Sin dato.</t>
  </si>
  <si>
    <r>
      <rPr>
        <sz val="11"/>
        <color rgb="FFFF0000"/>
        <rFont val="Calibri"/>
        <family val="2"/>
        <scheme val="minor"/>
      </rPr>
      <t>Lista desplegable</t>
    </r>
    <r>
      <rPr>
        <sz val="11"/>
        <color theme="1"/>
        <rFont val="Calibri"/>
        <family val="2"/>
        <scheme val="minor"/>
      </rPr>
      <t xml:space="preserve"> Elegir de acuerdo a las condiciones visibles o manifestadas por la gestante: Desplazada, Indígente,Migratoria,Ninguna, Discapacitad Fisica, Disapacidad conductual, discapacidad auditiva, discapacidad visual, discapacidades multiples, discapacidad sistemica.</t>
    </r>
  </si>
  <si>
    <t>ANTECEDENTE. HIPERTENSION INDUCIDA POR EL EMBARAZO O PREECLAMPSIA/ECLAMPSIA</t>
  </si>
  <si>
    <t>ANTECEDENTE. RETENCION PLACENTARIA O HEMORRAGIA POSTPARTO</t>
  </si>
  <si>
    <t>ANTECEDENTE. PESO BEBE MAYOR A 4000 o MENOR A  2500</t>
  </si>
  <si>
    <t>ANTECEDENTE. EMBARAZO GEMELAR</t>
  </si>
  <si>
    <t>ANTECEDENTE. Trabajo de Parto PROLONGADO/PARTO DIFICIL</t>
  </si>
  <si>
    <t>ANTECEDENTE. FLIAR PREECLAMPSIA</t>
  </si>
  <si>
    <t>ANTECEDENTE PARTOS</t>
  </si>
  <si>
    <t>ANTECEDENTE ABORTOS</t>
  </si>
  <si>
    <t>ANTECEDENTE OBITO FETAL Y/O MUERTE PERINATAL NEONATAL TEMPRANA</t>
  </si>
  <si>
    <t>ANTECEDENTE  EMBARAZO ECTOPICO O CX UTERINA (MIOMECTOMIA)</t>
  </si>
  <si>
    <t>ANTECEDENTE EMBARAZO MOLAR</t>
  </si>
  <si>
    <t>ANTECEDENTE MUERTE NEONATAL TARDIA</t>
  </si>
  <si>
    <t>Registrar SI  o NO según corresponda. La opción SI estará semaforizada en rojo. El obito fetal corresponde a la muerte del feto in utero y la muerte perinatal temprana es la muerte del feto o recién nacido hasta los 7 dias de nacido.</t>
  </si>
  <si>
    <t>Elegir  SI o NO según corresponda a si la gestante tiene un embarazo ectopico como antecedente o se le ha realizado una cirugía para manejo de miomas.</t>
  </si>
  <si>
    <t xml:space="preserve">Elegir  SI o NO según corresponda a si la gestante tiene un embarazo molar  como antecedente </t>
  </si>
  <si>
    <t>Elegir  SI o NO según corresponda a si la gestante tiene un antecedente de embarzo con muerte neonatal tardía; corresponde a la muerte del niño o niña desde los 8 a 29 días de nacido.</t>
  </si>
  <si>
    <t>ANTECEDENTE EMBARAZO ECTOPICO O CX UTERINA (MIOMECTOMIA)</t>
  </si>
  <si>
    <r>
      <t xml:space="preserve">Formula automática, calcula la FUM por ecografía y se activa, cuando se digitan los datos de las columnas BR (Fecha eco 1) y BS (Semanas gestación eco 1), respectivamente. ESTE DATO DEBE SER DIGITADO EN LA COLUMNA BK (FUM) EN CASO DE QUE ESTA </t>
    </r>
    <r>
      <rPr>
        <u/>
        <sz val="11"/>
        <color theme="1"/>
        <rFont val="Calibri"/>
        <family val="2"/>
        <scheme val="minor"/>
      </rPr>
      <t>NO SEA CONFIABLE O NO SE TENGA DATO ALGUNO</t>
    </r>
  </si>
  <si>
    <r>
      <rPr>
        <sz val="11"/>
        <color rgb="FFFF0000"/>
        <rFont val="Calibri"/>
        <family val="2"/>
        <scheme val="minor"/>
      </rPr>
      <t>Lista desplegable:</t>
    </r>
    <r>
      <rPr>
        <sz val="11"/>
        <color theme="1"/>
        <rFont val="Calibri"/>
        <family val="2"/>
        <scheme val="minor"/>
      </rPr>
      <t xml:space="preserve"> elegir Si No Sin Dato o </t>
    </r>
    <r>
      <rPr>
        <u/>
        <sz val="11"/>
        <color theme="1"/>
        <rFont val="Calibri"/>
        <family val="2"/>
        <scheme val="minor"/>
      </rPr>
      <t>CORREGIDA, esta última se debe colocar cuando la FUM columna (BK), corresponde al dato calculado en la columna BN (FUM x ECO 1)</t>
    </r>
  </si>
  <si>
    <r>
      <t>Formula automatica del trimestres de gestacion al ingreso. Cuando aparezca:</t>
    </r>
    <r>
      <rPr>
        <u/>
        <sz val="11"/>
        <color theme="1"/>
        <rFont val="Calibri"/>
        <family val="2"/>
        <scheme val="minor"/>
      </rPr>
      <t xml:space="preserve"> ERROR FUM O INGRESO Revisar coherencia entre los datos respectivos y hacer la corrección pertinente. Si aparece: DEFINIR FPP POR ECO; Completar la información una vez se tenga el dato de la Ecografía.</t>
    </r>
  </si>
  <si>
    <t>Elegir  de las opciones  SI, NO, Sin Dato según corresponda . Si en la columna anterior se anoto 3 o mas abortos  definir si estos fueron seguidos y esponteneos o existe historia de infertilidad en la  mujer, para anotar SI.</t>
  </si>
  <si>
    <t>ANTECEDENTE CESAREAS</t>
  </si>
  <si>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REPORTES DE ECOGRAFÍAS O EVOLUCIÓN EN HC SEGÚN CRITERIO DEL MEDICO.</t>
    </r>
  </si>
  <si>
    <r>
      <t xml:space="preserve">Registrar SI  o NO según corresponda. La opción SI estará semaforizada en rojo pues se considera antecedente de Riesgo Obstétrico  y la gestante debe ser valorada por ginecólogo. </t>
    </r>
    <r>
      <rPr>
        <u/>
        <sz val="11"/>
        <color theme="1"/>
        <rFont val="Calibri"/>
        <family val="2"/>
        <scheme val="minor"/>
      </rPr>
      <t>REVISAR EN ECOGRAFIAS O SI NO LAS TIENE SEGÚN CRITERIO DEL MEDICO.</t>
    </r>
  </si>
  <si>
    <r>
      <t xml:space="preserve">Registrar SI  o NO según corresponda al embarazo actual. La opción SI estará semaforizada en rojo pues se considera antecedente de Riesgo Obstétrico  y la gestante debe ser valorada por ginecólogo. </t>
    </r>
    <r>
      <rPr>
        <u/>
        <sz val="11"/>
        <color theme="1"/>
        <rFont val="Calibri"/>
        <family val="2"/>
        <scheme val="minor"/>
      </rPr>
      <t>REVISAR EN REPORTE DE ECOGRAFIAS.</t>
    </r>
  </si>
  <si>
    <r>
      <t xml:space="preserve">Registre el peso en Kilogramos pregestacional o en el primer trimestre primera medicion. </t>
    </r>
    <r>
      <rPr>
        <u/>
        <sz val="11"/>
        <color theme="1"/>
        <rFont val="Calibri"/>
        <family val="2"/>
        <scheme val="minor"/>
      </rPr>
      <t xml:space="preserve">EN CASO DE NO TENER DATO DE PESO, PORS ER UN INGRESO TARDÍO SE DEBE COLOCAR EN ESTA CASILLA: </t>
    </r>
    <r>
      <rPr>
        <u/>
        <sz val="11"/>
        <color rgb="FFFF0000"/>
        <rFont val="Calibri"/>
        <family val="2"/>
        <scheme val="minor"/>
      </rPr>
      <t>SD</t>
    </r>
  </si>
  <si>
    <t>SEMANAS DE GESTACION II TRIM</t>
  </si>
  <si>
    <t>IMC5 II TRIM</t>
  </si>
  <si>
    <t>CLASIFICACION SEGÚN CURVA ATALAH - II TRIM</t>
  </si>
  <si>
    <t>IMC8 III TRIM</t>
  </si>
  <si>
    <t>SEMANAS DE GESTACION9 III TRIM</t>
  </si>
  <si>
    <t>CLASIFICACION SEGÚN CURVA ATALAH - III TRIM</t>
  </si>
  <si>
    <t>CLASIFICACION SEGÚN CURVA ATALAH -CONSOLIDADO ULTIMO DATO DE CADA MUJER</t>
  </si>
  <si>
    <r>
      <t>Registrar Fecha en D M A del Peso y Talla de la medicion en el SEGUNDO  trimestre de gestación (</t>
    </r>
    <r>
      <rPr>
        <u/>
        <sz val="11"/>
        <color theme="1"/>
        <rFont val="Calibri"/>
        <family val="2"/>
        <scheme val="minor"/>
      </rPr>
      <t>DE SEMANA 14 A 28)</t>
    </r>
  </si>
  <si>
    <r>
      <t xml:space="preserve">Registrar Fecha en D M A del Peso y Talla pregestacional  o primera medicion que corresponda entre el primer trimestre de gestación </t>
    </r>
    <r>
      <rPr>
        <u/>
        <sz val="11"/>
        <color theme="1"/>
        <rFont val="Calibri"/>
        <family val="2"/>
        <scheme val="minor"/>
      </rPr>
      <t>HASTA LA SEMANA 13 DE GESTACIÓN.</t>
    </r>
  </si>
  <si>
    <t>PESO EN Kg II TRIM (14 A 28 SEMANAS)</t>
  </si>
  <si>
    <t>PESO EN Kg (29 A 42 SEMANAS)</t>
  </si>
  <si>
    <r>
      <t xml:space="preserve">Formula Automática de las semanas de gestación a la fecha del peso.  </t>
    </r>
    <r>
      <rPr>
        <u/>
        <sz val="11"/>
        <color theme="1"/>
        <rFont val="Calibri"/>
        <family val="2"/>
        <scheme val="minor"/>
      </rPr>
      <t>Si aparece "REVISAR FUM O INGRESO" verificar coherencia entre estos datos.</t>
    </r>
  </si>
  <si>
    <r>
      <t xml:space="preserve">Formula automatica según corresponda al IMC  en el Segundo Trimestre de gestacion con las Opciones : Bajo Peso, Normal, Sobrepeso y Obesidad, Si aparece </t>
    </r>
    <r>
      <rPr>
        <u/>
        <sz val="11"/>
        <color theme="1"/>
        <rFont val="Calibri"/>
        <family val="2"/>
        <scheme val="minor"/>
      </rPr>
      <t>"REGISTRAR EN III TRIM o REGISTRAR EN I TRIM" Corregir los datos de Fecha y Talla de las columnas CE y CF verificando que correspondan al II TRIM (entre semana 14 a 28).</t>
    </r>
  </si>
  <si>
    <t>Registrar Fecha en D M A del Peso y Talla de la medicion en el TRIMESTRE  trimestre de gestación  (DE SEMANA 29 A 42)</t>
  </si>
  <si>
    <r>
      <t xml:space="preserve">Registre el peso en Kilogramos en el SEGUNDO trimestre  </t>
    </r>
    <r>
      <rPr>
        <u/>
        <sz val="11"/>
        <color theme="1"/>
        <rFont val="Calibri"/>
        <family val="2"/>
        <scheme val="minor"/>
      </rPr>
      <t>(DE SEMANA 14 A 28)</t>
    </r>
  </si>
  <si>
    <r>
      <t>Registre el peso en Kilogramos en el TERCER trimestre</t>
    </r>
    <r>
      <rPr>
        <u/>
        <sz val="11"/>
        <color theme="1"/>
        <rFont val="Calibri"/>
        <family val="2"/>
        <scheme val="minor"/>
      </rPr>
      <t xml:space="preserve"> (DE SEMANA 29 A 42)</t>
    </r>
  </si>
  <si>
    <t>Formula Automatica del Indice de Masa Corporal según datos registrados de Peso y talla del Segundo trimestres</t>
  </si>
  <si>
    <t>Formula Automatica del Indice de Masa Corporal según datos registrados de Peso y talla del Tercer trimestre</t>
  </si>
  <si>
    <r>
      <t xml:space="preserve">Elegir de la lista desplegable el numero que corresponda a las semanas de gestacion al momento del registro de PESO y TALLA del TERCER trimestre. </t>
    </r>
    <r>
      <rPr>
        <u/>
        <sz val="11"/>
        <color theme="1"/>
        <rFont val="Calibri"/>
        <family val="2"/>
        <scheme val="minor"/>
      </rPr>
      <t>Si aparece "REVISAR FUM O INGRESO" verificar coherencia entre estos datos.</t>
    </r>
  </si>
  <si>
    <t>Formula automatica según corresponda al IMC  en el TERCER Trimestre de gestacion con las Opciones : Bajo Peso, Normal, Sobrepeso y Obesidad.  Si aparece "REGISTRAR EN TRIM RESPECTIVO" Corregir los datos de Fecha y Talla de las columnas CJ y CK verificando que correspondan al III TRIM (entre semana 29 a 42).</t>
  </si>
  <si>
    <t>Formula automatica que trae a esta casilla, el útimo dato registrado de cada mujer del resultado de la Clasificación según curva de atalah, lo que permite filtrar fácilmente la información de cada mujer independiente del trimestre de gestación en que este ubicado.</t>
  </si>
  <si>
    <r>
      <t xml:space="preserve">Reguistre en numeros la TA Sistolica antes de las 12 semanas de gestacion. </t>
    </r>
    <r>
      <rPr>
        <u/>
        <sz val="11"/>
        <color theme="1"/>
        <rFont val="Calibri"/>
        <family val="2"/>
        <scheme val="minor"/>
      </rPr>
      <t>SI NO SE TIENE DATO SE DEBE DEJAR ESTA CASILLA EN BLANCO</t>
    </r>
  </si>
  <si>
    <r>
      <t xml:space="preserve">Reguistre en numeros la TA diastolica antes de las 12 semanas de gestacion. </t>
    </r>
    <r>
      <rPr>
        <u/>
        <sz val="11"/>
        <color theme="1"/>
        <rFont val="Calibri"/>
        <family val="2"/>
        <scheme val="minor"/>
      </rPr>
      <t>SI NO SE TIENE DATO SE DEBE DEJAR ESTA CASILLA EN BLANCO</t>
    </r>
  </si>
  <si>
    <r>
      <t xml:space="preserve">Reguistre en numeros la TA Sistolica entre las 20 y 26 semanas de gestacion. </t>
    </r>
    <r>
      <rPr>
        <u/>
        <sz val="11"/>
        <color theme="1"/>
        <rFont val="Calibri"/>
        <family val="2"/>
        <scheme val="minor"/>
      </rPr>
      <t>SI NO SE TIENE DATO SE DEBE DEJAR ESTA CASILLA EN BLANCO</t>
    </r>
  </si>
  <si>
    <r>
      <t xml:space="preserve">Reguistre en numeros la TA Diastolica entre las 20 y 26 semanas de gestacion. </t>
    </r>
    <r>
      <rPr>
        <u/>
        <sz val="11"/>
        <color theme="1"/>
        <rFont val="Calibri"/>
        <family val="2"/>
        <scheme val="minor"/>
      </rPr>
      <t>SI NO SE TIENE DATO SE DEBE DEJAR ESTA CASILLA EN BLANCO</t>
    </r>
  </si>
  <si>
    <t>solo se debe colocar dato de Fecha de la asesoría realizada.</t>
  </si>
  <si>
    <t>La información aquí registrada, debe aparecer soportada en la historia Clínica, de lo contrario el dato no es valido.</t>
  </si>
  <si>
    <r>
      <t xml:space="preserve">Registrar fecha de inicio de CPN de la gestante, Importante sea en el siguiente orden: DIA/MES/AÑO usando el  /  para  sepáralas ejemplo: 18/09/2014.  </t>
    </r>
    <r>
      <rPr>
        <u/>
        <sz val="11"/>
        <color theme="1"/>
        <rFont val="Calibri"/>
        <family val="2"/>
        <scheme val="minor"/>
      </rPr>
      <t xml:space="preserve"> EN CASO DE GESTANTES CON INICIO CPN EN OTRA INSTITUCIÓN: se debe registrar el dato de ingreso real de la mujer en la otra institución.</t>
    </r>
  </si>
  <si>
    <r>
      <t xml:space="preserve">Registrar fechas de los controles realizados según corresponde en secuencia D M A. </t>
    </r>
    <r>
      <rPr>
        <u/>
        <sz val="11"/>
        <color theme="1"/>
        <rFont val="Calibri"/>
        <family val="2"/>
        <scheme val="minor"/>
      </rPr>
      <t>EN CASO DE GESTANTE QUE REALIZO CONTROLES EN OTRA INSTITUCIÓN, SE DEBE COLOCAR LA INFORMACIÓN DE LAS FECHAS DE CONTROLES PREVIAMENTE REALIZADOS.</t>
    </r>
  </si>
  <si>
    <t xml:space="preserve">Formula automática que define una fecha aproximada del proximo control. </t>
  </si>
  <si>
    <t>FORMULA AUTOMATICA: CON LAS OPCIONES CAMBIO DE RESIDENCIA, SEGUIMIENTO REPORTE EPS, SALIO PROGRAMA, SALE SIN INGRESO CPN; SIN CPN, ACTIVA INGRESO A CPN, ACTIVA SIN INGRESO A CPN.</t>
  </si>
  <si>
    <t>Formula, muestra de cada mujer la fecha de su último control.</t>
  </si>
  <si>
    <t>Formula que calcula la edad gestaciónal de la última vez que vino al CPN</t>
  </si>
  <si>
    <t>Formula automatica del % de cumplimiento de controles prenatales</t>
  </si>
  <si>
    <t>Se debe registrar dato de la fecha en que acude por primera vez la mujer a cita con ginecologo; esta información debe aparecer en la evolución de la HC de seguimiento realizda por el Medico general.</t>
  </si>
  <si>
    <r>
      <t xml:space="preserve">Registro de fecha de la útima asistencia a ginecología, si aplica; este dato se debe </t>
    </r>
    <r>
      <rPr>
        <u/>
        <sz val="11"/>
        <color theme="1"/>
        <rFont val="Calibri"/>
        <family val="2"/>
        <scheme val="minor"/>
      </rPr>
      <t>actualizar periodicamente según corresponda.</t>
    </r>
  </si>
  <si>
    <r>
      <t xml:space="preserve">Registro de numero de consultas con ginecologo. </t>
    </r>
    <r>
      <rPr>
        <u/>
        <sz val="11"/>
        <color theme="1"/>
        <rFont val="Calibri"/>
        <family val="2"/>
        <scheme val="minor"/>
      </rPr>
      <t>Este dato se debe actualizar periodicamente según corresponda.</t>
    </r>
  </si>
  <si>
    <r>
      <t xml:space="preserve">Elija de la lista desplegable según corresponda al  resultado del Grupo sanguineo. </t>
    </r>
    <r>
      <rPr>
        <u/>
        <sz val="11"/>
        <color theme="1"/>
        <rFont val="Calibri"/>
        <family val="2"/>
        <scheme val="minor"/>
      </rPr>
      <t xml:space="preserve">SI SE TIENE UN RESULTADO DE GRUPO RH NEGATIVO, TENER EN CUENTA QUE SI LA MADRE Y EL PADRE SON RH NEGATIVOS, DEBE ESCOGER LA OPCIÓN DEL GRUPO QUE MARCA EL RH CON DOS SIGNOS NEGATIVOS; </t>
    </r>
    <r>
      <rPr>
        <sz val="11"/>
        <color theme="1"/>
        <rFont val="Calibri"/>
        <family val="2"/>
        <scheme val="minor"/>
      </rPr>
      <t xml:space="preserve">EJEMPLO </t>
    </r>
    <r>
      <rPr>
        <b/>
        <sz val="11"/>
        <color rgb="FFFF0000"/>
        <rFont val="Calibri"/>
        <family val="2"/>
        <scheme val="minor"/>
      </rPr>
      <t>O--, A--,B--,AB--</t>
    </r>
  </si>
  <si>
    <t>Fecha en D M A del Resultado del la Glicemia.</t>
  </si>
  <si>
    <t>solo se debe colocar dato de Fecha de firma del consentiminto, debe coincidir con el registro en fisico.</t>
  </si>
  <si>
    <r>
      <t xml:space="preserve">solo se debe colocar dato de Fecha de la asesoría realizada. </t>
    </r>
    <r>
      <rPr>
        <u/>
        <sz val="11"/>
        <color theme="1"/>
        <rFont val="Calibri"/>
        <family val="2"/>
        <scheme val="minor"/>
      </rPr>
      <t>ESTE DATO DEBE ESTAR SOPORTADO EN LA HC</t>
    </r>
  </si>
  <si>
    <t>Diligencie la lista desplegable, aparecen las opciones para Prueba Rápida o para Elisa, según sea la técnica utilizada e informada en el resultado del examen, que debe estar soportado en HC o en resultado de laboratorio.</t>
  </si>
  <si>
    <t>Fecha en D M A del Resultado del la Prueba de  ELISA o Pueba Rápida.</t>
  </si>
  <si>
    <t>FECHA RESULTADO ELISA O PR III TRIM</t>
  </si>
  <si>
    <r>
      <t xml:space="preserve">Diligencie la lista desplegable, según corresponda al resultado resportado de la Carga Viral. </t>
    </r>
    <r>
      <rPr>
        <u/>
        <sz val="11"/>
        <color theme="1"/>
        <rFont val="Calibri"/>
        <family val="2"/>
        <scheme val="minor"/>
      </rPr>
      <t>Se coloca SIN DATO: En el caso de que algunas de las columnas FU,FX,FZ y GC sean Reactivas y no se tenga información de este exámen. Se coloca NO APLICA: En caso de en caso de que los resultados de las columnas FU, FX, FZ Y GC; sean No Reactivos.</t>
    </r>
  </si>
  <si>
    <t>Diligencie la lista desplegable, aparecen las opciones para Prueba Rápida o para Elisa, según sea la técnica utilizada e informada en el resultado del examen, que debe estar soportado en HC o en resultado de laboratorio. Se coloca SIN DATO: En el caso de que algunas de las columnas FU,FX,FZ y GC sean Reactivas y no se tenga información de este exámen. Se coloca NO APLICA: En caso de en caso de que los resultados de las columnas FU, FX, FZ Y GC; sean No Reactivos.</t>
  </si>
  <si>
    <r>
      <t xml:space="preserve">Fecha en D M A del Resultado del la Prueba de  ELISA o Pueba Rápida. </t>
    </r>
    <r>
      <rPr>
        <u/>
        <sz val="11"/>
        <color theme="1"/>
        <rFont val="Calibri"/>
        <family val="2"/>
        <scheme val="minor"/>
      </rPr>
      <t>En caso de que la columna GE sea No aplica o Sin Dato, esta casilla debe permanecer vacia.</t>
    </r>
  </si>
  <si>
    <t>Fecha en D M A del Resultado de la Carga Viral. En caso de que la columna GG sea No aplica o Sin Dato, esta casilla debe permanecer vacia.</t>
  </si>
  <si>
    <r>
      <t xml:space="preserve">Fecha en D M A del Resultado del la Prueba del Antigeno de superficie para HB. En caso de que la columna GI sea </t>
    </r>
    <r>
      <rPr>
        <u/>
        <sz val="11"/>
        <color theme="1"/>
        <rFont val="Calibri"/>
        <family val="2"/>
        <scheme val="minor"/>
      </rPr>
      <t>Sin Dato, esta casilla debe permanecer vacia.</t>
    </r>
  </si>
  <si>
    <t>Lista desplegable, según corresponda. SIN DATO: se debe colocar en caso de que la mujer este incluida en la base de datos y no se tenga información del resultado de este exámen.</t>
  </si>
  <si>
    <t>Alarma y Evaluacion según reportes de Ig G e IgM, indica si se "excluye la infección" , si hay "Toxoplasmosis" o si se debe continuar con "Control Igm".</t>
  </si>
  <si>
    <t>Fecha en D M A del Resultado del la Prueba las pruebas de Toxoplasma. En caso de que las columnas GL y GM sea Sin Dato, esta casilla debe permanecer vacia.</t>
  </si>
  <si>
    <r>
      <t>Lista desplegable según corresponda,</t>
    </r>
    <r>
      <rPr>
        <u/>
        <sz val="11"/>
        <color theme="1"/>
        <rFont val="Calibri"/>
        <family val="2"/>
        <scheme val="minor"/>
      </rPr>
      <t xml:space="preserve"> EL RESULTADO DEBE CORRESPONDER A LOS CONTROLES REALIZADOS DESPUES DE HABER RESPORTADO EL IgM INICIAL . Se coloca SIN DATO: En caso de que la columna GN indique "Control IgM". Se coloca NO APLICA: En caso de que la columna GN indique "Se excluye infección" o "Toxoplasmosis".</t>
    </r>
  </si>
  <si>
    <t>Lista desplegable según correponda. Se debe colocar el número de Controles realizados de IgM, soportados en HC de cero (0) a Nueve (9). Se coloca NO APLICA: En caso de que la columna GR indique " NO APLICA".</t>
  </si>
  <si>
    <t>Lista desplegable según corresponda. Se coloca SIN DATO: en caso de no tener ninguna información al respecto o que no este vigente el resultado de la Citología.</t>
  </si>
  <si>
    <t>formula Que cuenta el tiempo en semanas entre la Toma y la FUM</t>
  </si>
  <si>
    <t>formula define si la Citología esta tomada antes de la gestación o durante la misma y ubica el trimestre de gestación de la toma.</t>
  </si>
  <si>
    <t>Formula automatica según resultado que sugiere una conducta.</t>
  </si>
  <si>
    <t>Formula que consolida las enfermedades identificadas en las columnas KI,KM,KQ,KU,KY,LC Y LG, que corresponde a necesidad o desarmonia desde lo propio.</t>
  </si>
  <si>
    <t>Formula automatica que reune riegos no evaluados en la escala de riesgo biopsicosocial de Julian Herrera.</t>
  </si>
  <si>
    <t>Formula que define si hay o no Riesgo Biopsicosocial, según el puntaje que maneja dicha escala de Julian Herrera.</t>
  </si>
  <si>
    <t>Formula que reune, las condiciones de riesgo que tiene algún puntaje dentro de la escala de riesgo biopsicosocial de Julian Herrera.</t>
  </si>
  <si>
    <t>Formula que identifica las gestantes con riesgo de complicación Hiertensivas, según los parametros de la GPC de embarazo, parto y postparto de Ministerio.</t>
  </si>
  <si>
    <t>Formula que consolida el último dato de cada mujer del seguimiento se las cifras de presión arterial reportados en las columnas CR, CU o CZ.</t>
  </si>
  <si>
    <r>
      <t xml:space="preserve">Lista desplegable según Corresponda. </t>
    </r>
    <r>
      <rPr>
        <u/>
        <sz val="11"/>
        <color theme="1"/>
        <rFont val="Calibri"/>
        <family val="2"/>
        <scheme val="minor"/>
      </rPr>
      <t>ESTA VARIABLE DEBE SER TRABAJADA POR EL PROFESIONAL QUE LIDERA EL PROGRAMA DE SALUD MATERNA DE LA INSTITUCIÓN.</t>
    </r>
  </si>
  <si>
    <t>SUPLEMENTACION ALIMENTARIA  O DIRECCIONAMIENTO A AUTONOMIA ALIMENTARIA</t>
  </si>
  <si>
    <t>Lista desplegable según corresponda: "SI"; Cuando la mujer esta recibiendo algún tipo de apoyo que contribuya a mejorar su alimentación. "NO": No tiene ningún apoyo en este aspecto. "SD": No se tiene certeza de si recibe o no apoyo.</t>
  </si>
  <si>
    <t>Lista desplegable según corresponda.</t>
  </si>
  <si>
    <t xml:space="preserve">FECHA VACUNA 1  Td </t>
  </si>
  <si>
    <t>Fecha en D M A.  Incluye la fecha de la vacuna que sea vigente, según lineamientos del programa de vacunación, aunque la vacuna no haya sido colocada en esta gestación.</t>
  </si>
  <si>
    <t>Formula automatica de la Fecha Probable de parto.</t>
  </si>
  <si>
    <t>Formula que cuenta los días que faltan para el nacimiento del bebe, si la cifra aparece con número NEGATIVO, significa los días que van de más despues de la fecha probable de parto.</t>
  </si>
  <si>
    <t>Formula que genera alerta del tiempo en semanas para el parto, según dato de la Fecha Probable de Parto.</t>
  </si>
  <si>
    <t>Fecha en D M A - Se debe actualizar, debe aparecer la última fecha.</t>
  </si>
  <si>
    <r>
      <t xml:space="preserve">Lista desplegable, elegir la opcion la condicion asociada a la salida de la madre. </t>
    </r>
    <r>
      <rPr>
        <u/>
        <sz val="11"/>
        <color theme="1"/>
        <rFont val="Calibri"/>
        <family val="2"/>
        <scheme val="minor"/>
      </rPr>
      <t>LOS EVENTOS DE MORBILIDAD MATERNA EXTREMA Y MORTALIDAD MATERNA, deben coincidir con lo reportado en SIVIGILA.</t>
    </r>
  </si>
  <si>
    <r>
      <t xml:space="preserve">Fecha en D M A de la salida del programa. </t>
    </r>
    <r>
      <rPr>
        <u/>
        <sz val="11"/>
        <color theme="1"/>
        <rFont val="Calibri"/>
        <family val="2"/>
        <scheme val="minor"/>
      </rPr>
      <t>ESTA VARIABLE DEBE DILIGENCIARSE SIEMPRE QUE LA COLUMNA HZ ESTE DILIGENCIADA.</t>
    </r>
  </si>
  <si>
    <t>FECHA DE SALIDA  DEL PROGRAMA</t>
  </si>
  <si>
    <r>
      <t xml:space="preserve">Lista desplegable, elegir la opcion la condicion asociada a la salida del Recien nacido. Se debe colocar "NO APLICA" ; cuando en la Columna HZ, se coloca Aborto o IVE.  </t>
    </r>
    <r>
      <rPr>
        <u/>
        <sz val="11"/>
        <color theme="1"/>
        <rFont val="Calibri"/>
        <family val="2"/>
        <scheme val="minor"/>
      </rPr>
      <t>LOS EVENTOS DE MUERTE PERINATAL Y NEONATAL TEMPRANA, MUERTE NEONATAL TARDÍA, deben coincidir con lo reportado en SIVIGILA.</t>
    </r>
  </si>
  <si>
    <t>LUGAR DE ATENCION DEL PARTO, ABORTO, IVE.</t>
  </si>
  <si>
    <r>
      <t xml:space="preserve">Lista desplegable, según corresponda. </t>
    </r>
    <r>
      <rPr>
        <u/>
        <sz val="11"/>
        <color theme="1"/>
        <rFont val="Calibri"/>
        <family val="2"/>
        <scheme val="minor"/>
      </rPr>
      <t>Se debe colocar NO APLICA: Cuando en la columna HZ, se coloca; Cambio de Residencia o Cambio de IPS.</t>
    </r>
  </si>
  <si>
    <t xml:space="preserve">NOMBRE DE LA INSTITUCION DONDE SE ATENDIO EL PARTO,ABORTO, IVE. </t>
  </si>
  <si>
    <r>
      <t xml:space="preserve">Lista desplegable, según corresponda.  Esta columna se debe diligenciar si en la columna ID se coloca: INSTITUCIONAL. </t>
    </r>
    <r>
      <rPr>
        <u/>
        <sz val="11"/>
        <color theme="1"/>
        <rFont val="Calibri"/>
        <family val="2"/>
        <scheme val="minor"/>
      </rPr>
      <t>Se coloca NO APLICA: Si en la columna ID aparece DOMICILIO, OTRO, NO APLICA.</t>
    </r>
  </si>
  <si>
    <r>
      <t xml:space="preserve">Lista desplegable, según corresponda. </t>
    </r>
    <r>
      <rPr>
        <u/>
        <sz val="11"/>
        <color theme="1"/>
        <rFont val="Calibri"/>
        <family val="2"/>
        <scheme val="minor"/>
      </rPr>
      <t>Se debe colocar NO APLICA, si en la columna ID aparece NO APLICA.</t>
    </r>
  </si>
  <si>
    <r>
      <t xml:space="preserve">Lista desplegable, según corresponda. Colocar SI: </t>
    </r>
    <r>
      <rPr>
        <u/>
        <sz val="11"/>
        <color theme="1"/>
        <rFont val="Calibri"/>
        <family val="2"/>
        <scheme val="minor"/>
      </rPr>
      <t>cuando existe soporte en HC claro del acompañamiento en ambos momentos TRABAJO DE PARTO Y PARTO.</t>
    </r>
    <r>
      <rPr>
        <sz val="11"/>
        <color theme="1"/>
        <rFont val="Calibri"/>
        <family val="2"/>
        <scheme val="minor"/>
      </rPr>
      <t xml:space="preserve"> Colocar NO: Cuando no existe soporte en HC del acompañamiento o este solo se realiza unicamente en el TRABAJO DE PARTO o en EL PARTO.  Se coloca NO APLICA: Cuando en la columna ID el parto es en DOMICILIO, en OTRO lugar o NO APLICA. Se coloca SD: Cuando el la columna ID aparece institucional y en la Columna IG aparece el nivel de complejidad MEDINA Y ALTA. </t>
    </r>
  </si>
  <si>
    <t xml:space="preserve">Lista desplegable según corresponda. Colocar SI: Cuando aparece soporte de partograma completamente diligenciado, con datos completos, línea de dilatación, curva de alerta, esta graficado el descenso de la presentación y se evidencia el cambio de curva de alerta al cambiar condiciones de la gestante. Colocar NO: Cuando no existe el partograma o esta parcialmente diligenciado.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</si>
  <si>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esta documentado en la nota de atención de parto, uso de oxitocina según GPC, masaje uterino y que se realiza la tracción sostenida de cordón.  Colocar NO: Cuando alguna de estas tres acciones NO aparece documentada en la HC o la Oxitocina no se aplica según lo definido en la GPC o ninguna de estas acciones aparece documentada.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</si>
  <si>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el tiempo de duración de dicho contacto es de 30 o más minutos. Colocar NO: Cuando solo se documenta el contacto piel a piel y no aparece el tiempo o cuando no se registra dicho contacto.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</si>
  <si>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En la HC debe estar documentado que se realiza contacto piel a piel y durante el contacto se inicia la lactancia materna efectiva, debe estar claramente registrada la hora de inicio de la Lactancia Materna. Colocar NO: Cuando no hay contacto piel a piel, no hay claridad del inicio de la lactancia materna efectiva o dicho inicio no ocurre durante el contacto piel a piel. Se coloca NO APLICA: Cuando en la columna ID el parto es en DOMICILIO, en OTRO lugar o NO APLICA. Se coloca SD: Cuando el la columna ID aparece institucional y en la Columna IG aparece el nivel de complejidad MEDINA Y ALTA. </t>
  </si>
  <si>
    <t xml:space="preserve">Lista desplegable según corresponda. Colocar SI: Cuando aparecen documentados los OCHO controles postparto, durante las dos primeras horas del parto, contados a partir de la Hora del alumbramiento de la Placenta; cada control debe incluir registro de Signos vitales, valoración estado de conciencia, valoración hemorragía vaginal, valoración tono uterino como mínimo. Colocar NO: Cuando se documentan menos de OCHO controles en el intervalo definido de las dos horas postparto contadas a partir del alumbramiento de la placenta, o cuando alguno de los controles no soportan las actividades minimas descritas en el SI. Se coloca NO APLICA: Cuando en la columna ID el parto es en DOMICILIO, en OTRO lugar o NO APLICA. Se coloca SD: Cuando el la columna ID aparece institucional y en la Columna IG aparece el nivel de complejidad MEDINA Y ALTA. </t>
  </si>
  <si>
    <t>Lista desplegable según corresponda. Se coloca NO APLICA: Cuando en la columna HZ, sale del programa por: Aborto, IVE, Cambio de residencia o Cambio de IPS.</t>
  </si>
  <si>
    <t>Formula automatica de la clasificación por peso al nacer del neonato</t>
  </si>
  <si>
    <t>FECHA TOMA  TSH</t>
  </si>
  <si>
    <t>Lista desplegable según corresponda.   Se coloca NO APLICA: Cuando en la columna HZ, sale del programa por: Aborto, IVE, Cambio de residencia o Cambio de IPS.</t>
  </si>
  <si>
    <r>
      <t xml:space="preserve">Registre fecha en formato D/ M / A. </t>
    </r>
    <r>
      <rPr>
        <u/>
        <sz val="11"/>
        <color theme="1"/>
        <rFont val="Calibri"/>
        <family val="2"/>
        <scheme val="minor"/>
      </rPr>
      <t>DEBE ESTAR DOCUMENTADO EN LA HC DE LA ATENCIÓN DEL PARTO Y RN</t>
    </r>
  </si>
  <si>
    <r>
      <t xml:space="preserve">Registre fecha en formato D/ M / A. </t>
    </r>
    <r>
      <rPr>
        <u/>
        <sz val="11"/>
        <color theme="1"/>
        <rFont val="Calibri"/>
        <family val="2"/>
        <scheme val="minor"/>
      </rPr>
      <t>DEBE ESTAR DOCUMENTADO EN LA HC DE LA ATENCIÓN DEL PARTO, RN Y/O PUERPERIO.</t>
    </r>
  </si>
  <si>
    <t>Lista desplegable según corresponda.   Se registra SI: Cuando aparece registro en la HC de que se hace la asesoría durante la hospitalización en postparto. coloca NO APLICA: Cuando en la columna HZ, sale del programa por: Aborto, IVE, Cambio de residencia o Cambio de IPS. Coloca SD: cuando es atención de parto institucional y no se tiene información al respecto.</t>
  </si>
  <si>
    <t>Lista desplegable según corresponda. Se coloca SI: Cuando hay registro en la HC de puerperio, del metodo de PF con el cual sale planificando la mujer.</t>
  </si>
  <si>
    <t>Lista desplegable según corresponda al método escogido por la mujer.</t>
  </si>
  <si>
    <t>Registre fecha en formato D/ M / A, del primer seguimiento durante el embarazo.</t>
  </si>
  <si>
    <t>Registre información relevante detectada en el seguimiento y que no este incluida en los Hallazgos anteriores.</t>
  </si>
  <si>
    <t>Registre fecha en formato D/ M / A, del último seguimiento durante el embarazo. ESTA INFORMACIÓN SE DEBE IR ACTUALIZANDO CADA MES SEGÚN CORREPONDA.</t>
  </si>
  <si>
    <t>FECHA SEGUIMIENTO POR PERSONAL DE SALUD EN TERRENO  EN PUERPERIO</t>
  </si>
  <si>
    <t>FECHA ULTIMO SEGUIMIENTO POR PERSONAL DE SALUD EN TERRENO  EN PUERPERIO</t>
  </si>
  <si>
    <t>Registre fecha en formato D/ M / A, del primer seguimiento durante el Puerperio.</t>
  </si>
  <si>
    <t>Registre información  relevante detectada en el seguimiento a la Puerpera.</t>
  </si>
  <si>
    <t>Registre información  relevante detectada en el seguimiento al Neonato.</t>
  </si>
  <si>
    <t>Registre fecha en formato D/ M / A, del último seguimiento durante el Puerperio. ESTA INFORMACIÓN SE DEBE IR ACTUALIZANDO CADA MES SEGÚN CORREPONDA.</t>
  </si>
  <si>
    <t>Registre el Número se veces que se le ha realizado seguimiento a la mujer durante el Puerperio. ESTA INFORMACIÓN SE DEBE IR ACTUALIZANDO CADA MES SEGÚN CORREPONDA.</t>
  </si>
  <si>
    <t>Lista desplegable según corresponda al tipo de sabedor que realiza el acompañamiento inicial durante la gestación.</t>
  </si>
  <si>
    <t>Registre las actividades o ritualidades realizadas por el sabedor, durante la gestación</t>
  </si>
  <si>
    <t>Registre la Desarmonia o desarmonias identificadas por el Sabedor en el seguimiento inicial durante la gestación.</t>
  </si>
  <si>
    <t>Registre fecha en formato D/ M / A, del primer Acompañamiento durante la gestación.</t>
  </si>
  <si>
    <t>Registre fecha en formato D/ M / A, del segundo Acompañamiento durante la gestación.</t>
  </si>
  <si>
    <t>Lista desplegable según corresponda al tipo de sabedor que realiza el acompañamiento durante la gestación.</t>
  </si>
  <si>
    <t>Registre la Desarmonia o desarmonias identificadas por el Sabedor en el acompañamiento durante la gestación.</t>
  </si>
  <si>
    <t>Registre fecha en formato D/ M / A, del tercer Acompañamiento durante la gestación.</t>
  </si>
  <si>
    <t>Registre fecha en formato D/ M / A, del cuarto Acompañamiento durante la gestación.</t>
  </si>
  <si>
    <t>Registre fecha en formato D/ M / A, del quinto Acompañamiento durante la gestación.</t>
  </si>
  <si>
    <t>Registre fecha en formato D/ M / A, del  Acompañamiento durante el Puerperio</t>
  </si>
  <si>
    <t>Lista desplegable según corresponda al tipo de sabedor que realiza el acompañamiento durante el puerperio.</t>
  </si>
  <si>
    <t>Registre la Desarmonia o desarmonias identificadas por el Sabedor en el acompañamiento durante el puerperio.</t>
  </si>
  <si>
    <t>Registre las actividades o ritualidades realizadas por el sabedor, durante el puerperio.</t>
  </si>
  <si>
    <t>FECHA INICIO SUMINISTRO CALCIO</t>
  </si>
  <si>
    <t xml:space="preserve">FECHA INICIO SUMINISTRO ACIDO FOLICO </t>
  </si>
  <si>
    <t xml:space="preserve">FECHA INICIO SUMINISTRO SULFATO FERROSO </t>
  </si>
  <si>
    <t>FECHA SEGUIMIENTOS TELÉFONICOS</t>
  </si>
  <si>
    <t>NÚMERO SEGUIMIENTOS TELÉFONCOS</t>
  </si>
  <si>
    <t>OBSERVACIÓN SEGUIMIENTO TELÉFONCO</t>
  </si>
  <si>
    <t>HALLAZGO GESTACIÓN SEGUIMIENTO POR VISITA DOMICILIARIA</t>
  </si>
  <si>
    <t>TIPO DE APOYO REALIZADO POR LA EPS</t>
  </si>
  <si>
    <t>TIPO DE APOYO REALIZADO POR LA IPS PRIMARIA</t>
  </si>
  <si>
    <t>FECHA DE REGISTRO DE PESO Y/O TALLA PREGESTACIONAL O I TRIM GESTACION</t>
  </si>
  <si>
    <t>La información registrada aquí es confidencial, este documento se asimila como una Historía Clinica, debe estar bajo un manejo reservado y confidencial, para manejo exclusivo del personal de salud.</t>
  </si>
  <si>
    <t>OBSERVACIONES PARA SEGUIMIENTO</t>
  </si>
  <si>
    <t>Fecha en D M A de la primera formulación de Calcio.</t>
  </si>
  <si>
    <t>Fecha en D M A de la primera formulación de Acido Folico.</t>
  </si>
  <si>
    <t>Fecha en D M A de la primera formulación de Sulfato Ferroso.</t>
  </si>
  <si>
    <t>Registre el Número se veces que se le ha realizado seguimientos teléfonicos a la mujer durante la gestación. ESTA INFORMACIÓN SE DEBE IR ACTUALIZANDO CADA MES SEGÚN CORRESPONDA.</t>
  </si>
  <si>
    <t>Registre el Número se veces que se le ha realizado seguimiento a la mujer durante la gestación. ESTA INFORMACIÓN SE DEBE IR ACTUALIZANDO CADA MES SEGÚN CORRESPONDA.</t>
  </si>
  <si>
    <t>FECHA C13</t>
  </si>
  <si>
    <t># fila</t>
  </si>
  <si>
    <t xml:space="preserve">NOVEDAD AL MOMENTO DE LA IDENTIFICACIÓN Y/O CAPTACIÓN </t>
  </si>
  <si>
    <t>INMIGRANTE VENEZOLANA</t>
  </si>
  <si>
    <t>Mujeres gestantes migrantes venezolanas que ingresan al progama</t>
  </si>
  <si>
    <t>% CAPTACIÓN INMIGRANTES VENEZOLANAS</t>
  </si>
  <si>
    <t>Total general de mujeres gestantes que ingresan al progama</t>
  </si>
  <si>
    <t>Mujeres gestantes que ingresan al progama (No incluye inmigrantes venezolanas)</t>
  </si>
  <si>
    <t>% CAPTACIÓN (sin inmigrantes venezolanas)</t>
  </si>
  <si>
    <t>FECHA ACOMPAÑAMIENTO SABEDOR ANCESTRAL PUERPERIO Y RECIEN NACIDO22</t>
  </si>
  <si>
    <t>TIPO DE SABEDOR73</t>
  </si>
  <si>
    <t>NECESIDAD O DESARMONIA DESDE LO PROPIO 174</t>
  </si>
  <si>
    <t>ACTIVIDAD O RITUALIDAD REALIZADA185</t>
  </si>
  <si>
    <t>FECHA ACOMPAÑAMIENTO SABEDOR ANCESTRAL PUERPERIO Y RECIEN NACIDO222</t>
  </si>
  <si>
    <t>TIPO DE SABEDOR733</t>
  </si>
  <si>
    <t>NECESIDAD O DESARMONIA DESDE LO PROPIO 1744</t>
  </si>
  <si>
    <t>ACTIVIDAD O RITUALIDAD REALIZADA1855</t>
  </si>
  <si>
    <t>FECHA ACOMPAÑAMIENTO SABEDOR ANCESTRAL PUERPERIO Y RECIEN NACIDO2222</t>
  </si>
  <si>
    <t>TIPO DE SABEDOR7333</t>
  </si>
  <si>
    <t>NECESIDAD O DESARMONIA DESDE LO PROPIO 17444</t>
  </si>
  <si>
    <t>ACTIVIDAD O RITUALIDAD REALIZADA18555</t>
  </si>
  <si>
    <t>CAPTACIÓN A SEMANA 10</t>
  </si>
  <si>
    <t>% CAPTACIÓN GENERAL ANTES  SEMANA 12</t>
  </si>
  <si>
    <t>% CAPTACIÓN GENERAL A SEMANA 10</t>
  </si>
  <si>
    <t xml:space="preserve"> Total de mujeres gestantes captadas a semana 10 </t>
  </si>
  <si>
    <t>DIAGNOSTICO POSITIVO COVID19 - INFECCIÓN POR SARS CoV2</t>
  </si>
  <si>
    <t>Lista desplegable Elegir de la lista desplegable según corresponda,  CPN con otra IPS, Viene de otro municipio, Tramite de portabilidad,Inicio sin documento de Identidad, Inicio sin EPS, Sin Novedad, INMIGRANTE VENEZOLANA. Esta ultima opción prima sobre las otras, de presentarse múltiples novedades, se debe registrar Inmigrante Venezolana en esa casilla y las demás novedasdes en la Columna A, Novedades al momento de la captación</t>
  </si>
  <si>
    <t>Fecha 1ra Dosis Anti COVID-19</t>
  </si>
  <si>
    <t>Fecha 2da Dosis Anti COVID-19</t>
  </si>
  <si>
    <t>Alarma Vacunación Anti COVID-19</t>
  </si>
  <si>
    <t>Edad gestacional Vacuna anticovid19</t>
  </si>
  <si>
    <t>Tipo de Vacuna</t>
  </si>
  <si>
    <t>Esquema terminado</t>
  </si>
  <si>
    <t>Días para Siguiente Dosis</t>
  </si>
  <si>
    <t># de días desde fecha vacunación</t>
  </si>
  <si>
    <t>Alarma de apoyo</t>
  </si>
  <si>
    <t>Tipo Biológico Vacuna anti COVID-19 (Disentimiento)</t>
  </si>
  <si>
    <t>Fecha Refuerzo Anti COVID-20</t>
  </si>
  <si>
    <t>Tipo Biológico Vacuna anti COVID-19 (2da Dosis)</t>
  </si>
  <si>
    <t>Tipo Biológico Vacuna anti COVID-19 (Refuerzo)</t>
  </si>
  <si>
    <t>Curso de Maternidad y Paternidad</t>
  </si>
  <si>
    <t>Alerta Plan de Parto</t>
  </si>
  <si>
    <t>TAMIZAJE  PARA SIFILIS  SEGÚN GPC SIFILIS I TRIMESTRE</t>
  </si>
  <si>
    <t>TAMIZAJE  PARA VIH I TRIM</t>
  </si>
  <si>
    <t>RESGUARDO / CORREGIMIENTO / COMUNA / LOCALIDAD</t>
  </si>
  <si>
    <t>ATENCIÓN PRECONCEPCIONAL</t>
  </si>
  <si>
    <t>ALARMA TAMIZAJE SIFILIS I TRIMESTRE</t>
  </si>
  <si>
    <t>ALARMA TAMIZAJE SIFILIS II TRIMESTRE2</t>
  </si>
  <si>
    <t>ALARMA TAMIZAJE SIFILIS III TRIMESTRE22</t>
  </si>
  <si>
    <t>ALARMA CONSOLIDADA CASOS SIFILIS GESTACIONAL</t>
  </si>
  <si>
    <t>ALARMA TAMIZAJE VIH - I TRIM</t>
  </si>
  <si>
    <t>ALARMA TAMIZAJE VIH - II TRIM</t>
  </si>
  <si>
    <t>ALARMA TAMIZAJE VIH - III TRIM</t>
  </si>
  <si>
    <t>TAMIZAJE PARA CHAGAS (ELISA para detección de anticuerpos IgG anti T. cruzi de antígenos totales)</t>
  </si>
  <si>
    <t>FECHA RESULTADO TAMIZAJE CHAGAS</t>
  </si>
  <si>
    <t>TAMIZAJE INICIAL DE GOTA GRUESA PARA MALARIA (En zonas endémicas)</t>
  </si>
  <si>
    <t>FECHA RESULTADO TAMIZAJE INICIAL GOTA GRUESA PARA MALARIA</t>
  </si>
  <si>
    <t>RESULTADO ULTIMO TAMIZAJE GOTA GRUESA (Para Zonas endémicas)</t>
  </si>
  <si>
    <t>NUMERO TAMIZAJES TOMADOS DE GOTA GRUESA PARA MALARIA (Debe ser mensual para zonas endémicas)</t>
  </si>
  <si>
    <t>INICIO TRABAJO DE PARTO</t>
  </si>
  <si>
    <t>PUNTAJE PRESENTACIÓN RBPS4</t>
  </si>
  <si>
    <t>PUNTAJE TAMIZAJE CHAGAS RBPS5</t>
  </si>
  <si>
    <t>PUNTAJE TAMIZAJE MALARIA RBPS6</t>
  </si>
  <si>
    <t>Puntaje ROBSON</t>
  </si>
  <si>
    <t>FECHA PLAN DE PARTO  (Soporte en HC)</t>
  </si>
  <si>
    <t>FECHA RESULTADO PR- I TRIM</t>
  </si>
  <si>
    <t>FECHA RESULTADO ELISA O PR I TRIM</t>
  </si>
  <si>
    <t>NUMERO TAMIZAJES TOMADOS DE GOTA GRUESA PARA MALARIA (Debe ser mensual para zons endémicas)</t>
  </si>
  <si>
    <r>
      <t xml:space="preserve">Registrar: CEFÁLICO, PODÁLICO, TRANSVERSA,OBLICUA, según corresponda al embarazo actual; se debe ACTUALIZAR según hallazgos en los controles. Las opciónes que estaran semaforizadas en rojo  se consideran de Riesgo Obstétrico  y la gestante debe ser valorada por ginecólogo. </t>
    </r>
    <r>
      <rPr>
        <u/>
        <sz val="11"/>
        <color theme="1"/>
        <rFont val="Calibri"/>
        <family val="2"/>
        <scheme val="minor"/>
      </rPr>
      <t>ESTA VARIABLE DEBE SER TOMADA EN CUENTA Y SEGUIDA A PARTIR DEL ÚLTIMO TRIMESTRE DE GESTACIÓN Y PUEDE SER TOMADA DE LA ECOGRAFÍA O DEL EXÁMEN FISICO EN HC.</t>
    </r>
  </si>
  <si>
    <t>solo se debe colocar dato de Fecha que soporta la HC en la cual se realiza el plan de parto concertado.</t>
  </si>
  <si>
    <t>Formula automatica: Donde aparece además de la edad gestacional al momento ADECUADO para realizar el plan de partos, las siguientes alertas: PLAN REALIZADO ANTES III TRIM (se realiza el plan antes del tiempo esperado, que es en III Trimestre), PLANEAR PLAN DE PARTO (Iniciar proceso de información, para definir la construcción del plan de parto), CONCERTAR PLAN DE PARTO INMEDIATO (Debe estar definido el plan de parto concertado), EN ESPERA (Se encuentra en I o II Trimestre de gestación, en espera para iniciar proceso en III Trimestre), NO APLICA SALE PROGRAMA ANTES III TRIM, SALE PROGRAMA ANTES SEMANA 35 (Sale del programa durante el proceso de construcción del plan, sin finalizarlo), SALE SIN PLAN DE PARTO (sale en la etapa que debería haber tenido el plan de parto ya concertado).</t>
  </si>
  <si>
    <r>
      <t>Lista desplegable segun resultado del Tamizaje soportado en HC y/o resultado de laboratorio de la Prueba rapida de sifilis  tomada en el I  Trimestre de la gestación : P.R Negativa (Prueba Rápida), P.R Positiva Caso Sífilis (Prueba Rápida) y P.R Positiva Cicatriz. -</t>
    </r>
    <r>
      <rPr>
        <b/>
        <u/>
        <sz val="11"/>
        <rFont val="Calibri"/>
        <family val="2"/>
        <scheme val="minor"/>
      </rPr>
      <t>NO SE DEBE REGISTAR INFORMACIÓN EN ESTA CASILLA CASO DE INGRESO TARDÍO MAYOR A 12 SEMANAS, O DE HABER TOMADO EL EXAMEN DESPUES DE LA SEMANA 12.</t>
    </r>
  </si>
  <si>
    <t>Fecha en D M A del Resultado de la Prueba Rápida</t>
  </si>
  <si>
    <r>
      <t xml:space="preserve">Formula automatica: Donde aparece además de la edad gestacional al momento de la toma de la Prueba Rapida, las siguientes alertas: </t>
    </r>
    <r>
      <rPr>
        <b/>
        <u/>
        <sz val="11"/>
        <rFont val="Calibri"/>
        <family val="2"/>
        <scheme val="minor"/>
      </rPr>
      <t>REGISTRAR EN II TRIMESTRE,REGISTRAR EN III TRIMESTRE (Colocar datos en las columnas que corresponden y quitarlo de esta casilla),EN RANGO PARA TOMAR EXAMEN (Esta dentro del I TRIM de gestación),TOMA INMEDIATA DE TAMIZAJE (Faltan dos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</si>
  <si>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INGRESO TARDÍO MAYOR A 28 SEMANAS, O DE HABER TOMADO EL EXAMEN ANTES DE LA SEMANA 12 O DESPUÉS DE LA SEMANA 28</t>
    </r>
  </si>
  <si>
    <r>
      <t xml:space="preserve">Formula automatica: Donde aparece además de la edad gestacional al momento de la toma de la Prueba Rapida, las siguientes alertas: </t>
    </r>
    <r>
      <rPr>
        <b/>
        <u/>
        <sz val="11"/>
        <rFont val="Calibri"/>
        <family val="2"/>
        <scheme val="minor"/>
      </rPr>
      <t>EN ESPERA-ESTÁ I TRIM (Le falta tiempo para la toma del tamizaje), NO APLICA-SALIO DEL PROGRAMA I TRIM (No se toma tamizaje sale antes del II Trim), REGISTRAR EN I TRIMESTRE,REGISTRAR EN III TRIMESTRE (Colocar datos en las columnas que corresponden y quitarlo de esta casilla),EN RANGO PARA TOMAR EXAMEN (Esta dentro del II TRIM de gestación),TOMA INMEDIATA DE TAMIZAJE (Faltan tres semanas para cambio de Trimestre),PIERDE TOMA DE TAMIZAJE (Paso al otro Trim de gestación sin reporte de tamizaje),NO APLICA-INGRESO TARDIO (No se deben registrar datos de Tamizaje)</t>
    </r>
    <r>
      <rPr>
        <sz val="11"/>
        <color theme="1"/>
        <rFont val="Calibri"/>
        <family val="2"/>
        <scheme val="minor"/>
      </rPr>
      <t>. Para apoyar el seguimiento de la gestante y el registro adecuado de información.</t>
    </r>
  </si>
  <si>
    <r>
      <t xml:space="preserve">Lista desplegable segun resultado del Tamizaje soportado en HC y/o resultado de laboratorio de la Prueba rapida de sifilis  tomada en el II  Trimestre de la gestación : P.R Negativa (Prueba Rápida), P.R Positiva Caso Sífilis (Prueba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P.R Positiva Cicatriz(Prueba Rápida </t>
    </r>
    <r>
      <rPr>
        <u/>
        <sz val="11"/>
        <color rgb="FFFF0000"/>
        <rFont val="Calibri"/>
        <family val="2"/>
        <scheme val="minor"/>
      </rPr>
      <t>No aplica</t>
    </r>
    <r>
      <rPr>
        <sz val="11"/>
        <rFont val="Calibri"/>
        <family val="2"/>
        <scheme val="minor"/>
      </rPr>
      <t xml:space="preserve"> si Tamizaje anterior fue </t>
    </r>
    <r>
      <rPr>
        <sz val="11"/>
        <color rgb="FFFF0000"/>
        <rFont val="Calibri"/>
        <family val="2"/>
        <scheme val="minor"/>
      </rPr>
      <t>POSITIVO</t>
    </r>
    <r>
      <rPr>
        <sz val="11"/>
        <rFont val="Calibri"/>
        <family val="2"/>
        <scheme val="minor"/>
      </rPr>
      <t xml:space="preserve">), </t>
    </r>
    <r>
      <rPr>
        <b/>
        <u/>
        <sz val="11"/>
        <rFont val="Calibri"/>
        <family val="2"/>
        <scheme val="minor"/>
      </rPr>
      <t>Diluciones estables</t>
    </r>
    <r>
      <rPr>
        <sz val="11"/>
        <rFont val="Calibri"/>
        <family val="2"/>
        <scheme val="minor"/>
      </rPr>
      <t xml:space="preserve"> (VDRL o RPR seguimiento si tamizaje anterior con PR fue </t>
    </r>
    <r>
      <rPr>
        <b/>
        <u/>
        <sz val="11"/>
        <color rgb="FFFF0000"/>
        <rFont val="Calibri"/>
        <family val="2"/>
        <scheme val="minor"/>
      </rPr>
      <t>POSITIVO y permanece la misma Dilución del Trim anterior</t>
    </r>
    <r>
      <rPr>
        <sz val="11"/>
        <rFont val="Calibri"/>
        <family val="2"/>
        <scheme val="minor"/>
      </rPr>
      <t xml:space="preserve">), </t>
    </r>
    <r>
      <rPr>
        <b/>
        <u/>
        <sz val="11"/>
        <rFont val="Calibri"/>
        <family val="2"/>
        <scheme val="minor"/>
      </rPr>
      <t>Diluciones disminuyen</t>
    </r>
    <r>
      <rPr>
        <sz val="11"/>
        <rFont val="Calibri"/>
        <family val="2"/>
        <scheme val="minor"/>
      </rPr>
      <t xml:space="preserve"> (VDRL o RPR, </t>
    </r>
    <r>
      <rPr>
        <b/>
        <u/>
        <sz val="11"/>
        <color rgb="FFFF0000"/>
        <rFont val="Calibri"/>
        <family val="2"/>
        <scheme val="minor"/>
      </rPr>
      <t>las diluciones con menores comparadas con las del Trim Anterio</t>
    </r>
    <r>
      <rPr>
        <sz val="11"/>
        <rFont val="Calibri"/>
        <family val="2"/>
        <scheme val="minor"/>
      </rPr>
      <t xml:space="preserve">r), </t>
    </r>
    <r>
      <rPr>
        <b/>
        <u/>
        <sz val="11"/>
        <rFont val="Calibri"/>
        <family val="2"/>
        <scheme val="minor"/>
      </rPr>
      <t>Diluciones aumentan</t>
    </r>
    <r>
      <rPr>
        <sz val="11"/>
        <rFont val="Calibri"/>
        <family val="2"/>
        <scheme val="minor"/>
      </rPr>
      <t xml:space="preserve">  (VDRL o RPR, </t>
    </r>
    <r>
      <rPr>
        <b/>
        <u/>
        <sz val="11"/>
        <color rgb="FFFF0000"/>
        <rFont val="Calibri"/>
        <family val="2"/>
        <scheme val="minor"/>
      </rPr>
      <t>las diluciones se elevan comparadas con los resulatdos del trimestre anterior</t>
    </r>
    <r>
      <rPr>
        <sz val="11"/>
        <rFont val="Calibri"/>
        <family val="2"/>
        <scheme val="minor"/>
      </rPr>
      <t>) -</t>
    </r>
    <r>
      <rPr>
        <b/>
        <u/>
        <sz val="11"/>
        <rFont val="Calibri"/>
        <family val="2"/>
        <scheme val="minor"/>
      </rPr>
      <t>NO SE DEBE REGISTAR INFORMACIÓN EN ESTA CASILLA CASO DE HABER TOMADO EL EXAMEN ANTES DE LA SEMANA 28.</t>
    </r>
  </si>
  <si>
    <r>
      <t xml:space="preserve">Formula automatica: Donde aparece además de la edad gestacional al momento de la toma de la Prueba Rapida, las siguientes alertas: </t>
    </r>
    <r>
      <rPr>
        <b/>
        <u/>
        <sz val="11"/>
        <rFont val="Calibri"/>
        <family val="2"/>
        <scheme val="minor"/>
      </rPr>
      <t>EN ESPERA-ESTÁ I TRIM O II TRIM (Le falta tiempo para la toma del tamizaje), NO APLICA-SALIO DEL PROGRAMA I O II TRIM (No se toma tamizaje sale antes del II Trim), REGISTRAR EN I TRIMESTRE,REGISTRAR EN II TRIMESTRE (Colocar datos en las columnas que corresponden y quitarlo de esta casilla),EN RANGO PARA TOMAR EXAMEN (Esta dentro del II TRIM de gestación),TOMA INMEDIATA DE TAMIZAJE (Faltan tres semanas para cambio de Trimestre),PIERDE TOMA DE TAMIZAJE (Llega al parto sin reporte de tamizaje),NO APLICA-SIN CPN (No se deben registrar datos de Tamizaje)</t>
    </r>
    <r>
      <rPr>
        <sz val="11"/>
        <color theme="1"/>
        <rFont val="Calibri"/>
        <family val="2"/>
        <scheme val="minor"/>
      </rPr>
      <t>. Para apoyar el seguimiento de la gestante y el registro adecuado de información.</t>
    </r>
  </si>
  <si>
    <r>
      <t xml:space="preserve">Formula Automatica que reporta los casos de </t>
    </r>
    <r>
      <rPr>
        <u/>
        <sz val="11"/>
        <color rgb="FFFF0000"/>
        <rFont val="Calibri"/>
        <family val="2"/>
        <scheme val="minor"/>
      </rPr>
      <t>sifilis gestacional</t>
    </r>
    <r>
      <rPr>
        <sz val="11"/>
        <color theme="1"/>
        <rFont val="Calibri"/>
        <family val="2"/>
        <scheme val="minor"/>
      </rPr>
      <t xml:space="preserve"> que se presenten independiente del trimestre de gestación en que se diagnostique</t>
    </r>
  </si>
  <si>
    <t>Aparece la siguiente lista desplegable: NO APLICA (Sin factor de riesgo);NEGATIVO (Resultado del examen);POSITIVO (Resultado del examen);INDETERMINADO(Resultado del examen);SOLICICTADO Y NO TOMADO</t>
  </si>
  <si>
    <t>Fecha en D M A del Resultado del la Prueba ELISA para detección de anticuerpos IgG anti T. cruzi de antígenos totales para Chagas</t>
  </si>
  <si>
    <t>NO APLICA (Sin factor de riesgo, no zona endémica);NEGATIVO; POSITIVO;SOLICITADO NO TOMADO</t>
  </si>
  <si>
    <t>Fecha en D M A del Resultado del la Prueba Gota Gruesa para Malaría aplicada en zonas endémicas o en gestantes con factores de riesgo</t>
  </si>
  <si>
    <t>Lista desplegable según correponda. Se debe colocar el número de pruebas para gota gruesa realizadas (1 mensual), soportados en HC de cero (0) a Nueve (9). Se coloca NO APLICA: En caso de que la columna HF Y HH indique " NO APLICA".</t>
  </si>
  <si>
    <t>Listado desplegable, opciones de diagnóstico semaforizado para SARS CoV2. Elegir entre las opciones, no dejar en blanco  SIN INFECCIÓN POR SARS-CoV2; NO SE EVALUA RIESGO INFECCIÓN COVID19; FACTOR DE RIESGO PARA COVID19; COVID19 PRIMER TRIMESTRE;  COVID19 SEGUNDO TRIMESTRE;  COVID19 TERCER TRIMESTRE;  COVID19 PUERPERIO</t>
  </si>
  <si>
    <t>Astrazeneca;Firma Disentimiento;Janssen;Moderna;No Acepta y No Firma Disentimiento;Pfizer;Sinovac</t>
  </si>
  <si>
    <t>Elegir la opción que corresponda frente al inicio del trabajo de parto: INICIO ESPONTÁNEO (Opción básica para baja complejidad); LE HACEN INDUCCIÓN (Para nivel complementario); LE HACEN CESÁREA SIN INICIO TRABAJO DE PARTO (Puede corresponder a casos de cesáreas programadas);SIN DATO</t>
  </si>
  <si>
    <t>FECHA DE CONCERTACIÓN PLAN DE PARTO (Soporte HC)</t>
  </si>
  <si>
    <t>PROCESO COMPLETO DE ATENCIÓN: Debe incluir con soporte en HC de: Consulta inicial con formulación de laboratorios, Consulta de control con manejo según protocolo - al menos 3 meses antes de la FUM. PROCESO PARCIAL DE ATENCIÓN: No completa todas las actividades que se definene parael proceso completo SIN ATENCIÓN: Cuando el proceso de atención ha sido incompleto o no se ha realizado.  SIN DATO: No se tiene información clara del proceso</t>
  </si>
  <si>
    <r>
      <t xml:space="preserve">Aparece </t>
    </r>
    <r>
      <rPr>
        <sz val="11"/>
        <color rgb="FFFF0000"/>
        <rFont val="Calibri"/>
        <family val="2"/>
        <scheme val="minor"/>
      </rPr>
      <t>lista desplegable</t>
    </r>
    <r>
      <rPr>
        <sz val="11"/>
        <color theme="1"/>
        <rFont val="Calibri"/>
        <family val="2"/>
        <scheme val="minor"/>
      </rPr>
      <t xml:space="preserve"> del 0 al 7 - Elija el número de sesiones realizadas a la gestante y su familia, según corresponda - Casilla debe ser actualizada cada nueva sesión.</t>
    </r>
  </si>
  <si>
    <t>Formula Automatica con las opciones : MES DE CONTROL, SEMANA DE CONTROL, DIA DE CONTROL, INASISTENTE, SEGUIMIENTO FUERA MUNICIPIO, BUSCAR PARA INGRESO A CPN; DILIGENCIAR FECHA SALIDA PROGRAMA</t>
  </si>
  <si>
    <t>Formula Automatica con las opciones : MES DE CONTROL, SEMANA DE CONTROL, DIA DE CONTROL, INASISTENTE, SEGUIMIENTO FUERA MUNICIPIO, BUSCAR PARA INGRESO A CPN;DILIGENCIAR FECHA SALIDA PROGRAMA</t>
  </si>
  <si>
    <r>
      <t>Formula que muestra las siguiente alertas: .- "EN ESPERA PARA VACUNAR"; Mujeres con edad gestacional menor a 20 semanas, aun no aplican para la Vacuna. "COLOCAR VACUNA"; Mujeres entre semana 20 a 26, se les aplica vacuna S</t>
    </r>
    <r>
      <rPr>
        <u/>
        <sz val="11"/>
        <color theme="1"/>
        <rFont val="Calibri"/>
        <family val="2"/>
        <scheme val="minor"/>
      </rPr>
      <t>EGÚN LINEAMIENTOS DE VACUNACIÓN PARA DPT ACELULAR</t>
    </r>
    <r>
      <rPr>
        <sz val="11"/>
        <color theme="1"/>
        <rFont val="Calibri"/>
        <family val="2"/>
        <scheme val="minor"/>
      </rPr>
      <t>". .- "INASISTENTE"; Mujer con mas de 26 semanas de gestación sin vacuna DPT acelular. .- "VACUNA APLICADA CON OPORTUNIDAD"; Mujer vacunada en el intervalo de 20 a 26 semanas según lineamientos de vacunación. .- "VACUNA APLICADA FUERA DE RANGO"; Mujer vacunada despue de la semana 26. .- "SALE SIN VACUNA"; Mujer que ya salio del programa por parto o cesárea, sin vacuna DPT acelular.</t>
    </r>
  </si>
  <si>
    <t>Formula que muestra las siguiente alertas: SIN DATO EDAD GESTACIONAL, MENOR 12 SEMANAS, PROGRAMAR APLICACION DE VACUNA, DIFERIR FECHA DE VACUNACION SEGÚN LINEAMIENTOS, FIRMA DISENTIMIENTO, NO ACEPTA VACUNA Y NO FIRMA DISCENTIMIENTO, PENDIENTE REFUERZO, CON REFUERZO, DEFINIR RIESGO CONTAGIO SARS-CoV2, columna GZ</t>
  </si>
  <si>
    <t>NÚMERO DE GESTANTES QUE SALEN CON PLANIFICACIÓN POST EVENTO OBSTÉTRICO ATENDIDAS EN BAJA COMPELJIDAD</t>
  </si>
  <si>
    <t>PRESENTACION DEL FETO - ACTUALIZAR DESPUÉS DE LA SEMANA 32</t>
  </si>
  <si>
    <t>ALERTA DE PLAN DE PARTO</t>
  </si>
  <si>
    <t>Número muertes perinales/neonatales tempranas y tardías</t>
  </si>
  <si>
    <t># Gestantes con 37 o más semanas de gestación al momento del parto</t>
  </si>
  <si>
    <t># Gestantes con 37 o más semanas de gestación al momento del parto y con 7 sesiones del curso de maternidad y paternidad</t>
  </si>
  <si>
    <t># Gestantes con 37 o más semanas de gestación al momento del parto y con plan de parto establecido</t>
  </si>
  <si>
    <t>CURSO DE MATERNIDAD Y PATERNIDAD</t>
  </si>
  <si>
    <t>Relación Morbilidad Materna Extrema(MME) / Muerte Materna temprana (MM)</t>
  </si>
  <si>
    <t xml:space="preserve">Índice de mortalidad materna de los casos de MME </t>
  </si>
  <si>
    <t>Número de casos de Muerte Materna Temprana</t>
  </si>
  <si>
    <t>(Morbilidad Materna Extrema(MME) + Muerte Materna temprana (MM))</t>
  </si>
  <si>
    <t xml:space="preserve">CONTACTO PIEL A PIEL DURANTE MÍNIMO 30 MINUTOS </t>
  </si>
  <si>
    <t>INICIO DE LACTANCIA MATERNA DURANTE EL CONTACTO PIEL A PIEL O EN LA PRIMERA HORA DE VIDA</t>
  </si>
  <si>
    <t>Proporción de gestantes con valoración de la salud bucal</t>
  </si>
  <si>
    <t xml:space="preserve">Número de mujeres atendidas en la baja complejidad que durante el alumbramiento reciben 10 unidades de oxitocina </t>
  </si>
  <si>
    <t xml:space="preserve">Número de mujeres atendidas en nivel complementario que durante el alumbramiento reciben 10 unidades de oxitocina </t>
  </si>
  <si>
    <t>Porcentaje de partos con manejo activo del tercer período de parto en nivel complementario</t>
  </si>
  <si>
    <t xml:space="preserve"># DE TAMIZAJES SIFILIS TOMADOS </t>
  </si>
  <si>
    <t xml:space="preserve"># DE TAMIZAJES VIH TOMADOS </t>
  </si>
  <si>
    <t>FECHA RESULTADO TAMIZAJE VIH I TRIMESTRE</t>
  </si>
  <si>
    <t>FECHA RESULTADO TAMIZAJE VIH II TRIM</t>
  </si>
  <si>
    <t>FECHA RESULTADO TAMIZAJE VIH III TRIM</t>
  </si>
  <si>
    <t>Lista despleglable según corresponda:  .- "ADECUADO SEGÚN GPC" : Revisar condiciones GPC, si hay antecedente de hijo anterior con defecto de tubo neural, consumo de anticonvulsivante y obesidad materna morbida IMC mayor o igual a 35 se debe incrementar la dosis a 4 mcgr al día - para las demás 1 mcgr al día. en semanas de gestació, dosis y/o restricciones.  .- "SUMINSTRO IRREGULAR": NO Aparece sopore de la formulación de este micronutriente en todos los controles especialmente antes de la semana 14. .- "NO SE FORMULA" : No hay soporte de la formulación de este micronutriente en ningún control realizado antes de de la semana 14.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t>
  </si>
  <si>
    <t>Lista despleglable según corresponda:  .- "ADECUADO SEGÚN GPC" : Revisar condiciones GPC, dar 300 mg al día y en caso de dx de anemia o hemoglobina menor de 11,5 mg/dl dar 2 tabletas al día. en semanas de gestació, dosis y/o restricciones.  .- "SUMINSTRO IRREGULAR": NO Aparece sopore de la formulación de este micronutriente en todos los controles y no hay contraindicación. .- "NO SE FORMULA" : No hay soporte de la formulación de este micronutriente en ningún control y no hay contraindicación. .- "SUMINISTRO DE OTRO COMPLEMENTO NUTRICIONAL" Cuando aparece el soporte en la HC de que la mujer esta consumiento otro tipo de complemento en vez del micronutriente. SIN DATO: En la HC no se soporta de una forma adecuada la formulación de micronutrientes, no hay dato de dosis, se utilizan siglas o no hay soporte alguno de que se formulo. NO APLICA: Por tener resultado de hemoglobina mayor a 14 mg/dl.</t>
  </si>
  <si>
    <t>MONITORIA CADA 15 MINUTOS DE SIGNOS VITALES DURANTES LAS PRIMERAS DOS HORAS POSTPARTO (SOPORTE EN HC - 8 VALORACIONES EN LAS PRIMERAS 2 HORAS)</t>
  </si>
  <si>
    <t xml:space="preserve"> EVENTO DE INTERES EN SALUD PÚBLICA DE LA MADRE</t>
  </si>
  <si>
    <t xml:space="preserve"> EVENTO DE INTERES EN SALUD PÚBLICA DEL RECIÉN NACIDO2</t>
  </si>
  <si>
    <t>Registre el nombre la Institucion donde se atendio el parto, aborto o IVE. En el caso de los partos en DOMICILIO o extrainstitucionales se debe colocar "NO APLICA"</t>
  </si>
  <si>
    <t>Lista despleglable según corresponda:  .- "ADECUADO SEGÚN GPC" : Revisar condiciones GPC, iniciar formulación a partir de semana 12 (1200 mg - 2 tabletas al día) en semanas de gestació, dosis y/o restricciones.  .- "SUMINSTRO IRREGULAR": NO Aparece sopore de la formulación de este micronutriente en todos los controles a partir de la semana 12. .- "NO SE FORMULA" : No hay soporte de la formulación de este micronutriente en ningún control realizado a partir de la semana 14. .- "SUMINISTRO DE OTRO COMPLEMENTO NUTRICIONAL" Cuando aparece al soporte en la HC de que la mujer esta consumiento otro tipo de complemento en vez del micronutriente. .- SIN DATO: En la HC no se soporta de una forma adecuada la formulación de micronutrientes, no hay dato de dosis, se utilizan siglas o no hay soporte alguno de que se formulo. NO APLICA: Por tener edad gestacional menor a 12 semanas</t>
  </si>
  <si>
    <t>Lista desplegable según corresponda. Se coloca "SD": si en la columna HO aparece alguna alerta de "Riesgo de complicaciones Hipertensivas" y NO APLICA: Si  la columna HO aparece "Sin atecedentes de riesgo".</t>
  </si>
  <si>
    <t>REQUIRIO MANEJO ODONTOLOGICO DURANTE LA GESTACIÓN</t>
  </si>
  <si>
    <t>Lista desplegable según corresponda. SI: Cuando a la valoración odontológica requiere manejo. NO: Cuando a la valoración odontológica no require manejo. SD: cuando no ha recibido valoración odontologica o no hay información sobre manejo o no odontológico en la HC</t>
  </si>
  <si>
    <t>Porcentaje de partos con manejo activo del tercer período de parto en nivel primario</t>
  </si>
  <si>
    <t>ATENCION INSTITUCIONAL DEL PARTO NIVEL PRIMARIO</t>
  </si>
  <si>
    <t>% ATENCIÓN PARTO EN NIVEL PRIMARIO</t>
  </si>
  <si>
    <t>% DE GESTANTES CON PLANIFICACIÓN POST EVENTO OBSTERICO NIVEL PRIMARIO</t>
  </si>
  <si>
    <t>% DE GESTANTES CON PLANIFICACIÓN POST EVENTO OBSTERICO NIVEL COMPLEMENTARIO</t>
  </si>
  <si>
    <t>NÚMERO DE GESTANTES QUE SALEN CON PLANIFICACIÓN POST EVENTO OBSTÉTRICO ATENDIDAS EN NIVEL COMPLEMENTARIO</t>
  </si>
  <si>
    <t xml:space="preserve">% MUJERES GESTANTES CON ATENCIÓN PRECONCEPCIONAL </t>
  </si>
  <si>
    <t>Mujeres gestantes que han realizado proceso completo de atención preconcepcional</t>
  </si>
  <si>
    <t>Proporción de gestantes de alto riesgo con al menos una atención prenatal realizada por especialista</t>
  </si>
  <si>
    <t>Número de mujeres gestantes de alto riesgo según mes de ingreso que han tenido al menos una consulta con ginecologo</t>
  </si>
  <si>
    <t># DE TAMIZAJES VIH Y SIFILIS A TOMAR SEGÚN TRIM INICIO CPN Y SALIDA DEL PROGRAMA</t>
  </si>
  <si>
    <t>COMPLICACIONES POSTPARTO - HASTA 42 DÍAS</t>
  </si>
  <si>
    <t>Proporción de gestantes que terminan gestación con tamizaje para sífilis completo según Trimestre de ingreso y salida de la atención prental</t>
  </si>
  <si>
    <t>Número de mujeres que terminan gestación por cualquier causa</t>
  </si>
  <si>
    <t>Número de mujeres que terminan gestación por cualquier causa y tienen Tamizaje completo de Sífilis según edad gestacional de ingreso y salida de la ruta</t>
  </si>
  <si>
    <t>Alarma de apoyo Tamizaje Sífilis</t>
  </si>
  <si>
    <t>Alarma de apoyo Tamizaje VIH</t>
  </si>
  <si>
    <t>Número de mujeres que terminan gestación por cualquier causa y tienen Tamizaje completo de VIH según edad gestacional de ingreso y salida de la ruta</t>
  </si>
  <si>
    <t xml:space="preserve">Proporción de gestantes con tamizaje para VIH </t>
  </si>
  <si>
    <t xml:space="preserve">Número de mujeres gestantes de alto riesgo según mes de ingreso </t>
  </si>
  <si>
    <t>Número de gestantes que acceden a consulta por profesional de odontología durante la etapa prenatal que han tenido parto a término</t>
  </si>
  <si>
    <t>FECHA VACUNA TD</t>
  </si>
  <si>
    <t>Número de partos en los que se diligencia el partograma en el nivel primario</t>
  </si>
  <si>
    <t>Número de gestantes con atención de parto, que aplican para diligenciamiento de partograma en el nivel primario</t>
  </si>
  <si>
    <t>Porcentaje de partos en los que se diligencia el partograma del total de partos atendidos  nivel primario</t>
  </si>
  <si>
    <t>Número de partos en los que se diligencia el partograma en el nivel complementario</t>
  </si>
  <si>
    <t>Número de gestantes con atención de parto, que aplican para diligenciamiento de partograma en el nivel complementario</t>
  </si>
  <si>
    <t>Porcentaje de partos en los que se diligencia el partograma del total de partos atendidos en el nivel complementario</t>
  </si>
  <si>
    <t># DE MUJERES CON SUMINISTRO ADECUADO DE MICRONUTRIENTES</t>
  </si>
  <si>
    <t>AIC</t>
  </si>
  <si>
    <t/>
  </si>
  <si>
    <t>ACTIVA EN CPN ALTO RIESGO</t>
  </si>
  <si>
    <t>ACTIVA EN CPN ALTO RIESGO CON CONSULTA GINECOLOGIA</t>
  </si>
  <si>
    <t>NÚMERO DE GESTANTES ATENDIDAS EN MEDIANA Y ALTA COMPLEJIDAD QUE SALEN DEL PROGRAMA POR CUALQUIER CAUSA</t>
  </si>
  <si>
    <t>Número de mujeres gestantes con atención de parto o cesárea en nivel complementario</t>
  </si>
  <si>
    <t>Proporcion de gestantes con asesoria en anticoncepción durante el CPN</t>
  </si>
  <si>
    <t>Cobertura de gestantes con consulta de nutrición gestaciones a término</t>
  </si>
  <si>
    <t>Número de gestantes que acceden a consulta por profesional de nutrición y dietética durante la etapa prenatal con gestaciones a término</t>
  </si>
  <si>
    <t>Proporción de mujeres con suministro adecuado de micronutrientes que salen del programa por parto o cesárea</t>
  </si>
  <si>
    <t>Número de mujeres con suministro adecuado de micronutrientes según la GPC que salen del programa por parto o cesárea</t>
  </si>
  <si>
    <t>ACTIVA CON SUMINISTRO ADECUADO DE MICRONUTRIENTES</t>
  </si>
  <si>
    <t>EPS</t>
  </si>
  <si>
    <t xml:space="preserve">Proporción de mujeres que reciben consulta de control del puerperio </t>
  </si>
  <si>
    <t xml:space="preserve">Número de mujeres que reciben atención del puerperio entre el tercer y quinto día posparto </t>
  </si>
  <si>
    <t xml:space="preserve">Proporción de recién nacidos con atención para el seguimiento entre 3 y 5 días </t>
  </si>
  <si>
    <t>Número de recién nacidos que reciben atención para el seguimiento entre el tercer y quinto día después de su nacimiento</t>
  </si>
  <si>
    <t>Proporcion de mujeres gestantes que terminan su gestación con parto o cesáres vacunadas con DPT Acelular</t>
  </si>
  <si>
    <t>Número de mujeres gestantes que terminan su gestación con parto o cesáres vacunadas con DPT Acelular</t>
  </si>
  <si>
    <t>VACUNA APLICADA ENTRE SEMANA 20 Y SEMANA 26</t>
  </si>
  <si>
    <t>VACUNA APLICADA ENTRE SEMANA 27 Y EL PARTO</t>
  </si>
  <si>
    <t>Alarma apoyo DPT Acelular vacunadas</t>
  </si>
  <si>
    <t>Número de mujeres gestantes que terminan su gestación con parto o cesáres vacunadas con Anti Influenza</t>
  </si>
  <si>
    <t>Proporcion de mujeres gestantes que terminan su gestación con parto o cesáres vacunadas con Anti Influenza</t>
  </si>
  <si>
    <t>Número de mujeres gestantes que terminan su gestación con parto o cesáres vacunadas con Anti COVID19 2 DOSIS</t>
  </si>
  <si>
    <t>Proporcion de mujeres gestantes que terminan su gestación con parto o cesáres vacunadas con Anti COVID19 2 DOSIS</t>
  </si>
  <si>
    <t>Número de mujeres gestantes que terminan su gestación con parto o cesáres vacunadas con TD</t>
  </si>
  <si>
    <t>Proporcion de mujeres gestantes que terminan su gestación con parto o cesáres vacunadas con TD</t>
  </si>
  <si>
    <t>Porcentaje de partos con monitoría de signos vitales (cada 15 minutos) durante el puerperio inmediato en nivel primario</t>
  </si>
  <si>
    <t>Porcentaje de partos con monitoría de signos vitales (cada 15 minutos) durante el puerperio inmediato en nivel complementario</t>
  </si>
  <si>
    <t>Número demujeres en posparto con monitoría de signos vitales (cada 15 minutos) durante el puerperio inmediato en nivel primario</t>
  </si>
  <si>
    <t>Número demujeres en posparto con monitoría de signos vitales (cada 15 minutos) durante el puerperio inmediato en nivel complementario</t>
  </si>
  <si>
    <t>ACTIVA CON TAMIZAJE DE SÍFILIS COMPLETO A LA EDAD GESTACIONAL</t>
  </si>
  <si>
    <t>TOTAL BASE</t>
  </si>
  <si>
    <t>ACTIVA EN CPN ENTRE SEMANA 37 Y 42</t>
  </si>
  <si>
    <t>ACTIVA ENTRE SEMANA 37 Y 42  CON PLAN DE PARTO ESTABLECIDO</t>
  </si>
  <si>
    <t>ACTIVA CON TAMIZAJE DE VIH COMPLETO A LA EDAD GESTACIONAL</t>
  </si>
  <si>
    <t> Total de mujeres gestantes migrantes venezolanas captadas  antes de las 12 semanas</t>
  </si>
  <si>
    <t>Proporcion de gestantes con Plan de parto establecido a las 37 o más semanas al momento del parto</t>
  </si>
  <si>
    <t>% Cobertura de gestantes con asistencia a curso de preparación de la maternidad y la paternidad (7 sesiones) que tiene 37 o más semanas al momento del parto</t>
  </si>
  <si>
    <t>NÚMERO DE PARTOS VAGINALES</t>
  </si>
  <si>
    <t>NÚMERO DE PARTOS POR CESÁREAS</t>
  </si>
  <si>
    <t>Número de gestantes que reciben asesoría en anticoncepción durante la gestación reportadas por Historía Clínica</t>
  </si>
  <si>
    <t>Número de gestantes que reciben consejeria en lactancia materna durante la gestación reportadas por Historia Clínica y que salen del programa por parto o cesárea</t>
  </si>
  <si>
    <t>Proporción de gestantes con consejería de lactancia materna durante la gestación que han salido del programa por parto o cesárea</t>
  </si>
  <si>
    <t>Número de mujeres que tienen soporte en Historia Clínica de haber iniciado lactancia materna en la primera hora de nacido nivel primario</t>
  </si>
  <si>
    <t>Número de mujeres que tienen soporte en Historia Clinica de haber iniciado lactancia materna en la primera hora de nacido nivel complementario</t>
  </si>
  <si>
    <t>Porcentaje de mujeres que tienen reporte por Historia Clinica de haber iniciado lactancia materna al recién nacido en la primera hora después del nacimiento nivel complementario</t>
  </si>
  <si>
    <t>Porcentaje de mujeres que tienen reporte por Historia Clínica de haber iniciado lactancia materna al recién nacido en la primera hora después del nacimiento nivel primario</t>
  </si>
  <si>
    <t>v22.03</t>
  </si>
  <si>
    <t>ACTIVA ENTRE SEMANA 37 Y 42  CON VACUNACIÓN PARA DPT ACELULAR</t>
  </si>
  <si>
    <t>FECHA RESULTADO I TRIM</t>
  </si>
  <si>
    <t>23/09/2022 SE REALIZA LLAMDA TELEFONICA A GESTANTE EN DONDE REFIERE  QUE SE ENCUENTRA REALIZANDOLOS COTNROLES EN TOTOGUAMPA PIENDAMO</t>
  </si>
  <si>
    <t>DIEGO</t>
  </si>
  <si>
    <t>ESE CENTRO UNO CAJIBIO</t>
  </si>
  <si>
    <t>SIN ATENCIÓN</t>
  </si>
  <si>
    <t>GARCIA</t>
  </si>
  <si>
    <t>VOLVERAS</t>
  </si>
  <si>
    <t xml:space="preserve">YESICA </t>
  </si>
  <si>
    <t>CEDULA DE CIUDADANIA</t>
  </si>
  <si>
    <t>UNION LIBRE</t>
  </si>
  <si>
    <t>AMA DE CASA</t>
  </si>
  <si>
    <t>PROCESO PARCIAL DE ATENCIÓN</t>
  </si>
  <si>
    <t>CHARO</t>
  </si>
  <si>
    <t>MACA</t>
  </si>
  <si>
    <t>VALENTINA</t>
  </si>
  <si>
    <t>TARJETA DE IDENTIDAD</t>
  </si>
  <si>
    <t>ESTUDIANTE</t>
  </si>
  <si>
    <t xml:space="preserve">12/01/2022: SE REALIZA LLAMADA A PACIENTE PARA CITARLA AL CONTROL DE PUERPERIO Y RECINE NACIDO, MADRE REFEIRE EL BEEBE ESTA HOSPITALIZADO. CUANDO LE DEN EGRESO ASISTIRA. </t>
  </si>
  <si>
    <t>CRUZ</t>
  </si>
  <si>
    <t>MESA</t>
  </si>
  <si>
    <t>DIANA</t>
  </si>
  <si>
    <t>CAMILA</t>
  </si>
  <si>
    <t>SOLTERA</t>
  </si>
  <si>
    <t>SI</t>
  </si>
  <si>
    <t>SIN NOVEDAD</t>
  </si>
  <si>
    <t>SUBSIDIADO</t>
  </si>
  <si>
    <t>CAJIBIO</t>
  </si>
  <si>
    <t>RURAL</t>
  </si>
  <si>
    <t>EL COFRE</t>
  </si>
  <si>
    <t xml:space="preserve">LA VENTA </t>
  </si>
  <si>
    <t>MESTIZA</t>
  </si>
  <si>
    <t>NO APLICA</t>
  </si>
  <si>
    <t>SECUNDARIA INCOMPLETA</t>
  </si>
  <si>
    <t>NINGUNO</t>
  </si>
  <si>
    <t>NO</t>
  </si>
  <si>
    <t>SD</t>
  </si>
  <si>
    <t>LA VENTA</t>
  </si>
  <si>
    <t>SECUNDARIA COMPLETA</t>
  </si>
  <si>
    <t>OTRO</t>
  </si>
  <si>
    <t>CEFÁLICA</t>
  </si>
  <si>
    <t>LA VIUDA</t>
  </si>
  <si>
    <t>O+</t>
  </si>
  <si>
    <t>P. R NEGATIVA</t>
  </si>
  <si>
    <t>NEGATIVO</t>
  </si>
  <si>
    <t>P.R NO REACTIVA</t>
  </si>
  <si>
    <t>NO APLICA (Sin factor de riesgo)</t>
  </si>
  <si>
    <t>NO APLICA (Sin factor de riesgo - No zona endémica)</t>
  </si>
  <si>
    <t>NO APLICA (Sin factor de riesgo - no zona endémica)</t>
  </si>
  <si>
    <t>SIN INFECCIÓN POR SARS-CoV2</t>
  </si>
  <si>
    <t>ADECUADO SEGÚN GPC</t>
  </si>
  <si>
    <t>Firma Disentimiento</t>
  </si>
  <si>
    <t>CAMBIO DE RESIDENCIA</t>
  </si>
  <si>
    <t>CESAREA</t>
  </si>
  <si>
    <t>MADRE SANA</t>
  </si>
  <si>
    <t>RECIEN NACIDO SANO</t>
  </si>
  <si>
    <t>INSTITUCIONAL</t>
  </si>
  <si>
    <t>HOSPITAL SUSANA LOPEZ DE VALENCIA</t>
  </si>
  <si>
    <t>MEDIANA</t>
  </si>
  <si>
    <t>PERSONAL DE SALUD PROFESIONAL O ESPECIALISTA</t>
  </si>
  <si>
    <t>LE HACEN CESÁREA SIN INICIO TRABAJO DE PARTO</t>
  </si>
  <si>
    <t>SIN COMPLICACION</t>
  </si>
  <si>
    <t>FEMENINO</t>
  </si>
  <si>
    <t>IMPLANTE SUBDERMICO</t>
  </si>
  <si>
    <t>PARTO</t>
  </si>
  <si>
    <t>HOSPITALIZACION O UCI NEONATAL</t>
  </si>
  <si>
    <t>INICIO ESPONTÁNEO</t>
  </si>
  <si>
    <t>OTRA COMPLICACION</t>
  </si>
  <si>
    <t>MASCULINO</t>
  </si>
  <si>
    <t>RESPONSABLE DE LA ZONA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</si>
</sst>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3">
    <numFmt numFmtId="164" formatCode="0.0"/>
    <numFmt numFmtId="165" formatCode="yyyy\-mm\-dd;@"/>
    <numFmt numFmtId="166" formatCode="0.0%"/>
  </numFmts>
  <fonts count="44" x14ac:knownFonts="1">
    <font>
      <sz val="11"/>
      <color theme="1"/>
      <name val="Calibri"/>
      <family val="2"/>
      <scheme val="minor"/>
    </font>
    <font>
      <b/>
      <sz val="11"/>
      <color theme="1"/>
      <name val="Calibri"/>
      <family val="2"/>
      <scheme val="minor"/>
    </font>
    <font>
      <sz val="11"/>
      <color indexed="8"/>
      <name val="Calibri"/>
      <family val="2"/>
    </font>
    <font>
      <sz val="10"/>
      <name val="Arial"/>
      <family val="2"/>
    </font>
    <font>
      <b/>
      <sz val="11"/>
      <color theme="0"/>
      <name val="Calibri"/>
      <family val="2"/>
      <scheme val="minor"/>
    </font>
    <font>
      <sz val="10"/>
      <color theme="1"/>
      <name val="Calibri"/>
      <family val="2"/>
      <scheme val="minor"/>
    </font>
    <font>
      <sz val="11"/>
      <color theme="1"/>
      <name val="Calibri"/>
      <family val="2"/>
      <scheme val="minor"/>
    </font>
    <font>
      <sz val="11"/>
      <color theme="0"/>
      <name val="Calibri"/>
      <family val="2"/>
      <scheme val="minor"/>
    </font>
    <font>
      <b/>
      <sz val="10"/>
      <color theme="1"/>
      <name val="Calibri"/>
      <family val="2"/>
      <scheme val="minor"/>
    </font>
    <font>
      <b/>
      <sz val="11"/>
      <color theme="5" tint="-0.499984740745262"/>
      <name val="Calibri"/>
      <family val="2"/>
      <scheme val="minor"/>
    </font>
    <font>
      <sz val="9"/>
      <color theme="1"/>
      <name val="Calibri"/>
      <family val="2"/>
      <scheme val="minor"/>
    </font>
    <font>
      <sz val="9"/>
      <color theme="1"/>
      <name val="Arial"/>
      <family val="2"/>
    </font>
    <font>
      <sz val="10"/>
      <color theme="1"/>
      <name val="Arial"/>
      <family val="2"/>
    </font>
    <font>
      <sz val="11"/>
      <color theme="1"/>
      <name val="Arial"/>
      <family val="2"/>
    </font>
    <font>
      <sz val="8"/>
      <color theme="1"/>
      <name val="Arial"/>
      <family val="2"/>
    </font>
    <font>
      <b/>
      <sz val="11"/>
      <color theme="1"/>
      <name val="Arial"/>
      <family val="2"/>
    </font>
    <font>
      <sz val="10"/>
      <color rgb="FF000000"/>
      <name val="Calibri"/>
      <family val="2"/>
      <scheme val="minor"/>
    </font>
    <font>
      <sz val="11"/>
      <color rgb="FFFF0000"/>
      <name val="Calibri"/>
      <family val="2"/>
      <scheme val="minor"/>
    </font>
    <font>
      <b/>
      <sz val="11"/>
      <color rgb="FFFF0000"/>
      <name val="Calibri"/>
      <family val="2"/>
      <scheme val="minor"/>
    </font>
    <font>
      <b/>
      <sz val="9"/>
      <color theme="1"/>
      <name val="Arial"/>
      <family val="2"/>
    </font>
    <font>
      <sz val="10"/>
      <color theme="1"/>
      <name val="Calibri"/>
      <family val="2"/>
      <scheme val="minor"/>
    </font>
    <font>
      <sz val="10"/>
      <color indexed="8"/>
      <name val="Arial"/>
      <family val="2"/>
    </font>
    <font>
      <b/>
      <i/>
      <sz val="11"/>
      <color theme="0"/>
      <name val="Calibri"/>
      <family val="2"/>
      <scheme val="minor"/>
    </font>
    <font>
      <b/>
      <u/>
      <sz val="10"/>
      <color theme="1"/>
      <name val="Calibri"/>
      <family val="2"/>
      <scheme val="minor"/>
    </font>
    <font>
      <b/>
      <sz val="12"/>
      <color theme="1"/>
      <name val="Calibri"/>
      <family val="2"/>
      <scheme val="minor"/>
    </font>
    <font>
      <b/>
      <sz val="10"/>
      <color theme="1"/>
      <name val="Times New Roman"/>
      <family val="1"/>
    </font>
    <font>
      <sz val="18"/>
      <color theme="1"/>
      <name val="Calibri"/>
      <family val="2"/>
      <scheme val="minor"/>
    </font>
    <font>
      <b/>
      <sz val="14"/>
      <color theme="1"/>
      <name val="Calibri"/>
      <family val="2"/>
      <scheme val="minor"/>
    </font>
    <font>
      <sz val="14"/>
      <color theme="1"/>
      <name val="Calibri"/>
      <family val="2"/>
      <scheme val="minor"/>
    </font>
    <font>
      <u/>
      <sz val="11"/>
      <color theme="1"/>
      <name val="Calibri"/>
      <family val="2"/>
      <scheme val="minor"/>
    </font>
    <font>
      <u/>
      <sz val="11"/>
      <color rgb="FFFF0000"/>
      <name val="Calibri"/>
      <family val="2"/>
      <scheme val="minor"/>
    </font>
    <font>
      <b/>
      <sz val="10"/>
      <color theme="0"/>
      <name val="Calibri"/>
      <family val="2"/>
      <scheme val="minor"/>
    </font>
    <font>
      <b/>
      <sz val="10"/>
      <color theme="0"/>
      <name val="Times New Roman"/>
      <family val="1"/>
    </font>
    <font>
      <sz val="8"/>
      <name val="Calibri"/>
      <family val="2"/>
      <scheme val="minor"/>
    </font>
    <font>
      <sz val="10"/>
      <color indexed="8"/>
      <name val="Arial"/>
      <family val="2"/>
    </font>
    <font>
      <b/>
      <i/>
      <sz val="11"/>
      <color rgb="FFFF0000"/>
      <name val="Calibri"/>
      <family val="2"/>
      <scheme val="minor"/>
    </font>
    <font>
      <sz val="11"/>
      <name val="Calibri"/>
      <family val="2"/>
      <scheme val="minor"/>
    </font>
    <font>
      <b/>
      <u/>
      <sz val="11"/>
      <name val="Calibri"/>
      <family val="2"/>
      <scheme val="minor"/>
    </font>
    <font>
      <b/>
      <u/>
      <sz val="11"/>
      <color rgb="FFFF0000"/>
      <name val="Calibri"/>
      <family val="2"/>
      <scheme val="minor"/>
    </font>
    <font>
      <sz val="10"/>
      <color theme="1"/>
      <name val="Calibri"/>
      <family val="2"/>
      <scheme val="minor"/>
    </font>
    <font>
      <b/>
      <sz val="11"/>
      <name val="Calibri"/>
      <family val="2"/>
      <scheme val="minor"/>
    </font>
    <font>
      <b/>
      <sz val="10"/>
      <name val="Times New Roman"/>
      <family val="1"/>
    </font>
    <font>
      <b/>
      <sz val="16"/>
      <color theme="1"/>
      <name val="Calibri"/>
      <family val="2"/>
      <scheme val="minor"/>
    </font>
    <font>
      <sz val="10"/>
      <color theme="1"/>
      <name val="Calibri"/>
      <family val="2"/>
      <scheme val="minor"/>
    </font>
  </fonts>
  <fills count="38">
    <fill>
      <patternFill patternType="none"/>
    </fill>
    <fill>
      <patternFill patternType="gray125"/>
    </fill>
    <fill>
      <patternFill patternType="solid">
        <fgColor rgb="FFFFFF00"/>
        <bgColor indexed="64"/>
      </patternFill>
    </fill>
    <fill>
      <patternFill patternType="solid">
        <fgColor theme="5" tint="0.39997558519241921"/>
        <bgColor indexed="65"/>
      </patternFill>
    </fill>
    <fill>
      <patternFill patternType="solid">
        <fgColor theme="5" tint="0.39994506668294322"/>
        <bgColor indexed="64"/>
      </patternFill>
    </fill>
    <fill>
      <patternFill patternType="solid">
        <fgColor theme="8" tint="0.59996337778862885"/>
        <bgColor indexed="64"/>
      </patternFill>
    </fill>
    <fill>
      <patternFill patternType="solid">
        <fgColor theme="8"/>
      </patternFill>
    </fill>
    <fill>
      <patternFill patternType="solid">
        <fgColor theme="9" tint="-0.249977111117893"/>
        <bgColor indexed="64"/>
      </patternFill>
    </fill>
    <fill>
      <patternFill patternType="solid">
        <fgColor theme="9" tint="0.39997558519241921"/>
        <bgColor indexed="64"/>
      </patternFill>
    </fill>
    <fill>
      <patternFill patternType="solid">
        <fgColor rgb="FFF0EE8A"/>
        <bgColor indexed="64"/>
      </patternFill>
    </fill>
    <fill>
      <patternFill patternType="solid">
        <fgColor theme="2" tint="-9.9978637043366805E-2"/>
        <bgColor indexed="64"/>
      </patternFill>
    </fill>
    <fill>
      <patternFill patternType="solid">
        <fgColor theme="8" tint="-0.249977111117893"/>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6" tint="-0.499984740745262"/>
        <bgColor indexed="64"/>
      </patternFill>
    </fill>
    <fill>
      <patternFill patternType="solid">
        <fgColor theme="0"/>
        <bgColor indexed="64"/>
      </patternFill>
    </fill>
    <fill>
      <patternFill patternType="solid">
        <fgColor theme="9"/>
        <bgColor indexed="64"/>
      </patternFill>
    </fill>
    <fill>
      <patternFill patternType="solid">
        <fgColor rgb="FFFFFFCC"/>
        <bgColor indexed="64"/>
      </patternFill>
    </fill>
    <fill>
      <patternFill patternType="solid">
        <fgColor theme="4" tint="0.79998168889431442"/>
        <bgColor indexed="64"/>
      </patternFill>
    </fill>
    <fill>
      <patternFill patternType="solid">
        <fgColor theme="8" tint="0.59999389629810485"/>
        <bgColor indexed="64"/>
      </patternFill>
    </fill>
    <fill>
      <patternFill patternType="solid">
        <fgColor theme="2" tint="-0.249977111117893"/>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theme="5" tint="-0.499984740745262"/>
        <bgColor indexed="64"/>
      </patternFill>
    </fill>
    <fill>
      <patternFill patternType="solid">
        <fgColor theme="4" tint="0.39997558519241921"/>
        <bgColor indexed="64"/>
      </patternFill>
    </fill>
    <fill>
      <patternFill patternType="solid">
        <fgColor rgb="FFFFC000"/>
        <bgColor indexed="64"/>
      </patternFill>
    </fill>
    <fill>
      <patternFill patternType="solid">
        <fgColor theme="4"/>
        <bgColor indexed="64"/>
      </patternFill>
    </fill>
    <fill>
      <patternFill patternType="solid">
        <fgColor theme="9" tint="0.79998168889431442"/>
        <bgColor theme="9" tint="0.79998168889431442"/>
      </patternFill>
    </fill>
    <fill>
      <patternFill patternType="solid">
        <fgColor theme="9" tint="-0.249977111117893"/>
        <bgColor theme="9" tint="0.79998168889431442"/>
      </patternFill>
    </fill>
    <fill>
      <patternFill patternType="solid">
        <fgColor rgb="FF2BE7E7"/>
        <bgColor indexed="64"/>
      </patternFill>
    </fill>
    <fill>
      <patternFill patternType="solid">
        <fgColor theme="4" tint="-0.249977111117893"/>
        <bgColor indexed="64"/>
      </patternFill>
    </fill>
    <fill>
      <patternFill patternType="solid">
        <fgColor rgb="FF31869B"/>
        <bgColor indexed="64"/>
      </patternFill>
    </fill>
    <fill>
      <patternFill patternType="solid">
        <fgColor theme="6" tint="0.59999389629810485"/>
        <bgColor indexed="64"/>
      </patternFill>
    </fill>
    <fill>
      <patternFill patternType="solid">
        <fgColor rgb="FFFF7C80"/>
        <bgColor indexed="64"/>
      </patternFill>
    </fill>
    <fill>
      <patternFill patternType="solid">
        <fgColor theme="8"/>
        <bgColor indexed="64"/>
      </patternFill>
    </fill>
    <fill>
      <patternFill patternType="solid">
        <fgColor theme="7" tint="0.59999389629810485"/>
        <bgColor indexed="64"/>
      </patternFill>
    </fill>
    <fill>
      <patternFill patternType="solid">
        <fgColor theme="8" tint="0.79998168889431442"/>
        <bgColor indexed="64"/>
      </patternFill>
    </fill>
  </fills>
  <borders count="53">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double">
        <color rgb="FF3F3F3F"/>
      </left>
      <right style="double">
        <color rgb="FF3F3F3F"/>
      </right>
      <top style="double">
        <color rgb="FF3F3F3F"/>
      </top>
      <bottom style="double">
        <color rgb="FF3F3F3F"/>
      </bottom>
      <diagonal/>
    </border>
    <border>
      <left style="thin">
        <color theme="3"/>
      </left>
      <right style="thin">
        <color theme="3"/>
      </right>
      <top style="thin">
        <color theme="3"/>
      </top>
      <bottom style="double">
        <color theme="3"/>
      </bottom>
      <diagonal/>
    </border>
    <border>
      <left style="thin">
        <color theme="5" tint="-0.499984740745262"/>
      </left>
      <right style="thin">
        <color theme="5" tint="-0.499984740745262"/>
      </right>
      <top style="thin">
        <color theme="5" tint="-0.499984740745262"/>
      </top>
      <bottom style="double">
        <color theme="5" tint="-0.499984740745262"/>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top style="medium">
        <color indexed="64"/>
      </top>
      <bottom/>
      <diagonal/>
    </border>
    <border>
      <left style="medium">
        <color indexed="64"/>
      </left>
      <right/>
      <top style="medium">
        <color indexed="64"/>
      </top>
      <bottom style="medium">
        <color indexed="64"/>
      </bottom>
      <diagonal/>
    </border>
    <border>
      <left/>
      <right style="thin">
        <color indexed="64"/>
      </right>
      <top style="medium">
        <color indexed="64"/>
      </top>
      <bottom/>
      <diagonal/>
    </border>
    <border>
      <left style="thin">
        <color indexed="64"/>
      </left>
      <right style="medium">
        <color indexed="64"/>
      </right>
      <top style="medium">
        <color indexed="64"/>
      </top>
      <bottom/>
      <diagonal/>
    </border>
    <border>
      <left/>
      <right/>
      <top/>
      <bottom style="thin">
        <color indexed="64"/>
      </bottom>
      <diagonal/>
    </border>
    <border>
      <left style="thin">
        <color indexed="64"/>
      </left>
      <right style="thin">
        <color indexed="64"/>
      </right>
      <top style="thin">
        <color theme="9"/>
      </top>
      <bottom/>
      <diagonal/>
    </border>
    <border>
      <left style="thin">
        <color indexed="64"/>
      </left>
      <right style="thin">
        <color indexed="64"/>
      </right>
      <top style="thin">
        <color indexed="64"/>
      </top>
      <bottom style="medium">
        <color theme="9"/>
      </bottom>
      <diagonal/>
    </border>
    <border>
      <left style="medium">
        <color indexed="64"/>
      </left>
      <right/>
      <top/>
      <bottom/>
      <diagonal/>
    </border>
    <border>
      <left style="thin">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medium">
        <color indexed="64"/>
      </left>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diagonal/>
    </border>
    <border>
      <left style="thin">
        <color indexed="64"/>
      </left>
      <right style="thin">
        <color indexed="64"/>
      </right>
      <top style="thin">
        <color indexed="64"/>
      </top>
      <bottom style="medium">
        <color indexed="64"/>
      </bottom>
      <diagonal/>
    </border>
    <border>
      <left style="thin">
        <color indexed="64"/>
      </left>
      <right/>
      <top/>
      <bottom/>
      <diagonal/>
    </border>
    <border>
      <left/>
      <right style="medium">
        <color indexed="64"/>
      </right>
      <top/>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style="thin">
        <color indexed="64"/>
      </bottom>
      <diagonal/>
    </border>
    <border>
      <left style="thin">
        <color indexed="64"/>
      </left>
      <right/>
      <top style="thin">
        <color indexed="64"/>
      </top>
      <bottom/>
      <diagonal/>
    </border>
    <border>
      <left style="medium">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top style="thin">
        <color indexed="64"/>
      </top>
      <bottom/>
      <diagonal/>
    </border>
    <border>
      <left style="medium">
        <color indexed="64"/>
      </left>
      <right/>
      <top style="thin">
        <color indexed="64"/>
      </top>
      <bottom/>
      <diagonal/>
    </border>
    <border>
      <left style="medium">
        <color indexed="64"/>
      </left>
      <right/>
      <top/>
      <bottom style="medium">
        <color indexed="64"/>
      </bottom>
      <diagonal/>
    </border>
    <border>
      <left style="thin">
        <color indexed="64"/>
      </left>
      <right/>
      <top/>
      <bottom style="thin">
        <color indexed="64"/>
      </bottom>
      <diagonal/>
    </border>
    <border>
      <left/>
      <right style="thin">
        <color indexed="64"/>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s>
  <cellStyleXfs count="15">
    <xf numFmtId="0" fontId="0" fillId="0" borderId="0"/>
    <xf numFmtId="0" fontId="2" fillId="0" borderId="0"/>
    <xf numFmtId="0" fontId="3" fillId="0" borderId="0"/>
    <xf numFmtId="0" fontId="2" fillId="0" borderId="0"/>
    <xf numFmtId="0" fontId="2" fillId="0" borderId="0"/>
    <xf numFmtId="9" fontId="3" fillId="0" borderId="0" applyFont="0" applyFill="0" applyBorder="0" applyAlignment="0" applyProtection="0"/>
    <xf numFmtId="9" fontId="6" fillId="0" borderId="0" applyFont="0" applyFill="0" applyBorder="0" applyAlignment="0" applyProtection="0"/>
    <xf numFmtId="0" fontId="4" fillId="4" borderId="4" applyAlignment="0">
      <alignment horizontal="center" vertical="center" wrapText="1"/>
    </xf>
    <xf numFmtId="0" fontId="1" fillId="5" borderId="5"/>
    <xf numFmtId="0" fontId="9" fillId="3" borderId="6">
      <alignment vertical="center" wrapText="1"/>
    </xf>
    <xf numFmtId="0" fontId="7" fillId="6" borderId="0" applyNumberFormat="0" applyBorder="0" applyAlignment="0" applyProtection="0"/>
    <xf numFmtId="0" fontId="21" fillId="0" borderId="0" applyNumberFormat="0" applyFill="0" applyBorder="0" applyAlignment="0" applyProtection="0"/>
    <xf numFmtId="0" fontId="34" fillId="0" borderId="0"/>
    <xf numFmtId="0" fontId="34" fillId="0" borderId="0"/>
    <xf numFmtId="0" fontId="21" fillId="0" borderId="0" applyNumberFormat="0" applyFill="0" applyBorder="0" applyAlignment="0" applyProtection="0"/>
  </cellStyleXfs>
  <cellXfs count="261">
    <xf numFmtId="0" fontId="0" fillId="0" borderId="0" xfId="0"/>
    <xf numFmtId="0" fontId="5" fillId="0" borderId="0" xfId="1" applyFont="1" applyAlignment="1">
      <alignment horizontal="center" vertical="center" wrapText="1"/>
    </xf>
    <xf numFmtId="164" fontId="5" fillId="0" borderId="0" xfId="1" applyNumberFormat="1" applyFont="1" applyAlignment="1">
      <alignment horizontal="center" vertical="center" wrapText="1"/>
    </xf>
    <xf numFmtId="1" fontId="5" fillId="0" borderId="0" xfId="1" applyNumberFormat="1" applyFont="1" applyAlignment="1">
      <alignment horizontal="center" vertical="center" wrapText="1"/>
    </xf>
    <xf numFmtId="14" fontId="5" fillId="0" borderId="0" xfId="1" applyNumberFormat="1" applyFont="1" applyAlignment="1">
      <alignment horizontal="center" vertical="center" wrapText="1"/>
    </xf>
    <xf numFmtId="2" fontId="5" fillId="0" borderId="0" xfId="1" applyNumberFormat="1" applyFont="1" applyAlignment="1">
      <alignment horizontal="center" vertical="center" wrapText="1"/>
    </xf>
    <xf numFmtId="0" fontId="8" fillId="0" borderId="0" xfId="1" applyFont="1" applyAlignment="1">
      <alignment horizontal="center" vertical="center" wrapText="1"/>
    </xf>
    <xf numFmtId="0" fontId="6" fillId="8" borderId="1" xfId="10" applyFont="1" applyFill="1" applyBorder="1" applyAlignment="1">
      <alignment horizontal="center" vertical="center" wrapText="1"/>
    </xf>
    <xf numFmtId="0" fontId="0" fillId="8" borderId="1" xfId="10" applyFont="1" applyFill="1" applyBorder="1" applyAlignment="1">
      <alignment horizontal="center" vertical="center" wrapText="1"/>
    </xf>
    <xf numFmtId="0" fontId="0" fillId="7" borderId="1" xfId="10" applyFont="1" applyFill="1" applyBorder="1" applyAlignment="1">
      <alignment horizontal="center" vertical="center" wrapText="1"/>
    </xf>
    <xf numFmtId="14" fontId="6" fillId="8" borderId="1" xfId="10" applyNumberFormat="1" applyFont="1" applyFill="1" applyBorder="1" applyAlignment="1">
      <alignment horizontal="center" vertical="center" wrapText="1"/>
    </xf>
    <xf numFmtId="0" fontId="0" fillId="0" borderId="1" xfId="0" applyBorder="1" applyAlignment="1">
      <alignment vertical="top" wrapText="1"/>
    </xf>
    <xf numFmtId="0" fontId="17" fillId="0" borderId="1" xfId="0" applyFont="1" applyBorder="1" applyAlignment="1">
      <alignment horizontal="justify" vertical="top"/>
    </xf>
    <xf numFmtId="0" fontId="0" fillId="0" borderId="1" xfId="0" applyBorder="1" applyAlignment="1">
      <alignment horizontal="justify" vertical="top"/>
    </xf>
    <xf numFmtId="0" fontId="18" fillId="0" borderId="1" xfId="0" applyFont="1" applyBorder="1" applyAlignment="1">
      <alignment vertical="top" wrapText="1"/>
    </xf>
    <xf numFmtId="14" fontId="8" fillId="0" borderId="0" xfId="1" applyNumberFormat="1" applyFont="1" applyAlignment="1">
      <alignment horizontal="center" vertical="center" wrapText="1"/>
    </xf>
    <xf numFmtId="165" fontId="5" fillId="0" borderId="0" xfId="1" applyNumberFormat="1" applyFont="1" applyAlignment="1">
      <alignment horizontal="center" vertical="center" wrapText="1"/>
    </xf>
    <xf numFmtId="0" fontId="0" fillId="9" borderId="1" xfId="10" applyFont="1" applyFill="1" applyBorder="1" applyAlignment="1">
      <alignment horizontal="center" vertical="center" wrapText="1"/>
    </xf>
    <xf numFmtId="0" fontId="6" fillId="9" borderId="1" xfId="10" applyFont="1" applyFill="1" applyBorder="1" applyAlignment="1">
      <alignment horizontal="center" vertical="center" wrapText="1"/>
    </xf>
    <xf numFmtId="0" fontId="1" fillId="8" borderId="1" xfId="10" applyFont="1" applyFill="1" applyBorder="1" applyAlignment="1">
      <alignment horizontal="center" vertical="center" wrapText="1"/>
    </xf>
    <xf numFmtId="14" fontId="0" fillId="8" borderId="1" xfId="10" applyNumberFormat="1" applyFont="1" applyFill="1" applyBorder="1" applyAlignment="1">
      <alignment horizontal="center" vertical="center" wrapText="1"/>
    </xf>
    <xf numFmtId="0" fontId="22" fillId="11" borderId="1" xfId="10" applyFont="1" applyFill="1" applyBorder="1" applyAlignment="1">
      <alignment horizontal="center" vertical="center" wrapText="1"/>
    </xf>
    <xf numFmtId="0" fontId="0" fillId="12" borderId="3" xfId="10" applyFont="1" applyFill="1" applyBorder="1" applyAlignment="1">
      <alignment horizontal="center" vertical="center" wrapText="1"/>
    </xf>
    <xf numFmtId="0" fontId="0" fillId="10" borderId="3" xfId="10" applyFont="1" applyFill="1" applyBorder="1" applyAlignment="1">
      <alignment horizontal="center" vertical="center" wrapText="1"/>
    </xf>
    <xf numFmtId="0" fontId="6" fillId="2" borderId="1" xfId="10" applyFont="1" applyFill="1" applyBorder="1" applyAlignment="1">
      <alignment horizontal="center" vertical="center" wrapText="1"/>
    </xf>
    <xf numFmtId="0" fontId="0" fillId="13" borderId="1" xfId="10" applyFont="1" applyFill="1" applyBorder="1" applyAlignment="1">
      <alignment horizontal="center" vertical="center" wrapText="1"/>
    </xf>
    <xf numFmtId="0" fontId="6" fillId="13" borderId="1" xfId="10" applyFont="1" applyFill="1" applyBorder="1" applyAlignment="1">
      <alignment horizontal="center" vertical="center" wrapText="1"/>
    </xf>
    <xf numFmtId="14" fontId="0" fillId="13" borderId="1" xfId="10" applyNumberFormat="1" applyFont="1" applyFill="1" applyBorder="1" applyAlignment="1">
      <alignment horizontal="center" vertical="center" wrapText="1"/>
    </xf>
    <xf numFmtId="0" fontId="6" fillId="14" borderId="1" xfId="10" applyFont="1" applyFill="1" applyBorder="1" applyAlignment="1">
      <alignment horizontal="center" vertical="center" wrapText="1"/>
    </xf>
    <xf numFmtId="0" fontId="0" fillId="14" borderId="1" xfId="10" applyFont="1" applyFill="1" applyBorder="1" applyAlignment="1">
      <alignment horizontal="center" vertical="center" wrapText="1"/>
    </xf>
    <xf numFmtId="14" fontId="6" fillId="14" borderId="1" xfId="10" applyNumberFormat="1" applyFont="1" applyFill="1" applyBorder="1" applyAlignment="1">
      <alignment horizontal="center" vertical="center" wrapText="1"/>
    </xf>
    <xf numFmtId="0" fontId="5" fillId="0" borderId="1" xfId="1" applyFont="1" applyBorder="1" applyAlignment="1">
      <alignment horizontal="center" vertical="center" wrapText="1"/>
    </xf>
    <xf numFmtId="0" fontId="0" fillId="2" borderId="1" xfId="10" applyFont="1" applyFill="1" applyBorder="1" applyAlignment="1">
      <alignment horizontal="center" vertical="center" wrapText="1"/>
    </xf>
    <xf numFmtId="0" fontId="7" fillId="15" borderId="1" xfId="10" applyFill="1" applyBorder="1" applyAlignment="1">
      <alignment horizontal="center" vertical="center" wrapText="1"/>
    </xf>
    <xf numFmtId="14" fontId="7" fillId="15" borderId="1" xfId="10" applyNumberFormat="1" applyFill="1" applyBorder="1" applyAlignment="1">
      <alignment horizontal="center" vertical="center" wrapText="1"/>
    </xf>
    <xf numFmtId="14" fontId="5" fillId="0" borderId="1" xfId="1" applyNumberFormat="1" applyFont="1" applyBorder="1" applyAlignment="1">
      <alignment horizontal="center" vertical="center" wrapText="1"/>
    </xf>
    <xf numFmtId="0" fontId="16"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wrapText="1"/>
    </xf>
    <xf numFmtId="164" fontId="5" fillId="0" borderId="1" xfId="1" applyNumberFormat="1" applyFont="1" applyBorder="1" applyAlignment="1">
      <alignment horizontal="left" vertical="center" wrapText="1"/>
    </xf>
    <xf numFmtId="164" fontId="5" fillId="0" borderId="1" xfId="1" applyNumberFormat="1" applyFont="1" applyBorder="1" applyAlignment="1">
      <alignment horizontal="center" vertical="center" wrapText="1"/>
    </xf>
    <xf numFmtId="0" fontId="5" fillId="0" borderId="1" xfId="0" applyFont="1" applyBorder="1" applyAlignment="1" applyProtection="1">
      <alignment horizontal="center" vertical="center" wrapText="1"/>
      <protection locked="0"/>
    </xf>
    <xf numFmtId="0" fontId="5" fillId="0" borderId="1" xfId="0" applyFont="1" applyBorder="1" applyAlignment="1">
      <alignment horizontal="center" vertical="center"/>
    </xf>
    <xf numFmtId="2" fontId="5" fillId="0" borderId="1" xfId="0" applyNumberFormat="1" applyFont="1" applyBorder="1" applyAlignment="1">
      <alignment horizontal="center" vertical="center" wrapText="1"/>
    </xf>
    <xf numFmtId="1" fontId="5" fillId="0" borderId="1" xfId="1" applyNumberFormat="1" applyFont="1" applyBorder="1" applyAlignment="1">
      <alignment horizontal="center" vertical="center" wrapText="1"/>
    </xf>
    <xf numFmtId="2" fontId="5" fillId="0" borderId="1" xfId="1" applyNumberFormat="1" applyFont="1" applyBorder="1" applyAlignment="1">
      <alignment horizontal="center" vertical="center" wrapText="1"/>
    </xf>
    <xf numFmtId="0" fontId="10" fillId="0" borderId="1" xfId="1" applyFont="1" applyBorder="1" applyAlignment="1">
      <alignment horizontal="center" vertical="center" wrapText="1"/>
    </xf>
    <xf numFmtId="0" fontId="11" fillId="0" borderId="1" xfId="1" applyFont="1" applyBorder="1" applyAlignment="1">
      <alignment horizontal="center" vertical="center" wrapText="1"/>
    </xf>
    <xf numFmtId="9" fontId="5" fillId="0" borderId="1" xfId="6" applyFont="1" applyFill="1" applyBorder="1" applyAlignment="1">
      <alignment horizontal="center" vertical="center" wrapText="1"/>
    </xf>
    <xf numFmtId="14" fontId="12" fillId="0" borderId="1" xfId="0" applyNumberFormat="1" applyFont="1" applyBorder="1" applyAlignment="1">
      <alignment horizontal="center" vertical="center" wrapText="1"/>
    </xf>
    <xf numFmtId="14" fontId="5" fillId="0" borderId="1" xfId="0" applyNumberFormat="1" applyFont="1" applyBorder="1" applyAlignment="1">
      <alignment horizontal="center" vertical="center" wrapText="1"/>
    </xf>
    <xf numFmtId="14" fontId="13" fillId="0" borderId="1" xfId="1" applyNumberFormat="1" applyFont="1" applyBorder="1" applyAlignment="1">
      <alignment horizontal="center" vertical="center" wrapText="1"/>
    </xf>
    <xf numFmtId="0" fontId="14"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15" fillId="0" borderId="1" xfId="1" applyFont="1" applyBorder="1" applyAlignment="1">
      <alignment horizontal="center" vertical="center" wrapText="1"/>
    </xf>
    <xf numFmtId="14" fontId="19" fillId="0" borderId="1" xfId="1" applyNumberFormat="1" applyFont="1" applyBorder="1" applyAlignment="1">
      <alignment horizontal="center" vertical="center" wrapText="1"/>
    </xf>
    <xf numFmtId="0" fontId="20" fillId="0" borderId="1" xfId="1" applyFont="1" applyBorder="1" applyAlignment="1">
      <alignment horizontal="center" vertical="center" wrapText="1"/>
    </xf>
    <xf numFmtId="14" fontId="20" fillId="0" borderId="1" xfId="1" applyNumberFormat="1" applyFont="1" applyBorder="1" applyAlignment="1">
      <alignment horizontal="center" vertical="center" wrapText="1"/>
    </xf>
    <xf numFmtId="14" fontId="23" fillId="0" borderId="1" xfId="1" applyNumberFormat="1" applyFont="1" applyBorder="1" applyAlignment="1">
      <alignment horizontal="center" vertical="center" wrapText="1"/>
    </xf>
    <xf numFmtId="0" fontId="0" fillId="17" borderId="1" xfId="10" applyFont="1" applyFill="1" applyBorder="1" applyAlignment="1">
      <alignment horizontal="center" vertical="center" wrapText="1"/>
    </xf>
    <xf numFmtId="0" fontId="6" fillId="17" borderId="1" xfId="10" applyFont="1" applyFill="1" applyBorder="1" applyAlignment="1">
      <alignment horizontal="center" vertical="center" wrapText="1"/>
    </xf>
    <xf numFmtId="2" fontId="22" fillId="11" borderId="1" xfId="10" applyNumberFormat="1" applyFont="1" applyFill="1" applyBorder="1" applyAlignment="1">
      <alignment horizontal="center" vertical="center" wrapText="1"/>
    </xf>
    <xf numFmtId="0" fontId="6" fillId="18" borderId="1" xfId="10" applyFont="1" applyFill="1" applyBorder="1" applyAlignment="1">
      <alignment horizontal="center" vertical="center" wrapText="1"/>
    </xf>
    <xf numFmtId="0" fontId="0" fillId="18" borderId="1" xfId="10" applyFont="1" applyFill="1" applyBorder="1" applyAlignment="1">
      <alignment horizontal="center" vertical="center" wrapText="1"/>
    </xf>
    <xf numFmtId="14" fontId="1" fillId="19" borderId="1" xfId="10" applyNumberFormat="1" applyFont="1" applyFill="1" applyBorder="1" applyAlignment="1">
      <alignment horizontal="center" vertical="center" wrapText="1"/>
    </xf>
    <xf numFmtId="14" fontId="1" fillId="20" borderId="1" xfId="10" applyNumberFormat="1" applyFont="1" applyFill="1" applyBorder="1" applyAlignment="1">
      <alignment horizontal="center" vertical="center" wrapText="1"/>
    </xf>
    <xf numFmtId="0" fontId="0" fillId="21" borderId="3" xfId="10" applyFont="1" applyFill="1" applyBorder="1" applyAlignment="1">
      <alignment horizontal="center" vertical="center" wrapText="1"/>
    </xf>
    <xf numFmtId="0" fontId="25" fillId="13" borderId="12" xfId="0" applyFont="1" applyFill="1" applyBorder="1" applyAlignment="1">
      <alignment vertical="center" wrapText="1"/>
    </xf>
    <xf numFmtId="0" fontId="25" fillId="16" borderId="13" xfId="0" applyFont="1" applyFill="1" applyBorder="1" applyAlignment="1">
      <alignment vertical="center" wrapText="1"/>
    </xf>
    <xf numFmtId="0" fontId="0" fillId="0" borderId="1" xfId="0" applyBorder="1"/>
    <xf numFmtId="0" fontId="25" fillId="16" borderId="0" xfId="0" applyFont="1" applyFill="1" applyAlignment="1">
      <alignment vertical="center" wrapText="1"/>
    </xf>
    <xf numFmtId="0" fontId="26" fillId="0" borderId="0" xfId="0" applyFont="1"/>
    <xf numFmtId="9" fontId="0" fillId="0" borderId="1" xfId="6" applyFont="1" applyBorder="1"/>
    <xf numFmtId="0" fontId="25" fillId="0" borderId="0" xfId="0" applyFont="1" applyAlignment="1">
      <alignment vertical="center" wrapText="1"/>
    </xf>
    <xf numFmtId="9" fontId="0" fillId="0" borderId="0" xfId="6" applyFont="1" applyFill="1" applyBorder="1"/>
    <xf numFmtId="0" fontId="25" fillId="2" borderId="1" xfId="0" applyFont="1" applyFill="1" applyBorder="1" applyAlignment="1">
      <alignment horizontal="center" vertical="center" wrapText="1"/>
    </xf>
    <xf numFmtId="0" fontId="25" fillId="8" borderId="1" xfId="0" applyFont="1" applyFill="1" applyBorder="1" applyAlignment="1">
      <alignment vertical="center" wrapText="1"/>
    </xf>
    <xf numFmtId="0" fontId="25" fillId="13" borderId="1" xfId="0" applyFont="1" applyFill="1" applyBorder="1" applyAlignment="1">
      <alignment vertical="center" wrapText="1"/>
    </xf>
    <xf numFmtId="0" fontId="27" fillId="0" borderId="1" xfId="0" applyFont="1" applyBorder="1"/>
    <xf numFmtId="0" fontId="25" fillId="0" borderId="1" xfId="0" applyFont="1" applyBorder="1" applyAlignment="1">
      <alignment vertical="center" wrapText="1"/>
    </xf>
    <xf numFmtId="0" fontId="0" fillId="0" borderId="1" xfId="0" applyBorder="1" applyAlignment="1">
      <alignment horizontal="center" vertical="center"/>
    </xf>
    <xf numFmtId="14" fontId="1" fillId="8" borderId="1" xfId="10" applyNumberFormat="1" applyFont="1" applyFill="1" applyBorder="1" applyAlignment="1">
      <alignment horizontal="center" vertical="center" wrapText="1"/>
    </xf>
    <xf numFmtId="0" fontId="1" fillId="9" borderId="1" xfId="10" applyFont="1" applyFill="1" applyBorder="1" applyAlignment="1">
      <alignment horizontal="center" vertical="center" wrapText="1"/>
    </xf>
    <xf numFmtId="14" fontId="4" fillId="15" borderId="1" xfId="10" applyNumberFormat="1" applyFont="1" applyFill="1" applyBorder="1" applyAlignment="1">
      <alignment horizontal="center" vertical="center" wrapText="1"/>
    </xf>
    <xf numFmtId="0" fontId="1" fillId="2" borderId="1" xfId="10" applyFont="1" applyFill="1" applyBorder="1" applyAlignment="1">
      <alignment horizontal="center" vertical="center" wrapText="1"/>
    </xf>
    <xf numFmtId="165" fontId="1" fillId="8" borderId="1" xfId="10" applyNumberFormat="1" applyFont="1" applyFill="1" applyBorder="1" applyAlignment="1">
      <alignment horizontal="center" vertical="center" wrapText="1"/>
    </xf>
    <xf numFmtId="0" fontId="1" fillId="18" borderId="1" xfId="10" applyFont="1" applyFill="1" applyBorder="1" applyAlignment="1">
      <alignment horizontal="center" vertical="center" wrapText="1"/>
    </xf>
    <xf numFmtId="0" fontId="4" fillId="15" borderId="1" xfId="10" applyFont="1" applyFill="1" applyBorder="1" applyAlignment="1">
      <alignment horizontal="center" vertical="center" wrapText="1"/>
    </xf>
    <xf numFmtId="0" fontId="22" fillId="11" borderId="1" xfId="10" applyFont="1" applyFill="1" applyBorder="1" applyAlignment="1" applyProtection="1">
      <alignment horizontal="center" vertical="center" wrapText="1"/>
    </xf>
    <xf numFmtId="0" fontId="7" fillId="24" borderId="3" xfId="10" applyFill="1" applyBorder="1" applyAlignment="1">
      <alignment horizontal="center" vertical="center" wrapText="1"/>
    </xf>
    <xf numFmtId="0" fontId="1" fillId="13" borderId="1" xfId="10" applyFont="1" applyFill="1" applyBorder="1" applyAlignment="1">
      <alignment horizontal="center" vertical="center" wrapText="1"/>
    </xf>
    <xf numFmtId="14" fontId="1" fillId="19" borderId="2" xfId="10" applyNumberFormat="1" applyFont="1" applyFill="1" applyBorder="1" applyAlignment="1">
      <alignment horizontal="center" vertical="center" wrapText="1"/>
    </xf>
    <xf numFmtId="14" fontId="1" fillId="20" borderId="2" xfId="10" applyNumberFormat="1" applyFont="1" applyFill="1" applyBorder="1" applyAlignment="1">
      <alignment horizontal="center" vertical="center" wrapText="1"/>
    </xf>
    <xf numFmtId="0" fontId="1" fillId="12" borderId="17" xfId="10" applyFont="1" applyFill="1" applyBorder="1" applyAlignment="1">
      <alignment horizontal="center" vertical="center" wrapText="1"/>
    </xf>
    <xf numFmtId="0" fontId="4" fillId="24" borderId="17" xfId="10" applyFont="1" applyFill="1" applyBorder="1" applyAlignment="1">
      <alignment horizontal="center" vertical="center" wrapText="1"/>
    </xf>
    <xf numFmtId="0" fontId="1" fillId="10" borderId="17" xfId="10" applyFont="1" applyFill="1" applyBorder="1" applyAlignment="1">
      <alignment horizontal="center" vertical="center" wrapText="1"/>
    </xf>
    <xf numFmtId="0" fontId="1" fillId="21" borderId="17" xfId="10" applyFont="1" applyFill="1" applyBorder="1" applyAlignment="1">
      <alignment horizontal="center" vertical="center" wrapText="1"/>
    </xf>
    <xf numFmtId="0" fontId="22" fillId="25" borderId="1" xfId="10" applyFont="1" applyFill="1" applyBorder="1" applyAlignment="1">
      <alignment horizontal="center" vertical="center" wrapText="1"/>
    </xf>
    <xf numFmtId="14" fontId="1" fillId="19" borderId="18" xfId="10" applyNumberFormat="1" applyFont="1" applyFill="1" applyBorder="1" applyAlignment="1">
      <alignment horizontal="center" vertical="center" wrapText="1"/>
    </xf>
    <xf numFmtId="1" fontId="1" fillId="19" borderId="1" xfId="10" applyNumberFormat="1" applyFont="1" applyFill="1" applyBorder="1" applyAlignment="1">
      <alignment horizontal="center" vertical="center" wrapText="1"/>
    </xf>
    <xf numFmtId="1" fontId="20" fillId="0" borderId="1" xfId="1" applyNumberFormat="1" applyFont="1" applyBorder="1" applyAlignment="1">
      <alignment horizontal="center" vertical="center" wrapText="1"/>
    </xf>
    <xf numFmtId="0" fontId="0" fillId="26" borderId="1" xfId="10" applyFont="1" applyFill="1" applyBorder="1" applyAlignment="1">
      <alignment horizontal="center" vertical="center" wrapText="1"/>
    </xf>
    <xf numFmtId="0" fontId="1" fillId="26" borderId="1" xfId="10" applyFont="1" applyFill="1" applyBorder="1" applyAlignment="1">
      <alignment horizontal="center" vertical="center" wrapText="1"/>
    </xf>
    <xf numFmtId="0" fontId="0" fillId="0" borderId="3" xfId="0" applyBorder="1"/>
    <xf numFmtId="9" fontId="0" fillId="0" borderId="0" xfId="6" applyFont="1" applyBorder="1"/>
    <xf numFmtId="0" fontId="5" fillId="28" borderId="1" xfId="0" applyFont="1" applyFill="1" applyBorder="1" applyAlignment="1">
      <alignment horizontal="center" vertical="center" wrapText="1"/>
    </xf>
    <xf numFmtId="0" fontId="25" fillId="13" borderId="19" xfId="0" applyFont="1" applyFill="1" applyBorder="1" applyAlignment="1">
      <alignment vertical="center" wrapText="1"/>
    </xf>
    <xf numFmtId="0" fontId="31" fillId="29" borderId="10" xfId="0" applyFont="1" applyFill="1" applyBorder="1" applyAlignment="1">
      <alignment horizontal="center" vertical="center" wrapText="1"/>
    </xf>
    <xf numFmtId="0" fontId="32" fillId="17" borderId="10" xfId="0" applyFont="1" applyFill="1" applyBorder="1" applyAlignment="1">
      <alignment vertical="center" wrapText="1"/>
    </xf>
    <xf numFmtId="0" fontId="25" fillId="13" borderId="10" xfId="0" applyFont="1" applyFill="1" applyBorder="1" applyAlignment="1">
      <alignment vertical="center" wrapText="1"/>
    </xf>
    <xf numFmtId="0" fontId="24" fillId="0" borderId="10" xfId="0" applyFont="1" applyBorder="1"/>
    <xf numFmtId="0" fontId="1" fillId="0" borderId="10" xfId="0" applyFont="1" applyBorder="1"/>
    <xf numFmtId="0" fontId="1" fillId="0" borderId="21" xfId="0" applyFont="1" applyBorder="1"/>
    <xf numFmtId="0" fontId="1" fillId="0" borderId="22" xfId="0" applyFont="1" applyBorder="1"/>
    <xf numFmtId="0" fontId="1" fillId="0" borderId="23" xfId="0" applyFont="1" applyBorder="1"/>
    <xf numFmtId="0" fontId="1" fillId="0" borderId="24" xfId="0" applyFont="1" applyBorder="1"/>
    <xf numFmtId="0" fontId="0" fillId="0" borderId="20" xfId="0" applyBorder="1"/>
    <xf numFmtId="0" fontId="0" fillId="0" borderId="2" xfId="0" applyBorder="1"/>
    <xf numFmtId="9" fontId="0" fillId="0" borderId="21" xfId="6" applyFont="1" applyBorder="1"/>
    <xf numFmtId="9" fontId="0" fillId="0" borderId="22" xfId="6" applyFont="1" applyBorder="1"/>
    <xf numFmtId="9" fontId="0" fillId="0" borderId="23" xfId="6" applyFont="1" applyBorder="1"/>
    <xf numFmtId="0" fontId="25" fillId="0" borderId="27" xfId="0" applyFont="1" applyBorder="1" applyAlignment="1">
      <alignment vertical="center" wrapText="1"/>
    </xf>
    <xf numFmtId="0" fontId="0" fillId="0" borderId="28" xfId="0" applyBorder="1" applyAlignment="1">
      <alignment horizontal="center" vertical="center"/>
    </xf>
    <xf numFmtId="0" fontId="25" fillId="0" borderId="29" xfId="0" applyFont="1" applyBorder="1" applyAlignment="1">
      <alignment vertical="center" wrapText="1"/>
    </xf>
    <xf numFmtId="0" fontId="0" fillId="0" borderId="30" xfId="0" applyBorder="1" applyAlignment="1">
      <alignment horizontal="center" vertical="center"/>
    </xf>
    <xf numFmtId="0" fontId="0" fillId="0" borderId="28" xfId="0" applyBorder="1"/>
    <xf numFmtId="0" fontId="0" fillId="0" borderId="30" xfId="0" applyBorder="1"/>
    <xf numFmtId="0" fontId="0" fillId="0" borderId="31" xfId="0" applyBorder="1"/>
    <xf numFmtId="0" fontId="25" fillId="0" borderId="32" xfId="0" applyFont="1" applyBorder="1" applyAlignment="1">
      <alignment vertical="center" wrapText="1"/>
    </xf>
    <xf numFmtId="0" fontId="0" fillId="0" borderId="33" xfId="0" applyBorder="1"/>
    <xf numFmtId="0" fontId="25" fillId="22" borderId="32" xfId="0" applyFont="1" applyFill="1" applyBorder="1" applyAlignment="1">
      <alignment vertical="center" wrapText="1"/>
    </xf>
    <xf numFmtId="9" fontId="0" fillId="0" borderId="33" xfId="6" applyFont="1" applyBorder="1"/>
    <xf numFmtId="0" fontId="25" fillId="23" borderId="32" xfId="0" applyFont="1" applyFill="1" applyBorder="1" applyAlignment="1">
      <alignment vertical="center" wrapText="1"/>
    </xf>
    <xf numFmtId="0" fontId="25" fillId="16" borderId="32" xfId="0" applyFont="1" applyFill="1" applyBorder="1" applyAlignment="1">
      <alignment vertical="center" wrapText="1"/>
    </xf>
    <xf numFmtId="0" fontId="25" fillId="9" borderId="32" xfId="0" applyFont="1" applyFill="1" applyBorder="1" applyAlignment="1">
      <alignment vertical="center" wrapText="1"/>
    </xf>
    <xf numFmtId="0" fontId="25" fillId="9" borderId="34" xfId="0" applyFont="1" applyFill="1" applyBorder="1" applyAlignment="1">
      <alignment vertical="center" wrapText="1"/>
    </xf>
    <xf numFmtId="0" fontId="0" fillId="0" borderId="35" xfId="0" applyBorder="1"/>
    <xf numFmtId="0" fontId="0" fillId="2" borderId="14" xfId="0" applyFill="1" applyBorder="1"/>
    <xf numFmtId="0" fontId="0" fillId="2" borderId="1" xfId="0" applyFill="1" applyBorder="1"/>
    <xf numFmtId="0" fontId="0" fillId="2" borderId="11" xfId="0" applyFill="1" applyBorder="1"/>
    <xf numFmtId="0" fontId="0" fillId="2" borderId="15" xfId="0" applyFill="1" applyBorder="1"/>
    <xf numFmtId="0" fontId="25" fillId="0" borderId="36" xfId="0" applyFont="1" applyBorder="1" applyAlignment="1">
      <alignment vertical="center" wrapText="1"/>
    </xf>
    <xf numFmtId="0" fontId="25" fillId="16" borderId="34" xfId="0" applyFont="1" applyFill="1" applyBorder="1" applyAlignment="1">
      <alignment vertical="center" wrapText="1"/>
    </xf>
    <xf numFmtId="0" fontId="0" fillId="0" borderId="37" xfId="0" applyBorder="1"/>
    <xf numFmtId="1" fontId="0" fillId="0" borderId="3" xfId="6" applyNumberFormat="1" applyFont="1" applyBorder="1"/>
    <xf numFmtId="0" fontId="32" fillId="27" borderId="21" xfId="0" applyFont="1" applyFill="1" applyBorder="1" applyAlignment="1">
      <alignment vertical="center" wrapText="1"/>
    </xf>
    <xf numFmtId="0" fontId="0" fillId="0" borderId="1" xfId="0" applyBorder="1" applyAlignment="1">
      <alignment wrapText="1"/>
    </xf>
    <xf numFmtId="0" fontId="0" fillId="0" borderId="1" xfId="0" applyBorder="1" applyAlignment="1">
      <alignment horizontal="center"/>
    </xf>
    <xf numFmtId="0" fontId="5" fillId="30" borderId="0" xfId="1" applyFont="1" applyFill="1" applyAlignment="1">
      <alignment horizontal="center" vertical="center" wrapText="1"/>
    </xf>
    <xf numFmtId="0" fontId="0" fillId="0" borderId="19" xfId="0" applyBorder="1"/>
    <xf numFmtId="0" fontId="0" fillId="0" borderId="39" xfId="0" applyBorder="1"/>
    <xf numFmtId="0" fontId="0" fillId="31" borderId="21" xfId="0" applyFill="1" applyBorder="1"/>
    <xf numFmtId="0" fontId="0" fillId="31" borderId="22" xfId="0" applyFill="1" applyBorder="1"/>
    <xf numFmtId="0" fontId="0" fillId="21" borderId="38" xfId="10" applyFont="1" applyFill="1" applyBorder="1" applyAlignment="1">
      <alignment horizontal="center" vertical="center" wrapText="1"/>
    </xf>
    <xf numFmtId="0" fontId="20" fillId="0" borderId="8" xfId="1" applyFont="1" applyBorder="1" applyAlignment="1">
      <alignment horizontal="center" vertical="center" wrapText="1"/>
    </xf>
    <xf numFmtId="0" fontId="0" fillId="30" borderId="0" xfId="10" applyFont="1" applyFill="1" applyBorder="1" applyAlignment="1">
      <alignment horizontal="center" vertical="center" wrapText="1"/>
    </xf>
    <xf numFmtId="0" fontId="0" fillId="0" borderId="13" xfId="0" applyBorder="1"/>
    <xf numFmtId="0" fontId="0" fillId="0" borderId="40" xfId="0" applyBorder="1"/>
    <xf numFmtId="0" fontId="0" fillId="0" borderId="41" xfId="0" applyBorder="1"/>
    <xf numFmtId="0" fontId="22" fillId="32" borderId="1" xfId="10" applyFont="1" applyFill="1" applyBorder="1" applyAlignment="1">
      <alignment horizontal="center" vertical="center" wrapText="1"/>
    </xf>
    <xf numFmtId="0" fontId="4" fillId="32" borderId="1" xfId="10" applyFont="1" applyFill="1" applyBorder="1" applyAlignment="1">
      <alignment horizontal="center" vertical="center" wrapText="1"/>
    </xf>
    <xf numFmtId="0" fontId="0" fillId="31" borderId="24" xfId="0" applyFill="1" applyBorder="1"/>
    <xf numFmtId="0" fontId="5" fillId="33" borderId="1" xfId="1" applyFont="1" applyFill="1" applyBorder="1" applyAlignment="1">
      <alignment horizontal="center" vertical="center" wrapText="1"/>
    </xf>
    <xf numFmtId="164" fontId="5" fillId="33" borderId="1" xfId="1" applyNumberFormat="1" applyFont="1" applyFill="1" applyBorder="1" applyAlignment="1">
      <alignment horizontal="center" vertical="center" wrapText="1"/>
    </xf>
    <xf numFmtId="14" fontId="5" fillId="33" borderId="1" xfId="1" applyNumberFormat="1" applyFont="1" applyFill="1" applyBorder="1" applyAlignment="1">
      <alignment horizontal="center" vertical="center" wrapText="1"/>
    </xf>
    <xf numFmtId="0" fontId="5" fillId="33" borderId="27" xfId="1" applyFont="1" applyFill="1" applyBorder="1" applyAlignment="1">
      <alignment horizontal="center" vertical="center" wrapText="1"/>
    </xf>
    <xf numFmtId="0" fontId="5" fillId="33" borderId="28" xfId="1" applyFont="1" applyFill="1" applyBorder="1" applyAlignment="1">
      <alignment horizontal="center" vertical="center" wrapText="1"/>
    </xf>
    <xf numFmtId="0" fontId="5" fillId="13" borderId="21" xfId="1" applyFont="1" applyFill="1" applyBorder="1" applyAlignment="1">
      <alignment horizontal="center" vertical="center" wrapText="1"/>
    </xf>
    <xf numFmtId="0" fontId="5" fillId="13" borderId="22" xfId="1" applyFont="1" applyFill="1" applyBorder="1" applyAlignment="1">
      <alignment horizontal="center" vertical="center" wrapText="1"/>
    </xf>
    <xf numFmtId="14" fontId="0" fillId="0" borderId="1" xfId="1" applyNumberFormat="1" applyFont="1" applyBorder="1" applyAlignment="1">
      <alignment horizontal="center" vertical="center" wrapText="1"/>
    </xf>
    <xf numFmtId="14" fontId="0" fillId="7" borderId="1" xfId="10" applyNumberFormat="1" applyFont="1" applyFill="1" applyBorder="1" applyAlignment="1">
      <alignment horizontal="center" vertical="center" wrapText="1"/>
    </xf>
    <xf numFmtId="0" fontId="17" fillId="34" borderId="40" xfId="0" applyFont="1" applyFill="1" applyBorder="1"/>
    <xf numFmtId="0" fontId="17" fillId="0" borderId="40" xfId="0" applyFont="1" applyBorder="1"/>
    <xf numFmtId="0" fontId="0" fillId="0" borderId="7" xfId="0" applyBorder="1" applyAlignment="1">
      <alignment horizontal="center" vertical="top" wrapText="1"/>
    </xf>
    <xf numFmtId="0" fontId="0" fillId="0" borderId="1" xfId="0" applyBorder="1" applyAlignment="1">
      <alignment horizontal="left" vertical="top" wrapText="1"/>
    </xf>
    <xf numFmtId="0" fontId="18" fillId="8" borderId="1" xfId="10" applyFont="1" applyFill="1" applyBorder="1" applyAlignment="1">
      <alignment horizontal="center" vertical="center" wrapText="1"/>
    </xf>
    <xf numFmtId="0" fontId="17" fillId="8" borderId="1" xfId="10" applyFont="1" applyFill="1" applyBorder="1" applyAlignment="1">
      <alignment horizontal="center" vertical="center" wrapText="1"/>
    </xf>
    <xf numFmtId="14" fontId="1" fillId="7" borderId="1" xfId="10" applyNumberFormat="1" applyFont="1" applyFill="1" applyBorder="1" applyAlignment="1">
      <alignment horizontal="center" vertical="center" wrapText="1"/>
    </xf>
    <xf numFmtId="14" fontId="4" fillId="32" borderId="1" xfId="10" applyNumberFormat="1" applyFont="1" applyFill="1" applyBorder="1" applyAlignment="1">
      <alignment horizontal="center" vertical="center" wrapText="1"/>
    </xf>
    <xf numFmtId="0" fontId="35" fillId="11" borderId="1" xfId="10" applyFont="1" applyFill="1" applyBorder="1" applyAlignment="1">
      <alignment horizontal="center" vertical="center" wrapText="1"/>
    </xf>
    <xf numFmtId="0" fontId="18" fillId="2" borderId="1" xfId="10" applyFont="1" applyFill="1" applyBorder="1" applyAlignment="1">
      <alignment horizontal="center" vertical="center" wrapText="1"/>
    </xf>
    <xf numFmtId="0" fontId="1" fillId="7" borderId="1" xfId="10" applyFont="1" applyFill="1" applyBorder="1" applyAlignment="1">
      <alignment horizontal="center" vertical="center" wrapText="1"/>
    </xf>
    <xf numFmtId="0" fontId="0" fillId="0" borderId="3" xfId="0" applyBorder="1" applyAlignment="1">
      <alignment vertical="top" wrapText="1"/>
    </xf>
    <xf numFmtId="0" fontId="0" fillId="0" borderId="8" xfId="0" applyBorder="1" applyAlignment="1">
      <alignment vertical="top" wrapText="1"/>
    </xf>
    <xf numFmtId="0" fontId="36" fillId="0" borderId="1" xfId="0" applyFont="1" applyBorder="1" applyAlignment="1">
      <alignment vertical="top" wrapText="1"/>
    </xf>
    <xf numFmtId="0" fontId="0" fillId="0" borderId="1" xfId="0" applyBorder="1" applyAlignment="1">
      <alignment horizontal="center" vertical="center" wrapText="1"/>
    </xf>
    <xf numFmtId="0" fontId="25" fillId="23" borderId="42" xfId="0" applyFont="1" applyFill="1" applyBorder="1" applyAlignment="1">
      <alignment vertical="center" wrapText="1"/>
    </xf>
    <xf numFmtId="0" fontId="25" fillId="0" borderId="43" xfId="0" applyFont="1" applyBorder="1" applyAlignment="1">
      <alignment vertical="center" wrapText="1"/>
    </xf>
    <xf numFmtId="0" fontId="25" fillId="0" borderId="10" xfId="0" applyFont="1" applyBorder="1" applyAlignment="1">
      <alignment vertical="center" wrapText="1"/>
    </xf>
    <xf numFmtId="9" fontId="0" fillId="0" borderId="44" xfId="6" applyFont="1" applyBorder="1"/>
    <xf numFmtId="9" fontId="0" fillId="0" borderId="11" xfId="6" applyFont="1" applyBorder="1"/>
    <xf numFmtId="9" fontId="0" fillId="0" borderId="15" xfId="6" applyFont="1" applyBorder="1"/>
    <xf numFmtId="0" fontId="25" fillId="0" borderId="13" xfId="0" applyFont="1" applyBorder="1" applyAlignment="1">
      <alignment vertical="center" wrapText="1"/>
    </xf>
    <xf numFmtId="0" fontId="0" fillId="0" borderId="22" xfId="0" applyBorder="1"/>
    <xf numFmtId="0" fontId="0" fillId="0" borderId="11" xfId="0" applyBorder="1"/>
    <xf numFmtId="0" fontId="0" fillId="0" borderId="15" xfId="0" applyBorder="1"/>
    <xf numFmtId="0" fontId="0" fillId="0" borderId="45" xfId="0" applyBorder="1"/>
    <xf numFmtId="0" fontId="25" fillId="35" borderId="12" xfId="0" applyFont="1" applyFill="1" applyBorder="1" applyAlignment="1">
      <alignment vertical="center" wrapText="1"/>
    </xf>
    <xf numFmtId="0" fontId="7" fillId="32" borderId="1" xfId="10" applyNumberFormat="1" applyFill="1" applyBorder="1" applyAlignment="1">
      <alignment horizontal="center" vertical="center" wrapText="1"/>
    </xf>
    <xf numFmtId="0" fontId="25" fillId="9" borderId="47" xfId="0" applyFont="1" applyFill="1" applyBorder="1" applyAlignment="1">
      <alignment vertical="center" wrapText="1"/>
    </xf>
    <xf numFmtId="0" fontId="25" fillId="9" borderId="48" xfId="0" applyFont="1" applyFill="1" applyBorder="1" applyAlignment="1">
      <alignment vertical="center" wrapText="1"/>
    </xf>
    <xf numFmtId="9" fontId="0" fillId="0" borderId="10" xfId="6" applyFont="1" applyBorder="1"/>
    <xf numFmtId="164" fontId="0" fillId="0" borderId="10" xfId="0" applyNumberFormat="1" applyBorder="1"/>
    <xf numFmtId="0" fontId="0" fillId="0" borderId="10" xfId="0" applyBorder="1"/>
    <xf numFmtId="0" fontId="0" fillId="0" borderId="50" xfId="0" applyBorder="1"/>
    <xf numFmtId="0" fontId="25" fillId="35" borderId="10" xfId="0" applyFont="1" applyFill="1" applyBorder="1" applyAlignment="1">
      <alignment vertical="center" wrapText="1"/>
    </xf>
    <xf numFmtId="0" fontId="0" fillId="0" borderId="21" xfId="0" applyBorder="1"/>
    <xf numFmtId="0" fontId="0" fillId="0" borderId="23" xfId="0" applyBorder="1"/>
    <xf numFmtId="0" fontId="25" fillId="35" borderId="13" xfId="0" applyFont="1" applyFill="1" applyBorder="1" applyAlignment="1">
      <alignment vertical="center" wrapText="1"/>
    </xf>
    <xf numFmtId="9" fontId="0" fillId="0" borderId="41" xfId="6" applyFont="1" applyBorder="1"/>
    <xf numFmtId="0" fontId="0" fillId="0" borderId="14" xfId="0" applyBorder="1"/>
    <xf numFmtId="0" fontId="0" fillId="0" borderId="0" xfId="0" applyAlignment="1">
      <alignment vertical="center"/>
    </xf>
    <xf numFmtId="165" fontId="0" fillId="8" borderId="1" xfId="10" applyNumberFormat="1" applyFont="1" applyFill="1" applyBorder="1" applyAlignment="1">
      <alignment horizontal="center" vertical="center" wrapText="1"/>
    </xf>
    <xf numFmtId="0" fontId="25" fillId="0" borderId="51" xfId="0" applyFont="1" applyBorder="1" applyAlignment="1">
      <alignment vertical="center" wrapText="1"/>
    </xf>
    <xf numFmtId="0" fontId="25" fillId="36" borderId="12" xfId="0" applyFont="1" applyFill="1" applyBorder="1" applyAlignment="1">
      <alignment vertical="center" wrapText="1"/>
    </xf>
    <xf numFmtId="0" fontId="25" fillId="36" borderId="13" xfId="0" applyFont="1" applyFill="1" applyBorder="1" applyAlignment="1">
      <alignment vertical="center" wrapText="1"/>
    </xf>
    <xf numFmtId="0" fontId="5" fillId="13" borderId="24" xfId="1" applyFont="1" applyFill="1" applyBorder="1" applyAlignment="1">
      <alignment horizontal="center" vertical="center" wrapText="1"/>
    </xf>
    <xf numFmtId="0" fontId="5" fillId="33" borderId="49" xfId="1" applyFont="1" applyFill="1" applyBorder="1" applyAlignment="1">
      <alignment horizontal="center" vertical="center" wrapText="1"/>
    </xf>
    <xf numFmtId="0" fontId="25" fillId="35" borderId="51" xfId="0" applyFont="1" applyFill="1" applyBorder="1" applyAlignment="1">
      <alignment vertical="center" wrapText="1"/>
    </xf>
    <xf numFmtId="0" fontId="39" fillId="0" borderId="0" xfId="1" applyFont="1" applyAlignment="1">
      <alignment horizontal="center" vertical="center" wrapText="1"/>
    </xf>
    <xf numFmtId="0" fontId="25" fillId="35" borderId="19" xfId="0" applyFont="1" applyFill="1" applyBorder="1" applyAlignment="1">
      <alignment vertical="center" wrapText="1"/>
    </xf>
    <xf numFmtId="0" fontId="41" fillId="35" borderId="13" xfId="0" applyFont="1" applyFill="1" applyBorder="1" applyAlignment="1">
      <alignment vertical="center" wrapText="1"/>
    </xf>
    <xf numFmtId="0" fontId="25" fillId="8" borderId="8" xfId="0" applyFont="1" applyFill="1" applyBorder="1" applyAlignment="1">
      <alignment vertical="center" wrapText="1"/>
    </xf>
    <xf numFmtId="9" fontId="0" fillId="0" borderId="2" xfId="6" applyFont="1" applyFill="1" applyBorder="1"/>
    <xf numFmtId="0" fontId="1" fillId="2" borderId="1" xfId="0" applyFont="1" applyFill="1" applyBorder="1"/>
    <xf numFmtId="0" fontId="40" fillId="26" borderId="10" xfId="0" applyFont="1" applyFill="1" applyBorder="1" applyAlignment="1">
      <alignment horizontal="center" vertical="center"/>
    </xf>
    <xf numFmtId="0" fontId="24" fillId="35" borderId="8" xfId="0" applyFont="1" applyFill="1" applyBorder="1" applyAlignment="1">
      <alignment horizontal="center" vertical="center" wrapText="1"/>
    </xf>
    <xf numFmtId="0" fontId="18" fillId="13" borderId="1" xfId="10" applyFont="1" applyFill="1" applyBorder="1" applyAlignment="1">
      <alignment horizontal="center" vertical="center" wrapText="1"/>
    </xf>
    <xf numFmtId="0" fontId="43" fillId="0" borderId="0" xfId="1" applyFont="1" applyAlignment="1">
      <alignment horizontal="center" vertical="center" wrapText="1"/>
    </xf>
    <xf numFmtId="0" fontId="25" fillId="37" borderId="29" xfId="0" applyFont="1" applyFill="1" applyBorder="1" applyAlignment="1">
      <alignment vertical="center" wrapText="1"/>
    </xf>
    <xf numFmtId="0" fontId="25" fillId="37" borderId="1" xfId="0" applyFont="1" applyFill="1" applyBorder="1" applyAlignment="1">
      <alignment vertical="center" wrapText="1"/>
    </xf>
    <xf numFmtId="14" fontId="5" fillId="2" borderId="1" xfId="1" applyNumberFormat="1" applyFont="1" applyFill="1" applyBorder="1" applyAlignment="1">
      <alignment horizontal="center" vertical="center" wrapText="1"/>
    </xf>
    <xf numFmtId="0" fontId="1" fillId="0" borderId="0" xfId="0" applyFont="1"/>
    <xf numFmtId="0" fontId="41" fillId="8" borderId="8" xfId="0" applyFont="1" applyFill="1" applyBorder="1" applyAlignment="1">
      <alignment vertical="center" wrapText="1"/>
    </xf>
    <xf numFmtId="14" fontId="11" fillId="0" borderId="1" xfId="1" applyNumberFormat="1" applyFont="1" applyBorder="1" applyAlignment="1">
      <alignment horizontal="center" vertical="center" wrapText="1"/>
    </xf>
    <xf numFmtId="0" fontId="0" fillId="0" borderId="8" xfId="0" applyBorder="1" applyAlignment="1">
      <alignment horizontal="center" vertical="top" wrapText="1"/>
    </xf>
    <xf numFmtId="0" fontId="0" fillId="0" borderId="9" xfId="0" applyBorder="1" applyAlignment="1">
      <alignment horizontal="center" vertical="top" wrapText="1"/>
    </xf>
    <xf numFmtId="0" fontId="0" fillId="0" borderId="7" xfId="0" applyBorder="1" applyAlignment="1">
      <alignment horizontal="center" vertical="top" wrapText="1"/>
    </xf>
    <xf numFmtId="0" fontId="28" fillId="0" borderId="16" xfId="0" applyFont="1" applyBorder="1" applyAlignment="1">
      <alignment horizontal="left" vertical="center" wrapText="1"/>
    </xf>
    <xf numFmtId="0" fontId="28" fillId="0" borderId="16" xfId="0" applyFont="1" applyBorder="1" applyAlignment="1">
      <alignment horizontal="left" wrapText="1"/>
    </xf>
    <xf numFmtId="0" fontId="0" fillId="0" borderId="1"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0" borderId="7" xfId="0" applyBorder="1" applyAlignment="1">
      <alignment horizontal="left" vertical="top" wrapText="1"/>
    </xf>
    <xf numFmtId="9" fontId="27" fillId="0" borderId="13" xfId="6" applyFont="1" applyFill="1" applyBorder="1" applyAlignment="1">
      <alignment horizontal="center"/>
    </xf>
    <xf numFmtId="9" fontId="27" fillId="0" borderId="41" xfId="6" applyFont="1" applyFill="1" applyBorder="1" applyAlignment="1">
      <alignment horizontal="center"/>
    </xf>
    <xf numFmtId="9" fontId="27" fillId="0" borderId="13" xfId="6" applyFont="1" applyBorder="1" applyAlignment="1">
      <alignment horizontal="center"/>
    </xf>
    <xf numFmtId="9" fontId="27" fillId="0" borderId="41" xfId="6" applyFont="1" applyBorder="1" applyAlignment="1">
      <alignment horizontal="center"/>
    </xf>
    <xf numFmtId="166" fontId="27" fillId="0" borderId="51" xfId="6" applyNumberFormat="1" applyFont="1" applyBorder="1" applyAlignment="1">
      <alignment horizontal="center" vertical="center"/>
    </xf>
    <xf numFmtId="166" fontId="27" fillId="0" borderId="52" xfId="6" applyNumberFormat="1" applyFont="1" applyBorder="1" applyAlignment="1">
      <alignment horizontal="center" vertical="center"/>
    </xf>
    <xf numFmtId="9" fontId="42" fillId="0" borderId="51" xfId="6" applyFont="1" applyBorder="1" applyAlignment="1">
      <alignment horizontal="center" vertical="center"/>
    </xf>
    <xf numFmtId="9" fontId="42" fillId="0" borderId="52" xfId="6" applyFont="1" applyBorder="1" applyAlignment="1">
      <alignment horizontal="center" vertical="center"/>
    </xf>
    <xf numFmtId="166" fontId="42" fillId="0" borderId="51" xfId="6" applyNumberFormat="1" applyFont="1" applyBorder="1" applyAlignment="1">
      <alignment horizontal="center" vertical="center"/>
    </xf>
    <xf numFmtId="166" fontId="42" fillId="0" borderId="52" xfId="6" applyNumberFormat="1" applyFont="1" applyBorder="1" applyAlignment="1">
      <alignment horizontal="center" vertical="center"/>
    </xf>
    <xf numFmtId="9" fontId="0" fillId="0" borderId="49" xfId="6" applyFont="1" applyBorder="1" applyAlignment="1">
      <alignment horizontal="center"/>
    </xf>
    <xf numFmtId="9" fontId="0" fillId="0" borderId="16" xfId="6" applyFont="1" applyBorder="1" applyAlignment="1">
      <alignment horizontal="center"/>
    </xf>
    <xf numFmtId="0" fontId="1" fillId="0" borderId="25" xfId="0" applyFont="1" applyBorder="1" applyAlignment="1">
      <alignment horizontal="center" vertical="center"/>
    </xf>
    <xf numFmtId="0" fontId="1" fillId="0" borderId="26" xfId="0" applyFont="1" applyBorder="1" applyAlignment="1">
      <alignment horizontal="center" vertical="center"/>
    </xf>
    <xf numFmtId="0" fontId="0" fillId="0" borderId="8" xfId="0" applyBorder="1" applyAlignment="1">
      <alignment horizontal="center"/>
    </xf>
    <xf numFmtId="0" fontId="0" fillId="0" borderId="9" xfId="0" applyBorder="1" applyAlignment="1">
      <alignment horizontal="center"/>
    </xf>
    <xf numFmtId="0" fontId="0" fillId="0" borderId="43" xfId="0" applyBorder="1" applyAlignment="1">
      <alignment horizontal="center"/>
    </xf>
    <xf numFmtId="0" fontId="0" fillId="0" borderId="46" xfId="0" applyBorder="1" applyAlignment="1">
      <alignment horizontal="center"/>
    </xf>
  </cellXfs>
  <cellStyles count="15">
    <cellStyle name="Énfasis5" xfId="10" builtinId="45"/>
    <cellStyle name="Estilo 1" xfId="7" xr:uid="{00000000-0005-0000-0000-000001000000}"/>
    <cellStyle name="Estilo 2" xfId="8" xr:uid="{00000000-0005-0000-0000-000002000000}"/>
    <cellStyle name="Estilo 3" xfId="9" xr:uid="{00000000-0005-0000-0000-000003000000}"/>
    <cellStyle name="Normal" xfId="0" builtinId="0"/>
    <cellStyle name="Normal 2" xfId="1" xr:uid="{00000000-0005-0000-0000-000005000000}"/>
    <cellStyle name="Normal 2 2" xfId="2" xr:uid="{00000000-0005-0000-0000-000006000000}"/>
    <cellStyle name="Normal 2 3" xfId="11" xr:uid="{00000000-0005-0000-0000-000007000000}"/>
    <cellStyle name="Normal 3" xfId="12" xr:uid="{00000000-0005-0000-0000-000008000000}"/>
    <cellStyle name="Normal 4" xfId="14" xr:uid="{554DF69A-FC41-4A8B-B6AB-BEBFE9282463}"/>
    <cellStyle name="Normal 5" xfId="4" xr:uid="{00000000-0005-0000-0000-000009000000}"/>
    <cellStyle name="Normal 8" xfId="3" xr:uid="{00000000-0005-0000-0000-00000A000000}"/>
    <cellStyle name="Porcentaje" xfId="6" builtinId="5"/>
    <cellStyle name="Porcentaje 2" xfId="13" xr:uid="{00000000-0005-0000-0000-00000C000000}"/>
    <cellStyle name="Porcentual 2" xfId="5" xr:uid="{00000000-0005-0000-0000-00000D000000}"/>
  </cellStyles>
  <dxfs count="697">
    <dxf>
      <fill>
        <patternFill>
          <bgColor theme="7"/>
        </patternFill>
      </fill>
    </dxf>
    <dxf>
      <font>
        <b/>
        <i val="0"/>
        <color theme="0"/>
      </font>
      <fill>
        <patternFill>
          <bgColor rgb="FFFF0000"/>
        </patternFill>
      </fill>
    </dxf>
    <dxf>
      <fill>
        <patternFill>
          <bgColor rgb="FF92D050"/>
        </patternFill>
      </fill>
    </dxf>
    <dxf>
      <fill>
        <patternFill>
          <bgColor rgb="FFFF0000"/>
        </patternFill>
      </fill>
    </dxf>
    <dxf>
      <fill>
        <patternFill>
          <bgColor theme="3" tint="0.59996337778862885"/>
        </patternFill>
      </fill>
    </dxf>
    <dxf>
      <fill>
        <patternFill>
          <bgColor theme="9" tint="0.39994506668294322"/>
        </patternFill>
      </fill>
    </dxf>
    <dxf>
      <fill>
        <patternFill>
          <bgColor rgb="FF92D050"/>
        </patternFill>
      </fill>
    </dxf>
    <dxf>
      <fill>
        <patternFill>
          <bgColor rgb="FFFF0000"/>
        </patternFill>
      </fill>
    </dxf>
    <dxf>
      <fill>
        <patternFill>
          <bgColor theme="3" tint="0.59996337778862885"/>
        </patternFill>
      </fill>
    </dxf>
    <dxf>
      <font>
        <b/>
        <i val="0"/>
        <color theme="0"/>
      </font>
      <fill>
        <patternFill>
          <bgColor rgb="FFC00000"/>
        </patternFill>
      </fill>
    </dxf>
    <dxf>
      <fill>
        <patternFill>
          <bgColor rgb="FF92D050"/>
        </patternFill>
      </fill>
    </dxf>
    <dxf>
      <fill>
        <patternFill>
          <bgColor rgb="FFFFFF00"/>
        </patternFill>
      </fill>
    </dxf>
    <dxf>
      <fill>
        <patternFill>
          <bgColor rgb="FFFF0000"/>
        </patternFill>
      </fill>
    </dxf>
    <dxf>
      <fill>
        <patternFill>
          <bgColor rgb="FFFF0000"/>
        </patternFill>
      </fill>
    </dxf>
    <dxf>
      <fill>
        <patternFill>
          <bgColor rgb="FF92D050"/>
        </patternFill>
      </fill>
    </dxf>
    <dxf>
      <fill>
        <patternFill>
          <bgColor theme="3" tint="0.59996337778862885"/>
        </patternFill>
      </fill>
    </dxf>
    <dxf>
      <font>
        <b/>
        <i val="0"/>
      </font>
      <fill>
        <patternFill>
          <bgColor rgb="FF92D050"/>
        </patternFill>
      </fill>
    </dxf>
    <dxf>
      <font>
        <b/>
        <i val="0"/>
        <color theme="0"/>
      </font>
      <fill>
        <patternFill>
          <bgColor rgb="FFFF0000"/>
        </patternFill>
      </fill>
    </dxf>
    <dxf>
      <font>
        <b/>
        <i val="0"/>
        <color theme="1"/>
      </font>
      <fill>
        <patternFill>
          <bgColor rgb="FFFFC000"/>
        </patternFill>
      </fill>
    </dxf>
    <dxf>
      <font>
        <color rgb="FF9C0006"/>
      </font>
      <fill>
        <patternFill>
          <bgColor rgb="FFFFC7CE"/>
        </patternFill>
      </fill>
    </dxf>
    <dxf>
      <font>
        <color rgb="FF006100"/>
      </font>
      <fill>
        <patternFill>
          <bgColor rgb="FFC6EFCE"/>
        </patternFill>
      </fill>
    </dxf>
    <dxf>
      <font>
        <color rgb="FF9C6500"/>
      </font>
      <fill>
        <patternFill>
          <bgColor rgb="FFFFEB9C"/>
        </patternFill>
      </fill>
    </dxf>
    <dxf>
      <font>
        <color rgb="FF9C0006"/>
      </font>
      <fill>
        <patternFill>
          <bgColor rgb="FFFFC7CE"/>
        </patternFill>
      </fill>
    </dxf>
    <dxf>
      <fill>
        <patternFill>
          <bgColor theme="3" tint="0.59996337778862885"/>
        </patternFill>
      </fill>
    </dxf>
    <dxf>
      <fill>
        <patternFill>
          <bgColor rgb="FF92D050"/>
        </patternFill>
      </fill>
    </dxf>
    <dxf>
      <fill>
        <patternFill>
          <bgColor theme="5" tint="0.39994506668294322"/>
        </patternFill>
      </fill>
    </dxf>
    <dxf>
      <fill>
        <patternFill>
          <bgColor theme="7" tint="0.59996337778862885"/>
        </patternFill>
      </fill>
    </dxf>
    <dxf>
      <fill>
        <patternFill>
          <bgColor theme="7" tint="0.59996337778862885"/>
        </patternFill>
      </fill>
    </dxf>
    <dxf>
      <fill>
        <patternFill>
          <bgColor theme="8" tint="-0.24994659260841701"/>
        </patternFill>
      </fill>
    </dxf>
    <dxf>
      <fill>
        <patternFill>
          <bgColor theme="2" tint="-0.24994659260841701"/>
        </patternFill>
      </fill>
    </dxf>
    <dxf>
      <fill>
        <patternFill>
          <bgColor theme="6" tint="0.79998168889431442"/>
        </patternFill>
      </fill>
    </dxf>
    <dxf>
      <fill>
        <patternFill>
          <bgColor theme="6" tint="-0.499984740745262"/>
        </patternFill>
      </fill>
    </dxf>
    <dxf>
      <fill>
        <patternFill>
          <bgColor theme="9" tint="-0.24994659260841701"/>
        </patternFill>
      </fill>
    </dxf>
    <dxf>
      <fill>
        <patternFill>
          <bgColor theme="3" tint="0.59996337778862885"/>
        </patternFill>
      </fill>
    </dxf>
    <dxf>
      <fill>
        <patternFill>
          <bgColor rgb="FFFFC000"/>
        </patternFill>
      </fill>
    </dxf>
    <dxf>
      <font>
        <b/>
        <i val="0"/>
        <color theme="0"/>
      </font>
      <fill>
        <patternFill>
          <bgColor rgb="FFC00000"/>
        </patternFill>
      </fill>
    </dxf>
    <dxf>
      <fill>
        <patternFill>
          <bgColor rgb="FFFF0000"/>
        </patternFill>
      </fill>
    </dxf>
    <dxf>
      <font>
        <b/>
        <i val="0"/>
        <color theme="0"/>
      </font>
      <fill>
        <patternFill>
          <bgColor rgb="FFC00000"/>
        </patternFill>
      </fill>
    </dxf>
    <dxf>
      <fill>
        <patternFill>
          <bgColor rgb="FF92D050"/>
        </patternFill>
      </fill>
    </dxf>
    <dxf>
      <font>
        <b/>
        <i val="0"/>
        <color theme="0"/>
      </font>
      <fill>
        <patternFill>
          <bgColor theme="1"/>
        </patternFill>
      </fill>
    </dxf>
    <dxf>
      <fill>
        <patternFill>
          <bgColor rgb="FF92D050"/>
        </patternFill>
      </fill>
    </dxf>
    <dxf>
      <fill>
        <patternFill>
          <bgColor theme="5" tint="0.59996337778862885"/>
        </patternFill>
      </fill>
    </dxf>
    <dxf>
      <fill>
        <patternFill>
          <bgColor theme="9" tint="0.59996337778862885"/>
        </patternFill>
      </fill>
    </dxf>
    <dxf>
      <fill>
        <patternFill>
          <bgColor theme="3" tint="0.59996337778862885"/>
        </patternFill>
      </fill>
    </dxf>
    <dxf>
      <fill>
        <patternFill>
          <bgColor rgb="FF92D050"/>
        </patternFill>
      </fill>
    </dxf>
    <dxf>
      <fill>
        <patternFill>
          <bgColor theme="9" tint="0.39994506668294322"/>
        </patternFill>
      </fill>
    </dxf>
    <dxf>
      <fill>
        <patternFill>
          <bgColor rgb="FFFFFF00"/>
        </patternFill>
      </fill>
    </dxf>
    <dxf>
      <font>
        <b/>
        <i val="0"/>
        <color theme="0"/>
      </font>
      <fill>
        <patternFill>
          <bgColor rgb="FFC00000"/>
        </patternFill>
      </fill>
    </dxf>
    <dxf>
      <fill>
        <patternFill>
          <bgColor rgb="FFFF0000"/>
        </patternFill>
      </fill>
    </dxf>
    <dxf>
      <font>
        <b/>
        <i val="0"/>
        <color theme="0"/>
      </font>
      <fill>
        <patternFill>
          <bgColor rgb="FFC00000"/>
        </patternFill>
      </fill>
    </dxf>
    <dxf>
      <font>
        <b/>
        <i val="0"/>
        <color theme="0"/>
      </font>
      <fill>
        <patternFill>
          <bgColor rgb="FFC00000"/>
        </patternFill>
      </fill>
    </dxf>
    <dxf>
      <fill>
        <patternFill>
          <bgColor rgb="FF92D050"/>
        </patternFill>
      </fill>
    </dxf>
    <dxf>
      <font>
        <b/>
        <i val="0"/>
        <color theme="0"/>
      </font>
      <fill>
        <patternFill>
          <bgColor rgb="FFC00000"/>
        </patternFill>
      </fill>
    </dxf>
    <dxf>
      <font>
        <b/>
        <i val="0"/>
        <color theme="0"/>
      </font>
      <fill>
        <patternFill>
          <bgColor rgb="FFC00000"/>
        </patternFill>
      </fill>
    </dxf>
    <dxf>
      <fill>
        <patternFill>
          <bgColor rgb="FFFFFF00"/>
        </patternFill>
      </fill>
    </dxf>
    <dxf>
      <font>
        <color theme="0"/>
      </font>
      <fill>
        <patternFill>
          <bgColor rgb="FFFF0000"/>
        </patternFill>
      </fill>
    </dxf>
    <dxf>
      <fill>
        <patternFill>
          <bgColor theme="6" tint="0.39994506668294322"/>
        </patternFill>
      </fill>
    </dxf>
    <dxf>
      <fill>
        <patternFill>
          <bgColor rgb="FFFFC000"/>
        </patternFill>
      </fill>
    </dxf>
    <dxf>
      <fill>
        <patternFill>
          <bgColor theme="7" tint="0.39994506668294322"/>
        </patternFill>
      </fill>
    </dxf>
    <dxf>
      <fill>
        <patternFill>
          <bgColor rgb="FFFFFF00"/>
        </patternFill>
      </fill>
    </dxf>
    <dxf>
      <fill>
        <patternFill>
          <bgColor rgb="FFFF0000"/>
        </patternFill>
      </fill>
    </dxf>
    <dxf>
      <fill>
        <patternFill>
          <bgColor theme="8" tint="0.39994506668294322"/>
        </patternFill>
      </fill>
    </dxf>
    <dxf>
      <font>
        <b/>
        <i val="0"/>
        <color theme="0"/>
      </font>
      <fill>
        <patternFill>
          <bgColor rgb="FFC00000"/>
        </patternFill>
      </fill>
    </dxf>
    <dxf>
      <fill>
        <patternFill>
          <bgColor rgb="FFFFFF00"/>
        </patternFill>
      </fill>
    </dxf>
    <dxf>
      <fill>
        <patternFill>
          <bgColor rgb="FFFFC000"/>
        </patternFill>
      </fill>
    </dxf>
    <dxf>
      <fill>
        <patternFill>
          <bgColor rgb="FF92D050"/>
        </patternFill>
      </fill>
    </dxf>
    <dxf>
      <fill>
        <patternFill>
          <bgColor rgb="FFFFC000"/>
        </patternFill>
      </fill>
    </dxf>
    <dxf>
      <fill>
        <patternFill>
          <bgColor rgb="FFFFFF00"/>
        </patternFill>
      </fill>
    </dxf>
    <dxf>
      <fill>
        <patternFill>
          <bgColor rgb="FFFF0000"/>
        </patternFill>
      </fill>
    </dxf>
    <dxf>
      <fill>
        <patternFill>
          <bgColor rgb="FF92D050"/>
        </patternFill>
      </fill>
    </dxf>
    <dxf>
      <font>
        <b/>
        <i val="0"/>
        <color theme="1"/>
      </font>
      <fill>
        <patternFill>
          <bgColor rgb="FF00B050"/>
        </patternFill>
      </fill>
    </dxf>
    <dxf>
      <font>
        <b/>
        <i val="0"/>
        <color theme="0"/>
      </font>
      <fill>
        <patternFill>
          <bgColor rgb="FFC00000"/>
        </patternFill>
      </fill>
    </dxf>
    <dxf>
      <font>
        <b/>
        <i val="0"/>
        <color theme="0"/>
      </font>
      <fill>
        <patternFill>
          <bgColor theme="3" tint="-0.499984740745262"/>
        </patternFill>
      </fill>
    </dxf>
    <dxf>
      <fill>
        <patternFill>
          <bgColor theme="2" tint="-0.499984740745262"/>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ill>
        <patternFill>
          <bgColor rgb="FFFFFF00"/>
        </patternFill>
      </fill>
    </dxf>
    <dxf>
      <font>
        <color rgb="FF9C6500"/>
      </font>
      <fill>
        <patternFill>
          <bgColor rgb="FFFFEB9C"/>
        </patternFill>
      </fill>
    </dxf>
    <dxf>
      <font>
        <b/>
        <i val="0"/>
        <color auto="1"/>
      </font>
      <fill>
        <patternFill>
          <bgColor rgb="FFFF0000"/>
        </patternFill>
      </fill>
    </dxf>
    <dxf>
      <font>
        <b/>
        <i val="0"/>
        <color theme="0"/>
      </font>
      <fill>
        <patternFill>
          <bgColor rgb="FF00B050"/>
        </patternFill>
      </fill>
    </dxf>
    <dxf>
      <font>
        <color rgb="FF9C0006"/>
      </font>
      <fill>
        <patternFill>
          <bgColor rgb="FFFFC7CE"/>
        </patternFill>
      </fill>
    </dxf>
    <dxf>
      <fill>
        <patternFill>
          <bgColor rgb="FF92D050"/>
        </patternFill>
      </fill>
    </dxf>
    <dxf>
      <fill>
        <patternFill>
          <bgColor rgb="FFFFFF00"/>
        </patternFill>
      </fill>
    </dxf>
    <dxf>
      <fill>
        <patternFill>
          <bgColor theme="7" tint="0.39994506668294322"/>
        </patternFill>
      </fill>
    </dxf>
    <dxf>
      <font>
        <b/>
        <i val="0"/>
        <color theme="0"/>
      </font>
      <fill>
        <patternFill>
          <bgColor rgb="FFC00000"/>
        </patternFill>
      </fill>
    </dxf>
    <dxf>
      <font>
        <b/>
        <i val="0"/>
      </font>
      <fill>
        <patternFill>
          <bgColor rgb="FF92D050"/>
        </patternFill>
      </fill>
    </dxf>
    <dxf>
      <font>
        <b/>
        <i val="0"/>
        <color theme="0"/>
      </font>
      <fill>
        <patternFill>
          <bgColor rgb="FFFF0000"/>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b val="0"/>
        <i val="0"/>
        <color rgb="FFC00000"/>
      </font>
      <fill>
        <patternFill patternType="solid">
          <fgColor auto="1"/>
          <bgColor rgb="FFFFCCCC"/>
        </patternFill>
      </fill>
    </dxf>
    <dxf>
      <font>
        <color rgb="FF006100"/>
      </font>
      <fill>
        <patternFill>
          <bgColor rgb="FFC6EFCE"/>
        </patternFill>
      </fill>
    </dxf>
    <dxf>
      <font>
        <b/>
        <i val="0"/>
        <color theme="0"/>
      </font>
      <fill>
        <patternFill>
          <bgColor rgb="FFC00000"/>
        </patternFill>
      </fill>
    </dxf>
    <dxf>
      <font>
        <color rgb="FF006100"/>
      </font>
      <fill>
        <patternFill>
          <bgColor rgb="FFC6EFCE"/>
        </patternFill>
      </fill>
    </dxf>
    <dxf>
      <font>
        <b/>
        <i val="0"/>
        <color auto="1"/>
      </font>
      <fill>
        <patternFill patternType="solid">
          <fgColor auto="1"/>
          <bgColor rgb="FFFB4D3B"/>
        </patternFill>
      </fill>
    </dxf>
    <dxf>
      <font>
        <color rgb="FF006100"/>
      </font>
      <fill>
        <patternFill>
          <bgColor rgb="FFC6EFCE"/>
        </patternFill>
      </fill>
    </dxf>
    <dxf>
      <font>
        <color rgb="FFC00000"/>
      </font>
      <fill>
        <patternFill>
          <bgColor rgb="FFFFCCCC"/>
        </patternFill>
      </fill>
    </dxf>
    <dxf>
      <font>
        <color rgb="FF006100"/>
      </font>
      <fill>
        <patternFill>
          <bgColor rgb="FFC6EFCE"/>
        </patternFill>
      </fill>
    </dxf>
    <dxf>
      <fill>
        <patternFill>
          <bgColor rgb="FFFFC000"/>
        </patternFill>
      </fill>
    </dxf>
    <dxf>
      <fill>
        <patternFill>
          <bgColor rgb="FF00B050"/>
        </patternFill>
      </fill>
    </dxf>
    <dxf>
      <font>
        <color rgb="FFC00000"/>
      </font>
      <fill>
        <patternFill>
          <bgColor theme="5" tint="0.39994506668294322"/>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rgb="FF9C0006"/>
      </font>
      <fill>
        <patternFill>
          <bgColor rgb="FFFFC7CE"/>
        </patternFill>
      </fill>
    </dxf>
    <dxf>
      <font>
        <color rgb="FF006100"/>
      </font>
      <fill>
        <patternFill>
          <bgColor rgb="FFC6EFCE"/>
        </patternFill>
      </fill>
    </dxf>
    <dxf>
      <fill>
        <patternFill>
          <bgColor rgb="FF92D050"/>
        </patternFill>
      </fill>
    </dxf>
    <dxf>
      <font>
        <color rgb="FF9C5700"/>
      </font>
      <fill>
        <patternFill>
          <bgColor rgb="FFFFEB9C"/>
        </patternFill>
      </fill>
    </dxf>
    <dxf>
      <font>
        <color rgb="FF9C5700"/>
      </font>
      <fill>
        <patternFill>
          <bgColor rgb="FFFFEB9C"/>
        </patternFill>
      </fill>
    </dxf>
    <dxf>
      <fill>
        <patternFill>
          <bgColor rgb="FF92D050"/>
        </patternFill>
      </fill>
    </dxf>
    <dxf>
      <fill>
        <patternFill>
          <bgColor rgb="FFFFFF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0000"/>
        </patternFill>
      </fill>
    </dxf>
    <dxf>
      <fill>
        <patternFill>
          <bgColor rgb="FFFFFF00"/>
        </patternFill>
      </fill>
    </dxf>
    <dxf>
      <fill>
        <patternFill>
          <bgColor rgb="FFFF0000"/>
        </patternFill>
      </fill>
    </dxf>
    <dxf>
      <fill>
        <patternFill>
          <bgColor rgb="FF92D050"/>
        </patternFill>
      </fill>
    </dxf>
    <dxf>
      <fill>
        <patternFill>
          <bgColor rgb="FFFFFF00"/>
        </patternFill>
      </fill>
    </dxf>
    <dxf>
      <fill>
        <patternFill>
          <bgColor rgb="FF92D05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ont>
        <b/>
        <i val="0"/>
        <color theme="0"/>
      </font>
      <fill>
        <patternFill>
          <bgColor rgb="FFFF0000"/>
        </patternFill>
      </fill>
    </dxf>
    <dxf>
      <fill>
        <patternFill>
          <bgColor rgb="FF92D050"/>
        </patternFill>
      </fill>
    </dxf>
    <dxf>
      <font>
        <b val="0"/>
        <i/>
      </font>
      <fill>
        <patternFill>
          <bgColor theme="6" tint="0.39994506668294322"/>
        </patternFill>
      </fill>
    </dxf>
    <dxf>
      <fill>
        <patternFill>
          <bgColor rgb="FF92D050"/>
        </patternFill>
      </fill>
    </dxf>
    <dxf>
      <font>
        <b/>
        <i val="0"/>
        <color theme="0"/>
      </font>
      <fill>
        <patternFill>
          <bgColor rgb="FFA50021"/>
        </patternFill>
      </fill>
    </dxf>
    <dxf>
      <fill>
        <patternFill>
          <bgColor rgb="FFFFFF00"/>
        </patternFill>
      </fill>
    </dxf>
    <dxf>
      <fill>
        <patternFill>
          <bgColor theme="7"/>
        </patternFill>
      </fill>
    </dxf>
    <dxf>
      <font>
        <b/>
        <i val="0"/>
        <color theme="0"/>
      </font>
      <fill>
        <patternFill>
          <bgColor rgb="FFFF0066"/>
        </patternFill>
      </fill>
    </dxf>
    <dxf>
      <fill>
        <patternFill>
          <bgColor theme="6" tint="0.79998168889431442"/>
        </patternFill>
      </fill>
    </dxf>
    <dxf>
      <fill>
        <patternFill>
          <bgColor rgb="FF92D050"/>
        </patternFill>
      </fill>
    </dxf>
    <dxf>
      <fill>
        <patternFill>
          <bgColor rgb="FFFF0000"/>
        </patternFill>
      </fill>
    </dxf>
    <dxf>
      <fill>
        <patternFill>
          <bgColor rgb="FFFFFF00"/>
        </patternFill>
      </fill>
    </dxf>
    <dxf>
      <fill>
        <patternFill>
          <bgColor theme="9" tint="-0.24994659260841701"/>
        </patternFill>
      </fill>
    </dxf>
    <dxf>
      <fill>
        <patternFill>
          <bgColor theme="6" tint="0.39994506668294322"/>
        </patternFill>
      </fill>
    </dxf>
    <dxf>
      <font>
        <b/>
        <i val="0"/>
        <color theme="0"/>
      </font>
      <fill>
        <patternFill>
          <bgColor rgb="FFC00000"/>
        </patternFill>
      </fill>
    </dxf>
    <dxf>
      <font>
        <b/>
        <i val="0"/>
        <color theme="0"/>
      </font>
      <fill>
        <patternFill>
          <bgColor rgb="FFA50021"/>
        </patternFill>
      </fill>
    </dxf>
    <dxf>
      <fill>
        <patternFill>
          <bgColor rgb="FFFFFF00"/>
        </patternFill>
      </fill>
    </dxf>
    <dxf>
      <font>
        <b val="0"/>
        <i/>
      </font>
      <fill>
        <patternFill>
          <bgColor theme="6" tint="0.39994506668294322"/>
        </patternFill>
      </fill>
    </dxf>
    <dxf>
      <fill>
        <patternFill>
          <bgColor rgb="FF92D050"/>
        </patternFill>
      </fill>
    </dxf>
    <dxf>
      <fill>
        <patternFill>
          <bgColor theme="7"/>
        </patternFill>
      </fill>
    </dxf>
    <dxf>
      <font>
        <b/>
        <i val="0"/>
        <color theme="0"/>
      </font>
      <fill>
        <patternFill>
          <bgColor rgb="FFFF0066"/>
        </patternFill>
      </fill>
    </dxf>
    <dxf>
      <fill>
        <patternFill>
          <bgColor theme="9" tint="0.39994506668294322"/>
        </patternFill>
      </fill>
    </dxf>
    <dxf>
      <fill>
        <patternFill>
          <bgColor rgb="FF92D050"/>
        </patternFill>
      </fill>
    </dxf>
    <dxf>
      <fill>
        <patternFill>
          <bgColor rgb="FFFF0000"/>
        </patternFill>
      </fill>
    </dxf>
    <dxf>
      <fill>
        <patternFill>
          <bgColor rgb="FFFFFF00"/>
        </patternFill>
      </fill>
    </dxf>
    <dxf>
      <font>
        <b/>
        <i val="0"/>
        <color rgb="FFFF0000"/>
      </font>
      <fill>
        <patternFill>
          <bgColor theme="7" tint="0.39994506668294322"/>
        </patternFill>
      </fill>
    </dxf>
    <dxf>
      <font>
        <b/>
        <i val="0"/>
        <color theme="0"/>
      </font>
      <fill>
        <patternFill>
          <bgColor rgb="FFA50021"/>
        </patternFill>
      </fill>
    </dxf>
    <dxf>
      <font>
        <b/>
        <i val="0"/>
        <color theme="0"/>
      </font>
      <fill>
        <patternFill>
          <bgColor rgb="FFFF0000"/>
        </patternFill>
      </fill>
    </dxf>
    <dxf>
      <fill>
        <patternFill>
          <bgColor rgb="FF92D050"/>
        </patternFill>
      </fill>
    </dxf>
    <dxf>
      <font>
        <b/>
        <i val="0"/>
        <color theme="1"/>
      </font>
      <fill>
        <patternFill>
          <bgColor rgb="FFFFFF00"/>
        </patternFill>
      </fill>
    </dxf>
    <dxf>
      <font>
        <b/>
        <i val="0"/>
        <color rgb="FFFF0000"/>
      </font>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FF00"/>
        </patternFill>
      </fill>
    </dxf>
    <dxf>
      <font>
        <color rgb="FF9C0006"/>
      </font>
      <fill>
        <patternFill>
          <bgColor rgb="FFFFC7CE"/>
        </patternFill>
      </fill>
    </dxf>
    <dxf>
      <font>
        <b/>
        <i val="0"/>
        <color theme="0"/>
      </font>
      <fill>
        <patternFill>
          <bgColor rgb="FFFF0000"/>
        </patternFill>
      </fill>
    </dxf>
    <dxf>
      <font>
        <b/>
        <i val="0"/>
        <color theme="0"/>
      </font>
      <fill>
        <patternFill>
          <bgColor rgb="FFC00000"/>
        </patternFill>
      </fill>
    </dxf>
    <dxf>
      <font>
        <b/>
        <i val="0"/>
        <color theme="0"/>
      </font>
      <fill>
        <patternFill>
          <bgColor theme="3" tint="-0.24994659260841701"/>
        </patternFill>
      </fill>
    </dxf>
    <dxf>
      <fill>
        <patternFill>
          <bgColor rgb="FFFFFF00"/>
        </patternFill>
      </fill>
    </dxf>
    <dxf>
      <fill>
        <patternFill>
          <bgColor theme="9" tint="-0.24994659260841701"/>
        </patternFill>
      </fill>
    </dxf>
    <dxf>
      <fill>
        <patternFill>
          <bgColor rgb="FF92D050"/>
        </patternFill>
      </fill>
    </dxf>
    <dxf>
      <font>
        <b/>
        <i val="0"/>
        <color theme="0"/>
      </font>
      <fill>
        <patternFill>
          <bgColor rgb="FF7030A0"/>
        </patternFill>
      </fill>
    </dxf>
    <dxf>
      <font>
        <color theme="0"/>
      </font>
      <fill>
        <patternFill>
          <bgColor theme="7" tint="0.39994506668294322"/>
        </patternFill>
      </fill>
    </dxf>
    <dxf>
      <font>
        <b/>
        <i val="0"/>
        <color theme="0"/>
      </font>
      <fill>
        <patternFill>
          <bgColor theme="5" tint="-0.24994659260841701"/>
        </patternFill>
      </fill>
    </dxf>
    <dxf>
      <fill>
        <patternFill>
          <bgColor rgb="FFFFFF00"/>
        </patternFill>
      </fill>
    </dxf>
    <dxf>
      <fill>
        <patternFill>
          <bgColor rgb="FF92D050"/>
        </patternFill>
      </fill>
    </dxf>
    <dxf>
      <font>
        <b/>
        <i val="0"/>
        <color theme="0"/>
      </font>
      <fill>
        <patternFill>
          <bgColor rgb="FFFF0000"/>
        </patternFill>
      </fill>
    </dxf>
    <dxf>
      <fill>
        <patternFill>
          <bgColor theme="7"/>
        </patternFill>
      </fill>
    </dxf>
    <dxf>
      <fill>
        <patternFill>
          <bgColor rgb="FFFFC000"/>
        </patternFill>
      </fill>
    </dxf>
    <dxf>
      <fill>
        <patternFill>
          <bgColor rgb="FFC00000"/>
        </patternFill>
      </fill>
    </dxf>
    <dxf>
      <font>
        <color rgb="FF006100"/>
      </font>
      <fill>
        <patternFill>
          <bgColor rgb="FFC6EFCE"/>
        </patternFill>
      </fill>
    </dxf>
    <dxf>
      <fill>
        <patternFill>
          <bgColor rgb="FFFFAD53"/>
        </patternFill>
      </fill>
    </dxf>
    <dxf>
      <fill>
        <patternFill>
          <bgColor rgb="FFFF0000"/>
        </patternFill>
      </fill>
    </dxf>
    <dxf>
      <fill>
        <patternFill>
          <bgColor rgb="FF92D050"/>
        </patternFill>
      </fill>
    </dxf>
    <dxf>
      <font>
        <color rgb="FF9C0006"/>
      </font>
      <fill>
        <patternFill>
          <bgColor rgb="FFFFC7CE"/>
        </patternFill>
      </fill>
    </dxf>
    <dxf>
      <font>
        <color rgb="FF9C5700"/>
      </font>
      <fill>
        <patternFill>
          <bgColor rgb="FFFFEB9C"/>
        </patternFill>
      </fill>
    </dxf>
    <dxf>
      <font>
        <color rgb="FF006100"/>
      </font>
      <fill>
        <patternFill>
          <bgColor rgb="FFC6EFCE"/>
        </patternFill>
      </fill>
    </dxf>
    <dxf>
      <font>
        <color theme="0"/>
      </font>
      <fill>
        <patternFill>
          <bgColor rgb="FFC00000"/>
        </patternFill>
      </fill>
    </dxf>
    <dxf>
      <fill>
        <patternFill>
          <bgColor rgb="FFFFFF00"/>
        </patternFill>
      </fill>
    </dxf>
    <dxf>
      <fill>
        <patternFill>
          <bgColor rgb="FF92D050"/>
        </patternFill>
      </fill>
    </dxf>
    <dxf>
      <font>
        <color theme="0"/>
      </font>
      <fill>
        <patternFill>
          <bgColor rgb="FFC00000"/>
        </patternFill>
      </fill>
    </dxf>
    <dxf>
      <fill>
        <patternFill>
          <bgColor rgb="FF92D050"/>
        </patternFill>
      </fill>
    </dxf>
    <dxf>
      <fill>
        <patternFill>
          <bgColor rgb="FFFFFF00"/>
        </patternFill>
      </fill>
    </dxf>
    <dxf>
      <fill>
        <patternFill>
          <bgColor theme="8" tint="0.39994506668294322"/>
        </patternFill>
      </fill>
    </dxf>
    <dxf>
      <font>
        <color theme="0"/>
      </font>
      <fill>
        <patternFill>
          <bgColor rgb="FFC00000"/>
        </patternFill>
      </fill>
    </dxf>
    <dxf>
      <fill>
        <patternFill>
          <bgColor rgb="FF92D050"/>
        </patternFill>
      </fill>
    </dxf>
    <dxf>
      <fill>
        <patternFill>
          <bgColor theme="8" tint="0.59996337778862885"/>
        </patternFill>
      </fill>
    </dxf>
    <dxf>
      <fill>
        <patternFill>
          <bgColor rgb="FFFFC000"/>
        </patternFill>
      </fill>
    </dxf>
    <dxf>
      <font>
        <color theme="0"/>
      </font>
      <fill>
        <patternFill>
          <bgColor theme="7" tint="-0.24994659260841701"/>
        </patternFill>
      </fill>
    </dxf>
    <dxf>
      <fill>
        <patternFill>
          <bgColor theme="7" tint="0.39994506668294322"/>
        </patternFill>
      </fill>
    </dxf>
    <dxf>
      <fill>
        <patternFill>
          <bgColor rgb="FFFFFF00"/>
        </patternFill>
      </fill>
    </dxf>
    <dxf>
      <font>
        <color theme="0"/>
      </font>
      <fill>
        <patternFill>
          <bgColor rgb="FFC00000"/>
        </patternFill>
      </fill>
    </dxf>
    <dxf>
      <fill>
        <patternFill>
          <bgColor rgb="FF92D050"/>
        </patternFill>
      </fill>
    </dxf>
    <dxf>
      <fill>
        <patternFill>
          <bgColor rgb="FFFF0000"/>
        </patternFill>
      </fill>
    </dxf>
    <dxf>
      <font>
        <color theme="0"/>
      </font>
      <fill>
        <patternFill>
          <bgColor theme="7" tint="-0.24994659260841701"/>
        </patternFill>
      </fill>
    </dxf>
    <dxf>
      <fill>
        <patternFill>
          <bgColor rgb="FF92D050"/>
        </patternFill>
      </fill>
    </dxf>
    <dxf>
      <fill>
        <patternFill>
          <bgColor rgb="FFFF0000"/>
        </patternFill>
      </fill>
    </dxf>
    <dxf>
      <font>
        <color theme="0"/>
      </font>
      <fill>
        <patternFill>
          <bgColor rgb="FFC00000"/>
        </patternFill>
      </fill>
    </dxf>
    <dxf>
      <fill>
        <patternFill>
          <bgColor rgb="FFFFFF00"/>
        </patternFill>
      </fill>
    </dxf>
    <dxf>
      <fill>
        <patternFill>
          <bgColor theme="7" tint="0.39994506668294322"/>
        </patternFill>
      </fill>
    </dxf>
    <dxf>
      <fill>
        <patternFill>
          <bgColor rgb="FFFFC000"/>
        </patternFill>
      </fill>
    </dxf>
    <dxf>
      <font>
        <color theme="0"/>
      </font>
      <fill>
        <patternFill>
          <bgColor theme="5" tint="-0.24994659260841701"/>
        </patternFill>
      </fill>
    </dxf>
    <dxf>
      <fill>
        <patternFill>
          <bgColor rgb="FFFF0000"/>
        </patternFill>
      </fill>
    </dxf>
    <dxf>
      <font>
        <color theme="0"/>
      </font>
      <fill>
        <patternFill>
          <bgColor rgb="FFC00000"/>
        </patternFill>
      </fill>
    </dxf>
    <dxf>
      <fill>
        <patternFill>
          <bgColor rgb="FF92D050"/>
        </patternFill>
      </fill>
    </dxf>
    <dxf>
      <fill>
        <patternFill>
          <bgColor rgb="FFFFFF00"/>
        </patternFill>
      </fill>
    </dxf>
    <dxf>
      <font>
        <color rgb="FF006100"/>
      </font>
      <fill>
        <patternFill>
          <bgColor rgb="FFC6EFCE"/>
        </patternFill>
      </fill>
    </dxf>
    <dxf>
      <font>
        <color theme="0"/>
      </font>
      <fill>
        <patternFill>
          <bgColor rgb="FFC00000"/>
        </patternFill>
      </fill>
    </dxf>
    <dxf>
      <font>
        <color theme="0"/>
      </font>
      <fill>
        <patternFill>
          <bgColor rgb="FFC00000"/>
        </patternFill>
      </fill>
    </dxf>
    <dxf>
      <font>
        <color theme="0"/>
      </font>
      <fill>
        <patternFill>
          <bgColor rgb="FFC00000"/>
        </patternFill>
      </fill>
    </dxf>
    <dxf>
      <font>
        <color rgb="FF9C0006"/>
      </font>
      <fill>
        <patternFill>
          <bgColor rgb="FFFFC7CE"/>
        </patternFill>
      </fill>
    </dxf>
    <dxf>
      <fill>
        <patternFill>
          <bgColor rgb="FF92D050"/>
        </patternFill>
      </fill>
    </dxf>
    <dxf>
      <font>
        <color rgb="FF9C6500"/>
      </font>
      <fill>
        <patternFill>
          <bgColor rgb="FFFFEB9C"/>
        </patternFill>
      </fill>
    </dxf>
    <dxf>
      <font>
        <color rgb="FF9C0006"/>
      </font>
      <fill>
        <patternFill>
          <bgColor rgb="FFFFC7CE"/>
        </patternFill>
      </fill>
    </dxf>
    <dxf>
      <font>
        <color theme="0"/>
      </font>
      <fill>
        <patternFill>
          <bgColor theme="5" tint="-0.24994659260841701"/>
        </patternFill>
      </fill>
    </dxf>
    <dxf>
      <fill>
        <patternFill>
          <bgColor rgb="FFFFFF00"/>
        </patternFill>
      </fill>
    </dxf>
    <dxf>
      <fill>
        <patternFill>
          <bgColor rgb="FFFF0000"/>
        </patternFill>
      </fill>
    </dxf>
    <dxf>
      <font>
        <color rgb="FF9C6500"/>
      </font>
      <fill>
        <patternFill>
          <bgColor rgb="FFFFEB9C"/>
        </patternFill>
      </fill>
    </dxf>
    <dxf>
      <fill>
        <patternFill>
          <bgColor rgb="FF92D050"/>
        </patternFill>
      </fill>
    </dxf>
    <dxf>
      <fill>
        <patternFill>
          <bgColor rgb="FFFF0000"/>
        </patternFill>
      </fill>
    </dxf>
    <dxf>
      <font>
        <color theme="0"/>
      </font>
      <fill>
        <patternFill>
          <bgColor rgb="FFFF0000"/>
        </patternFill>
      </fill>
    </dxf>
    <dxf>
      <font>
        <color theme="0"/>
      </font>
      <fill>
        <patternFill>
          <bgColor rgb="FFFF0000"/>
        </patternFill>
      </fill>
    </dxf>
    <dxf>
      <font>
        <color rgb="FF9C6500"/>
      </font>
      <fill>
        <patternFill>
          <bgColor rgb="FFFFEB9C"/>
        </patternFill>
      </fill>
    </dxf>
    <dxf>
      <fill>
        <patternFill>
          <bgColor rgb="FF92D050"/>
        </patternFill>
      </fill>
    </dxf>
    <dxf>
      <font>
        <b/>
        <i val="0"/>
        <color theme="0"/>
      </font>
      <fill>
        <patternFill>
          <bgColor rgb="FFC00000"/>
        </patternFill>
      </fill>
    </dxf>
    <dxf>
      <fill>
        <patternFill>
          <bgColor theme="5" tint="0.39994506668294322"/>
        </patternFill>
      </fill>
    </dxf>
    <dxf>
      <fill>
        <patternFill>
          <bgColor rgb="FFFFC000"/>
        </patternFill>
      </fill>
    </dxf>
    <dxf>
      <fill>
        <patternFill>
          <bgColor rgb="FFFF0000"/>
        </patternFill>
      </fill>
    </dxf>
    <dxf>
      <fill>
        <patternFill>
          <bgColor rgb="FF92D050"/>
        </patternFill>
      </fill>
    </dxf>
    <dxf>
      <font>
        <b/>
        <i val="0"/>
        <color theme="0"/>
      </font>
      <fill>
        <patternFill>
          <bgColor rgb="FFFF0000"/>
        </patternFill>
      </fill>
    </dxf>
    <dxf>
      <font>
        <b/>
        <i val="0"/>
        <color theme="1"/>
      </font>
      <fill>
        <patternFill>
          <bgColor rgb="FF92D050"/>
        </patternFill>
      </fill>
    </dxf>
    <dxf>
      <font>
        <color rgb="FF9C0006"/>
      </font>
      <fill>
        <patternFill>
          <bgColor rgb="FFFFC7CE"/>
        </patternFill>
      </fill>
    </dxf>
    <dxf>
      <font>
        <b/>
        <i val="0"/>
      </font>
      <fill>
        <patternFill>
          <bgColor rgb="FF92D050"/>
        </patternFill>
      </fill>
    </dxf>
    <dxf>
      <font>
        <b/>
        <i val="0"/>
      </font>
      <fill>
        <patternFill>
          <bgColor rgb="FFFF0000"/>
        </patternFill>
      </fill>
    </dxf>
    <dxf>
      <font>
        <color rgb="FF9C0006"/>
      </font>
      <fill>
        <patternFill>
          <bgColor rgb="FFFFC7CE"/>
        </patternFill>
      </fill>
    </dxf>
    <dxf>
      <fill>
        <patternFill>
          <bgColor rgb="FFFF6600"/>
        </patternFill>
      </fill>
    </dxf>
    <dxf>
      <font>
        <color rgb="FF9C6500"/>
      </font>
      <fill>
        <patternFill>
          <bgColor rgb="FFFFEB9C"/>
        </patternFill>
      </fill>
    </dxf>
    <dxf>
      <fill>
        <patternFill>
          <bgColor theme="9"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ont>
        <b/>
        <i val="0"/>
        <color theme="0"/>
      </font>
      <fill>
        <patternFill>
          <bgColor rgb="FFFF0000"/>
        </patternFill>
      </fill>
    </dxf>
    <dxf>
      <fill>
        <patternFill>
          <bgColor rgb="FF92D050"/>
        </patternFill>
      </fill>
    </dxf>
    <dxf>
      <font>
        <color rgb="FF006100"/>
      </font>
      <fill>
        <patternFill>
          <bgColor rgb="FFC6EFCE"/>
        </patternFill>
      </fill>
    </dxf>
    <dxf>
      <font>
        <color rgb="FF9C5700"/>
      </font>
      <fill>
        <patternFill>
          <bgColor rgb="FFFFEB9C"/>
        </patternFill>
      </fill>
    </dxf>
    <dxf>
      <fill>
        <patternFill>
          <bgColor rgb="FFC00000"/>
        </patternFill>
      </fill>
    </dxf>
    <dxf>
      <font>
        <color rgb="FF9C0006"/>
      </font>
      <fill>
        <patternFill>
          <bgColor rgb="FFFFC7CE"/>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ont>
        <color rgb="FF9C0006"/>
      </font>
      <fill>
        <patternFill>
          <bgColor rgb="FFFFC7CE"/>
        </patternFill>
      </fill>
    </dxf>
    <dxf>
      <fill>
        <patternFill>
          <bgColor rgb="FFFFFF00"/>
        </patternFill>
      </fill>
    </dxf>
    <dxf>
      <fill>
        <patternFill>
          <bgColor rgb="FFFFC000"/>
        </patternFill>
      </fill>
    </dxf>
    <dxf>
      <font>
        <color theme="0"/>
      </font>
      <fill>
        <patternFill>
          <bgColor theme="5" tint="-0.24994659260841701"/>
        </patternFill>
      </fill>
    </dxf>
    <dxf>
      <fill>
        <patternFill>
          <bgColor rgb="FF92D050"/>
        </patternFill>
      </fill>
    </dxf>
    <dxf>
      <font>
        <b/>
        <i val="0"/>
        <color theme="0"/>
      </font>
      <fill>
        <patternFill>
          <bgColor rgb="FFFF0000"/>
        </patternFill>
      </fill>
    </dxf>
    <dxf>
      <font>
        <b/>
        <i val="0"/>
        <color theme="0"/>
      </font>
      <fill>
        <patternFill>
          <bgColor theme="9" tint="-0.24994659260841701"/>
        </patternFill>
      </fill>
    </dxf>
    <dxf>
      <fill>
        <patternFill>
          <bgColor theme="8" tint="0.39994506668294322"/>
        </pattern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ill>
        <gradientFill degree="90">
          <stop position="0">
            <color theme="0"/>
          </stop>
          <stop position="1">
            <color rgb="FF0099CC"/>
          </stop>
        </gradientFill>
      </fill>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dxf>
    <dxf>
      <font>
        <b val="0"/>
        <i val="0"/>
        <strike val="0"/>
        <condense val="0"/>
        <extend val="0"/>
        <outline val="0"/>
        <shadow val="0"/>
        <u val="none"/>
        <vertAlign val="baseline"/>
        <sz val="10"/>
        <color theme="1"/>
        <name val="Calibri"/>
        <scheme val="minor"/>
      </font>
      <numFmt numFmtId="0" formatCode="General"/>
      <fill>
        <patternFill patternType="solid">
          <fgColor indexed="64"/>
          <bgColor rgb="FF2BE7E7"/>
        </patternFill>
      </fill>
      <alignment horizontal="center" vertical="center" textRotation="0" wrapText="1" indent="0" justifyLastLine="0" shrinkToFit="0" readingOrder="0"/>
    </dxf>
    <dxf>
      <border diagonalUp="0" diagonalDown="0">
        <left/>
        <right style="medium">
          <color indexed="64"/>
        </right>
        <top/>
        <bottom/>
        <vertical/>
        <horizontal/>
      </border>
    </dxf>
    <dxf>
      <numFmt numFmtId="0" formatCode="General"/>
    </dxf>
    <dxf>
      <numFmt numFmtId="0" formatCode="General"/>
    </dxf>
    <dxf>
      <numFmt numFmtId="0" formatCode="General"/>
    </dxf>
    <dxf>
      <numFmt numFmtId="0" formatCode="General"/>
    </dxf>
    <dxf>
      <numFmt numFmtId="0" formatCode="General"/>
    </dxf>
    <dxf>
      <numFmt numFmtId="0" formatCode="General"/>
    </dxf>
    <dxf>
      <border diagonalUp="0" diagonalDown="0">
        <left style="medium">
          <color indexed="64"/>
        </left>
        <right/>
        <top/>
        <bottom/>
        <vertical/>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i val="0"/>
        <strike val="0"/>
        <condense val="0"/>
        <extend val="0"/>
        <outline val="0"/>
        <shadow val="0"/>
        <u val="none"/>
        <vertAlign val="baseline"/>
        <sz val="10"/>
        <color theme="1"/>
        <name val="Arial"/>
        <scheme val="none"/>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protection locked="0" hidden="0"/>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168" formatCode="dd/mm/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protection locked="1" hidden="0"/>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8" formatCode="dd/mm/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9" formatCode="d/mm/yyyy"/>
      <fill>
        <patternFill patternType="none">
          <fgColor indexed="64"/>
          <bgColor indexed="65"/>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 formatCode="0"/>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 formatCode="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0" formatCode="General"/>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protection locked="0" hidden="0"/>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2" formatCode="0.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indexed="65"/>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4" formatCode="0.0"/>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numFmt numFmtId="167" formatCode="dd/mm/yyyy"/>
      <fill>
        <patternFill patternType="none">
          <fgColor indexed="64"/>
          <bgColor auto="1"/>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textRotation="0"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b val="0"/>
        <i val="0"/>
        <strike val="0"/>
        <condense val="0"/>
        <extend val="0"/>
        <outline val="0"/>
        <shadow val="0"/>
        <u val="none"/>
        <vertAlign val="baseline"/>
        <sz val="10"/>
        <color theme="1"/>
        <name val="Calibri"/>
        <scheme val="minor"/>
      </font>
      <fill>
        <patternFill patternType="none">
          <fgColor indexed="64"/>
          <bgColor auto="1"/>
        </patternFill>
      </fill>
      <alignment horizontal="center" vertical="center" textRotation="0" wrapText="1" indent="0" justifyLastLine="0" shrinkToFit="0" readingOrder="0"/>
    </dxf>
    <dxf>
      <font>
        <strike val="0"/>
        <outline val="0"/>
        <shadow val="0"/>
        <u val="none"/>
        <vertAlign val="baseline"/>
        <color theme="1"/>
      </font>
      <fill>
        <patternFill patternType="none">
          <fgColor indexed="64"/>
          <bgColor theme="9" tint="0.39997558519241921"/>
        </patternFill>
      </fill>
      <alignment horizontal="center" vertical="center" textRotation="0" wrapText="1" indent="0" justifyLastLine="0" shrinkToFit="0" readingOrder="0"/>
      <border diagonalUp="0" diagonalDown="0" outline="0">
        <left style="thin">
          <color indexed="64"/>
        </left>
        <right style="thin">
          <color indexed="64"/>
        </right>
        <top/>
        <bottom/>
      </border>
    </dxf>
    <dxf>
      <fill>
        <gradientFill degree="270">
          <stop position="0">
            <color theme="0"/>
          </stop>
          <stop position="1">
            <color theme="8" tint="0.80001220740379042"/>
          </stop>
        </gradientFill>
      </fill>
    </dxf>
    <dxf>
      <fill>
        <gradientFill degree="270">
          <stop position="0">
            <color theme="0"/>
          </stop>
          <stop position="1">
            <color theme="8" tint="0.59999389629810485"/>
          </stop>
        </gradientFill>
      </fill>
    </dxf>
    <dxf>
      <fill>
        <gradientFill degree="270">
          <stop position="0">
            <color theme="0"/>
          </stop>
          <stop position="1">
            <color theme="9" tint="0.59999389629810485"/>
          </stop>
        </gradientFill>
      </fill>
    </dxf>
    <dxf>
      <fill>
        <gradientFill degree="270">
          <stop position="0">
            <color theme="0"/>
          </stop>
          <stop position="1">
            <color theme="8" tint="0.80001220740379042"/>
          </stop>
        </gradientFill>
      </fill>
    </dxf>
    <dxf>
      <fill>
        <gradientFill degree="90">
          <stop position="0">
            <color theme="0"/>
          </stop>
          <stop position="0.5">
            <color rgb="FF2BE7E7"/>
          </stop>
          <stop position="1">
            <color theme="0"/>
          </stop>
        </gradientFill>
      </fill>
    </dxf>
    <dxf>
      <fill>
        <gradientFill degree="270">
          <stop position="0">
            <color theme="0"/>
          </stop>
          <stop position="1">
            <color theme="9" tint="0.40000610370189521"/>
          </stop>
        </gradientFill>
      </fill>
    </dxf>
    <dxf>
      <fill>
        <gradientFill degree="90">
          <stop position="0">
            <color theme="9" tint="0.80001220740379042"/>
          </stop>
          <stop position="1">
            <color theme="9" tint="0.40000610370189521"/>
          </stop>
        </gradientFill>
      </fill>
    </dxf>
    <dxf>
      <fill>
        <gradientFill degree="270">
          <stop position="0">
            <color theme="0"/>
          </stop>
          <stop position="1">
            <color rgb="FF9FFDFF"/>
          </stop>
        </gradientFill>
      </fill>
    </dxf>
    <dxf>
      <fill>
        <patternFill>
          <bgColor theme="8" tint="0.79998168889431442"/>
        </patternFill>
      </fill>
    </dxf>
    <dxf>
      <fill>
        <patternFill>
          <bgColor theme="4" tint="0.59996337778862885"/>
        </patternFill>
      </fill>
    </dxf>
    <dxf>
      <fill>
        <patternFill>
          <bgColor theme="9" tint="0.39994506668294322"/>
        </patternFill>
      </fill>
    </dxf>
    <dxf>
      <fill>
        <patternFill>
          <bgColor theme="9" tint="0.79998168889431442"/>
        </patternFill>
      </fill>
    </dxf>
    <dxf>
      <fill>
        <gradientFill degree="90">
          <stop position="0">
            <color theme="9" tint="0.40000610370189521"/>
          </stop>
          <stop position="1">
            <color theme="9" tint="0.80001220740379042"/>
          </stop>
        </gradientFill>
      </fill>
    </dxf>
    <dxf>
      <fill>
        <patternFill>
          <bgColor theme="8" tint="0.79998168889431442"/>
        </patternFill>
      </fill>
    </dxf>
    <dxf>
      <fill>
        <patternFill>
          <bgColor theme="8" tint="0.39994506668294322"/>
        </patternFill>
      </fill>
    </dxf>
    <dxf>
      <fill>
        <patternFill>
          <bgColor theme="8" tint="0.79998168889431442"/>
        </patternFill>
      </fill>
    </dxf>
    <dxf>
      <fill>
        <gradientFill degree="90">
          <stop position="0">
            <color theme="0"/>
          </stop>
          <stop position="1">
            <color theme="4"/>
          </stop>
        </gradientFill>
      </fill>
    </dxf>
  </dxfs>
  <tableStyles count="7" defaultTableStyle="TableStyleMedium9" defaultPivotStyle="PivotStyleLight16">
    <tableStyle name="Estilo de tabla 1" pivot="0" count="4" xr9:uid="{00000000-0011-0000-FFFF-FFFF00000000}">
      <tableStyleElement type="headerRow" dxfId="696"/>
      <tableStyleElement type="firstRowStripe" dxfId="695"/>
      <tableStyleElement type="secondRowStripe" dxfId="694"/>
      <tableStyleElement type="firstColumnStripe" dxfId="693"/>
    </tableStyle>
    <tableStyle name="Estilo de tabla 2" pivot="0" count="3" xr9:uid="{00000000-0011-0000-FFFF-FFFF01000000}">
      <tableStyleElement type="headerRow" dxfId="692"/>
      <tableStyleElement type="firstRowStripe" dxfId="691"/>
      <tableStyleElement type="secondRowStripe" dxfId="690"/>
    </tableStyle>
    <tableStyle name="Estilo de tabla 3" pivot="0" count="2" xr9:uid="{00000000-0011-0000-FFFF-FFFF02000000}">
      <tableStyleElement type="headerRow" dxfId="689"/>
      <tableStyleElement type="firstRowStripe" dxfId="688"/>
    </tableStyle>
    <tableStyle name="Estilo de tabla 4" pivot="0" count="0" xr9:uid="{00000000-0011-0000-FFFF-FFFF03000000}"/>
    <tableStyle name="Estilo de tabla 5" pivot="0" count="2" xr9:uid="{00000000-0011-0000-FFFF-FFFF04000000}">
      <tableStyleElement type="wholeTable" dxfId="687"/>
      <tableStyleElement type="headerRow" dxfId="686"/>
    </tableStyle>
    <tableStyle name="Estilo de tabla 6" pivot="0" count="3" xr9:uid="{00000000-0011-0000-FFFF-FFFF05000000}">
      <tableStyleElement type="headerRow" dxfId="685"/>
      <tableStyleElement type="firstRowStripe" dxfId="684"/>
      <tableStyleElement type="secondRowStripe" dxfId="683"/>
    </tableStyle>
    <tableStyle name="Estilo de tabla 7" pivot="0" count="3" xr9:uid="{00000000-0011-0000-FFFF-FFFF06000000}">
      <tableStyleElement type="headerRow" dxfId="682"/>
      <tableStyleElement type="firstRowStripe" dxfId="681"/>
      <tableStyleElement type="secondRowStripe" dxfId="680"/>
    </tableStyle>
  </tableStyles>
  <colors>
    <mruColors>
      <color rgb="FFFFAD53"/>
      <color rgb="FF31869B"/>
      <color rgb="FF2BE7E7"/>
      <color rgb="FFFF6600"/>
      <color rgb="FFF0EE8A"/>
      <color rgb="FFFFCCCC"/>
      <color rgb="FFCC3300"/>
      <color rgb="FFFFFFCC"/>
      <color rgb="FFFFFFFF"/>
      <color rgb="FF9FFD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WINDOWS10/Downloads/BASE%20CPN%202022%20formato3%20-%20prueba.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STRUCTIVO"/>
      <sheetName val="INDICADORES"/>
      <sheetName val="CPN 2022"/>
    </sheetNames>
    <sheetDataSet>
      <sheetData sheetId="0"/>
      <sheetData sheetId="1"/>
      <sheetData sheetId="2"/>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1:OG4" totalsRowShown="0" headerRowDxfId="679" dataDxfId="678" headerRowCellStyle="Énfasis5" dataCellStyle="Normal 2">
  <autoFilter ref="A1:OG4" xr:uid="{00000000-0009-0000-0100-000001000000}"/>
  <tableColumns count="397">
    <tableColumn id="101" xr3:uid="{00000000-0010-0000-0000-000065000000}" name="OBSERVACIONES PARA SEGUIMIENTO" dataDxfId="677"/>
    <tableColumn id="1" xr3:uid="{00000000-0010-0000-0000-000001000000}" name="RESPONSABLE DE LA ZONA" dataDxfId="676"/>
    <tableColumn id="77" xr3:uid="{00000000-0010-0000-0000-00004D000000}" name="PUNTO O CENTRO DE ATENCION" dataDxfId="675"/>
    <tableColumn id="2" xr3:uid="{00000000-0010-0000-0000-000002000000}" name="ATENCIÓN PRECONCEPCIONAL" dataDxfId="674"/>
    <tableColumn id="3" xr3:uid="{00000000-0010-0000-0000-000003000000}" name="APELLIDO" dataDxfId="673"/>
    <tableColumn id="4" xr3:uid="{00000000-0010-0000-0000-000004000000}" name="APELLIDO 2" dataDxfId="672"/>
    <tableColumn id="5" xr3:uid="{00000000-0010-0000-0000-000005000000}" name="NOMBRE 1" dataDxfId="671"/>
    <tableColumn id="6" xr3:uid="{00000000-0010-0000-0000-000006000000}" name="NOMBRE 2" dataDxfId="670"/>
    <tableColumn id="7" xr3:uid="{00000000-0010-0000-0000-000007000000}" name="TIPO DE DOCUMENTO" dataDxfId="669"/>
    <tableColumn id="8" xr3:uid="{00000000-0010-0000-0000-000008000000}" name="No DE IDENTIFICACION" dataDxfId="668"/>
    <tableColumn id="9" xr3:uid="{00000000-0010-0000-0000-000009000000}" name="ESTADO CIVIL" dataDxfId="667"/>
    <tableColumn id="10" xr3:uid="{00000000-0010-0000-0000-00000A000000}" name="OCUPACION" dataDxfId="666"/>
    <tableColumn id="11" xr3:uid="{00000000-0010-0000-0000-00000B000000}" name="FECHA DE NACIMIENTO" dataDxfId="665" dataCellStyle="Normal 2"/>
    <tableColumn id="12" xr3:uid="{00000000-0010-0000-0000-00000C000000}" name="EDAD ACTUAL" dataDxfId="664" dataCellStyle="Normal 2">
      <calculatedColumnFormula>IF(M2&gt;0,SUM(TODAY()-M2)/365,"")</calculatedColumnFormula>
    </tableColumn>
    <tableColumn id="13" xr3:uid="{00000000-0010-0000-0000-00000D000000}" name="FECHA DE IDENTIFICACION DE LA GESTANTE" dataDxfId="663" dataCellStyle="Normal 2"/>
    <tableColumn id="14" xr3:uid="{00000000-0010-0000-0000-00000E000000}" name="EFECTIVIDAD DEMANDA" dataDxfId="662" dataCellStyle="Normal 2">
      <calculatedColumnFormula>IF(AND(O2="",R2&gt;0),"ACUDE ESPONTANEAMENTE",IF(AND(AND(O2&gt;0,R2=""),OR(IW2&gt;0,IT2&lt;&gt;"")),"NA",IF(AND(O2&gt;0,IW2="",R2=""),"NO",IF(AND(O2&gt;0,R2&gt;0),"SI",""))))</calculatedColumnFormula>
    </tableColumn>
    <tableColumn id="15" xr3:uid="{00000000-0010-0000-0000-00000F000000}" name="NOVEDAD AL MOMENTO DE LA IDENTIFICACIÓN Y/O CAPTACIÓN " dataDxfId="661" dataCellStyle="Normal 2"/>
    <tableColumn id="16" xr3:uid="{00000000-0010-0000-0000-000010000000}" name="FECHA CONSULTA PRIMERA VEZ PROGRAMA CPN " dataDxfId="660" dataCellStyle="Normal 2"/>
    <tableColumn id="24" xr3:uid="{00000000-0010-0000-0000-000018000000}" name="REGIMEN" dataDxfId="659" dataCellStyle="Normal 2"/>
    <tableColumn id="25" xr3:uid="{00000000-0010-0000-0000-000019000000}" name="ASEGURADORA" dataDxfId="658" dataCellStyle="Normal 2"/>
    <tableColumn id="26" xr3:uid="{00000000-0010-0000-0000-00001A000000}" name="MUNICIPIO DE RESIDENCIA" dataDxfId="657" dataCellStyle="Normal 2"/>
    <tableColumn id="27" xr3:uid="{00000000-0010-0000-0000-00001B000000}" name="ZONA DE RESIDENCIA" dataDxfId="656" dataCellStyle="Normal 2"/>
    <tableColumn id="28" xr3:uid="{00000000-0010-0000-0000-00001C000000}" name="VEREDA/BARRIO" dataDxfId="655" dataCellStyle="Normal 2"/>
    <tableColumn id="29" xr3:uid="{00000000-0010-0000-0000-00001D000000}" name="DIRECCION - (ESPECIFICAR UBICACIÓN EN VEREDA)" dataDxfId="654" dataCellStyle="Normal 2"/>
    <tableColumn id="30" xr3:uid="{00000000-0010-0000-0000-00001E000000}" name="RESGUARDO / CORREGIMIENTO / COMUNA / LOCALIDAD" dataDxfId="653" dataCellStyle="Normal 2"/>
    <tableColumn id="31" xr3:uid="{00000000-0010-0000-0000-00001F000000}" name="TELEFONO FIJO O CELULAR" dataDxfId="652" dataCellStyle="Normal 2"/>
    <tableColumn id="32" xr3:uid="{00000000-0010-0000-0000-000020000000}" name="TIPO DE ETNIA" dataDxfId="651" dataCellStyle="Normal 2"/>
    <tableColumn id="33" xr3:uid="{00000000-0010-0000-0000-000021000000}" name="PUEBLO INDIGENA ESPECIFICO" dataDxfId="650" dataCellStyle="Normal 2"/>
    <tableColumn id="34" xr3:uid="{00000000-0010-0000-0000-000022000000}" name="ESTUDIOS" dataDxfId="649" dataCellStyle="Normal 2"/>
    <tableColumn id="68" xr3:uid="{00000000-0010-0000-0000-000044000000}" name="PROGRAMAS DE APOYO SOCIAL " dataDxfId="648" dataCellStyle="Normal 2"/>
    <tableColumn id="35" xr3:uid="{00000000-0010-0000-0000-000023000000}" name="EMBARAZO ACEPTADO Y/O  DESEADO" dataDxfId="647" dataCellStyle="Normal 2"/>
    <tableColumn id="36" xr3:uid="{00000000-0010-0000-0000-000024000000}" name="APOYO FAMILIAR" dataDxfId="646" dataCellStyle="Normal 2"/>
    <tableColumn id="37" xr3:uid="{00000000-0010-0000-0000-000025000000}" name="MUJER CABEZA DE FAMILIA" dataDxfId="645" dataCellStyle="Normal 2"/>
    <tableColumn id="38" xr3:uid="{00000000-0010-0000-0000-000026000000}" name="ANSIEDAD (Tensión emocional, Humor depresivo y sx angustia)." dataDxfId="644" dataCellStyle="Normal 2"/>
    <tableColumn id="39" xr3:uid="{00000000-0010-0000-0000-000027000000}" name="GRUPO DE POBLACION ESPECIAL" dataDxfId="643" dataCellStyle="Normal 2"/>
    <tableColumn id="40" xr3:uid="{00000000-0010-0000-0000-000028000000}" name="HA SIDO VICTIMA DE VIOLENCIA BASADA EN GENERO" dataDxfId="642" dataCellStyle="Normal 2"/>
    <tableColumn id="41" xr3:uid="{00000000-0010-0000-0000-000029000000}" name="RIESGO PSICOSOCIAL" dataDxfId="641">
      <calculatedColumnFormula>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calculatedColumnFormula>
    </tableColumn>
    <tableColumn id="43" xr3:uid="{00000000-0010-0000-0000-00002B000000}" name="ANTECEDENTE. HIPERTENSION INDUCIDA POR EL EMBARAZO O PREECLAMPSIA/ECLAMPSIA" dataDxfId="640" dataCellStyle="Normal 2"/>
    <tableColumn id="44" xr3:uid="{00000000-0010-0000-0000-00002C000000}" name="ANTECEDENTE. RETENCION PLACENTARIA O HEMORRAGIA POSTPARTO" dataDxfId="639" dataCellStyle="Normal 2"/>
    <tableColumn id="45" xr3:uid="{00000000-0010-0000-0000-00002D000000}" name="ANTECEDENTE. PESO BEBE MAYOR A 4000 o MENOR A  2500" dataDxfId="638" dataCellStyle="Normal 2"/>
    <tableColumn id="47" xr3:uid="{00000000-0010-0000-0000-00002F000000}" name="ANTECEDENTE. EMBARAZO GEMELAR" dataDxfId="637" dataCellStyle="Normal 2"/>
    <tableColumn id="48" xr3:uid="{00000000-0010-0000-0000-000030000000}" name="ANTECEDENTE. Trabajo de Parto PROLONGADO/PARTO DIFICIL" dataDxfId="636" dataCellStyle="Normal 2"/>
    <tableColumn id="49" xr3:uid="{00000000-0010-0000-0000-000031000000}" name="ANTECEDENTE. FLIAR PREECLAMPSIA" dataDxfId="635" dataCellStyle="Normal 2"/>
    <tableColumn id="51" xr3:uid="{00000000-0010-0000-0000-000033000000}" name="ANTECEDENTE GRAVIDA" dataDxfId="634" dataCellStyle="Normal 2"/>
    <tableColumn id="52" xr3:uid="{00000000-0010-0000-0000-000034000000}" name="ANTECEDENTE PARTOS" dataDxfId="633" dataCellStyle="Normal 2"/>
    <tableColumn id="53" xr3:uid="{00000000-0010-0000-0000-000035000000}" name="ANTECEDENTE ABORTOS" dataDxfId="632" dataCellStyle="Normal 2"/>
    <tableColumn id="54" xr3:uid="{00000000-0010-0000-0000-000036000000}" name="ANTE. 3 ABORTOS SEGUIDOS O INFERTILIDAD" dataDxfId="631" dataCellStyle="Normal 2"/>
    <tableColumn id="55" xr3:uid="{00000000-0010-0000-0000-000037000000}" name="ANTECEDENTE CESAREAS" dataDxfId="630" dataCellStyle="Normal 2"/>
    <tableColumn id="56" xr3:uid="{00000000-0010-0000-0000-000038000000}" name="ANTECEDENTE OBITO FETAL Y/O MUERTE PERINATAL NEONATAL TEMPRANA" dataDxfId="629" dataCellStyle="Normal 2"/>
    <tableColumn id="57" xr3:uid="{00000000-0010-0000-0000-000039000000}" name="ANTECEDENTE EMBARAZO ECTOPICO O CX UTERINA (MIOMECTOMIA)" dataDxfId="628" dataCellStyle="Normal 2"/>
    <tableColumn id="58" xr3:uid="{00000000-0010-0000-0000-00003A000000}" name="ANTECEDENTE EMBARAZO MOLAR" dataDxfId="627" dataCellStyle="Normal 2"/>
    <tableColumn id="59" xr3:uid="{00000000-0010-0000-0000-00003B000000}" name="ANTECEDENTE MUERTE NEONATAL TARDIA" dataDxfId="626" dataCellStyle="Normal 2"/>
    <tableColumn id="64" xr3:uid="{00000000-0010-0000-0000-000040000000}" name="TIENE ENFERMEDADES AUTOINMUNES" dataDxfId="625" dataCellStyle="Normal 2"/>
    <tableColumn id="65" xr3:uid="{00000000-0010-0000-0000-000041000000}" name="TIENE DIABETES MELLITUS" dataDxfId="624" dataCellStyle="Normal 2"/>
    <tableColumn id="66" xr3:uid="{00000000-0010-0000-0000-000042000000}" name="TIENE ENFERMEDAD CARDIACA" dataDxfId="623" dataCellStyle="Normal 2"/>
    <tableColumn id="315" xr3:uid="{00000000-0010-0000-0000-00003B010000}" name="TIENE HTA CRONICA" dataDxfId="622" dataCellStyle="Normal 2"/>
    <tableColumn id="305" xr3:uid="{00000000-0010-0000-0000-000031010000}" name="TIENE ENF RENAL CRONICA" dataDxfId="621" dataCellStyle="Normal 2"/>
    <tableColumn id="74" xr3:uid="{00000000-0010-0000-0000-00004A000000}" name="EN EMB ACTUAL ENFERMEDADES INFECCIOSAS AGUDAS(BACTERIANAS)" dataDxfId="620" dataCellStyle="Normal 2"/>
    <tableColumn id="76" xr3:uid="{00000000-0010-0000-0000-00004C000000}" name="EN EMB ACTUAL RPM" dataDxfId="619" dataCellStyle="Normal 2"/>
    <tableColumn id="79" xr3:uid="{00000000-0010-0000-0000-00004F000000}" name=" EN EMB ACTUAL HEMORRAGIA VAGINAL &gt; 20 SEM22" dataDxfId="618" dataCellStyle="Normal 2"/>
    <tableColumn id="81" xr3:uid="{00000000-0010-0000-0000-000051000000}" name="EN EMB ACTUAL HEMORRAGIA VAGINAL &lt; 20 SEM" dataDxfId="617" dataCellStyle="Normal 2"/>
    <tableColumn id="87" xr3:uid="{00000000-0010-0000-0000-000057000000}" name="FECHA TERMINACIÓN ÚLTIMO EMBARAZO" dataDxfId="616" dataCellStyle="Normal 2"/>
    <tableColumn id="89" xr3:uid="{00000000-0010-0000-0000-000059000000}" name="FUM" dataDxfId="615" dataCellStyle="Normal 2"/>
    <tableColumn id="90" xr3:uid="{00000000-0010-0000-0000-00005A000000}" name="FUM FORMULA CONFIABLE" dataDxfId="614" dataCellStyle="Normal 2"/>
    <tableColumn id="20" xr3:uid="{00000000-0010-0000-0000-000014000000}" name="PERIODO INTERGENESICO (MESES)" dataDxfId="613" dataCellStyle="Normal 2">
      <calculatedColumnFormula>IF(OR(BJ2="SD",BK2=""),"",IF(BJ2="",0,SUM(BK2-BJ2)/30))</calculatedColumnFormula>
    </tableColumn>
    <tableColumn id="19" xr3:uid="{00000000-0010-0000-0000-000013000000}" name="FUM X ECO 1" dataDxfId="612" dataCellStyle="Normal 2">
      <calculatedColumnFormula>IF(BS2&gt;0,SUM(BR2-NQ2),"")</calculatedColumnFormula>
    </tableColumn>
    <tableColumn id="94" xr3:uid="{00000000-0010-0000-0000-00005E000000}" name="SEMANAS DE GESTACION AL INGRESO" dataDxfId="611" dataCellStyle="Normal 2">
      <calculatedColumnFormula>IF(AND(BL2="Corregida",BK2&gt;0,R2&gt;0,ISBLANK(BS2)),"SIN SEMANAS X ECO",IF(AND(BL2="Corregida",BK2&gt;0,R2&gt;0),SUM(R2-BN2)/7,IF(AND(OR(BL2="SI",BL2="NO"),BK2&gt;0,R2&gt;0),SUM(R2-BK2)/7,"")))</calculatedColumnFormula>
    </tableColumn>
    <tableColumn id="95" xr3:uid="{00000000-0010-0000-0000-00005F000000}" name="TRIMESTRE DE  INGRESO AL CPN" dataDxfId="610" dataCellStyle="Normal 2">
      <calculatedColumnFormula>IF(AND(BO2="",IP2=""),"",IF(AND(BO2="",IP2="DEFINIR FPP POR ECO"),"SIN DATO",IF(BO2&lt;0,"ERROR FUM O INGRESO O ECO",IF(BL2="NO","DEFINIR CON ECO",IF(BO2&lt;12,"I TRIM",IF(BO2&lt;27,"II TRIM",IF(AND(BO2&gt;26,BO2&lt;45),"III TRIM","ERROR FUM O INGRESO O ECO")))))))</calculatedColumnFormula>
    </tableColumn>
    <tableColumn id="96" xr3:uid="{00000000-0010-0000-0000-000060000000}" name="SEMANAS DE GESTACION ACTUALIZADAS" dataDxfId="609" dataCellStyle="Normal 2">
      <calculatedColumnFormula>IF(SUM((TODAY()-BK2)/7)&gt;43.1,"",IF(AND(BK2&gt;0,OR(BL2="si",BL2="Corregida",BL2="NO")),SUM((TODAY()-BK2)/7),""))</calculatedColumnFormula>
    </tableColumn>
    <tableColumn id="99" xr3:uid="{00000000-0010-0000-0000-000063000000}" name="FECHA ECO 1" dataDxfId="608" dataCellStyle="Normal 2"/>
    <tableColumn id="100" xr3:uid="{00000000-0010-0000-0000-000064000000}" name="SEMANAS GESTACION ECO 1" dataDxfId="607" dataCellStyle="Normal 2"/>
    <tableColumn id="104" xr3:uid="{00000000-0010-0000-0000-000068000000}" name="FECHA ECO 2" dataDxfId="606" dataCellStyle="Normal 2"/>
    <tableColumn id="105" xr3:uid="{00000000-0010-0000-0000-000069000000}" name="SEMANAS GESTACION ECO 2" dataDxfId="605" dataCellStyle="Normal 2"/>
    <tableColumn id="279" xr3:uid="{00000000-0010-0000-0000-000017010000}" name="EN EMB. ACTUAL  RCIU" dataDxfId="604" dataCellStyle="Normal 2"/>
    <tableColumn id="280" xr3:uid="{00000000-0010-0000-0000-000018010000}" name="TIENE EMB. MUTIPLE ACTUAL " dataDxfId="603" dataCellStyle="Normal 2"/>
    <tableColumn id="287" xr3:uid="{00000000-0010-0000-0000-00001F010000}" name="PRESENTACION DEL FETO - ACTUALIZAR DESPUÉS DE LA SEMANA 32" dataDxfId="602" dataCellStyle="Normal 2"/>
    <tableColumn id="293" xr3:uid="{00000000-0010-0000-0000-000025010000}" name="TIENE POLIHIDRAMNIOS" dataDxfId="601" dataCellStyle="Normal 2"/>
    <tableColumn id="110" xr3:uid="{00000000-0010-0000-0000-00006E000000}" name="FECHA DE REGISTRO DE PESO Y/O TALLA PREGESTACIONAL O I TRIM GESTACION" dataDxfId="600" dataCellStyle="Normal 2"/>
    <tableColumn id="111" xr3:uid="{00000000-0010-0000-0000-00006F000000}" name="TALLA EN Mts     " dataDxfId="599" dataCellStyle="Normal 2"/>
    <tableColumn id="112" xr3:uid="{00000000-0010-0000-0000-000070000000}" name="PESO EN Kg INGRESO I TRIM O PRE GESTACION" dataDxfId="598" dataCellStyle="Normal 2"/>
    <tableColumn id="113" xr3:uid="{00000000-0010-0000-0000-000071000000}" name="IMC" dataDxfId="597" dataCellStyle="Normal 2">
      <calculatedColumnFormula>IF(AND(OR(O2&gt;0,R2&gt;0),CA2=""),"SD",IF(AND(OR(O2="",R2=""),CA2=""),"",IF(AND(OR(O2&gt;0,R2&gt;0),CA2&gt;0,CB2&gt;0),SUM(CB2)/(CA2*CA2),"X")))</calculatedColumnFormula>
    </tableColumn>
    <tableColumn id="114" xr3:uid="{00000000-0010-0000-0000-000072000000}" name="CLASIFICACION NUTRICIONAL 1" dataDxfId="596" dataCellStyle="Normal 2">
      <calculatedColumnFormula>IF(AND(CC2&lt;10,CB2="SD"),"SIN DATO PESO PREGESTACION O I TRIM",IF(AND(OR(R2&gt;0,O2&gt;0),CC2="X"),"INGRESAR DATO DE PESO",IF(CC2="SD","INGRESAR DATO DE TALLA Y PESO",IF(CC2&lt;18.5,"BAJO PESO",IF(CC2&lt;25,"NORMAL",IF(CC2&lt;30,"SOBREPESO",IF(AND(CC2&gt;=30,CC2&lt;50),"OBESIDAD","")))))))</calculatedColumnFormula>
    </tableColumn>
    <tableColumn id="337" xr3:uid="{00000000-0010-0000-0000-000051010000}" name="FECHA DEL PESO Y TALLA II TRIM"/>
    <tableColumn id="115" xr3:uid="{00000000-0010-0000-0000-000073000000}" name="PESO EN Kg II TRIM (14 A 28 SEMANAS)" dataDxfId="595" dataCellStyle="Normal 2"/>
    <tableColumn id="117" xr3:uid="{00000000-0010-0000-0000-000075000000}" name="IMC5 II TRIM" dataDxfId="594" dataCellStyle="Normal 2">
      <calculatedColumnFormula>IF(AND(OR(O2&gt;0,R2&gt;0),CA2=""),"SD",IF(AND(OR(O2="",R2=""),CA2=""),"",IF(AND(OR(O2&gt;0,R2&gt;0),CA2&gt;0),SUM(CF2)/(CA2*CA2),"X")))</calculatedColumnFormula>
    </tableColumn>
    <tableColumn id="118" xr3:uid="{00000000-0010-0000-0000-000076000000}" name="SEMANAS DE GESTACION II TRIM" dataDxfId="593" dataCellStyle="Normal 2">
      <calculatedColumnFormula>IF(AND(CE2="",BK2=""),"",IF(AND(BK2&gt;0,CE2=""),"NA",IF(CE2&lt;BK2,"REVISAR FUM O FECHA PESO",IF(CE2&gt;0,INT(SUM(CE2-BK2)/7)))))</calculatedColumnFormula>
    </tableColumn>
    <tableColumn id="119" xr3:uid="{00000000-0010-0000-0000-000077000000}" name="CLASIFICACION SEGÚN CURVA ATALAH - II TRIM" dataDxfId="592" dataCellStyle="Normal 2">
      <calculatedColumnFormula>IF(OR(CH2="",CH2="NA"),"",IF(AND(CH2&gt;=29,CH2&lt;=42),"REGISTRAR EN III TRIM",IF(AND(CH2&gt;0,CH2&lt;=13),"REGISTRAR EN I TRIM",IF(CH2="REVISAR FUM O FECHA PESO","REVISAR",IF(CH2&gt;0,HLOOKUP(CH2,$OI$1:PK2,OH2),"")))))</calculatedColumnFormula>
    </tableColumn>
    <tableColumn id="120" xr3:uid="{00000000-0010-0000-0000-000078000000}" name="FECHA DEL PESO Y TALLA III TRIM" dataDxfId="591" dataCellStyle="Normal 2"/>
    <tableColumn id="121" xr3:uid="{00000000-0010-0000-0000-000079000000}" name="PESO EN Kg (29 A 42 SEMANAS)" dataDxfId="590" dataCellStyle="Normal 2"/>
    <tableColumn id="123" xr3:uid="{00000000-0010-0000-0000-00007B000000}" name="IMC8 III TRIM" dataDxfId="589" dataCellStyle="Normal 2">
      <calculatedColumnFormula>IF(AND(OR(O2&gt;0,R2&gt;0),CA2=""),"SD",IF(AND(OR(O2="",R2=""),CA2=""),"",IF(AND(OR(O2&gt;0,R2&gt;0),CA2&gt;0),SUM(CK2)/(CA2*CA2),"X")))</calculatedColumnFormula>
    </tableColumn>
    <tableColumn id="124" xr3:uid="{00000000-0010-0000-0000-00007C000000}" name="SEMANAS DE GESTACION9 III TRIM" dataDxfId="588" dataCellStyle="Normal 2">
      <calculatedColumnFormula>IF(AND(CJ2="",BK2=""),"",IF(AND(BK2&gt;0,CJ2=""),"NA",IF(CJ2&lt;BK2,"REVISAR FUM O FECHA PESO",IF(CJ2&gt;0,INT(SUM(CJ2-BK2)/7)))))</calculatedColumnFormula>
    </tableColumn>
    <tableColumn id="125" xr3:uid="{00000000-0010-0000-0000-00007D000000}" name="CLASIFICACION SEGÚN CURVA ATALAH - III TRIM" dataDxfId="587" dataCellStyle="Normal 2">
      <calculatedColumnFormula>IF(OR(CM2="",CM2="NA"),"",IF(AND(CM2&gt;0,CM2&lt;=28),"REGISTRAR EN  TRIM RESPECTIVO",IF(CM2&gt;0,HLOOKUP(CM2,$OI$1:PK2,OH2),"")))</calculatedColumnFormula>
    </tableColumn>
    <tableColumn id="126" xr3:uid="{00000000-0010-0000-0000-00007E000000}" name="CLASIFICACION SEGÚN CURVA ATALAH -CONSOLIDADO ULTIMO DATO DE CADA MUJER" dataDxfId="586" dataCellStyle="Normal 2">
      <calculatedColumnFormula>IF(AND(OR(O2&gt;0,R2&gt;0),CD2&lt;&gt;"",CI2&lt;&gt;"",CN2&lt;&gt;""),CN2,IF(AND(OR(O2&gt;0,R2&gt;0),CD2&lt;&gt;"",CI2&lt;&gt;"",CN2=""),CI2,IF(AND(OR(O2&gt;0,R2&gt;0),CD2&lt;&gt;"",CI2="",CN2=""),CD2,IF(AND(OR(O2&gt;0,R2&gt;0),CD2&lt;&gt;"",CI2="",CN2&lt;&gt;""),CN2,""))))</calculatedColumnFormula>
    </tableColumn>
    <tableColumn id="50" xr3:uid="{00000000-0010-0000-0000-000032000000}" name="T.A. SISTOLICA - ANTES DE SEMANA 12" dataDxfId="585" dataCellStyle="Normal 2"/>
    <tableColumn id="127" xr3:uid="{00000000-0010-0000-0000-00007F000000}" name="T.A. DIASTOLICA - ANTES DE SEMANA 12" dataDxfId="584" dataCellStyle="Normal 2"/>
    <tableColumn id="128" xr3:uid="{00000000-0010-0000-0000-000080000000}" name="ALARMA 1 T.A.  ANTES 12 SEMANAS" dataDxfId="583" dataCellStyle="Normal 2">
      <calculatedColumnFormula>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calculatedColumnFormula>
    </tableColumn>
    <tableColumn id="129" xr3:uid="{00000000-0010-0000-0000-000081000000}" name="T.A. SISTOLICA (Entre semana 20 y 26)" dataDxfId="582" dataCellStyle="Normal 2"/>
    <tableColumn id="130" xr3:uid="{00000000-0010-0000-0000-000082000000}" name="T.A. DIATOLICA (Entre semana 20 y 26)" dataDxfId="581" dataCellStyle="Normal 2"/>
    <tableColumn id="131" xr3:uid="{00000000-0010-0000-0000-000083000000}" name="ALARMA 2 T.A.  ENTRE SEMANA 20 Y 26 " dataDxfId="580" dataCellStyle="Normal 2">
      <calculatedColumnFormula>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calculatedColumnFormula>
    </tableColumn>
    <tableColumn id="132" xr3:uid="{00000000-0010-0000-0000-000084000000}" name="TA. SISTOLICA SEM 30 A 34" dataDxfId="579"/>
    <tableColumn id="133" xr3:uid="{00000000-0010-0000-0000-000085000000}" name="TA. DIASTOLICA SEM 30 A 34" dataDxfId="578" dataCellStyle="Normal 2"/>
    <tableColumn id="134" xr3:uid="{00000000-0010-0000-0000-000086000000}" name="TA SISTOLICA SEM 35 A 37 ULTIMO CONTROL" dataDxfId="577" dataCellStyle="Normal 2"/>
    <tableColumn id="135" xr3:uid="{00000000-0010-0000-0000-000087000000}" name="TA DIASTOLICA SEM 35 A 37 ULTIMO CONTROL" dataDxfId="576" dataCellStyle="Normal 2"/>
    <tableColumn id="136" xr3:uid="{00000000-0010-0000-0000-000088000000}" name="ALARMA 3 T.A.  III TRIMESTRE" dataDxfId="575" dataCellStyle="Normal 2">
      <calculatedColumnFormula>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calculatedColumnFormula>
    </tableColumn>
    <tableColumn id="137" xr3:uid="{00000000-0010-0000-0000-000089000000}" name="FECHA ASESORIA EN LACTANCIA MATERNA DURANTE CPN" dataDxfId="574" dataCellStyle="Normal 2"/>
    <tableColumn id="138" xr3:uid="{00000000-0010-0000-0000-00008A000000}" name="FECHA ASESORIA EN ANTICONCEPCION DURANTE CPN" dataDxfId="573" dataCellStyle="Normal 2"/>
    <tableColumn id="139" xr3:uid="{00000000-0010-0000-0000-00008B000000}" name="FECHA C2" dataDxfId="572" dataCellStyle="Normal 2"/>
    <tableColumn id="144" xr3:uid="{00000000-0010-0000-0000-000090000000}" name="FECHA C3" dataDxfId="571" dataCellStyle="Normal 2"/>
    <tableColumn id="145" xr3:uid="{00000000-0010-0000-0000-000091000000}" name="FECHA C4" dataDxfId="570" dataCellStyle="Normal 2"/>
    <tableColumn id="146" xr3:uid="{00000000-0010-0000-0000-000092000000}" name="FECHA C5" dataDxfId="569" dataCellStyle="Normal 2"/>
    <tableColumn id="147" xr3:uid="{00000000-0010-0000-0000-000093000000}" name="FECHA C6" dataDxfId="568" dataCellStyle="Normal 2"/>
    <tableColumn id="148" xr3:uid="{00000000-0010-0000-0000-000094000000}" name="FECHA C7" dataDxfId="567" dataCellStyle="Normal 2"/>
    <tableColumn id="149" xr3:uid="{00000000-0010-0000-0000-000095000000}" name="FECHA C8" dataDxfId="566" dataCellStyle="Normal 2"/>
    <tableColumn id="150" xr3:uid="{00000000-0010-0000-0000-000096000000}" name="FECHA C9" dataDxfId="565" dataCellStyle="Normal 2"/>
    <tableColumn id="151" xr3:uid="{00000000-0010-0000-0000-000097000000}" name="FECHA C10" dataDxfId="564" dataCellStyle="Normal 2"/>
    <tableColumn id="152" xr3:uid="{00000000-0010-0000-0000-000098000000}" name="FECHA C11" dataDxfId="563" dataCellStyle="Normal 2"/>
    <tableColumn id="153" xr3:uid="{00000000-0010-0000-0000-000099000000}" name="FECHA C12" dataDxfId="562" dataCellStyle="Normal 2"/>
    <tableColumn id="83" xr3:uid="{00000000-0010-0000-0000-000053000000}" name="FECHA C13" dataDxfId="561" dataCellStyle="Normal 2"/>
    <tableColumn id="341" xr3:uid="{00000000-0010-0000-0000-000055010000}" name="CURSO DE MATERNIDAD Y PATERNIDAD" dataDxfId="560" dataCellStyle="Normal 2"/>
    <tableColumn id="342" xr3:uid="{00000000-0010-0000-0000-000056010000}" name="FECHA DE CONCERTACIÓN PLAN DE PARTO (Soporte HC)" dataDxfId="559" dataCellStyle="Normal 2"/>
    <tableColumn id="343" xr3:uid="{00000000-0010-0000-0000-000057010000}" name="ALERTA DE PLAN DE PARTO" dataDxfId="558" dataCellStyle="Normal 2">
      <calculatedColumnFormula>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calculatedColumnFormula>
    </tableColumn>
    <tableColumn id="42" xr3:uid="{00000000-0010-0000-0000-00002A000000}" name="GESTANTES ACTUALES" dataDxfId="557"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85" xr3:uid="{00000000-0010-0000-0000-000055000000}" name="CITA PROXIMO CONTROL" dataDxfId="556" dataCellStyle="Normal 2">
      <calculatedColumnFormula>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calculatedColumnFormula>
    </tableColumn>
    <tableColumn id="61" xr3:uid="{00000000-0010-0000-0000-00003D000000}" name="ALERTA SEGUIMIENTO" dataDxfId="555"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62" xr3:uid="{00000000-0010-0000-0000-00003E000000}" name="FECHA ULTIMO CPN" dataDxfId="554" dataCellStyle="Normal 2">
      <calculatedColumnFormula>IF(R2="","",IF(R2&gt;0,MAX(Tabla1[[#This Row],[FECHA C2]:[FECHA C13]],Tabla1[[#This Row],[FECHA CONSULTA PRIMERA VEZ PROGRAMA CPN ]])))</calculatedColumnFormula>
    </tableColumn>
    <tableColumn id="154" xr3:uid="{00000000-0010-0000-0000-00009A000000}" name="EDAD GESTACIONAL ÚLTIMO CPN" dataDxfId="553" dataCellStyle="Normal 2">
      <calculatedColumnFormula>IF(AND(DU2="",BK2="",R2=""),"",IF(AND(R2="",BK2&gt;0,DU2=""),"",IF(AND(R2&gt;0,DU2&lt;BK2),"REVISAR FUM O FECHA PESO",IF(AND(R2&gt;0,DU2&gt;0,BK2=""),"SD",IF(AND(R2&gt;0,DU2&gt;0,BK2&gt;0),INT(SUM(DU2-BK2)/7))))))</calculatedColumnFormula>
    </tableColumn>
    <tableColumn id="122" xr3:uid="{00000000-0010-0000-0000-00007A000000}" name="TOTAL CONTROLES" dataDxfId="552" dataCellStyle="Normal 2">
      <calculatedColumnFormula>IF(R2&gt;0,SUM(COUNTA(DC2:DN2)+COUNTA(Tabla1[[#This Row],[FECHA CONSULTA PRIMERA VEZ PROGRAMA CPN ]])),"")</calculatedColumnFormula>
    </tableColumn>
    <tableColumn id="155" xr3:uid="{00000000-0010-0000-0000-00009B000000}" name="ADHERENCIA AL CPN" dataDxfId="551" dataCellStyle="Normal 2">
      <calculatedColumnFormula>IF(AND(DW2&gt;=0,DW2&lt;4),"NO",IF(AND(DW2&gt;=4,DW2&lt;12),"SI",""))</calculatedColumnFormula>
    </tableColumn>
    <tableColumn id="156" xr3:uid="{00000000-0010-0000-0000-00009C000000}" name="CONTROLES PROGRAMADOS " dataDxfId="550" dataCellStyle="Normal 2">
      <calculatedColumnFormula>IF(BO2="","",IF(BO2&gt;0,INT(SUM(((40-BO2)/4)+2)),"X"))</calculatedColumnFormula>
    </tableColumn>
    <tableColumn id="157" xr3:uid="{00000000-0010-0000-0000-00009D000000}" name="% CUMPLIM INDIVIDUAL" dataDxfId="549" dataCellStyle="Normal 2">
      <calculatedColumnFormula>IF(DY2="","",IF(DW2&gt;0,SUM(DW2/DY2),"X"))</calculatedColumnFormula>
    </tableColumn>
    <tableColumn id="158" xr3:uid="{00000000-0010-0000-0000-00009E000000}" name="FECHA  REMISION PSICOLOGIA" dataDxfId="548" dataCellStyle="Normal 2"/>
    <tableColumn id="159" xr3:uid="{00000000-0010-0000-0000-00009F000000}" name="FECHA ASISTENCIA A CONSULTA PSICOLOGIA" dataDxfId="547" dataCellStyle="Normal 2"/>
    <tableColumn id="160" xr3:uid="{00000000-0010-0000-0000-0000A0000000}" name="FECHA  REMISION NUTRICION" dataDxfId="546" dataCellStyle="Normal 2"/>
    <tableColumn id="161" xr3:uid="{00000000-0010-0000-0000-0000A1000000}" name="FECHA ASISTENCIA A CONSULTA NUTRICION" dataDxfId="545" dataCellStyle="Normal 2"/>
    <tableColumn id="162" xr3:uid="{00000000-0010-0000-0000-0000A2000000}" name="FECHA  REMISION GINECOLOGO" dataDxfId="544" dataCellStyle="Normal 2"/>
    <tableColumn id="163" xr3:uid="{00000000-0010-0000-0000-0000A3000000}" name="FECHA ASISTENCIA PRIMERA VEZ CON GINECOLOGÍA" dataDxfId="543" dataCellStyle="Normal 2"/>
    <tableColumn id="250" xr3:uid="{00000000-0010-0000-0000-0000FA000000}" name="FECHA ULTIMA ASISTENCIA A CONSULTA GINECO" dataDxfId="542" dataCellStyle="Normal 2"/>
    <tableColumn id="164" xr3:uid="{00000000-0010-0000-0000-0000A4000000}" name="No CONSULTAS GINECOLOGO" dataDxfId="541" dataCellStyle="Normal 2"/>
    <tableColumn id="165" xr3:uid="{00000000-0010-0000-0000-0000A5000000}" name="RESULTADO HEMOGLOBINA INGRESO" dataDxfId="540" dataCellStyle="Normal 2"/>
    <tableColumn id="167" xr3:uid="{00000000-0010-0000-0000-0000A7000000}" name="FECHA RESULTADO HB" dataDxfId="539" dataCellStyle="Normal 2"/>
    <tableColumn id="168" xr3:uid="{00000000-0010-0000-0000-0000A8000000}" name="EDAD GESTACIONAL HB" dataDxfId="538" dataCellStyle="Normal 2">
      <calculatedColumnFormula>IF(AND(BP2="ERROR FUM O INGRESO",EJ2&gt;0),"ERROR FUM O INGRESO",IF(AND(EJ2="",R2="",O2=""),"",IF(OR(AND(EJ2&lt;&gt;"",EJ2&lt;BK2),AND(EJ2&lt;&gt;"",SUM((EJ2-BK2)/7)&gt;40)),"CORREGIR FECHA RESULTADO",IF(AND(EJ2="",OR(O2&gt;0,R2&gt;0)),"TOMAR EXAMEN",IF(EJ2&gt;0,SUM(EJ2-BK2)/7,"")))))</calculatedColumnFormula>
    </tableColumn>
    <tableColumn id="169" xr3:uid="{00000000-0010-0000-0000-0000A9000000}" name="CONDUCTA HEMOGLOBINA" dataDxfId="537" dataCellStyle="Normal 2">
      <calculatedColumnFormula>IF(AND(OR(O2&gt;0,R2&gt;0),EI2=""),"",IF(AND(OR(O2&gt;0,R2&gt;0),EI2&gt;0,EI2&lt;11),"MANEJO MD POR ANEMIA FERROPENICA",IF(AND(OR(O2&gt;0,R2&gt;0),EI2&lt;=14),"NORMAL- SUMINISTRAR SULFATO FERROSO",IF(AND(OR(O2&gt;0,R2&gt;0),EI2&lt;20),"NO DAR SULFATO FERROSO",""))))</calculatedColumnFormula>
    </tableColumn>
    <tableColumn id="170" xr3:uid="{00000000-0010-0000-0000-0000AA000000}" name="TRIMESTRE DE GESTACION A LA TOMA EXAMEN" dataDxfId="536" dataCellStyle="Normal 2">
      <calculatedColumnFormula>IF(AND(EK2="",BP2=""),"",IF(AND(EK2&lt;&gt;"",BP2="SIN DATO"),"SIN DATO",IF(AND(EK2="",BP2&lt;&gt;""),"",IF(AND(EK2&lt;0,BP2&gt;0),"ERROR FUM O INGRESO",IF(EK2&lt;=13,"I TRIM",IF(EK2&lt;28,"II TRIM",IF(AND(EK2&gt;27,EK2&lt;45),"III TRIM","POR DEFINIR")))))))</calculatedColumnFormula>
    </tableColumn>
    <tableColumn id="214" xr3:uid="{00000000-0010-0000-0000-0000D6000000}" name="RESULTADO HEMOGLOBINA SEMANA 28" dataDxfId="535" dataCellStyle="Normal 2"/>
    <tableColumn id="171" xr3:uid="{00000000-0010-0000-0000-0000AB000000}" name="FECHA RESULTADO HB SEM 28" dataDxfId="534" dataCellStyle="Normal 2"/>
    <tableColumn id="172" xr3:uid="{00000000-0010-0000-0000-0000AC000000}" name="EDAD GESTACIONAL HB - SEM 28" dataDxfId="533" dataCellStyle="Normal 2">
      <calculatedColumnFormula>IF(AND(BP2="ERROR FUM O INGRESO",EO2&gt;0),"ERROR FUM O INGRESO",IF(AND(EO2="",R2="",O2=""),"",IF(OR(AND(EO2&lt;&gt;"",EO2&lt;BK2),AND(EO2&lt;&gt;"",SUM((EO2-BK2)/7)&gt;40)),"CORREGIR FECHA RESULTADO",IF(AND(EO2="",OR(O2&gt;0,R2&gt;0)),"TOMAR EXAMEN",IF(EO2&gt;0,SUM(EO2-BK2)/7,"")))))</calculatedColumnFormula>
    </tableColumn>
    <tableColumn id="173" xr3:uid="{00000000-0010-0000-0000-0000AD000000}" name="CONDUCTA HEMOGLOBINA10" dataDxfId="532" dataCellStyle="Normal 2">
      <calculatedColumnFormula>IF(AND(OR(O2&gt;0,R2&gt;0),EN2=""),"",IF(AND(OR(O2&gt;0,R2&gt;0),EN2&gt;0,EN2&lt;10.5),"MANEJO MD POR ANEMIA FERROPENICA",IF(AND(OR(O2&gt;0,R2&gt;0),EN2&lt;14),"NORMAL- SUMINISTRAR SULFATO FERROSO",IF(AND(OR(O2&gt;0,R2&gt;0),EN2&lt;20),"NO DAR SULFATO FERROSO",""))))</calculatedColumnFormula>
    </tableColumn>
    <tableColumn id="174" xr3:uid="{00000000-0010-0000-0000-0000AE000000}" name="RESULTADO GRUPO  SANGUINEO" dataDxfId="531" dataCellStyle="Normal 2"/>
    <tableColumn id="175" xr3:uid="{00000000-0010-0000-0000-0000AF000000}" name="FECHA RESULTADO GRUPO SANGUINEO" dataDxfId="530" dataCellStyle="Normal 2"/>
    <tableColumn id="176" xr3:uid="{00000000-0010-0000-0000-0000B0000000}" name="EDAD GESTACIONAL GRUPO SANGUINEO" dataDxfId="529" dataCellStyle="Normal 2">
      <calculatedColumnFormula>IF(AND(BP2="ERROR FUM O INGRESO",ES2&gt;0),"ERROR FUM O INGRESO",IF(AND(ES2="",R2="",O2=""),"",IF(OR(AND(ES2&lt;&gt;"",ES2&lt;BK2),AND(ES2&lt;&gt;"",SUM((ES2-BK2)/7)&gt;40)),"CORREGIR FECHA RESULTADO",IF(AND(ES2="",OR(O2&gt;0,R2&gt;0)),"TOMAR EXAMEN",IF(ES2&gt;0,SUM(ES2-BK2)/7,"")))))</calculatedColumnFormula>
    </tableColumn>
    <tableColumn id="177" xr3:uid="{00000000-0010-0000-0000-0000B1000000}" name="OBSERVACION GRUPO SANGUINEO" dataDxfId="528" dataCellStyle="Normal 2">
      <calculatedColumnFormula>IF(ER2="A-","RIESGO DE INCOMPATIBILIDAD RH",IF(ER2="B-","RIESGO DE INCOMPATIBILIDAD RH",IF(ER2="O-","RIESGO DE INCOMPATIBILIDAD RH",IF(ER2="AB-","RIESGO DE INCOMPATIBILIDAD RH",IF(OR(ER2="A+",ER2="A--"),"NO HAY RIESGO POR RH",IF(OR(ER2="B+",ER2="B--"),"NO HAY RIESGO POR RH",IF(OR(ER2="O+",ER2="O--"),"NO HAY RIESGO POR RH",IF(OR(ER2="AB+",ER2="AB--"),"NO HAY RIESGO POR RH",IF(ER2=0,"")))))))))</calculatedColumnFormula>
    </tableColumn>
    <tableColumn id="178" xr3:uid="{00000000-0010-0000-0000-0000B2000000}" name="GLICEMIA PRE " dataDxfId="527" dataCellStyle="Normal 2"/>
    <tableColumn id="179" xr3:uid="{00000000-0010-0000-0000-0000B3000000}" name="FECHA GLICEMIA" dataDxfId="526" dataCellStyle="Normal 2"/>
    <tableColumn id="180" xr3:uid="{00000000-0010-0000-0000-0000B4000000}" name="EDAD GESTACIONAL GLICEMIA" dataDxfId="525" dataCellStyle="Normal 2">
      <calculatedColumnFormula>IF(AND(BP2="ERROR FUM O INGRESO",EW2&gt;0),"ERROR FUM O INGRESO",IF(AND(EW2="",R2="",O2=""),"",IF(OR(AND(EW2&lt;&gt;"",EW2&lt;BK2),AND(EW2&lt;&gt;"",SUM((EW2-BK2)/7)&gt;40)),"CORREGIR FECHA RESULTADO",IF(AND(EW2="",OR(O2&gt;0,R2&gt;0)),"TOMAR EXAMEN",IF(EW2&gt;0,SUM(EW2-BK2)/7,"")))))</calculatedColumnFormula>
    </tableColumn>
    <tableColumn id="340" xr3:uid="{00000000-0010-0000-0000-000054010000}" name="PTOG. carga 75 gr PRE - VALOR" dataDxfId="524" dataCellStyle="Normal 2"/>
    <tableColumn id="185" xr3:uid="{00000000-0010-0000-0000-0000B9000000}" name="PTOG. carga 75 gr 1 HORA - VALOR" dataDxfId="523" dataCellStyle="Normal 2"/>
    <tableColumn id="186" xr3:uid="{00000000-0010-0000-0000-0000BA000000}" name="PTOG. carga 75 gr 2 HORA - VALOR" dataDxfId="522" dataCellStyle="Normal 2"/>
    <tableColumn id="187" xr3:uid="{00000000-0010-0000-0000-0000BB000000}" name="PTOG. carga 75 gr - RESULTADO" dataDxfId="521" dataCellStyle="Normal 2">
      <calculatedColumnFormula>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calculatedColumnFormula>
    </tableColumn>
    <tableColumn id="188" xr3:uid="{00000000-0010-0000-0000-0000BC000000}" name="FECHA TOMA EXAMEN PTOG" dataDxfId="520" dataCellStyle="Normal 2"/>
    <tableColumn id="189" xr3:uid="{00000000-0010-0000-0000-0000BD000000}" name="EDAD GESTACIONAL P.T.O.G" dataDxfId="519" dataCellStyle="Normal 2">
      <calculatedColumnFormula>IF(AND(BP2="ERROR FUM O INGRESO",FC2&gt;0),"ERROR FUM O INGRESO",IF(AND(FC2="",R2="",O2=""),"",IF(OR(AND(FC2&lt;&gt;"",FC2&lt;BK2),AND(FC2&lt;&gt;"",SUM((FC2-BK2)/7)&gt;40)),"CORREGIR FECHA RESULTADO",IF(AND(FC2="",OR(O2&gt;0,R2&gt;0)),"TOMAR EXAMEN",IF(FC2&gt;0,SUM(FC2-BK2)/7,"")))))</calculatedColumnFormula>
    </tableColumn>
    <tableColumn id="190" xr3:uid="{00000000-0010-0000-0000-0000BE000000}" name="TAMIZAJE  PARA SIFILIS  SEGÚN GPC SIFILIS I TRIMESTRE" dataDxfId="518" dataCellStyle="Normal 2"/>
    <tableColumn id="200" xr3:uid="{00000000-0010-0000-0000-0000C8000000}" name="FECHA RESULTADO I TRIM" dataDxfId="517" dataCellStyle="Normal 2"/>
    <tableColumn id="201" xr3:uid="{00000000-0010-0000-0000-0000C9000000}" name="ALARMA TAMIZAJE SIFILIS I TRIMESTRE" dataDxfId="516" dataCellStyle="Normal 2">
      <calculatedColumnFormula>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calculatedColumnFormula>
    </tableColumn>
    <tableColumn id="202" xr3:uid="{00000000-0010-0000-0000-0000CA000000}" name="TAMIZAJE  PARA SIFILIS  SEGÚN GPC SIFILIS II TRIMESTRE" dataDxfId="515" dataCellStyle="Normal 2"/>
    <tableColumn id="203" xr3:uid="{00000000-0010-0000-0000-0000CB000000}" name="FECHA RESULTADO PR-  II TRIM" dataDxfId="514" dataCellStyle="Normal 2"/>
    <tableColumn id="204" xr3:uid="{00000000-0010-0000-0000-0000CC000000}" name="ALARMA TAMIZAJE SIFILIS II TRIMESTRE2" dataDxfId="513" dataCellStyle="Normal 2">
      <calculatedColumnFormula>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calculatedColumnFormula>
    </tableColumn>
    <tableColumn id="205" xr3:uid="{00000000-0010-0000-0000-0000CD000000}" name="TAMIZAJE  PARA SIFILIS  SEGÚN GPC SIFILIS III TRIMESTRE" dataDxfId="512" dataCellStyle="Normal 2"/>
    <tableColumn id="206" xr3:uid="{00000000-0010-0000-0000-0000CE000000}" name="FECHA RESULTADO PR-  III TRIM" dataDxfId="511" dataCellStyle="Normal 2"/>
    <tableColumn id="207" xr3:uid="{00000000-0010-0000-0000-0000CF000000}" name="ALARMA TAMIZAJE SIFILIS III TRIMESTRE22" dataDxfId="510" dataCellStyle="Normal 2">
      <calculatedColumnFormula>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calculatedColumnFormula>
    </tableColumn>
    <tableColumn id="208" xr3:uid="{00000000-0010-0000-0000-0000D0000000}" name="TAMIZAJE  PARA SIFILIS  SEGÚN GPC SIFILIS INTRAPARTO" dataDxfId="509" dataCellStyle="Normal 2"/>
    <tableColumn id="209" xr3:uid="{00000000-0010-0000-0000-0000D1000000}" name="FECHA RESULTADO PR INTRAPARTO" dataDxfId="508" dataCellStyle="Normal 2"/>
    <tableColumn id="210" xr3:uid="{00000000-0010-0000-0000-0000D2000000}" name="ALARMA CONSOLIDADA CASOS SIFILIS GESTACIONAL" dataDxfId="507" dataCellStyle="Normal 2">
      <calculatedColumnFormula>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calculatedColumnFormula>
    </tableColumn>
    <tableColumn id="212" xr3:uid="{00000000-0010-0000-0000-0000D4000000}" name="RESULTADO ULTIMO UROANALISIS" dataDxfId="506" dataCellStyle="Normal 2"/>
    <tableColumn id="216" xr3:uid="{00000000-0010-0000-0000-0000D8000000}" name="FECHA RESULTADO UROANALISIS ULTIMO" dataDxfId="505" dataCellStyle="Normal 2"/>
    <tableColumn id="217" xr3:uid="{00000000-0010-0000-0000-0000D9000000}" name="EDAD GESTACIONAL UROANALSIS ULTIMO" dataDxfId="504" dataCellStyle="Normal 2">
      <calculatedColumnFormula>IF(AND(BP2="ERROR FUM O INGRESO",FR2&gt;0),"ERROR FUM O INGRESO",IF(AND(FR2="",R2="",O2=""),"",IF(OR(AND(FR2&lt;&gt;"",FR2&lt;BK2),AND(FR2&lt;&gt;"",SUM((FR2-BK2)/7)&gt;40)),"CORREGIR FECHA RESULTADO",IF(AND(FR2="",OR(O2&gt;0,R2&gt;0)),"TOMAR EXAMEN",IF(FR2&gt;0,SUM(FR2-BK2)/7,"")))))</calculatedColumnFormula>
    </tableColumn>
    <tableColumn id="218" xr3:uid="{00000000-0010-0000-0000-0000DA000000}" name="RESULTADO UROCULTIVO " dataDxfId="503" dataCellStyle="Normal 2"/>
    <tableColumn id="219" xr3:uid="{00000000-0010-0000-0000-0000DB000000}" name="FECHA RESULTADO UROCULTIVO" dataDxfId="502" dataCellStyle="Normal 2"/>
    <tableColumn id="220" xr3:uid="{00000000-0010-0000-0000-0000DC000000}" name="EDAD GESTACIONAL UROCULTIVO" dataDxfId="501"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1" xr3:uid="{00000000-0010-0000-0000-0000DD000000}" name="FECHA REGISTRO ASESORIA PRE TEST VIH EN HC" dataDxfId="500" dataCellStyle="Normal 2">
      <calculatedColumnFormula>IF(AND(BP2="ERROR FUM O INGRESO",FU2&gt;0),"ERROR FUM O INGRESO",IF(AND(FU2="",R2="",O2=""),"",IF(OR(AND(FU2&lt;&gt;"",FU2&lt;BK2),AND(FU2&lt;&gt;"",SUM((FU2-BK2)/7)&gt;40)),"CORREGIR FECHA RESULTADO",IF(AND(FU2="",OR(O2&gt;0,R2&gt;0)),"TOMAR EXAMEN",IF(FU2&gt;0,SUM(FU2-BK2)/7,"")))))</calculatedColumnFormula>
    </tableColumn>
    <tableColumn id="222" xr3:uid="{00000000-0010-0000-0000-0000DE000000}" name="FECHA FIRMA DE CONSENTIMIENTO INFORMADO EN HC" dataDxfId="499" dataCellStyle="Normal 2"/>
    <tableColumn id="223" xr3:uid="{00000000-0010-0000-0000-0000DF000000}" name="TAMIZAJE  PARA VIH I TRIM" dataDxfId="498" dataCellStyle="Normal 2"/>
    <tableColumn id="224" xr3:uid="{00000000-0010-0000-0000-0000E0000000}" name="FECHA RESULTADO TAMIZAJE VIH I TRIMESTRE" dataDxfId="497" dataCellStyle="Normal 2"/>
    <tableColumn id="225" xr3:uid="{00000000-0010-0000-0000-0000E1000000}" name="ALARMA TAMIZAJE VIH - I TRIM" dataDxfId="496" dataCellStyle="Normal 2">
      <calculatedColumnFormula>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calculatedColumnFormula>
    </tableColumn>
    <tableColumn id="226" xr3:uid="{00000000-0010-0000-0000-0000E2000000}" name="TAMIZAJE  PARA VIH II TRIM" dataDxfId="495" dataCellStyle="Normal 2"/>
    <tableColumn id="103" xr3:uid="{00000000-0010-0000-0000-000067000000}" name="FECHA RESULTADO TAMIZAJE VIH II TRIM" dataDxfId="494" dataCellStyle="Normal 2"/>
    <tableColumn id="345" xr3:uid="{00000000-0010-0000-0000-000059010000}" name="ALARMA TAMIZAJE VIH - II TRIM" dataDxfId="493" dataCellStyle="Normal 2">
      <calculatedColumnFormula>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calculatedColumnFormula>
    </tableColumn>
    <tableColumn id="106" xr3:uid="{00000000-0010-0000-0000-00006A000000}" name="TAMIZAJE  PARA VIH III TRIM" dataDxfId="492" dataCellStyle="Normal 2"/>
    <tableColumn id="228" xr3:uid="{00000000-0010-0000-0000-0000E4000000}" name="FECHA RESULTADO TAMIZAJE VIH III TRIM" dataDxfId="491" dataCellStyle="Normal 2"/>
    <tableColumn id="229" xr3:uid="{00000000-0010-0000-0000-0000E5000000}" name="ALARMA TAMIZAJE VIH - III TRIM" dataDxfId="490" dataCellStyle="Normal 2">
      <calculatedColumnFormula>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calculatedColumnFormula>
    </tableColumn>
    <tableColumn id="230" xr3:uid="{00000000-0010-0000-0000-0000E6000000}" name="TAMIZAJE  PARA VIH INTRAPARTO SEGÚN GPC." dataDxfId="489" dataCellStyle="Normal 2"/>
    <tableColumn id="91" xr3:uid="{00000000-0010-0000-0000-00005B000000}" name="FECHA RESULTADO TAMIZAJE INTRAPARTO" dataDxfId="488" dataCellStyle="Normal 2"/>
    <tableColumn id="84" xr3:uid="{00000000-0010-0000-0000-000054000000}" name="SEGUNDA PRUEBA ELISA O PR PARA DEFINIR DIAGNOSTICO VIH SEGÚN PROTOCOLO INS" dataDxfId="487" dataCellStyle="Normal 2"/>
    <tableColumn id="140" xr3:uid="{00000000-0010-0000-0000-00008C000000}" name="FECHA RESULTADO SEGUNDA PRUEBA ELISA O PR PARA DEFINIR DIAGNOSTICO VIH SEGÚN PROTOCOLO INS" dataDxfId="486" dataCellStyle="Normal 2"/>
    <tableColumn id="141" xr3:uid="{00000000-0010-0000-0000-00008D000000}" name="RESULTADO CARGA VIRAL SEGÚN PROTOCOLO INS" dataDxfId="485" dataCellStyle="Normal 2"/>
    <tableColumn id="142" xr3:uid="{00000000-0010-0000-0000-00008E000000}" name="FECHA RESULTADO CARGA VIRAL SEGÚN PROTOCOLO INS" dataDxfId="484" dataCellStyle="Normal 2"/>
    <tableColumn id="143" xr3:uid="{00000000-0010-0000-0000-00008F000000}" name="RESULTADO HEP B ANTIGENO SUPERFICIE" dataDxfId="483" dataCellStyle="Normal 2"/>
    <tableColumn id="232" xr3:uid="{00000000-0010-0000-0000-0000E8000000}" name="FECHA RESULTADO H ASB" dataDxfId="482" dataCellStyle="Normal 2"/>
    <tableColumn id="233" xr3:uid="{00000000-0010-0000-0000-0000E9000000}" name="EDAD GESTACIONAL18" dataDxfId="481" dataCellStyle="Normal 2">
      <calculatedColumnFormula>IF(AND(BP2="ERROR FUM O INGRESO",GO2&gt;0),"ERROR FUM O INGRESO",IF(AND(GO2="",R2="",O2=""),"",IF(OR(AND(GO2&lt;&gt;"",GO2&lt;BK2),AND(GO2&lt;&gt;"",SUM((GO2-BK2)/7)&gt;40)),"CORREGIR FECHA RESULTADO",IF(AND(GO2="",OR(O2&gt;0,R2&gt;0)),"TOMAR EXAMEN",IF(GO2&gt;0,SUM(GO2-BK2)/7,"")))))</calculatedColumnFormula>
    </tableColumn>
    <tableColumn id="234" xr3:uid="{00000000-0010-0000-0000-0000EA000000}" name="RESULTADO Toxoplasma IgG" dataDxfId="480" dataCellStyle="Normal 2"/>
    <tableColumn id="236" xr3:uid="{00000000-0010-0000-0000-0000EC000000}" name="RESULTADO CONFIRM. TOXO. IgM" dataDxfId="479" dataCellStyle="Normal 2"/>
    <tableColumn id="237" xr3:uid="{00000000-0010-0000-0000-0000ED000000}" name="ALARMA TOXOPLASMOSIS" dataDxfId="478" dataCellStyle="Normal 2">
      <calculatedColumnFormula>IF(GQ2="NEGATIVO","CONTROL Igm",IF(AND(GQ2="POSITIVO",GR2="NEGATIVO"),"SE EXCLUYE INFECCION",IF(AND(GQ2="POSITIVO",GR2="POSITIVO"),"TOXOPLASMOSIS, REMITIR PARA MANEJO","")))</calculatedColumnFormula>
    </tableColumn>
    <tableColumn id="238" xr3:uid="{00000000-0010-0000-0000-0000EE000000}" name="FECHA RESULTADO TOXO" dataDxfId="477" dataCellStyle="Normal 2"/>
    <tableColumn id="239" xr3:uid="{00000000-0010-0000-0000-0000EF000000}" name="EDAD GESTACIONAL21" dataDxfId="476" dataCellStyle="Normal 2">
      <calculatedColumnFormula>IF(AND(BP2="ERROR FUM O INGRESO",GT2&gt;0),"ERROR FUM O INGRESO",IF(AND(GT2="",R2="",O2=""),"",IF(OR(AND(GT2&lt;&gt;"",GT2&lt;BK2),AND(GT2&lt;&gt;"",SUM((GT2-BK2)/7)&gt;40)),"CORREGIR FECHA RESULTADO",IF(AND(GT2="",OR(O2&gt;0,R2&gt;0)),"TOMAR EXAMEN",IF(GT2&gt;0,SUM(GT2-BK2)/7,"")))))</calculatedColumnFormula>
    </tableColumn>
    <tableColumn id="242" xr3:uid="{00000000-0010-0000-0000-0000F2000000}" name="TRIMESTRE DE GESTACION A LA TOMA EXAMEN52" dataDxfId="475" dataCellStyle="Normal 2">
      <calculatedColumnFormula>IF(AND(GU2="",BP2=""),"",IF(AND(GU2&lt;&gt;"",BP2="SIN DATO"),"SIN DATO",IF(AND(GU2="",BP2&lt;&gt;""),"",IF(AND(GU2&lt;0,BP2&gt;0),"ERROR FUM O INGRESO",IF(GU2&lt;=13,"I TRIM",IF(GU2&lt;28,"II TRIM",IF(AND(GU2&gt;27,GU2&lt;45),"III TRIM","POR DEFINIR")))))))</calculatedColumnFormula>
    </tableColumn>
    <tableColumn id="338" xr3:uid="{00000000-0010-0000-0000-000052010000}" name="RESULTADO TOXOPLASMOSIS ULTIMO IgM - SI APLICA SEGÚN GPC" dataDxfId="474" dataCellStyle="Normal 2"/>
    <tableColumn id="243" xr3:uid="{00000000-0010-0000-0000-0000F3000000}" name="NUMERO VECES TOMA TOXOPLASMA IgM - Control" dataDxfId="473" dataCellStyle="Normal 2"/>
    <tableColumn id="244" xr3:uid="{00000000-0010-0000-0000-0000F4000000}" name="RESULTADO ULTIMA CITOLOGIA (SEGÚN NORMA Y VIGENTE)" dataDxfId="472" dataCellStyle="Normal 2"/>
    <tableColumn id="245" xr3:uid="{00000000-0010-0000-0000-0000F5000000}" name="FECHA RESULTADO2" dataDxfId="471" dataCellStyle="Normal 2"/>
    <tableColumn id="246" xr3:uid="{00000000-0010-0000-0000-0000F6000000}" name="TIEMPO DE LA TOMA" dataDxfId="470" dataCellStyle="Normal 2">
      <calculatedColumnFormula>IF(GZ2&gt;0,SUM(GZ2-BK2)/7,"")</calculatedColumnFormula>
    </tableColumn>
    <tableColumn id="247" xr3:uid="{00000000-0010-0000-0000-0000F7000000}" name="CLASIFICACION TIEMPO TOMA" dataDxfId="469" dataCellStyle="Normal 2">
      <calculatedColumnFormula>IF(HA2&lt;0,"ANTES DEL EMBARAZO",IF(AND(HA2&gt;0,HA2&lt;13),"I TRIM",IF(AND(HA2&gt;12,HA2&lt;28),"II TRIM",IF(AND(HA2&gt;27,HA2&lt;41),"III TRIM",""))))</calculatedColumnFormula>
    </tableColumn>
    <tableColumn id="248" xr3:uid="{00000000-0010-0000-0000-0000F8000000}" name="CONDUCTA ANTE RESULTADO PATOLOGICO" dataDxfId="468" dataCellStyle="Normal 2">
      <calculatedColumnFormula>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calculatedColumnFormula>
    </tableColumn>
    <tableColumn id="363" xr3:uid="{00000000-0010-0000-0000-00006B010000}" name="TAMIZAJE PARA CHAGAS (ELISA para detección de anticuerpos IgG anti T. cruzi de antígenos totales)" dataDxfId="467" dataCellStyle="Normal 2"/>
    <tableColumn id="368" xr3:uid="{00000000-0010-0000-0000-000070010000}" name="FECHA RESULTADO TAMIZAJE CHAGAS" dataDxfId="466" dataCellStyle="Normal 2"/>
    <tableColumn id="356" xr3:uid="{00000000-0010-0000-0000-000064010000}" name="TAMIZAJE INICIAL DE GOTA GRUESA PARA MALARIA (En zonas endémicas)" dataDxfId="465" dataCellStyle="Normal 2"/>
    <tableColumn id="352" xr3:uid="{00000000-0010-0000-0000-000060010000}" name="FECHA RESULTADO TAMIZAJE INICIAL GOTA GRUESA PARA MALARIA" dataDxfId="464" dataCellStyle="Normal 2"/>
    <tableColumn id="351" xr3:uid="{00000000-0010-0000-0000-00005F010000}" name="RESULTADO ULTIMO TAMIZAJE GOTA GRUESA (Para Zonas endémicas)" dataDxfId="463" dataCellStyle="Normal 2"/>
    <tableColumn id="346" xr3:uid="{00000000-0010-0000-0000-00005A010000}" name="NUMERO TAMIZAJES TOMADOS DE GOTA GRUESA PARA MALARIA (Debe ser mensual para zonas endémicas)" dataDxfId="462" dataCellStyle="Normal 2"/>
    <tableColumn id="249" xr3:uid="{00000000-0010-0000-0000-0000F9000000}" name="DIAGNOSTICO POSITIVO COVID19 - INFECCIÓN POR SARS CoV2" dataDxfId="461" dataCellStyle="Normal 2"/>
    <tableColumn id="252" xr3:uid="{00000000-0010-0000-0000-0000FC000000}" name="ENFERMEDADES PROPIAS O CULTURALES" dataDxfId="460" dataCellStyle="Normal 2">
      <calculatedColumnFormula>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calculatedColumnFormula>
    </tableColumn>
    <tableColumn id="253" xr3:uid="{00000000-0010-0000-0000-0000FD000000}" name="OTROS FACTORES DE RIESGO " dataDxfId="459" dataCellStyle="Normal 2">
      <calculatedColumnFormula>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calculatedColumnFormula>
    </tableColumn>
    <tableColumn id="67" xr3:uid="{00000000-0010-0000-0000-000043000000}" name="RIESGO BIOPSICOSOCIAL" dataDxfId="458" dataCellStyle="Normal 2">
      <calculatedColumnFormula>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calculatedColumnFormula>
    </tableColumn>
    <tableColumn id="46" xr3:uid="{00000000-0010-0000-0000-00002E000000}" name="MOTIVOS PARA LA CLASIFICACION DEL RIESGO BIOPSICOSOCIAL" dataDxfId="457" dataCellStyle="Normal 2">
      <calculatedColumnFormula>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calculatedColumnFormula>
    </tableColumn>
    <tableColumn id="255" xr3:uid="{00000000-0010-0000-0000-0000FF000000}" name="ALARMA FACTORES DE RIESGO COMPLICACIONES HIPERTENSIVAS3" dataDxfId="456" dataCellStyle="Normal 2">
      <calculatedColumnFormula>IF(AND(O2="",R2=""),"",IF(AND(OR(O2&gt;0,R2&gt;0),OR(AL2="SI",BD2="SI",BA2="SI",BB2="SI",BE2="SI")),"RIESGO ALTO DE COMPLICACIONES HIPERTENSIVAS VER MANEJO GUIA SUMINISTRO ASA Y CALCIO",IF(AND(OR(O2&gt;0,R2&gt;0),NN2&gt;1),"RIESGO MODERADO (2 O MAS CRITERIOS) VER MANEJO GUIA SUMINISTRO ASA Y CALCIO","SIN ANTECEDENTES DE RIESGO")))</calculatedColumnFormula>
    </tableColumn>
    <tableColumn id="21" xr3:uid="{00000000-0010-0000-0000-000015000000}" name="ALARMA POR SEGUIMIENTO CIFRAS PRESIÓN ARTERIAL ÚLTIMO REGISTRO." dataDxfId="455" dataCellStyle="Normal 2">
      <calculatedColumnFormula>IF(AND(O2="",R2=""),"",IF(AND(OR(O2&gt;0,R2&gt;0),CR2&lt;&gt;"",CU2&lt;&gt;"",CZ2&lt;&gt;""),CZ2,IF(AND(OR(O2&gt;0,R2&gt;0),CR2&lt;&gt;"",CU2&lt;&gt;"",CZ2=""),CU2,IF(AND(OR(O2&gt;0,R2&gt;0),CR2&lt;&gt;"",CU2="",CZ2=""),CR2,IF(AND(OR(O2&gt;0,R2&gt;0),CR2="",CU2="",CZ2&lt;&gt;""),CZ2,IF(AND(OR(O2&gt;0,R2&gt;0),CR2="",CU2&lt;&gt;"",CZ2&lt;&gt;""),CZ2,IF(AND(OR(O2&gt;0,R2&gt;0),CR2&lt;&gt;"",CU2="",CZ2&lt;&gt;""),CZ2,IF(AND(OR(O2&gt;0,R2&gt;0),CR2="",CU2&lt;&gt;"",CZ2=""),CU2,""))))))))</calculatedColumnFormula>
    </tableColumn>
    <tableColumn id="196" xr3:uid="{00000000-0010-0000-0000-0000C4000000}" name="ALERTA SEGUIMIENTO2" dataDxfId="454" dataCellStyle="Normal 2">
      <calculatedColumnFormula>IF(NR2="SD","",IF(AND(NR2&lt;=33,NR2&gt;=8),"MES DE CONTROL",IF(AND(NR2&gt;=1,NR2&lt;8),"SEMANA DE CONTROL",IF(NR2=0,"DIA DE CONTROL",IF(NR2&lt;0,"INASISTENTE",IF(NR2="Y","SEGUIMIENTO FUERA MUNICIPIO",IF(NR2="Z","BUSCAR PARA INGRESO A CPN",IF(NR2="W","DEFINIR FECHA CITA",IF(NR2="X","NO REALIZO CPN",IF(NR2="S","DILIGENCIAR FECHA SALIDA PROGRAMA","REVISAR FORMULA"))))))))))</calculatedColumnFormula>
    </tableColumn>
    <tableColumn id="73" xr3:uid="{00000000-0010-0000-0000-000049000000}" name="GESTANTES ACTUALES22" dataDxfId="453" dataCellStyle="Normal 2">
      <calculatedColumnFormula>IF(AND(R2&lt;&gt;"",IT2="CAMBIO DE RESIDENCIA"),"SEGUIMIENTO REPORTE EPS",IF(AND(R2&lt;&gt;"",OR(IT2&lt;&gt;"",IW2&lt;&gt;"")),"SALIO PROGRAMA",IF(AND(AND(R2="",O2&gt;0),OR(IT2&lt;&gt;"",IW2&lt;&gt;"")),"SALE SIN INGRESO CPN",IF(AND(R2="",O2&gt;0,IT2="",IW2=""),"ACTIVA SIN INGRESO CPN",IF(AND(R2&lt;&gt;"",OR(IT2="",IW2="")),"ACTIVA INGRESO A CPN","")))))</calculatedColumnFormula>
    </tableColumn>
    <tableColumn id="75" xr3:uid="{00000000-0010-0000-0000-00004B000000}" name="LA CLASIFICACIÓN DEL RIESGO ES ADECUADA" dataDxfId="452" dataCellStyle="Normal 2"/>
    <tableColumn id="102" xr3:uid="{00000000-0010-0000-0000-000066000000}" name="SUMINISTRO DE ASA SEGÚN GPC" dataDxfId="451" dataCellStyle="Normal 2"/>
    <tableColumn id="23" xr3:uid="{00000000-0010-0000-0000-000017000000}" name="FECHA INICIO SUMINISTRO CALCIO" dataDxfId="450" dataCellStyle="Normal 2"/>
    <tableColumn id="181" xr3:uid="{00000000-0010-0000-0000-0000B5000000}" name="SUMINISTRO CALCIO " dataDxfId="449" dataCellStyle="Normal 2"/>
    <tableColumn id="60" xr3:uid="{00000000-0010-0000-0000-00003C000000}" name="FECHA INICIO SUMINISTRO ACIDO FOLICO " dataDxfId="448" dataCellStyle="Normal 2"/>
    <tableColumn id="241" xr3:uid="{00000000-0010-0000-0000-0000F1000000}" name="SUMINISTRO DE ACIDO FOLICO " dataDxfId="447" dataCellStyle="Normal 2"/>
    <tableColumn id="256" xr3:uid="{00000000-0010-0000-0000-000000010000}" name="FECHA INICIO SUMINISTRO SULFATO FERROSO " dataDxfId="446" dataCellStyle="Normal 2"/>
    <tableColumn id="254" xr3:uid="{00000000-0010-0000-0000-0000FE000000}" name="SUMINISTRO DE SULFATO FERROSO " dataDxfId="445" dataCellStyle="Normal 2"/>
    <tableColumn id="257" xr3:uid="{00000000-0010-0000-0000-000001010000}" name="SUPLEMENTACION ALIMENTARIA  O DIRECCIONAMIENTO A AUTONOMIA ALIMENTARIA" dataDxfId="444" dataCellStyle="Normal 2"/>
    <tableColumn id="63" xr3:uid="{00000000-0010-0000-0000-00003F000000}" name="FECHA CONSULTA DE 1RA VEZ POR ODONTOLOGIA" dataDxfId="443" dataCellStyle="Normal 2"/>
    <tableColumn id="258" xr3:uid="{00000000-0010-0000-0000-000002010000}" name="SEMANAS DE GESTACION A LA CONSULTA ODONTOLOGICA" dataDxfId="442" dataCellStyle="Normal 2">
      <calculatedColumnFormula>IF(AND(BP2="ERROR FUM O INGRESO",IB2&gt;0),"ERROR FUM O INGRESO",IF(AND(IB2="",R2=""),"",IF(OR(AND(IB2&lt;&gt;"",IB2&lt;BK2),AND(IB2&lt;&gt;"",SUM((IB2-BK2)/7)&gt;40)),"CORREGIR FECHA CONSULTA",IF(AND(IB2="",R2&gt;0),"PENDIENTE CONSULTA",IF(IB2&gt;0,SUM(IB2-BK2)/7,"")))))</calculatedColumnFormula>
    </tableColumn>
    <tableColumn id="259" xr3:uid="{00000000-0010-0000-0000-000003010000}" name="REQUIRIO MANEJO ODONTOLOGICO DURANTE LA GESTACIÓN" dataDxfId="441" dataCellStyle="Normal 2"/>
    <tableColumn id="388" xr3:uid="{00000000-0010-0000-0000-000084010000}" name="Tipo Biológico Vacuna anti COVID-19 (Disentimiento)" dataDxfId="440"/>
    <tableColumn id="386" xr3:uid="{00000000-0010-0000-0000-000082010000}" name="Fecha 1ra Dosis Anti COVID-19" dataDxfId="439"/>
    <tableColumn id="336" xr3:uid="{00000000-0010-0000-0000-000050010000}" name="Tipo Biológico Vacuna anti COVID-19 (2da Dosis)" dataDxfId="438"/>
    <tableColumn id="382" xr3:uid="{00000000-0010-0000-0000-00007E010000}" name="Fecha 2da Dosis Anti COVID-19" dataDxfId="437"/>
    <tableColumn id="339" xr3:uid="{00000000-0010-0000-0000-000053010000}" name="Tipo Biológico Vacuna anti COVID-19 (Refuerzo)" dataDxfId="436"/>
    <tableColumn id="335" xr3:uid="{00000000-0010-0000-0000-00004F010000}" name="Fecha Refuerzo Anti COVID-20" dataDxfId="435"/>
    <tableColumn id="381" xr3:uid="{00000000-0010-0000-0000-00007D010000}" name="Alarma Vacunación Anti COVID-19" dataDxfId="434">
      <calculatedColumnFormula>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calculatedColumnFormula>
    </tableColumn>
    <tableColumn id="260" xr3:uid="{00000000-0010-0000-0000-000004010000}" name="FECHA VACUNA ANTI INFLUENZA" dataDxfId="433" dataCellStyle="Normal 2"/>
    <tableColumn id="268" xr3:uid="{00000000-0010-0000-0000-00000C010000}" name="FECHA VACUNA DPT ACELULAR" dataDxfId="432" dataCellStyle="Normal 2"/>
    <tableColumn id="269" xr3:uid="{00000000-0010-0000-0000-00000D010000}" name="ALARMA DPT ACELULAR" dataDxfId="431" dataCellStyle="Normal 2">
      <calculatedColumnFormula>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calculatedColumnFormula>
    </tableColumn>
    <tableColumn id="333" xr3:uid="{00000000-0010-0000-0000-00004D010000}" name="FECHA VACUNA TD" dataDxfId="430" dataCellStyle="Normal 2"/>
    <tableColumn id="271" xr3:uid="{00000000-0010-0000-0000-00000F010000}" name="FPP2" dataDxfId="429" dataCellStyle="Normal 2">
      <calculatedColumnFormula>IF(OR(BL2="SI",BL2="Corregida",BL2="NO"),(BK2+280),IF(BL2="Sin Dato","DEFINIR FPP POR ECO",""))</calculatedColumnFormula>
    </tableColumn>
    <tableColumn id="72" xr3:uid="{00000000-0010-0000-0000-000048000000}" name="DIAS PARA EL PARTO2" dataDxfId="428" dataCellStyle="Normal 2">
      <calculatedColumnFormula>IF(OR(IP2="DEFINIR FPP POR ECO",BP2="ERROR FUM O INGRESO"),"SIN DEFINIR",IF(IP2="","",IF(IP2&gt;0,SUM(IP2-TODAY()),"X")))</calculatedColumnFormula>
    </tableColumn>
    <tableColumn id="70" xr3:uid="{00000000-0010-0000-0000-000046000000}" name="ALERTA PARA PARTO3" dataDxfId="427" dataCellStyle="Normal 2">
      <calculatedColumnFormula>IF(IQ2&lt;0,"POSIBLEMENTE NACIO",IF(IQ2="SIN DEFINIR","SIN DATO",IF(AND(IQ2&gt;=0,IQ2&lt;=7),"SEMANA DE PARTO",IF(AND(IQ2&gt;=8,IQ2&lt;=28),"MENOS DE 4 SEMANAS",IF(AND(IQ2&gt;=29,IQ2&lt;=280),"PENDIENTE","")))))</calculatedColumnFormula>
    </tableColumn>
    <tableColumn id="71" xr3:uid="{00000000-0010-0000-0000-000047000000}" name="FECHA ULTIMA REMISION URG" dataDxfId="426" dataCellStyle="Normal 2"/>
    <tableColumn id="273" xr3:uid="{00000000-0010-0000-0000-000011010000}" name="SALE DEL PROGRAMA POR" dataDxfId="425" dataCellStyle="Normal 2"/>
    <tableColumn id="275" xr3:uid="{00000000-0010-0000-0000-000013010000}" name=" EVENTO DE INTERES EN SALUD PÚBLICA DE LA MADRE" dataDxfId="424" dataCellStyle="Normal 2"/>
    <tableColumn id="276" xr3:uid="{00000000-0010-0000-0000-000014010000}" name=" EVENTO DE INTERES EN SALUD PÚBLICA DEL RECIÉN NACIDO2" dataDxfId="423" dataCellStyle="Normal 2"/>
    <tableColumn id="277" xr3:uid="{00000000-0010-0000-0000-000015010000}" name="FECHA DE SALIDA  DEL PROGRAMA" dataDxfId="422" dataCellStyle="Normal 2"/>
    <tableColumn id="278" xr3:uid="{00000000-0010-0000-0000-000016010000}" name="LUGAR DE ATENCION DEL PARTO" dataDxfId="421" dataCellStyle="Normal 2"/>
    <tableColumn id="281" xr3:uid="{00000000-0010-0000-0000-000019010000}" name="EDAD GESTACIONAL SALIDA PROGRAMA" dataDxfId="420" dataCellStyle="Normal 2">
      <calculatedColumnFormula>IF(AND(IW2&gt;0,IT2&lt;&gt;""),SUM(IW2-BK2)/7,"")</calculatedColumnFormula>
    </tableColumn>
    <tableColumn id="282" xr3:uid="{00000000-0010-0000-0000-00001A010000}" name="NOMBRE DE LA INSTITUCION DONDE SE ATENDIO EL PARTO O LUGAR ESPECIFICO DEL PARTO SI APLICA" dataDxfId="419" dataCellStyle="Normal 2"/>
    <tableColumn id="283" xr3:uid="{00000000-0010-0000-0000-00001B010000}" name="NIVEL DE COMPLEJIDAD DE LA ATENCION DE LA INSTITUCION DONDE SE ATENDIO EL PARTO" dataDxfId="418" dataCellStyle="Normal 2"/>
    <tableColumn id="284" xr3:uid="{00000000-0010-0000-0000-00001C010000}" name="PROFESIONAL O PERSONA QUE ATIENDE EL PARTO" dataDxfId="417" dataCellStyle="Normal 2"/>
    <tableColumn id="373" xr3:uid="{00000000-0010-0000-0000-000075010000}" name="INICIO TRABAJO DE PARTO" dataDxfId="416" dataCellStyle="Normal 2"/>
    <tableColumn id="285" xr3:uid="{00000000-0010-0000-0000-00001D010000}" name="ACOMPAÑAMIENTO POR PERSONA DE CONFIANZA DURANTE TRABAJO DE PARTO Y PARTO" dataDxfId="415" dataCellStyle="Normal 2"/>
    <tableColumn id="251" xr3:uid="{00000000-0010-0000-0000-0000FB000000}" name="DILIGENCIAMIENTO DE PARTOGRAMA (NO APLICA EN EXPULSIVO)" dataDxfId="414" dataCellStyle="Normal 2"/>
    <tableColumn id="261" xr3:uid="{00000000-0010-0000-0000-000005010000}" name="MANEJO ACTIVO DEL TERCER PERIODO DEL PARTO (USO OXITOCINA,MASAJE UTERINO Y TRACCIÓN SOSTENIDA DE CORDÓN)2" dataDxfId="413" dataCellStyle="Normal 2"/>
    <tableColumn id="262" xr3:uid="{00000000-0010-0000-0000-000006010000}" name="CONTACTO PIEL A PIEL DURANTE MÍNIMO 30 MINUTOS " dataDxfId="412" dataCellStyle="Normal 2"/>
    <tableColumn id="263" xr3:uid="{00000000-0010-0000-0000-000007010000}" name="INICIO DE LACTANCIA MATERNA DURANTE EL CONTACTO PIEL A PIEL O EN LA PRIMERA HORA DE VIDA" dataDxfId="411" dataCellStyle="Normal 2"/>
    <tableColumn id="92" xr3:uid="{00000000-0010-0000-0000-00005C000000}" name="MONITORIA CADA 15 MINUTOS DE SIGNOS VITALES DURANTES LAS PRIMERAS DOS HORAS POSTPARTO (SOPORTE EN HC - 8 VALORACIONES EN LAS PRIMERAS 2 HORAS)" dataDxfId="410" dataCellStyle="Normal 2"/>
    <tableColumn id="264" xr3:uid="{00000000-0010-0000-0000-000008010000}" name="COMPLICACIONES POSTPARTO - HASTA 42 DÍAS" dataDxfId="409" dataCellStyle="Normal 2"/>
    <tableColumn id="286" xr3:uid="{00000000-0010-0000-0000-00001E010000}" name="NUMERO NACIDOS VIVOS" dataDxfId="408" dataCellStyle="Normal 2"/>
    <tableColumn id="288" xr3:uid="{00000000-0010-0000-0000-000020010000}" name="SEXO RN" dataDxfId="407" dataCellStyle="Normal 2"/>
    <tableColumn id="289" xr3:uid="{00000000-0010-0000-0000-000021010000}" name="PESO RN  EN GRAMOS" dataDxfId="406" dataCellStyle="Normal 2"/>
    <tableColumn id="290" xr3:uid="{00000000-0010-0000-0000-000022010000}" name="PESO AL NACER POR EDAD GESTACIONAL" dataDxfId="405" dataCellStyle="Normal 2">
      <calculatedColumnFormula>IF(AND(JM2&gt;700,JM2&lt;2500,IY2&gt;36),"BAJO PESO AL NACER",IF(AND(JM2&gt;500,JM2&lt;2500,IY2&lt;37),"PREMATURO",IF(AND(JM2&gt;2499,JM2&lt;4000,IY2&gt;36),"PESO ADECUADO EDAD GESTACIONAL",IF(AND(JM2&gt;3999,JM2&lt;6000,IY2&gt;36),"PESO GRANDE EDAD GESTACIONAL",""))))</calculatedColumnFormula>
    </tableColumn>
    <tableColumn id="291" xr3:uid="{00000000-0010-0000-0000-000023010000}" name="FECHA TOMA TSH" dataDxfId="404" dataCellStyle="Normal 2"/>
    <tableColumn id="294" xr3:uid="{00000000-0010-0000-0000-000026010000}" name="RESULTADO TSH" dataDxfId="403" dataCellStyle="Normal 2"/>
    <tableColumn id="295" xr3:uid="{00000000-0010-0000-0000-000027010000}" name=" FECHA RESULTADO TSH" dataDxfId="402" dataCellStyle="Normal 2"/>
    <tableColumn id="296" xr3:uid="{00000000-0010-0000-0000-000028010000}" name="APLICACIÓN DE VIT K" dataDxfId="401" dataCellStyle="Normal 2"/>
    <tableColumn id="297" xr3:uid="{00000000-0010-0000-0000-000029010000}" name="GRUPO SANGUINEO RN" dataDxfId="400" dataCellStyle="Normal 2"/>
    <tableColumn id="298" xr3:uid="{00000000-0010-0000-0000-00002A010000}" name="FECHA APLICACIÓN VACUNA HEPATITIS B" dataDxfId="399" dataCellStyle="Normal 2"/>
    <tableColumn id="299" xr3:uid="{00000000-0010-0000-0000-00002B010000}" name="FECHA APLICACIÓN VACUNA BCG" dataDxfId="398" dataCellStyle="Normal 2"/>
    <tableColumn id="300" xr3:uid="{00000000-0010-0000-0000-00002C010000}" name="SEXO RN 2" dataDxfId="397" dataCellStyle="Normal 2"/>
    <tableColumn id="301" xr3:uid="{00000000-0010-0000-0000-00002D010000}" name="PESO RN 2 EN GRAMOS2" dataDxfId="396" dataCellStyle="Normal 2"/>
    <tableColumn id="302" xr3:uid="{00000000-0010-0000-0000-00002E010000}" name="PESO AL NACER POR EDAD GESTACIONAL RN 2" dataDxfId="395" dataCellStyle="Normal 2">
      <calculatedColumnFormula>IF(AND(JW2&gt;700,JW2&lt;2500,IY2&gt;36,IY2&lt;43),"BAJO PESO AL NACER",IF(AND(JW2&gt;700,JW2&lt;2500,IY2&lt;37),"PREMATURO",IF(AND(JW2&gt;2499,JW2&lt;4000,IY2&gt;36,IY2&lt;43),"PESO ADECUADO EDAD GESTACIONAL",IF(AND(JW2&gt;3999,JW2&lt;6000,IY2&gt;36,IY2&lt;43),"PESO GRANDE EDAD GESTACIONAL",""))))</calculatedColumnFormula>
    </tableColumn>
    <tableColumn id="303" xr3:uid="{00000000-0010-0000-0000-00002F010000}" name="FECHA TOMA TSH 2" dataDxfId="394" dataCellStyle="Normal 2"/>
    <tableColumn id="306" xr3:uid="{00000000-0010-0000-0000-000032010000}" name="RESULTADO TSH 2" dataDxfId="393" dataCellStyle="Normal 2"/>
    <tableColumn id="307" xr3:uid="{00000000-0010-0000-0000-000033010000}" name=" FECHA RESULTADO TSH 2" dataDxfId="392" dataCellStyle="Normal 2"/>
    <tableColumn id="308" xr3:uid="{00000000-0010-0000-0000-000034010000}" name="APLICACIÓN DE VIT K 2" dataDxfId="391" dataCellStyle="Normal 2"/>
    <tableColumn id="309" xr3:uid="{00000000-0010-0000-0000-000035010000}" name="GRUPO SANGUINEO RN 2" dataDxfId="390" dataCellStyle="Normal 2"/>
    <tableColumn id="310" xr3:uid="{00000000-0010-0000-0000-000036010000}" name="FECHA APLICACIÓN VACUNA HEPATITIS B 2" dataDxfId="389" dataCellStyle="Normal 2"/>
    <tableColumn id="311" xr3:uid="{00000000-0010-0000-0000-000037010000}" name="FECHA APLICACIÓN VACUNA BCG 2" dataDxfId="388" dataCellStyle="Normal 2"/>
    <tableColumn id="312" xr3:uid="{00000000-0010-0000-0000-000038010000}" name="CONTROL RN FECHA ASISTIO " dataDxfId="387" dataCellStyle="Normal 2"/>
    <tableColumn id="313" xr3:uid="{00000000-0010-0000-0000-000039010000}" name="ALARMA 1 CONTROL RN" dataDxfId="386" dataCellStyle="Normal 2">
      <calculatedColumnFormula>IF(AND(KF2&lt;&gt;"",KF2&lt;IW2),"INCONSISTENCIA FECHA CONTROL",IF(AND(OR(IT2="Parto",IT2="Cesarea"),KF2&gt;0,IW2&gt;0),SUM(KF2-IW2),IF(AND(OR(IT2="Parto",IT2="Cesarea"),KF2="",IW2&gt;0),"INASISTENTE","")))</calculatedColumnFormula>
    </tableColumn>
    <tableColumn id="314" xr3:uid="{00000000-0010-0000-0000-00003A010000}" name="CONTROL DE PUERPERIO FECHA" dataDxfId="385" dataCellStyle="Normal 2"/>
    <tableColumn id="316" xr3:uid="{00000000-0010-0000-0000-00003C010000}" name="ALARMA CONTROL PUERPERIO" dataDxfId="384" dataCellStyle="Normal 2">
      <calculatedColumnFormula>IF(AND(KH2&lt;&gt;"",KH2&lt;IW2),"INCONSISTENCIA FECHA CONTROL",IF(AND(OR(IT2="Parto",IT2="Cesarea",IT2="Aborto Espontaneo",IT2="Aborto Inducido",IT2="IVE"),KH2&gt;0,IW2&gt;0),SUM(KH2-IW2),IF(AND(KH2&lt;&gt;"",KH2&lt;IW2),"INCONSISTENCIA FECHA CONTROL",IF(AND(OR(IT2="Parto",IT2="Cesarea",IT2="Aborto Espontaneo",IT2="Aborto Inducido",IT2="IVE"),KH2="",IW2&gt;0),"INASISTENTE",""))))</calculatedColumnFormula>
    </tableColumn>
    <tableColumn id="317" xr3:uid="{00000000-0010-0000-0000-00003D010000}" name="ASESORIA EN LACTANCIA MATERNA EXCLUSIVA EN AMBITO HOSPITALARIO" dataDxfId="383" dataCellStyle="Normal 2"/>
    <tableColumn id="265" xr3:uid="{00000000-0010-0000-0000-000009010000}" name="ASESORIA EN PLANIFICACIÓN FAMILIAR POST EVENTO OBSTETRICO EN AMBITO HOSPITALARIO" dataDxfId="382" dataCellStyle="Normal 2"/>
    <tableColumn id="240" xr3:uid="{00000000-0010-0000-0000-0000F0000000}" name="PUERPERA SALE CON PLANIFICACIÓN FAMILIAR POST EVENTO OBSTETRICO " dataDxfId="381" dataCellStyle="Normal 2"/>
    <tableColumn id="97" xr3:uid="{00000000-0010-0000-0000-000061000000}" name="FECHA INSCRIPCION A PLANIFICACION FAMILIAR2" dataDxfId="380" dataCellStyle="Normal 2"/>
    <tableColumn id="319" xr3:uid="{00000000-0010-0000-0000-00003F010000}" name="METODO DE ANTICONCEPCION INICIADO POSTPARTO" dataDxfId="379" dataCellStyle="Normal 2"/>
    <tableColumn id="320" xr3:uid="{00000000-0010-0000-0000-000040010000}" name="TIPO DE APOYO REALIZADO POR LA EPS" dataDxfId="378" dataCellStyle="Normal 2"/>
    <tableColumn id="321" xr3:uid="{00000000-0010-0000-0000-000041010000}" name="TIPO DE APOYO REALIZADO POR LA IPS PRIMARIA" dataDxfId="377" dataCellStyle="Normal 2"/>
    <tableColumn id="322" xr3:uid="{00000000-0010-0000-0000-000042010000}" name="FECHA SEGUIMIENTO INICIAL POR PERSONAL DE SALUD EN TERRENO" dataDxfId="376" dataCellStyle="Normal 2"/>
    <tableColumn id="304" xr3:uid="{00000000-0010-0000-0000-000030010000}" name="FECHA ÚLTIMO SEGUIMIENTO" dataDxfId="375" dataCellStyle="Normal 2"/>
    <tableColumn id="318" xr3:uid="{00000000-0010-0000-0000-00003E010000}" name="NÚMERO DE SEGUIMIENTOS CPN" dataDxfId="374" dataCellStyle="Normal 2"/>
    <tableColumn id="183" xr3:uid="{00000000-0010-0000-0000-0000B7000000}" name="HALLAZGO GESTACIÓN SEGUIMIENTO POR VISITA DOMICILIARIA" dataDxfId="373" dataCellStyle="Normal 2"/>
    <tableColumn id="332" xr3:uid="{00000000-0010-0000-0000-00004C010000}" name="FECHA SEGUIMIENTOS TELÉFONICOS" dataDxfId="372" dataCellStyle="Normal 2"/>
    <tableColumn id="266" xr3:uid="{00000000-0010-0000-0000-00000A010000}" name="NÚMERO SEGUIMIENTOS TELÉFONCOS" dataDxfId="371" dataCellStyle="Normal 2"/>
    <tableColumn id="267" xr3:uid="{00000000-0010-0000-0000-00000B010000}" name="OBSERVACIÓN SEGUIMIENTO TELÉFONCO" dataDxfId="370" dataCellStyle="Normal 2"/>
    <tableColumn id="272" xr3:uid="{00000000-0010-0000-0000-000010010000}" name="FECHA SEGUIMIENTO POR PERSONAL DE SALUD EN TERRENO  EN PUERPERIO" dataDxfId="369" dataCellStyle="Normal 2"/>
    <tableColumn id="344" xr3:uid="{00000000-0010-0000-0000-000058010000}" name="HALLAZGOS ACOMPAÑAMIENTO PERSONAL DE SALUD PUERPERA" dataDxfId="368" dataCellStyle="Normal 2"/>
    <tableColumn id="347" xr3:uid="{00000000-0010-0000-0000-00005B010000}" name="HALLAZGOS ACOMPAÑAMIENTO PERSONAL DE SALUD RECIEN NACIDO" dataDxfId="367" dataCellStyle="Normal 2"/>
    <tableColumn id="348" xr3:uid="{00000000-0010-0000-0000-00005C010000}" name="FECHA ULTIMO SEGUIMIENTO POR PERSONAL DE SALUD EN TERRENO  EN PUERPERIO" dataDxfId="366" dataCellStyle="Normal 2"/>
    <tableColumn id="349" xr3:uid="{00000000-0010-0000-0000-00005D010000}" name="NÚMERO DE SEGUIMIENTOS EN PUERPERIO" dataDxfId="365" dataCellStyle="Normal 2"/>
    <tableColumn id="350" xr3:uid="{00000000-0010-0000-0000-00005E010000}" name="FECHA PRIMER ACOMPAÑAMIENTO SABEDOR ANCESTRAL" dataDxfId="364" dataCellStyle="Normal 2"/>
    <tableColumn id="22" xr3:uid="{00000000-0010-0000-0000-000016000000}" name="TIPO DE SABEDOR" dataDxfId="363" dataCellStyle="Normal 2"/>
    <tableColumn id="191" xr3:uid="{00000000-0010-0000-0000-0000BF000000}" name="NECESIDAD O DESARMONIA DESDE LO PROPIO 1" dataDxfId="362" dataCellStyle="Normal 2"/>
    <tableColumn id="353" xr3:uid="{00000000-0010-0000-0000-000061010000}" name="ACTIVIDAD O RITUALIDAD REALIZADA1" dataDxfId="361" dataCellStyle="Normal 2"/>
    <tableColumn id="93" xr3:uid="{00000000-0010-0000-0000-00005D000000}" name="FECHA  ACOMPAÑAMIENTO SABEDOR ANCESTRAL2" dataDxfId="360" dataCellStyle="Normal 2"/>
    <tableColumn id="354" xr3:uid="{00000000-0010-0000-0000-000062010000}" name="TIPO DE SABEDOR2" dataDxfId="359" dataCellStyle="Normal 2"/>
    <tableColumn id="355" xr3:uid="{00000000-0010-0000-0000-000063010000}" name="NECESIDAD O DESARMONIA DESDE LO PROPIO 12" dataDxfId="358" dataCellStyle="Normal 2"/>
    <tableColumn id="107" xr3:uid="{00000000-0010-0000-0000-00006B000000}" name="ACTIVIDAD O RITUALIDAD REALIZADA13" dataDxfId="357" dataCellStyle="Normal 2"/>
    <tableColumn id="357" xr3:uid="{00000000-0010-0000-0000-000065010000}" name="FECHA ACOMPAÑAMIENTO SABEDOR ANCESTRAL3" dataDxfId="356" dataCellStyle="Normal 2"/>
    <tableColumn id="358" xr3:uid="{00000000-0010-0000-0000-000066010000}" name="TIPO DE SABEDOR3" dataDxfId="355" dataCellStyle="Normal 2"/>
    <tableColumn id="359" xr3:uid="{00000000-0010-0000-0000-000067010000}" name="NECESIDAD O DESARMONIA DESDE LO PROPIO 13" dataDxfId="354" dataCellStyle="Normal 2"/>
    <tableColumn id="360" xr3:uid="{00000000-0010-0000-0000-000068010000}" name="ACTIVIDAD O RITUALIDAD REALIZADA14" dataDxfId="353" dataCellStyle="Normal 2"/>
    <tableColumn id="361" xr3:uid="{00000000-0010-0000-0000-000069010000}" name="FECHA ACOMPAÑAMIENTO SABEDOR ANCESTRAL4" dataDxfId="352" dataCellStyle="Normal 2"/>
    <tableColumn id="109" xr3:uid="{00000000-0010-0000-0000-00006D000000}" name="TIPO DE SABEDOR4" dataDxfId="351" dataCellStyle="Normal 2"/>
    <tableColumn id="362" xr3:uid="{00000000-0010-0000-0000-00006A010000}" name="NECESIDAD O DESARMONIA DESDE LO PROPIO 14" dataDxfId="350" dataCellStyle="Normal 2"/>
    <tableColumn id="364" xr3:uid="{00000000-0010-0000-0000-00006C010000}" name="ACTIVIDAD O RITUALIDAD REALIZADA15" dataDxfId="349" dataCellStyle="Normal 2"/>
    <tableColumn id="365" xr3:uid="{00000000-0010-0000-0000-00006D010000}" name="FECHA ACOMPAÑAMIENTO SABEDOR ANCESTRAL5" dataDxfId="348" dataCellStyle="Normal 2"/>
    <tableColumn id="366" xr3:uid="{00000000-0010-0000-0000-00006E010000}" name="TIPO DE SABEDOR5" dataDxfId="347" dataCellStyle="Normal 2"/>
    <tableColumn id="367" xr3:uid="{00000000-0010-0000-0000-00006F010000}" name="NECESIDAD O DESARMONIA DESDE LO PROPIO 15" dataDxfId="346" dataCellStyle="Normal 2"/>
    <tableColumn id="369" xr3:uid="{00000000-0010-0000-0000-000071010000}" name="ACTIVIDAD O RITUALIDAD REALIZADA16" dataDxfId="345" dataCellStyle="Normal 2"/>
    <tableColumn id="370" xr3:uid="{00000000-0010-0000-0000-000072010000}" name="FECHA ACOMPAÑAMIENTO SABEDOR ANCESTRAL PUERPERIO Y RECIEN NACIDO" dataDxfId="344" dataCellStyle="Normal 2"/>
    <tableColumn id="371" xr3:uid="{00000000-0010-0000-0000-000073010000}" name="TIPO DE SABEDOR6" dataDxfId="343" dataCellStyle="Normal 2"/>
    <tableColumn id="372" xr3:uid="{00000000-0010-0000-0000-000074010000}" name="NECESIDAD O DESARMONIA DESDE LO PROPIO 16" dataDxfId="342" dataCellStyle="Normal 2"/>
    <tableColumn id="69" xr3:uid="{00000000-0010-0000-0000-000045000000}" name="ACTIVIDAD O RITUALIDAD REALIZADA 6" dataDxfId="341" dataCellStyle="Normal 2"/>
    <tableColumn id="374" xr3:uid="{00000000-0010-0000-0000-000076010000}" name="FECHA ACOMPAÑAMIENTO SABEDOR ANCESTRAL PUERPERIO Y RECIEN NACIDO2" dataDxfId="340" dataCellStyle="Normal 2"/>
    <tableColumn id="182" xr3:uid="{00000000-0010-0000-0000-0000B6000000}" name="TIPO DE SABEDOR7" dataDxfId="339" dataCellStyle="Normal 2"/>
    <tableColumn id="274" xr3:uid="{00000000-0010-0000-0000-000012010000}" name="NECESIDAD O DESARMONIA DESDE LO PROPIO 17" dataDxfId="338" dataCellStyle="Normal 2"/>
    <tableColumn id="292" xr3:uid="{00000000-0010-0000-0000-000024010000}" name="ACTIVIDAD O RITUALIDAD REALIZADA18" dataDxfId="337" dataCellStyle="Normal 2"/>
    <tableColumn id="323" xr3:uid="{00000000-0010-0000-0000-000043010000}" name="FECHA ACOMPAÑAMIENTO SABEDOR ANCESTRAL PUERPERIO Y RECIEN NACIDO22" dataDxfId="336" dataCellStyle="Normal 2"/>
    <tableColumn id="324" xr3:uid="{00000000-0010-0000-0000-000044010000}" name="TIPO DE SABEDOR73" dataDxfId="335" dataCellStyle="Normal 2"/>
    <tableColumn id="325" xr3:uid="{00000000-0010-0000-0000-000045010000}" name="NECESIDAD O DESARMONIA DESDE LO PROPIO 174" dataDxfId="334" dataCellStyle="Normal 2"/>
    <tableColumn id="326" xr3:uid="{00000000-0010-0000-0000-000046010000}" name="ACTIVIDAD O RITUALIDAD REALIZADA185" dataDxfId="333" dataCellStyle="Normal 2"/>
    <tableColumn id="327" xr3:uid="{00000000-0010-0000-0000-000047010000}" name="FECHA ACOMPAÑAMIENTO SABEDOR ANCESTRAL PUERPERIO Y RECIEN NACIDO222" dataDxfId="332" dataCellStyle="Normal 2"/>
    <tableColumn id="328" xr3:uid="{00000000-0010-0000-0000-000048010000}" name="TIPO DE SABEDOR733" dataDxfId="331" dataCellStyle="Normal 2"/>
    <tableColumn id="329" xr3:uid="{00000000-0010-0000-0000-000049010000}" name="NECESIDAD O DESARMONIA DESDE LO PROPIO 1744" dataDxfId="330" dataCellStyle="Normal 2"/>
    <tableColumn id="330" xr3:uid="{00000000-0010-0000-0000-00004A010000}" name="ACTIVIDAD O RITUALIDAD REALIZADA1855" dataDxfId="329" dataCellStyle="Normal 2"/>
    <tableColumn id="331" xr3:uid="{00000000-0010-0000-0000-00004B010000}" name="FECHA ACOMPAÑAMIENTO SABEDOR ANCESTRAL PUERPERIO Y RECIEN NACIDO2222" dataDxfId="328" dataCellStyle="Normal 2"/>
    <tableColumn id="375" xr3:uid="{00000000-0010-0000-0000-000077010000}" name="TIPO DE SABEDOR7333" dataDxfId="327" dataCellStyle="Normal 2"/>
    <tableColumn id="376" xr3:uid="{00000000-0010-0000-0000-000078010000}" name="NECESIDAD O DESARMONIA DESDE LO PROPIO 17444" dataDxfId="326" dataCellStyle="Normal 2"/>
    <tableColumn id="377" xr3:uid="{00000000-0010-0000-0000-000079010000}" name="ACTIVIDAD O RITUALIDAD REALIZADA18555" dataDxfId="325" dataCellStyle="Normal 2"/>
    <tableColumn id="383" xr3:uid="{00000000-0010-0000-0000-00007F010000}" name="TOTAL SEGUIMIENTOS POR PARTERA" dataDxfId="324">
      <calculatedColumnFormula>SUM(COUNTIF(LD2,"PARTERO (A)"),COUNTIF(LH2,"PARTERO (A)"),COUNTIF(LL2,"PARTERO (A)"),COUNTIF(LP2,"PARTERO (A)"),COUNTIF(LT2,"PARTERO (A)"),COUNTIF(LX2,"PARTERO (A)"),COUNTIF(MN2,"PARTERO (A)"))</calculatedColumnFormula>
    </tableColumn>
    <tableColumn id="384" xr3:uid="{00000000-0010-0000-0000-000080010000}" name="EDAD GESTACIONAL PRIMER ACOMPAÑAMIENTO SABEDOR ANCESTRAL">
      <calculatedColumnFormula>IF(AND(R2="",O2=""),"",IF(AND(OR(O2&gt;0,R2&gt;0),LC2&gt;0),SUM(LC2-BK2)/7,""))</calculatedColumnFormula>
    </tableColumn>
    <tableColumn id="387" xr3:uid="{00000000-0010-0000-0000-000083010000}" name="TRIMESTRE DE GESTACIÓN AL PRIMER SEGUIMIENTO POR SABEDOR">
      <calculatedColumnFormula>IF(AND(MR2="",BP2=""),"",IF(AND(MR2&lt;&gt;"",BP2="SIN DATO"),"SIN DATO",IF(AND(MR2="",BP2&lt;&gt;""),"",IF(AND(MR2&lt;0,BP2&gt;0),"ERROR FUM O INGRESO",IF(MR2&lt;=13,"I TRIM",IF(MR2&lt;28,"II TRIM",IF(AND(MR2&gt;27,MR2&lt;45),"III TRIM","POR DEFINIR")))))))</calculatedColumnFormula>
    </tableColumn>
    <tableColumn id="385" xr3:uid="{00000000-0010-0000-0000-000081010000}" name="TOTAL SEGUIMIENTOS POR MEDICINA TRADICIONAL">
      <calculatedColumnFormula>SUM(COUNTIF(LD2,"MEDICO (A) TRADICIONAL"),COUNTIF(LH2,"MEDICO (A) TRADICIONAL"),COUNTIF(LL2,"MEDICO (A) TRADICIONAL"),COUNTIF(LP2,"MEDICO (A) TRADICIONAL"),COUNTIF(LT2,"MEDICO (A) TRADICIONAL"),COUNTIF(LX2,"MEDICO (A) TRADICIONAL"),COUNTIF(MN2,"MEDICO (A) TRADICIONAL"))</calculatedColumnFormula>
    </tableColumn>
    <tableColumn id="393" xr3:uid="{00000000-0010-0000-0000-000089010000}" name="OPORTUNIDAD EN DIAS, INGRESO AL CONTROL PRENATAL DESDE EL MOMENDO DE LA IDENTIFICACIÓN">
      <calculatedColumnFormula>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calculatedColumnFormula>
    </tableColumn>
    <tableColumn id="394" xr3:uid="{00000000-0010-0000-0000-00008A010000}" name="EDAD GESTACIONAL AL MOMENTO DE LA IDENTIFICACIÓN">
      <calculatedColumnFormula>IF(AND(O2&gt;0,BK2&gt;0),SUM(O2-BK2)/7,"")</calculatedColumnFormula>
    </tableColumn>
    <tableColumn id="184" xr3:uid="{00000000-0010-0000-0000-0000B8000000}" name="MES2 INGRESO CPN">
      <calculatedColumnFormula>IF(R2&gt;0,MONTH(R2),"")</calculatedColumnFormula>
    </tableColumn>
    <tableColumn id="192" xr3:uid="{00000000-0010-0000-0000-0000C0000000}" name="AÑO3 INGRESO CPN">
      <calculatedColumnFormula>IF(R2&gt;0,YEAR(R2),"")</calculatedColumnFormula>
    </tableColumn>
    <tableColumn id="193" xr3:uid="{00000000-0010-0000-0000-0000C1000000}" name="TRIM DEL AÑOS4 INGRESO CPN">
      <calculatedColumnFormula>IF(AND(MW2&gt;=1,MW2&lt;=3),"I TRIMESTRE AÑO",IF(AND(MW2&gt;=4,MW2&lt;=6),"II TRIMESTRE AÑO",IF(AND(MW2&gt;=7,MW2&lt;=9),"III TRIMESTRE AÑO",IF(AND(MW2&gt;=10,MW2&lt;=12),"IV TRIMESTRE AÑO",""))))</calculatedColumnFormula>
    </tableColumn>
    <tableColumn id="197" xr3:uid="{00000000-0010-0000-0000-0000C5000000}" name="AÑOS AL INICIO5 CPN">
      <calculatedColumnFormula>IF(AND(M2&gt;0,R2&gt;0),DAYS360(M2,R2)/30.44/12,IF(AND(M2&gt;0,O2&gt;0,R2=""),DAYS360(M2,O2)/30.44/12,""))</calculatedColumnFormula>
    </tableColumn>
    <tableColumn id="198" xr3:uid="{00000000-0010-0000-0000-0000C6000000}" name="PUNTAJE ERBPS6 EDAD">
      <calculatedColumnFormula>IF(AND(MZ2&gt;7,MZ2&lt;14),2,IF(MZ2&lt;16,1,IF(MZ2&lt;=35,0,IF(AND(MZ2&gt;35,MZ2&lt;50),2,""))))</calculatedColumnFormula>
    </tableColumn>
    <tableColumn id="199" xr3:uid="{00000000-0010-0000-0000-0000C7000000}" name="RANGO DE EDAD INICIO7">
      <calculatedColumnFormula>+IF(MZ2="","",IF(MZ2&lt;14,"MENOR 14 AÑOS",IF(MZ2&lt;20,"DE 14 A 19AÑOS",IF(MZ2&lt;25," DE 20 A 24 AÑOS",IF(MZ2&lt;30," DE 25 A 29 AÑOS",IF(MZ2&lt;35," DE 30 A 34 AÑOS",IF(MZ2&lt;40," DE 35 A 39 AÑOS"," DE 40 Y MAS")))))))</calculatedColumnFormula>
    </tableColumn>
    <tableColumn id="211" xr3:uid="{00000000-0010-0000-0000-0000D3000000}" name="OBITO MUERTE PERINAT2">
      <calculatedColumnFormula>IF(AW2="SI",1,IF(AW2="NO",0,""))</calculatedColumnFormula>
    </tableColumn>
    <tableColumn id="213" xr3:uid="{00000000-0010-0000-0000-0000D5000000}" name="PARTOS23">
      <calculatedColumnFormula>IF(AS2="","",IF(AS2=0,1,IF(AND(AS2&gt;=1,AS2&lt;=4),0,IF(AS2&gt;=5,2,"X"))))</calculatedColumnFormula>
    </tableColumn>
    <tableColumn id="215" xr3:uid="{00000000-0010-0000-0000-0000D7000000}" name="CESAREAS34">
      <calculatedColumnFormula>IF(AV2="","",IF(AV2=0,0,IF(AV2=1,1,IF(OR(AV2=2,AV2="3 O MAS"),2,"X"))))</calculatedColumnFormula>
    </tableColumn>
    <tableColumn id="227" xr3:uid="{00000000-0010-0000-0000-0000E3000000}" name="EMB ECTOP CX UTER5">
      <calculatedColumnFormula>IF(AX2="SI",1,IF(AX2="NO",0,""))</calculatedColumnFormula>
    </tableColumn>
    <tableColumn id="80" xr3:uid="{00000000-0010-0000-0000-000050000000}" name="PUNTAJE ANEMIA RBPS">
      <calculatedColumnFormula>IF(OR(AND(EI2&gt;0,EI2&lt;11),AND(EN2&gt;0,EN2&lt;10.5)),1,"")</calculatedColumnFormula>
    </tableColumn>
    <tableColumn id="78" xr3:uid="{00000000-0010-0000-0000-00004E000000}" name="PUNTAJE EMBARAZO PROLONGADO RBPS2">
      <calculatedColumnFormula>IF(AND(AND(BQ2&gt;40.9,BQ2&lt;43),IW2=""),1,"")</calculatedColumnFormula>
    </tableColumn>
    <tableColumn id="82" xr3:uid="{00000000-0010-0000-0000-000052000000}" name="PUNTAJE VIH RBPS3">
      <calculatedColumnFormula>IF(AND(FY2="",GB2="",GE2="",GH2=""),"",IF(OR(OR(FY2="P.R REACTIVA",FY2="ELISA REACTIVA"),OR(GB2="P.R REACTIVA",GB2="ELISA REACTIVA"),OR(GE2="P.R REACTIVA",GE2="ELISA REACTIVA"),OR(GH2="P.R REACTIVA",GH2="ELISA REACTIVA")),3,""))</calculatedColumnFormula>
    </tableColumn>
    <tableColumn id="378" xr3:uid="{00000000-0010-0000-0000-00007A010000}" name="PUNTAJE PRESENTACIÓN RBPS4" dataDxfId="323">
      <calculatedColumnFormula>IF(BX2="","",IF(OR(BX2="CEFÁLICA",BX2="SD"),0,IF(OR(BX2="PODÁLICA",BX2="TRANSVERSA O DE FRENTE",BX2="OBLICUA"),3,"")))</calculatedColumnFormula>
    </tableColumn>
    <tableColumn id="379" xr3:uid="{00000000-0010-0000-0000-00007B010000}" name="PUNTAJE TAMIZAJE CHAGAS RBPS5" dataDxfId="322">
      <calculatedColumnFormula>IF(HD2="","",IF(HD2="POSITIVO",2,"0"))</calculatedColumnFormula>
    </tableColumn>
    <tableColumn id="380" xr3:uid="{00000000-0010-0000-0000-00007C010000}" name="PUNTAJE TAMIZAJE MALARIA RBPS6" dataDxfId="321">
      <calculatedColumnFormula>IF(AND(HF2="",HH2=""),"",IF(OR(HF2="POSITIVO",HH2="POSITIVO"),3,0))</calculatedColumnFormula>
    </tableColumn>
    <tableColumn id="231" xr3:uid="{00000000-0010-0000-0000-0000E7000000}" name="PUNTAJE TOTAL ERBPS2" dataDxfId="320">
      <calculatedColumnFormula>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calculatedColumnFormula>
    </tableColumn>
    <tableColumn id="235" xr3:uid="{00000000-0010-0000-0000-0000EB000000}" name="PUNT. RIESGO MODERADO COMPL HIPERTENSIVAS2">
      <calculatedColumnFormula>IF(OR(O2&gt;0,R2&gt;0),SUM(COUNTIF(Tabla1[[#This Row],[AÑOS AL INICIO5 CPN]],"&gt;=40"),COUNTIF(AR2,"0"),COUNTIF(AQ2,"SI"),COUNTIF(BW2,"SI"),COUNTIF(BM2,"&gt;119"),COUNTIF(CC2,"&gt;=35")),"")</calculatedColumnFormula>
    </tableColumn>
    <tableColumn id="116" xr3:uid="{00000000-0010-0000-0000-000074000000}" name="EDAD GESTACIÓN DPT ACELULAR" dataDxfId="319">
      <calculatedColumnFormula>IF(AND(R2="",O2=""),"",IF(AND(OR(O2&gt;0,R2&gt;0),BK2=""),"SD",IF(AND(OR(O2&gt;0,R2&gt;0),IM2&gt;0),SUM(IM2-BK2)/7,"")))</calculatedColumnFormula>
    </tableColumn>
    <tableColumn id="17" xr3:uid="{00000000-0010-0000-0000-000011000000}" name="CUENTA RIESGO PSICOSOCIAL">
      <calculatedColumnFormula>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calculatedColumnFormula>
    </tableColumn>
    <tableColumn id="18" xr3:uid="{00000000-0010-0000-0000-000012000000}" name="DIAS GESTACION ECO 12">
      <calculatedColumnFormula>IF(BS2&gt;0,BS2*7,"")</calculatedColumnFormula>
    </tableColumn>
    <tableColumn id="86" xr3:uid="{00000000-0010-0000-0000-000056000000}" name="DIAS2 " dataDxfId="318">
      <calculatedColumnFormula>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calculatedColumnFormula>
    </tableColumn>
    <tableColumn id="108" xr3:uid="{00000000-0010-0000-0000-00006C000000}" name="MES PARTO">
      <calculatedColumnFormula>MONTH(Tabla1[[#This Row],[FECHA DE SALIDA  DEL PROGRAMA]])</calculatedColumnFormula>
    </tableColumn>
    <tableColumn id="98" xr3:uid="{00000000-0010-0000-0000-000062000000}" name="AÑO PARTO">
      <calculatedColumnFormula>YEAR(Tabla1[[#This Row],[FECHA DE SALIDA  DEL PROGRAMA]])</calculatedColumnFormula>
    </tableColumn>
    <tableColumn id="88" xr3:uid="{00000000-0010-0000-0000-000058000000}" name="OPORTUNIDAD CONSULTA GINECOLOGÍA (DIAS)">
      <calculatedColumnFormula>IF(AND(O2&gt;0,R2=""),"NO CPN",IF(AND(O2="",R2=""),"",IF(AND(R2&gt;0,EF2&gt;0,EE2&gt;0),_xlfn.DAYS(EF2,EE2),IF(AND(R2&gt;0,EF2&gt;0,EE2=""),"NO CITA","X"))))</calculatedColumnFormula>
    </tableColumn>
    <tableColumn id="166" xr3:uid="{00000000-0010-0000-0000-0000A6000000}" name="GESTANTES CON RESULTADO DE EXAMENES DE INGRESO ">
      <calculatedColumnFormula>IF(AND(O2&gt;0,R2=""),"NO CPN",IF(AND(O2="",R2=""),"",IF(AND(EJ2&lt;&gt;"",ES2&lt;&gt;"",EW2&lt;&gt;"",FF2&lt;&gt;"",FU2&lt;&gt;"",FZ2&lt;&gt;"",GO2&lt;&gt;"",GQ2&lt;&gt;"",GR2&lt;&gt;""),"SI","NO")))</calculatedColumnFormula>
    </tableColumn>
    <tableColumn id="194" xr3:uid="{00000000-0010-0000-0000-0000C2000000}" name="GESTANTES CON RESULTADOS DE EXAMENES II TRIMESTRE">
      <calculatedColumnFormula>IF(AND(O2&gt;0,R2=""),"NO CPN",IF(AND(O2="",R2=""),"",IF(AND(R2&gt;0,Tabla1[[#This Row],[SEMANAS DE GESTACION ACTUALIZADAS]]&lt;=12),"NO APLICA",IF(AND(FC2&lt;&gt;"",FI2&lt;&gt;""),"SI","NO"))))</calculatedColumnFormula>
    </tableColumn>
    <tableColumn id="195" xr3:uid="{00000000-0010-0000-0000-0000C3000000}" name="GESTANTES CON RESULTADOS DE EXAMENES III TRIMESTRE2" dataDxfId="317">
      <calculatedColumnFormula>IF(AND(O2&gt;0,R2=""),"NO CPN",IF(AND(O2="",R2=""),"",IF(AND(R2&gt;0,Tabla1[[#This Row],[SEMANAS DE GESTACION ACTUALIZADAS]]&lt;=27),"NO APLICA",IF(AND(EO2&lt;&gt;"",FL2&lt;&gt;"",GF2&lt;&gt;""),"SI","NO"))))</calculatedColumnFormula>
    </tableColumn>
    <tableColumn id="334" xr3:uid="{00000000-0010-0000-0000-00004E010000}" name="CAPTACIÓN A SEMANA 10" dataDxfId="316" dataCellStyle="Normal 2">
      <calculatedColumnFormula>IF(AND(BO2="",IP2=""),"",IF(AND(BO2="",IP2="DEFINIR FPP POR ECO"),"SIN DATO",IF(BO2&lt;0,"ERROR FUM O INGRESO",IF(BL2="NO","DEFINIR CON ECO",IF(BO2&lt;10,"I TRIM",IF(BO2&lt;27,"II TRIM",IF(AND(BO2&gt;26,BO2&lt;45),"III TRIM","ERROR FUM O INGRESO")))))))</calculatedColumnFormula>
    </tableColumn>
    <tableColumn id="389" xr3:uid="{00000000-0010-0000-0000-000085010000}" name="Puntaje ROBSON" dataDxfId="315" dataCellStyle="Normal 2">
      <calculatedColumnFormula>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calculatedColumnFormula>
    </tableColumn>
    <tableColumn id="390" xr3:uid="{00000000-0010-0000-0000-000086010000}" name="# DE TAMIZAJES VIH Y SIFILIS A TOMAR SEGÚN TRIM INICIO CPN Y SALIDA DEL PROGRAMA" dataDxfId="314" dataCellStyle="Normal 2">
      <calculatedColumnFormula>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calculatedColumnFormula>
    </tableColumn>
    <tableColumn id="391" xr3:uid="{00000000-0010-0000-0000-000087010000}" name="# DE TAMIZAJES SIFILIS TOMADOS " dataDxfId="313" dataCellStyle="Normal 2">
      <calculatedColumnFormula>COUNT(FG2,FJ2,FM2,FO2)</calculatedColumnFormula>
    </tableColumn>
    <tableColumn id="392" xr3:uid="{00000000-0010-0000-0000-000088010000}" name="# DE TAMIZAJES VIH TOMADOS " dataDxfId="312" dataCellStyle="Normal 2">
      <calculatedColumnFormula>COUNT(GA2,GD2,GG2,GI2)</calculatedColumnFormula>
    </tableColumn>
    <tableColumn id="396" xr3:uid="{00000000-0010-0000-0000-00008C010000}" name="Alarma de apoyo Tamizaje Sífilis" dataDxfId="311" dataCellStyle="Normal 2">
      <calculatedColumnFormula>IF(OA2="","",IF(OA2="REVISAR FUM O FECHA SALIDA PROGRAMA","POR DEFINIR",IF(OR(OA2=OB2,OB2&gt;OA2),"COMPLETO",IF(OB2&lt;OA2,"INCOMPLETO",""))))</calculatedColumnFormula>
    </tableColumn>
    <tableColumn id="397" xr3:uid="{00000000-0010-0000-0000-00008D010000}" name="Alarma de apoyo Tamizaje VIH" dataDxfId="310" dataCellStyle="Normal 2">
      <calculatedColumnFormula>IF(OA2="","",IF(OA2="REVISAR FUM O FECHA SALIDA PROGRAMA","POR DEFINIR",IF(OR(OA2=OC2,OC2&gt;OA2),"COMPLETO",IF(OC2&lt;OA2,"INCOMPLETO",""))))</calculatedColumnFormula>
    </tableColumn>
    <tableColumn id="270" xr3:uid="{00000000-0010-0000-0000-00000E010000}" name="# DE MUJERES CON SUMINISTRO ADECUADO DE MICRONUTRIENTES" dataDxfId="309" dataCellStyle="Normal 2">
      <calculatedColumnFormula>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calculatedColumnFormula>
    </tableColumn>
    <tableColumn id="395" xr3:uid="{00000000-0010-0000-0000-00008B010000}" name="Alarma apoyo DPT Acelular vacunadas" dataDxfId="308" dataCellStyle="Normal 2">
      <calculatedColumnFormula>IF(AND(O2="",R2=""),"",IF(OR(IN2="VACUNA APLICADA ENTRE SEMANA 20 Y SEMANA 26",IN2="VACUNA APLICADA ENTRE SEMANA 27 Y EL PARTO",IN2="VACUNA APLICADA ANTES SEMANA 20"),"VACUNADA","SIN VACUNAR"))</calculatedColumnFormula>
    </tableColumn>
  </tableColumns>
  <tableStyleInfo name="TableStyleLight21"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4.bin"/><Relationship Id="rId1" Type="http://schemas.openxmlformats.org/officeDocument/2006/relationships/printerSettings" Target="../printerSettings/printerSettings3.bin"/><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D5"/>
  <sheetViews>
    <sheetView zoomScale="70" zoomScaleNormal="70" workbookViewId="0">
      <selection activeCell="D5" sqref="D5"/>
    </sheetView>
  </sheetViews>
  <sheetFormatPr baseColWidth="10" defaultRowHeight="15" x14ac:dyDescent="0.25"/>
  <cols>
    <col min="1" max="1" width="38.28515625" customWidth="1"/>
    <col min="2" max="3" width="30.7109375" customWidth="1"/>
    <col min="4" max="4" width="34.140625" customWidth="1"/>
    <col min="5" max="5" width="22.85546875" customWidth="1"/>
    <col min="6" max="6" width="22.7109375" customWidth="1"/>
    <col min="7" max="7" width="22.85546875" customWidth="1"/>
    <col min="8" max="8" width="23.28515625" customWidth="1"/>
    <col min="9" max="10" width="23" customWidth="1"/>
    <col min="11" max="11" width="23.28515625" customWidth="1"/>
    <col min="12" max="12" width="22.85546875" customWidth="1"/>
    <col min="13" max="13" width="22.5703125" customWidth="1"/>
    <col min="14" max="14" width="22.28515625" customWidth="1"/>
    <col min="15" max="15" width="23.140625" customWidth="1"/>
    <col min="16" max="16" width="27.42578125" customWidth="1"/>
    <col min="17" max="17" width="22.5703125" customWidth="1"/>
    <col min="18" max="18" width="23" customWidth="1"/>
    <col min="19" max="19" width="16" customWidth="1"/>
    <col min="20" max="20" width="16.5703125" customWidth="1"/>
    <col min="21" max="21" width="17" customWidth="1"/>
    <col min="22" max="22" width="18.85546875" customWidth="1"/>
    <col min="23" max="23" width="16.7109375" customWidth="1"/>
    <col min="24" max="24" width="17.7109375" customWidth="1"/>
    <col min="25" max="25" width="18.5703125" customWidth="1"/>
    <col min="26" max="26" width="15.7109375" customWidth="1"/>
    <col min="27" max="27" width="16.28515625" customWidth="1"/>
    <col min="28" max="28" width="17.5703125" customWidth="1"/>
    <col min="29" max="29" width="19.42578125" customWidth="1"/>
    <col min="30" max="30" width="22.42578125" customWidth="1"/>
    <col min="31" max="31" width="21.28515625" customWidth="1"/>
    <col min="32" max="32" width="28.85546875" customWidth="1"/>
    <col min="33" max="33" width="23.28515625" customWidth="1"/>
    <col min="34" max="34" width="27.140625" customWidth="1"/>
    <col min="35" max="35" width="23.140625" customWidth="1"/>
    <col min="36" max="36" width="16.140625" customWidth="1"/>
    <col min="37" max="37" width="18.85546875" customWidth="1"/>
    <col min="38" max="38" width="14.140625" customWidth="1"/>
    <col min="39" max="39" width="15.28515625" customWidth="1"/>
    <col min="40" max="40" width="14.5703125" customWidth="1"/>
    <col min="42" max="42" width="12" customWidth="1"/>
    <col min="43" max="43" width="14.28515625" customWidth="1"/>
    <col min="44" max="44" width="18.5703125" customWidth="1"/>
    <col min="45" max="45" width="17.42578125" customWidth="1"/>
    <col min="46" max="46" width="17.28515625" customWidth="1"/>
    <col min="47" max="47" width="16.42578125" customWidth="1"/>
    <col min="48" max="48" width="16" customWidth="1"/>
    <col min="49" max="49" width="21" customWidth="1"/>
    <col min="50" max="50" width="21.85546875" customWidth="1"/>
    <col min="51" max="51" width="17.7109375" customWidth="1"/>
    <col min="52" max="52" width="16.85546875" customWidth="1"/>
    <col min="53" max="53" width="16.28515625" customWidth="1"/>
    <col min="54" max="63" width="14.85546875" customWidth="1"/>
    <col min="64" max="64" width="19.28515625" customWidth="1"/>
    <col min="65" max="65" width="15.140625" customWidth="1"/>
    <col min="66" max="66" width="23.140625" customWidth="1"/>
    <col min="67" max="67" width="14.5703125" customWidth="1"/>
    <col min="68" max="68" width="14.28515625" customWidth="1"/>
    <col min="69" max="69" width="16.7109375" customWidth="1"/>
    <col min="70" max="70" width="15.28515625" customWidth="1"/>
    <col min="71" max="71" width="14.7109375" customWidth="1"/>
    <col min="74" max="74" width="21" customWidth="1"/>
    <col min="75" max="75" width="19.28515625" customWidth="1"/>
    <col min="76" max="76" width="36.140625" customWidth="1"/>
    <col min="77" max="77" width="25.7109375" customWidth="1"/>
    <col min="78" max="78" width="23.42578125" customWidth="1"/>
    <col min="80" max="80" width="22.28515625" customWidth="1"/>
    <col min="83" max="83" width="16" customWidth="1"/>
    <col min="84" max="84" width="13.85546875" customWidth="1"/>
    <col min="86" max="86" width="15.28515625" customWidth="1"/>
    <col min="87" max="87" width="20.42578125" customWidth="1"/>
    <col min="90" max="90" width="15.5703125" customWidth="1"/>
    <col min="91" max="91" width="18" customWidth="1"/>
    <col min="92" max="92" width="23.5703125" customWidth="1"/>
    <col min="93" max="93" width="23.42578125" customWidth="1"/>
    <col min="94" max="94" width="15" customWidth="1"/>
    <col min="95" max="95" width="15.85546875" customWidth="1"/>
    <col min="96" max="96" width="19.85546875" customWidth="1"/>
    <col min="97" max="97" width="14" customWidth="1"/>
    <col min="98" max="98" width="18.85546875" customWidth="1"/>
    <col min="99" max="99" width="25.140625" customWidth="1"/>
    <col min="104" max="104" width="19.5703125" customWidth="1"/>
    <col min="119" max="119" width="15.5703125" customWidth="1"/>
    <col min="120" max="120" width="17" customWidth="1"/>
    <col min="121" max="121" width="21.5703125" customWidth="1"/>
    <col min="122" max="122" width="15.7109375" customWidth="1"/>
    <col min="124" max="124" width="16.7109375" customWidth="1"/>
    <col min="136" max="136" width="16" customWidth="1"/>
    <col min="139" max="139" width="34.140625" customWidth="1"/>
    <col min="140" max="140" width="32.28515625" customWidth="1"/>
    <col min="141" max="141" width="19.140625" customWidth="1"/>
    <col min="142" max="142" width="21" customWidth="1"/>
    <col min="143" max="143" width="16.7109375" customWidth="1"/>
    <col min="148" max="148" width="26.140625" customWidth="1"/>
    <col min="149" max="149" width="14.42578125" customWidth="1"/>
    <col min="151" max="151" width="22" customWidth="1"/>
    <col min="154" max="154" width="15.7109375" customWidth="1"/>
    <col min="158" max="158" width="17.7109375" customWidth="1"/>
    <col min="160" max="160" width="18" customWidth="1"/>
    <col min="161" max="161" width="39.140625" customWidth="1"/>
    <col min="162" max="162" width="14.42578125" customWidth="1"/>
    <col min="163" max="163" width="48.28515625" customWidth="1"/>
    <col min="164" max="164" width="55.28515625" customWidth="1"/>
    <col min="166" max="166" width="53" customWidth="1"/>
    <col min="167" max="167" width="51.5703125" customWidth="1"/>
    <col min="169" max="169" width="55.85546875" customWidth="1"/>
    <col min="170" max="170" width="46.140625" customWidth="1"/>
    <col min="171" max="171" width="14.7109375" customWidth="1"/>
    <col min="172" max="172" width="17.85546875" customWidth="1"/>
    <col min="181" max="181" width="24.42578125" customWidth="1"/>
    <col min="183" max="183" width="44" customWidth="1"/>
    <col min="184" max="184" width="19.42578125" customWidth="1"/>
    <col min="186" max="186" width="51.28515625" customWidth="1"/>
    <col min="187" max="187" width="20.28515625" customWidth="1"/>
    <col min="189" max="189" width="56" customWidth="1"/>
    <col min="190" max="190" width="22" customWidth="1"/>
    <col min="191" max="191" width="15.5703125" customWidth="1"/>
    <col min="192" max="192" width="23.28515625" customWidth="1"/>
    <col min="193" max="193" width="17.42578125" customWidth="1"/>
    <col min="194" max="194" width="23" customWidth="1"/>
    <col min="195" max="195" width="18.5703125" customWidth="1"/>
    <col min="196" max="196" width="16.28515625" customWidth="1"/>
    <col min="197" max="197" width="15" customWidth="1"/>
    <col min="198" max="198" width="14" customWidth="1"/>
    <col min="199" max="199" width="16.140625" customWidth="1"/>
    <col min="200" max="200" width="18" customWidth="1"/>
    <col min="201" max="201" width="17.28515625" customWidth="1"/>
    <col min="202" max="202" width="16.7109375" customWidth="1"/>
    <col min="205" max="205" width="20.7109375" customWidth="1"/>
    <col min="206" max="206" width="15.85546875" customWidth="1"/>
    <col min="207" max="207" width="18.5703125" customWidth="1"/>
    <col min="212" max="212" width="17.85546875" customWidth="1"/>
    <col min="213" max="213" width="13.28515625" customWidth="1"/>
    <col min="214" max="214" width="13.5703125" customWidth="1"/>
    <col min="215" max="215" width="15.28515625" customWidth="1"/>
    <col min="216" max="216" width="15.85546875" customWidth="1"/>
    <col min="217" max="217" width="22.5703125" customWidth="1"/>
    <col min="218" max="218" width="24.42578125" customWidth="1"/>
    <col min="219" max="219" width="15.85546875" customWidth="1"/>
    <col min="220" max="220" width="24" customWidth="1"/>
    <col min="221" max="221" width="21.7109375" customWidth="1"/>
    <col min="222" max="222" width="24.5703125" customWidth="1"/>
    <col min="223" max="223" width="25" customWidth="1"/>
    <col min="224" max="224" width="24.28515625" customWidth="1"/>
    <col min="225" max="225" width="34.140625" customWidth="1"/>
    <col min="226" max="226" width="29" customWidth="1"/>
    <col min="227" max="227" width="18.28515625" customWidth="1"/>
    <col min="228" max="229" width="15.85546875" customWidth="1"/>
    <col min="230" max="230" width="47.7109375" customWidth="1"/>
    <col min="231" max="231" width="23.42578125" customWidth="1"/>
    <col min="232" max="232" width="48" customWidth="1"/>
    <col min="233" max="233" width="22" customWidth="1"/>
    <col min="234" max="234" width="43.28515625" customWidth="1"/>
    <col min="235" max="235" width="24.7109375" customWidth="1"/>
    <col min="236" max="236" width="17.85546875" customWidth="1"/>
    <col min="237" max="237" width="17.7109375" customWidth="1"/>
    <col min="238" max="238" width="20.42578125" customWidth="1"/>
    <col min="239" max="244" width="14.7109375" customWidth="1"/>
    <col min="245" max="245" width="33.85546875" customWidth="1"/>
    <col min="248" max="248" width="42.7109375" customWidth="1"/>
    <col min="249" max="249" width="19.5703125" customWidth="1"/>
    <col min="251" max="251" width="23.85546875" customWidth="1"/>
    <col min="252" max="252" width="19.7109375" customWidth="1"/>
    <col min="254" max="254" width="15.85546875" customWidth="1"/>
    <col min="255" max="255" width="39" customWidth="1"/>
    <col min="256" max="256" width="41.140625" customWidth="1"/>
    <col min="257" max="257" width="15.85546875" customWidth="1"/>
    <col min="258" max="258" width="17" customWidth="1"/>
    <col min="260" max="260" width="26" customWidth="1"/>
    <col min="261" max="261" width="19.5703125" customWidth="1"/>
    <col min="262" max="263" width="18" customWidth="1"/>
    <col min="264" max="264" width="32.28515625" customWidth="1"/>
    <col min="265" max="265" width="38" customWidth="1"/>
    <col min="266" max="266" width="38.7109375" customWidth="1"/>
    <col min="267" max="267" width="32.28515625" customWidth="1"/>
    <col min="268" max="268" width="40.85546875" customWidth="1"/>
    <col min="269" max="269" width="52.5703125" customWidth="1"/>
    <col min="270" max="270" width="24.42578125" customWidth="1"/>
    <col min="271" max="271" width="19.140625" customWidth="1"/>
    <col min="272" max="272" width="22.85546875" customWidth="1"/>
    <col min="274" max="274" width="15.140625" customWidth="1"/>
    <col min="296" max="296" width="27" customWidth="1"/>
    <col min="297" max="297" width="29.85546875" customWidth="1"/>
    <col min="298" max="298" width="23.140625" customWidth="1"/>
    <col min="299" max="299" width="18.42578125" customWidth="1"/>
    <col min="300" max="302" width="17.28515625" customWidth="1"/>
    <col min="303" max="303" width="13.85546875" customWidth="1"/>
    <col min="304" max="304" width="16.5703125" customWidth="1"/>
    <col min="305" max="305" width="21.7109375" customWidth="1"/>
    <col min="306" max="306" width="22.140625" customWidth="1"/>
    <col min="307" max="307" width="17.140625" customWidth="1"/>
    <col min="308" max="308" width="18.85546875" customWidth="1"/>
    <col min="309" max="309" width="27.85546875" customWidth="1"/>
    <col min="310" max="314" width="18.42578125" customWidth="1"/>
    <col min="315" max="315" width="15.5703125" customWidth="1"/>
    <col min="316" max="316" width="23.28515625" customWidth="1"/>
    <col min="317" max="317" width="19.5703125" customWidth="1"/>
    <col min="318" max="318" width="20.5703125" customWidth="1"/>
    <col min="319" max="319" width="17.85546875" customWidth="1"/>
    <col min="320" max="320" width="17.140625" customWidth="1"/>
    <col min="321" max="321" width="20.42578125" customWidth="1"/>
    <col min="322" max="322" width="18" customWidth="1"/>
    <col min="323" max="323" width="17.140625" customWidth="1"/>
    <col min="324" max="324" width="17.28515625" customWidth="1"/>
    <col min="335" max="335" width="20" customWidth="1"/>
    <col min="336" max="336" width="16.7109375" customWidth="1"/>
    <col min="337" max="337" width="19.7109375" customWidth="1"/>
    <col min="338" max="338" width="22.85546875" customWidth="1"/>
    <col min="339" max="339" width="19.85546875" customWidth="1"/>
    <col min="340" max="340" width="17.140625" customWidth="1"/>
    <col min="341" max="341" width="17" customWidth="1"/>
    <col min="342" max="342" width="19.140625" customWidth="1"/>
  </cols>
  <sheetData>
    <row r="1" spans="1:342" ht="45" customHeight="1" x14ac:dyDescent="0.25">
      <c r="A1" s="237" t="s">
        <v>475</v>
      </c>
      <c r="B1" s="237"/>
      <c r="C1" s="237"/>
      <c r="D1" s="237"/>
      <c r="E1" s="237"/>
      <c r="F1" s="237"/>
    </row>
    <row r="2" spans="1:342" ht="44.25" customHeight="1" x14ac:dyDescent="0.3">
      <c r="A2" s="238" t="s">
        <v>637</v>
      </c>
      <c r="B2" s="238"/>
      <c r="C2" s="238"/>
      <c r="D2" s="238"/>
      <c r="E2" s="238"/>
      <c r="F2" s="238"/>
    </row>
    <row r="3" spans="1:342" ht="44.25" customHeight="1" x14ac:dyDescent="0.3">
      <c r="A3" s="238" t="s">
        <v>531</v>
      </c>
      <c r="B3" s="238"/>
      <c r="C3" s="238"/>
      <c r="D3" s="238"/>
      <c r="E3" s="238"/>
      <c r="F3" s="238"/>
    </row>
    <row r="4" spans="1:342" ht="100.5" customHeight="1" thickBot="1" x14ac:dyDescent="0.3">
      <c r="A4" s="8" t="s">
        <v>638</v>
      </c>
      <c r="B4" s="8" t="s">
        <v>313</v>
      </c>
      <c r="C4" s="7" t="s">
        <v>32</v>
      </c>
      <c r="D4" s="174" t="s">
        <v>689</v>
      </c>
      <c r="E4" s="7" t="s">
        <v>102</v>
      </c>
      <c r="F4" s="7" t="s">
        <v>21</v>
      </c>
      <c r="G4" s="7" t="s">
        <v>0</v>
      </c>
      <c r="H4" s="7" t="s">
        <v>1</v>
      </c>
      <c r="I4" s="7" t="s">
        <v>2</v>
      </c>
      <c r="J4" s="7" t="s">
        <v>3</v>
      </c>
      <c r="K4" s="7" t="s">
        <v>19</v>
      </c>
      <c r="L4" s="7" t="s">
        <v>20</v>
      </c>
      <c r="M4" s="7" t="s">
        <v>4</v>
      </c>
      <c r="N4" s="21" t="s">
        <v>5</v>
      </c>
      <c r="O4" s="7" t="s">
        <v>47</v>
      </c>
      <c r="P4" s="21" t="s">
        <v>46</v>
      </c>
      <c r="Q4" s="7" t="s">
        <v>50</v>
      </c>
      <c r="R4" s="8" t="s">
        <v>172</v>
      </c>
      <c r="S4" s="7" t="s">
        <v>29</v>
      </c>
      <c r="T4" s="7" t="s">
        <v>6</v>
      </c>
      <c r="U4" s="7" t="s">
        <v>147</v>
      </c>
      <c r="V4" s="7" t="s">
        <v>7</v>
      </c>
      <c r="W4" s="7" t="s">
        <v>52</v>
      </c>
      <c r="X4" s="8" t="s">
        <v>199</v>
      </c>
      <c r="Y4" s="7" t="s">
        <v>49</v>
      </c>
      <c r="Z4" s="7" t="s">
        <v>8</v>
      </c>
      <c r="AA4" s="7" t="s">
        <v>25</v>
      </c>
      <c r="AB4" s="7" t="s">
        <v>31</v>
      </c>
      <c r="AC4" s="7" t="s">
        <v>9</v>
      </c>
      <c r="AD4" s="19" t="s">
        <v>379</v>
      </c>
      <c r="AE4" s="7" t="s">
        <v>151</v>
      </c>
      <c r="AF4" s="7" t="s">
        <v>10</v>
      </c>
      <c r="AG4" s="7" t="s">
        <v>26</v>
      </c>
      <c r="AH4" s="7" t="s">
        <v>150</v>
      </c>
      <c r="AI4" s="7" t="s">
        <v>30</v>
      </c>
      <c r="AJ4" s="7" t="s">
        <v>27</v>
      </c>
      <c r="AK4" s="21" t="s">
        <v>53</v>
      </c>
      <c r="AL4" s="81" t="s">
        <v>479</v>
      </c>
      <c r="AM4" s="81" t="s">
        <v>480</v>
      </c>
      <c r="AN4" s="81" t="s">
        <v>481</v>
      </c>
      <c r="AO4" s="81" t="s">
        <v>482</v>
      </c>
      <c r="AP4" s="81" t="s">
        <v>483</v>
      </c>
      <c r="AQ4" s="81" t="s">
        <v>484</v>
      </c>
      <c r="AR4" s="81" t="s">
        <v>123</v>
      </c>
      <c r="AS4" s="81" t="s">
        <v>485</v>
      </c>
      <c r="AT4" s="81" t="s">
        <v>486</v>
      </c>
      <c r="AU4" s="81" t="s">
        <v>148</v>
      </c>
      <c r="AV4" s="81" t="s">
        <v>500</v>
      </c>
      <c r="AW4" s="81" t="s">
        <v>487</v>
      </c>
      <c r="AX4" s="81" t="s">
        <v>488</v>
      </c>
      <c r="AY4" s="81" t="s">
        <v>489</v>
      </c>
      <c r="AZ4" s="81" t="s">
        <v>490</v>
      </c>
      <c r="BA4" s="7" t="s">
        <v>153</v>
      </c>
      <c r="BB4" s="7" t="s">
        <v>154</v>
      </c>
      <c r="BC4" s="7" t="s">
        <v>155</v>
      </c>
      <c r="BD4" s="7" t="s">
        <v>156</v>
      </c>
      <c r="BE4" s="8" t="s">
        <v>168</v>
      </c>
      <c r="BF4" s="7" t="s">
        <v>167</v>
      </c>
      <c r="BG4" s="7" t="s">
        <v>159</v>
      </c>
      <c r="BH4" s="7" t="s">
        <v>160</v>
      </c>
      <c r="BI4" s="8" t="s">
        <v>158</v>
      </c>
      <c r="BJ4" s="80" t="s">
        <v>360</v>
      </c>
      <c r="BK4" s="7" t="s">
        <v>54</v>
      </c>
      <c r="BL4" s="7" t="s">
        <v>40</v>
      </c>
      <c r="BM4" s="21" t="s">
        <v>35</v>
      </c>
      <c r="BN4" s="21" t="s">
        <v>57</v>
      </c>
      <c r="BO4" s="21" t="s">
        <v>11</v>
      </c>
      <c r="BP4" s="21" t="s">
        <v>12</v>
      </c>
      <c r="BQ4" s="21" t="s">
        <v>13</v>
      </c>
      <c r="BR4" s="7" t="s">
        <v>55</v>
      </c>
      <c r="BS4" s="7" t="s">
        <v>56</v>
      </c>
      <c r="BT4" s="7" t="s">
        <v>58</v>
      </c>
      <c r="BU4" s="7" t="s">
        <v>59</v>
      </c>
      <c r="BV4" s="7" t="s">
        <v>161</v>
      </c>
      <c r="BW4" s="8" t="s">
        <v>215</v>
      </c>
      <c r="BX4" s="175" t="s">
        <v>739</v>
      </c>
      <c r="BY4" s="7" t="s">
        <v>157</v>
      </c>
      <c r="BZ4" s="7" t="s">
        <v>121</v>
      </c>
      <c r="CA4" s="8" t="s">
        <v>45</v>
      </c>
      <c r="CB4" s="7" t="s">
        <v>122</v>
      </c>
      <c r="CC4" s="21" t="s">
        <v>17</v>
      </c>
      <c r="CD4" s="21" t="s">
        <v>60</v>
      </c>
      <c r="CE4" s="19" t="s">
        <v>61</v>
      </c>
      <c r="CF4" s="19" t="s">
        <v>514</v>
      </c>
      <c r="CG4" s="21" t="s">
        <v>506</v>
      </c>
      <c r="CH4" s="21" t="s">
        <v>505</v>
      </c>
      <c r="CI4" s="21" t="s">
        <v>507</v>
      </c>
      <c r="CJ4" s="80" t="s">
        <v>62</v>
      </c>
      <c r="CK4" s="19" t="s">
        <v>515</v>
      </c>
      <c r="CL4" s="21" t="s">
        <v>508</v>
      </c>
      <c r="CM4" s="21" t="s">
        <v>509</v>
      </c>
      <c r="CN4" s="21" t="s">
        <v>510</v>
      </c>
      <c r="CO4" s="21" t="s">
        <v>511</v>
      </c>
      <c r="CP4" s="7" t="s">
        <v>134</v>
      </c>
      <c r="CQ4" s="7" t="s">
        <v>135</v>
      </c>
      <c r="CR4" s="21" t="s">
        <v>149</v>
      </c>
      <c r="CS4" s="7" t="s">
        <v>165</v>
      </c>
      <c r="CT4" s="7" t="s">
        <v>166</v>
      </c>
      <c r="CU4" s="21" t="s">
        <v>173</v>
      </c>
      <c r="CV4" s="7" t="s">
        <v>141</v>
      </c>
      <c r="CW4" s="7" t="s">
        <v>146</v>
      </c>
      <c r="CX4" s="7" t="s">
        <v>142</v>
      </c>
      <c r="CY4" s="7" t="s">
        <v>143</v>
      </c>
      <c r="CZ4" s="21" t="s">
        <v>174</v>
      </c>
      <c r="DA4" s="19" t="s">
        <v>357</v>
      </c>
      <c r="DB4" s="19" t="s">
        <v>358</v>
      </c>
      <c r="DC4" s="20" t="s">
        <v>63</v>
      </c>
      <c r="DD4" s="20" t="s">
        <v>64</v>
      </c>
      <c r="DE4" s="20" t="s">
        <v>65</v>
      </c>
      <c r="DF4" s="20" t="s">
        <v>66</v>
      </c>
      <c r="DG4" s="20" t="s">
        <v>67</v>
      </c>
      <c r="DH4" s="20" t="s">
        <v>68</v>
      </c>
      <c r="DI4" s="20" t="s">
        <v>69</v>
      </c>
      <c r="DJ4" s="20" t="s">
        <v>70</v>
      </c>
      <c r="DK4" s="20" t="s">
        <v>71</v>
      </c>
      <c r="DL4" s="20" t="s">
        <v>72</v>
      </c>
      <c r="DM4" s="20" t="s">
        <v>325</v>
      </c>
      <c r="DN4" s="20" t="s">
        <v>644</v>
      </c>
      <c r="DO4" s="176" t="s">
        <v>684</v>
      </c>
      <c r="DP4" s="176" t="s">
        <v>708</v>
      </c>
      <c r="DQ4" s="177" t="s">
        <v>685</v>
      </c>
      <c r="DR4" s="21" t="s">
        <v>48</v>
      </c>
      <c r="DS4" s="21" t="s">
        <v>22</v>
      </c>
      <c r="DT4" s="21" t="s">
        <v>326</v>
      </c>
      <c r="DU4" s="21" t="s">
        <v>291</v>
      </c>
      <c r="DV4" s="21" t="s">
        <v>292</v>
      </c>
      <c r="DW4" s="21" t="s">
        <v>43</v>
      </c>
      <c r="DX4" s="21" t="s">
        <v>33</v>
      </c>
      <c r="DY4" s="21" t="s">
        <v>51</v>
      </c>
      <c r="DZ4" s="21" t="s">
        <v>73</v>
      </c>
      <c r="EA4" s="7" t="s">
        <v>74</v>
      </c>
      <c r="EB4" s="7" t="s">
        <v>75</v>
      </c>
      <c r="EC4" s="10" t="s">
        <v>76</v>
      </c>
      <c r="ED4" s="7" t="s">
        <v>77</v>
      </c>
      <c r="EE4" s="7" t="s">
        <v>78</v>
      </c>
      <c r="EF4" s="82" t="s">
        <v>351</v>
      </c>
      <c r="EG4" s="7" t="s">
        <v>125</v>
      </c>
      <c r="EH4" s="7" t="s">
        <v>124</v>
      </c>
      <c r="EI4" s="83" t="s">
        <v>103</v>
      </c>
      <c r="EJ4" s="80" t="s">
        <v>79</v>
      </c>
      <c r="EK4" s="21" t="s">
        <v>80</v>
      </c>
      <c r="EL4" s="21" t="s">
        <v>126</v>
      </c>
      <c r="EM4" s="21" t="s">
        <v>169</v>
      </c>
      <c r="EN4" s="83" t="s">
        <v>104</v>
      </c>
      <c r="EO4" s="19" t="s">
        <v>109</v>
      </c>
      <c r="EP4" s="21" t="s">
        <v>108</v>
      </c>
      <c r="EQ4" s="21" t="s">
        <v>162</v>
      </c>
      <c r="ER4" s="83" t="s">
        <v>127</v>
      </c>
      <c r="ES4" s="80" t="s">
        <v>128</v>
      </c>
      <c r="ET4" s="21" t="s">
        <v>129</v>
      </c>
      <c r="EU4" s="21" t="s">
        <v>130</v>
      </c>
      <c r="EV4" s="83" t="s">
        <v>371</v>
      </c>
      <c r="EW4" s="80" t="s">
        <v>152</v>
      </c>
      <c r="EX4" s="21" t="s">
        <v>171</v>
      </c>
      <c r="EY4" s="19" t="s">
        <v>110</v>
      </c>
      <c r="EZ4" s="19" t="s">
        <v>111</v>
      </c>
      <c r="FA4" s="19" t="s">
        <v>112</v>
      </c>
      <c r="FB4" s="21" t="s">
        <v>107</v>
      </c>
      <c r="FC4" s="19" t="s">
        <v>113</v>
      </c>
      <c r="FD4" s="21" t="s">
        <v>139</v>
      </c>
      <c r="FE4" s="83" t="s">
        <v>686</v>
      </c>
      <c r="FF4" s="80" t="s">
        <v>709</v>
      </c>
      <c r="FG4" s="21" t="s">
        <v>690</v>
      </c>
      <c r="FH4" s="83" t="s">
        <v>470</v>
      </c>
      <c r="FI4" s="19" t="s">
        <v>114</v>
      </c>
      <c r="FJ4" s="178" t="s">
        <v>691</v>
      </c>
      <c r="FK4" s="83" t="s">
        <v>471</v>
      </c>
      <c r="FL4" s="19" t="s">
        <v>115</v>
      </c>
      <c r="FM4" s="178" t="s">
        <v>692</v>
      </c>
      <c r="FN4" s="83" t="s">
        <v>472</v>
      </c>
      <c r="FO4" s="19" t="s">
        <v>116</v>
      </c>
      <c r="FP4" s="21" t="s">
        <v>136</v>
      </c>
      <c r="FQ4" s="19" t="s">
        <v>140</v>
      </c>
      <c r="FR4" s="19" t="s">
        <v>137</v>
      </c>
      <c r="FS4" s="21" t="s">
        <v>138</v>
      </c>
      <c r="FT4" s="83" t="s">
        <v>81</v>
      </c>
      <c r="FU4" s="19" t="s">
        <v>82</v>
      </c>
      <c r="FV4" s="21" t="s">
        <v>83</v>
      </c>
      <c r="FW4" s="19" t="s">
        <v>362</v>
      </c>
      <c r="FX4" s="19" t="s">
        <v>366</v>
      </c>
      <c r="FY4" s="83" t="s">
        <v>687</v>
      </c>
      <c r="FZ4" s="84" t="s">
        <v>710</v>
      </c>
      <c r="GA4" s="178" t="s">
        <v>694</v>
      </c>
      <c r="GB4" s="83" t="s">
        <v>340</v>
      </c>
      <c r="GC4" s="84" t="s">
        <v>341</v>
      </c>
      <c r="GD4" s="178" t="s">
        <v>695</v>
      </c>
      <c r="GE4" s="83" t="s">
        <v>367</v>
      </c>
      <c r="GF4" s="19" t="s">
        <v>548</v>
      </c>
      <c r="GG4" s="178" t="s">
        <v>696</v>
      </c>
      <c r="GH4" s="83" t="s">
        <v>469</v>
      </c>
      <c r="GI4" s="19" t="s">
        <v>384</v>
      </c>
      <c r="GJ4" s="85" t="s">
        <v>342</v>
      </c>
      <c r="GK4" s="19" t="s">
        <v>344</v>
      </c>
      <c r="GL4" s="85" t="s">
        <v>345</v>
      </c>
      <c r="GM4" s="19" t="s">
        <v>346</v>
      </c>
      <c r="GN4" s="83" t="s">
        <v>84</v>
      </c>
      <c r="GO4" s="80" t="s">
        <v>85</v>
      </c>
      <c r="GP4" s="21" t="s">
        <v>163</v>
      </c>
      <c r="GQ4" s="83" t="s">
        <v>86</v>
      </c>
      <c r="GR4" s="83" t="s">
        <v>88</v>
      </c>
      <c r="GS4" s="21" t="s">
        <v>119</v>
      </c>
      <c r="GT4" s="80" t="s">
        <v>87</v>
      </c>
      <c r="GU4" s="21" t="s">
        <v>164</v>
      </c>
      <c r="GV4" s="21" t="s">
        <v>170</v>
      </c>
      <c r="GW4" s="19" t="s">
        <v>284</v>
      </c>
      <c r="GX4" s="19" t="s">
        <v>120</v>
      </c>
      <c r="GY4" s="19" t="s">
        <v>24</v>
      </c>
      <c r="GZ4" s="19" t="s">
        <v>343</v>
      </c>
      <c r="HA4" s="21" t="s">
        <v>37</v>
      </c>
      <c r="HB4" s="21" t="s">
        <v>38</v>
      </c>
      <c r="HC4" s="21" t="s">
        <v>36</v>
      </c>
      <c r="HD4" s="179" t="s">
        <v>697</v>
      </c>
      <c r="HE4" s="174" t="s">
        <v>698</v>
      </c>
      <c r="HF4" s="179" t="s">
        <v>699</v>
      </c>
      <c r="HG4" s="174" t="s">
        <v>700</v>
      </c>
      <c r="HH4" s="179" t="s">
        <v>701</v>
      </c>
      <c r="HI4" s="174" t="s">
        <v>711</v>
      </c>
      <c r="HJ4" s="174" t="s">
        <v>669</v>
      </c>
      <c r="HK4" s="21" t="s">
        <v>320</v>
      </c>
      <c r="HL4" s="21" t="s">
        <v>385</v>
      </c>
      <c r="HM4" s="21" t="s">
        <v>380</v>
      </c>
      <c r="HN4" s="21" t="s">
        <v>369</v>
      </c>
      <c r="HO4" s="21" t="s">
        <v>323</v>
      </c>
      <c r="HP4" s="21" t="s">
        <v>368</v>
      </c>
      <c r="HQ4" s="21" t="s">
        <v>376</v>
      </c>
      <c r="HR4" s="21" t="s">
        <v>375</v>
      </c>
      <c r="HS4" s="86" t="s">
        <v>397</v>
      </c>
      <c r="HT4" s="19" t="s">
        <v>324</v>
      </c>
      <c r="HU4" s="19" t="s">
        <v>627</v>
      </c>
      <c r="HV4" s="19" t="s">
        <v>294</v>
      </c>
      <c r="HW4" s="19" t="s">
        <v>628</v>
      </c>
      <c r="HX4" s="19" t="s">
        <v>293</v>
      </c>
      <c r="HY4" s="19" t="s">
        <v>629</v>
      </c>
      <c r="HZ4" s="19" t="s">
        <v>299</v>
      </c>
      <c r="IA4" s="19" t="s">
        <v>570</v>
      </c>
      <c r="IB4" s="7" t="s">
        <v>34</v>
      </c>
      <c r="IC4" s="21" t="s">
        <v>14</v>
      </c>
      <c r="ID4" s="19" t="s">
        <v>769</v>
      </c>
      <c r="IE4" s="180" t="s">
        <v>680</v>
      </c>
      <c r="IF4" s="19" t="s">
        <v>671</v>
      </c>
      <c r="IG4" s="180" t="s">
        <v>682</v>
      </c>
      <c r="IH4" s="19" t="s">
        <v>672</v>
      </c>
      <c r="II4" s="180" t="s">
        <v>683</v>
      </c>
      <c r="IJ4" s="19" t="s">
        <v>681</v>
      </c>
      <c r="IK4" s="159" t="s">
        <v>673</v>
      </c>
      <c r="IL4" s="8" t="s">
        <v>117</v>
      </c>
      <c r="IM4" s="7" t="s">
        <v>118</v>
      </c>
      <c r="IN4" s="21" t="s">
        <v>364</v>
      </c>
      <c r="IO4" s="8" t="s">
        <v>573</v>
      </c>
      <c r="IP4" s="21" t="s">
        <v>374</v>
      </c>
      <c r="IQ4" s="60" t="s">
        <v>372</v>
      </c>
      <c r="IR4" s="21" t="s">
        <v>373</v>
      </c>
      <c r="IS4" s="89" t="s">
        <v>285</v>
      </c>
      <c r="IT4" s="89" t="s">
        <v>23</v>
      </c>
      <c r="IU4" s="226" t="s">
        <v>764</v>
      </c>
      <c r="IV4" s="226" t="s">
        <v>765</v>
      </c>
      <c r="IW4" s="89" t="s">
        <v>28</v>
      </c>
      <c r="IX4" s="89" t="s">
        <v>583</v>
      </c>
      <c r="IY4" s="9" t="s">
        <v>89</v>
      </c>
      <c r="IZ4" s="89" t="s">
        <v>585</v>
      </c>
      <c r="JA4" s="89" t="s">
        <v>459</v>
      </c>
      <c r="JB4" s="89" t="s">
        <v>16</v>
      </c>
      <c r="JC4" s="89" t="s">
        <v>703</v>
      </c>
      <c r="JD4" s="86" t="s">
        <v>353</v>
      </c>
      <c r="JE4" s="86" t="s">
        <v>355</v>
      </c>
      <c r="JF4" s="86" t="s">
        <v>354</v>
      </c>
      <c r="JG4" s="86" t="s">
        <v>393</v>
      </c>
      <c r="JH4" s="86" t="s">
        <v>394</v>
      </c>
      <c r="JI4" s="86" t="s">
        <v>356</v>
      </c>
      <c r="JJ4" s="7" t="s">
        <v>145</v>
      </c>
      <c r="JK4" s="7" t="s">
        <v>39</v>
      </c>
      <c r="JL4" s="7" t="s">
        <v>90</v>
      </c>
      <c r="JM4" s="8" t="s">
        <v>179</v>
      </c>
      <c r="JN4" s="9" t="s">
        <v>44</v>
      </c>
      <c r="JO4" s="8" t="s">
        <v>596</v>
      </c>
      <c r="JP4" s="7" t="s">
        <v>91</v>
      </c>
      <c r="JQ4" s="7" t="s">
        <v>92</v>
      </c>
      <c r="JR4" s="7" t="s">
        <v>41</v>
      </c>
      <c r="JS4" s="7" t="s">
        <v>42</v>
      </c>
      <c r="JT4" s="7" t="s">
        <v>131</v>
      </c>
      <c r="JU4" s="7" t="s">
        <v>105</v>
      </c>
      <c r="JV4" s="7" t="s">
        <v>93</v>
      </c>
      <c r="JW4" s="8" t="s">
        <v>178</v>
      </c>
      <c r="JX4" s="9" t="s">
        <v>94</v>
      </c>
      <c r="JY4" s="7" t="s">
        <v>95</v>
      </c>
      <c r="JZ4" s="7" t="s">
        <v>96</v>
      </c>
      <c r="KA4" s="7" t="s">
        <v>97</v>
      </c>
      <c r="KB4" s="7" t="s">
        <v>98</v>
      </c>
      <c r="KC4" s="7" t="s">
        <v>99</v>
      </c>
      <c r="KD4" s="7" t="s">
        <v>132</v>
      </c>
      <c r="KE4" s="7" t="s">
        <v>106</v>
      </c>
      <c r="KF4" s="10" t="s">
        <v>100</v>
      </c>
      <c r="KG4" s="9" t="s">
        <v>176</v>
      </c>
      <c r="KH4" s="7" t="s">
        <v>101</v>
      </c>
      <c r="KI4" s="9" t="s">
        <v>177</v>
      </c>
      <c r="KJ4" s="86" t="s">
        <v>458</v>
      </c>
      <c r="KK4" s="86" t="s">
        <v>395</v>
      </c>
      <c r="KL4" s="86" t="s">
        <v>396</v>
      </c>
      <c r="KM4" s="7" t="s">
        <v>144</v>
      </c>
      <c r="KN4" s="7" t="s">
        <v>133</v>
      </c>
      <c r="KO4" s="101" t="s">
        <v>634</v>
      </c>
      <c r="KP4" s="81" t="s">
        <v>635</v>
      </c>
      <c r="KQ4" s="90" t="s">
        <v>386</v>
      </c>
      <c r="KR4" s="90" t="s">
        <v>377</v>
      </c>
      <c r="KS4" s="90" t="s">
        <v>378</v>
      </c>
      <c r="KT4" s="90" t="s">
        <v>387</v>
      </c>
      <c r="KU4" s="97" t="s">
        <v>630</v>
      </c>
      <c r="KV4" s="97" t="s">
        <v>631</v>
      </c>
      <c r="KW4" s="97" t="s">
        <v>632</v>
      </c>
      <c r="KX4" s="91" t="s">
        <v>606</v>
      </c>
      <c r="KY4" s="91" t="s">
        <v>389</v>
      </c>
      <c r="KZ4" s="91" t="s">
        <v>391</v>
      </c>
      <c r="LA4" s="91" t="s">
        <v>390</v>
      </c>
      <c r="LB4" s="91" t="s">
        <v>388</v>
      </c>
      <c r="LC4" s="92" t="s">
        <v>300</v>
      </c>
      <c r="LD4" s="92" t="s">
        <v>298</v>
      </c>
      <c r="LE4" s="93" t="s">
        <v>297</v>
      </c>
      <c r="LF4" s="92" t="s">
        <v>329</v>
      </c>
      <c r="LG4" s="94" t="s">
        <v>302</v>
      </c>
      <c r="LH4" s="94" t="s">
        <v>303</v>
      </c>
      <c r="LI4" s="93" t="s">
        <v>328</v>
      </c>
      <c r="LJ4" s="94" t="s">
        <v>330</v>
      </c>
      <c r="LK4" s="92" t="s">
        <v>304</v>
      </c>
      <c r="LL4" s="92" t="s">
        <v>301</v>
      </c>
      <c r="LM4" s="93" t="s">
        <v>331</v>
      </c>
      <c r="LN4" s="92" t="s">
        <v>332</v>
      </c>
      <c r="LO4" s="94" t="s">
        <v>305</v>
      </c>
      <c r="LP4" s="94" t="s">
        <v>306</v>
      </c>
      <c r="LQ4" s="93" t="s">
        <v>333</v>
      </c>
      <c r="LR4" s="94" t="s">
        <v>334</v>
      </c>
      <c r="LS4" s="92" t="s">
        <v>307</v>
      </c>
      <c r="LT4" s="92" t="s">
        <v>308</v>
      </c>
      <c r="LU4" s="93" t="s">
        <v>335</v>
      </c>
      <c r="LV4" s="92" t="s">
        <v>336</v>
      </c>
      <c r="LW4" s="95" t="s">
        <v>327</v>
      </c>
      <c r="LX4" s="95" t="s">
        <v>309</v>
      </c>
      <c r="LY4" s="93" t="s">
        <v>337</v>
      </c>
      <c r="LZ4" s="95" t="s">
        <v>310</v>
      </c>
      <c r="MA4" s="95" t="s">
        <v>370</v>
      </c>
      <c r="MB4" s="95" t="s">
        <v>311</v>
      </c>
      <c r="MC4" s="93" t="s">
        <v>338</v>
      </c>
      <c r="MD4" s="95" t="s">
        <v>339</v>
      </c>
    </row>
    <row r="5" spans="1:342" ht="347.25" customHeight="1" x14ac:dyDescent="0.25">
      <c r="A5" s="11" t="s">
        <v>473</v>
      </c>
      <c r="B5" s="11" t="s">
        <v>474</v>
      </c>
      <c r="C5" s="11" t="s">
        <v>476</v>
      </c>
      <c r="D5" s="11" t="s">
        <v>732</v>
      </c>
      <c r="E5" s="11" t="s">
        <v>180</v>
      </c>
      <c r="F5" s="11" t="s">
        <v>181</v>
      </c>
      <c r="G5" s="11" t="s">
        <v>182</v>
      </c>
      <c r="H5" s="11" t="s">
        <v>183</v>
      </c>
      <c r="I5" s="12" t="s">
        <v>184</v>
      </c>
      <c r="J5" s="13" t="s">
        <v>185</v>
      </c>
      <c r="K5" s="14" t="s">
        <v>186</v>
      </c>
      <c r="L5" s="11" t="s">
        <v>187</v>
      </c>
      <c r="M5" s="11" t="s">
        <v>190</v>
      </c>
      <c r="N5" s="14" t="s">
        <v>188</v>
      </c>
      <c r="O5" s="11" t="s">
        <v>189</v>
      </c>
      <c r="P5" s="11" t="s">
        <v>209</v>
      </c>
      <c r="Q5" s="11" t="s">
        <v>670</v>
      </c>
      <c r="R5" s="11" t="s">
        <v>532</v>
      </c>
      <c r="S5" s="11" t="s">
        <v>191</v>
      </c>
      <c r="T5" s="11" t="s">
        <v>192</v>
      </c>
      <c r="U5" s="11" t="s">
        <v>193</v>
      </c>
      <c r="V5" s="11" t="s">
        <v>194</v>
      </c>
      <c r="W5" s="11" t="s">
        <v>195</v>
      </c>
      <c r="X5" s="11" t="s">
        <v>196</v>
      </c>
      <c r="Y5" s="11" t="s">
        <v>197</v>
      </c>
      <c r="Z5" s="11" t="s">
        <v>198</v>
      </c>
      <c r="AA5" s="11" t="s">
        <v>201</v>
      </c>
      <c r="AB5" s="11" t="s">
        <v>202</v>
      </c>
      <c r="AC5" s="11" t="s">
        <v>203</v>
      </c>
      <c r="AD5" s="11" t="s">
        <v>477</v>
      </c>
      <c r="AE5" s="11" t="s">
        <v>204</v>
      </c>
      <c r="AF5" s="11" t="s">
        <v>205</v>
      </c>
      <c r="AG5" s="11" t="s">
        <v>206</v>
      </c>
      <c r="AH5" s="11" t="s">
        <v>207</v>
      </c>
      <c r="AI5" s="11" t="s">
        <v>478</v>
      </c>
      <c r="AJ5" s="11" t="s">
        <v>208</v>
      </c>
      <c r="AK5" s="11" t="s">
        <v>210</v>
      </c>
      <c r="AL5" s="239" t="s">
        <v>211</v>
      </c>
      <c r="AM5" s="239"/>
      <c r="AN5" s="239"/>
      <c r="AO5" s="239"/>
      <c r="AP5" s="239"/>
      <c r="AQ5" s="239"/>
      <c r="AR5" s="11" t="s">
        <v>218</v>
      </c>
      <c r="AS5" s="11" t="s">
        <v>212</v>
      </c>
      <c r="AT5" s="11" t="s">
        <v>213</v>
      </c>
      <c r="AU5" s="11" t="s">
        <v>499</v>
      </c>
      <c r="AV5" s="11" t="s">
        <v>214</v>
      </c>
      <c r="AW5" s="11" t="s">
        <v>491</v>
      </c>
      <c r="AX5" s="11" t="s">
        <v>492</v>
      </c>
      <c r="AY5" s="11" t="s">
        <v>493</v>
      </c>
      <c r="AZ5" s="11" t="s">
        <v>494</v>
      </c>
      <c r="BA5" s="11" t="s">
        <v>217</v>
      </c>
      <c r="BB5" s="11" t="s">
        <v>220</v>
      </c>
      <c r="BC5" s="11" t="s">
        <v>221</v>
      </c>
      <c r="BD5" s="11" t="s">
        <v>216</v>
      </c>
      <c r="BE5" s="11" t="s">
        <v>222</v>
      </c>
      <c r="BF5" s="11" t="s">
        <v>219</v>
      </c>
      <c r="BG5" s="11" t="s">
        <v>219</v>
      </c>
      <c r="BH5" s="11" t="s">
        <v>216</v>
      </c>
      <c r="BI5" s="11" t="s">
        <v>219</v>
      </c>
      <c r="BJ5" s="11" t="s">
        <v>223</v>
      </c>
      <c r="BK5" s="11" t="s">
        <v>225</v>
      </c>
      <c r="BL5" s="11" t="s">
        <v>497</v>
      </c>
      <c r="BM5" s="11" t="s">
        <v>224</v>
      </c>
      <c r="BN5" s="181" t="s">
        <v>496</v>
      </c>
      <c r="BO5" s="11" t="s">
        <v>226</v>
      </c>
      <c r="BP5" s="11" t="s">
        <v>498</v>
      </c>
      <c r="BQ5" s="11" t="s">
        <v>227</v>
      </c>
      <c r="BR5" s="11" t="s">
        <v>228</v>
      </c>
      <c r="BS5" s="11" t="s">
        <v>229</v>
      </c>
      <c r="BT5" s="11" t="s">
        <v>230</v>
      </c>
      <c r="BU5" s="11" t="s">
        <v>231</v>
      </c>
      <c r="BV5" s="11" t="s">
        <v>501</v>
      </c>
      <c r="BW5" s="11" t="s">
        <v>502</v>
      </c>
      <c r="BX5" s="11" t="s">
        <v>712</v>
      </c>
      <c r="BY5" s="11" t="s">
        <v>503</v>
      </c>
      <c r="BZ5" s="11" t="s">
        <v>513</v>
      </c>
      <c r="CA5" s="11" t="s">
        <v>232</v>
      </c>
      <c r="CB5" s="11" t="s">
        <v>504</v>
      </c>
      <c r="CC5" s="11" t="s">
        <v>233</v>
      </c>
      <c r="CD5" s="11" t="s">
        <v>234</v>
      </c>
      <c r="CE5" s="11" t="s">
        <v>512</v>
      </c>
      <c r="CF5" s="11" t="s">
        <v>519</v>
      </c>
      <c r="CG5" s="11" t="s">
        <v>521</v>
      </c>
      <c r="CH5" s="11" t="s">
        <v>516</v>
      </c>
      <c r="CI5" s="11" t="s">
        <v>517</v>
      </c>
      <c r="CJ5" s="11" t="s">
        <v>518</v>
      </c>
      <c r="CK5" s="11" t="s">
        <v>520</v>
      </c>
      <c r="CL5" s="11" t="s">
        <v>522</v>
      </c>
      <c r="CM5" s="11" t="s">
        <v>523</v>
      </c>
      <c r="CN5" s="11" t="s">
        <v>524</v>
      </c>
      <c r="CO5" s="11" t="s">
        <v>525</v>
      </c>
      <c r="CP5" s="11" t="s">
        <v>526</v>
      </c>
      <c r="CQ5" s="11" t="s">
        <v>527</v>
      </c>
      <c r="CR5" s="11" t="s">
        <v>235</v>
      </c>
      <c r="CS5" s="11" t="s">
        <v>528</v>
      </c>
      <c r="CT5" s="11" t="s">
        <v>529</v>
      </c>
      <c r="CU5" s="11" t="s">
        <v>236</v>
      </c>
      <c r="CV5" s="11" t="s">
        <v>237</v>
      </c>
      <c r="CW5" s="11" t="s">
        <v>238</v>
      </c>
      <c r="CX5" s="11" t="s">
        <v>239</v>
      </c>
      <c r="CY5" s="11" t="s">
        <v>240</v>
      </c>
      <c r="CZ5" s="11" t="s">
        <v>236</v>
      </c>
      <c r="DA5" s="11" t="s">
        <v>530</v>
      </c>
      <c r="DB5" s="11" t="s">
        <v>530</v>
      </c>
      <c r="DC5" s="234" t="s">
        <v>533</v>
      </c>
      <c r="DD5" s="235"/>
      <c r="DE5" s="235"/>
      <c r="DF5" s="235"/>
      <c r="DG5" s="235"/>
      <c r="DH5" s="235"/>
      <c r="DI5" s="235"/>
      <c r="DJ5" s="235"/>
      <c r="DK5" s="235"/>
      <c r="DL5" s="235"/>
      <c r="DM5" s="235"/>
      <c r="DN5" s="236"/>
      <c r="DO5" s="172" t="s">
        <v>733</v>
      </c>
      <c r="DP5" s="11" t="s">
        <v>713</v>
      </c>
      <c r="DQ5" s="172" t="s">
        <v>714</v>
      </c>
      <c r="DR5" s="11" t="s">
        <v>535</v>
      </c>
      <c r="DS5" s="11" t="s">
        <v>534</v>
      </c>
      <c r="DT5" s="11" t="s">
        <v>734</v>
      </c>
      <c r="DU5" s="182" t="s">
        <v>536</v>
      </c>
      <c r="DV5" s="182" t="s">
        <v>537</v>
      </c>
      <c r="DW5" s="173" t="s">
        <v>241</v>
      </c>
      <c r="DX5" s="173" t="s">
        <v>242</v>
      </c>
      <c r="DY5" s="11" t="s">
        <v>243</v>
      </c>
      <c r="DZ5" s="173" t="s">
        <v>538</v>
      </c>
      <c r="EA5" s="240" t="s">
        <v>244</v>
      </c>
      <c r="EB5" s="241"/>
      <c r="EC5" s="241"/>
      <c r="ED5" s="241"/>
      <c r="EE5" s="242"/>
      <c r="EF5" s="173" t="s">
        <v>539</v>
      </c>
      <c r="EG5" s="173" t="s">
        <v>540</v>
      </c>
      <c r="EH5" s="173" t="s">
        <v>541</v>
      </c>
      <c r="EI5" s="173" t="s">
        <v>245</v>
      </c>
      <c r="EJ5" s="173" t="s">
        <v>246</v>
      </c>
      <c r="EK5" s="173" t="s">
        <v>247</v>
      </c>
      <c r="EL5" s="173" t="s">
        <v>248</v>
      </c>
      <c r="EM5" s="173" t="s">
        <v>249</v>
      </c>
      <c r="EN5" s="173" t="s">
        <v>250</v>
      </c>
      <c r="EO5" s="173" t="s">
        <v>246</v>
      </c>
      <c r="EP5" s="173" t="s">
        <v>247</v>
      </c>
      <c r="EQ5" s="173" t="s">
        <v>248</v>
      </c>
      <c r="ER5" s="173" t="s">
        <v>542</v>
      </c>
      <c r="ES5" s="173" t="s">
        <v>251</v>
      </c>
      <c r="ET5" s="11" t="s">
        <v>252</v>
      </c>
      <c r="EU5" s="173" t="s">
        <v>253</v>
      </c>
      <c r="EV5" s="173" t="s">
        <v>254</v>
      </c>
      <c r="EW5" s="173" t="s">
        <v>543</v>
      </c>
      <c r="EX5" s="11" t="s">
        <v>255</v>
      </c>
      <c r="EY5" s="173" t="s">
        <v>256</v>
      </c>
      <c r="EZ5" s="173" t="s">
        <v>257</v>
      </c>
      <c r="FA5" s="173" t="s">
        <v>258</v>
      </c>
      <c r="FB5" s="173" t="s">
        <v>259</v>
      </c>
      <c r="FC5" s="173" t="s">
        <v>251</v>
      </c>
      <c r="FD5" s="11" t="s">
        <v>260</v>
      </c>
      <c r="FE5" s="183" t="s">
        <v>715</v>
      </c>
      <c r="FF5" s="173" t="s">
        <v>716</v>
      </c>
      <c r="FG5" s="11" t="s">
        <v>717</v>
      </c>
      <c r="FH5" s="183" t="s">
        <v>718</v>
      </c>
      <c r="FI5" s="173" t="s">
        <v>261</v>
      </c>
      <c r="FJ5" s="11" t="s">
        <v>719</v>
      </c>
      <c r="FK5" s="183" t="s">
        <v>720</v>
      </c>
      <c r="FL5" s="173" t="s">
        <v>261</v>
      </c>
      <c r="FM5" s="11" t="s">
        <v>721</v>
      </c>
      <c r="FN5" s="183" t="s">
        <v>720</v>
      </c>
      <c r="FO5" s="173" t="s">
        <v>262</v>
      </c>
      <c r="FP5" s="11" t="s">
        <v>722</v>
      </c>
      <c r="FQ5" s="11" t="s">
        <v>267</v>
      </c>
      <c r="FR5" s="173" t="s">
        <v>263</v>
      </c>
      <c r="FS5" s="11" t="s">
        <v>264</v>
      </c>
      <c r="FT5" s="11" t="s">
        <v>266</v>
      </c>
      <c r="FU5" s="173" t="s">
        <v>268</v>
      </c>
      <c r="FV5" s="11" t="s">
        <v>265</v>
      </c>
      <c r="FW5" s="11" t="s">
        <v>545</v>
      </c>
      <c r="FX5" s="11" t="s">
        <v>544</v>
      </c>
      <c r="FY5" s="11" t="s">
        <v>546</v>
      </c>
      <c r="FZ5" s="173" t="s">
        <v>547</v>
      </c>
      <c r="GA5" s="11" t="s">
        <v>717</v>
      </c>
      <c r="GB5" s="11" t="s">
        <v>546</v>
      </c>
      <c r="GC5" s="173" t="s">
        <v>547</v>
      </c>
      <c r="GD5" s="11" t="s">
        <v>719</v>
      </c>
      <c r="GE5" s="11" t="s">
        <v>546</v>
      </c>
      <c r="GF5" s="173" t="s">
        <v>269</v>
      </c>
      <c r="GG5" s="11" t="s">
        <v>721</v>
      </c>
      <c r="GH5" s="11" t="s">
        <v>546</v>
      </c>
      <c r="GI5" s="173" t="s">
        <v>547</v>
      </c>
      <c r="GJ5" s="11" t="s">
        <v>550</v>
      </c>
      <c r="GK5" s="173" t="s">
        <v>551</v>
      </c>
      <c r="GL5" s="11" t="s">
        <v>549</v>
      </c>
      <c r="GM5" s="11" t="s">
        <v>552</v>
      </c>
      <c r="GN5" s="11" t="s">
        <v>554</v>
      </c>
      <c r="GO5" s="173" t="s">
        <v>553</v>
      </c>
      <c r="GP5" s="11" t="s">
        <v>271</v>
      </c>
      <c r="GQ5" s="11" t="s">
        <v>554</v>
      </c>
      <c r="GR5" s="11" t="s">
        <v>554</v>
      </c>
      <c r="GS5" s="11" t="s">
        <v>555</v>
      </c>
      <c r="GT5" s="173" t="s">
        <v>556</v>
      </c>
      <c r="GU5" s="11" t="s">
        <v>272</v>
      </c>
      <c r="GV5" s="11" t="s">
        <v>270</v>
      </c>
      <c r="GW5" s="11" t="s">
        <v>557</v>
      </c>
      <c r="GX5" s="11" t="s">
        <v>558</v>
      </c>
      <c r="GY5" s="11" t="s">
        <v>559</v>
      </c>
      <c r="GZ5" s="173" t="s">
        <v>273</v>
      </c>
      <c r="HA5" s="173" t="s">
        <v>560</v>
      </c>
      <c r="HB5" s="173" t="s">
        <v>561</v>
      </c>
      <c r="HC5" s="173" t="s">
        <v>562</v>
      </c>
      <c r="HD5" s="173" t="s">
        <v>723</v>
      </c>
      <c r="HE5" s="173" t="s">
        <v>724</v>
      </c>
      <c r="HF5" s="173" t="s">
        <v>725</v>
      </c>
      <c r="HG5" s="173" t="s">
        <v>726</v>
      </c>
      <c r="HH5" s="173" t="s">
        <v>725</v>
      </c>
      <c r="HI5" s="11" t="s">
        <v>727</v>
      </c>
      <c r="HJ5" s="11" t="s">
        <v>728</v>
      </c>
      <c r="HK5" s="11" t="s">
        <v>563</v>
      </c>
      <c r="HL5" s="173" t="s">
        <v>564</v>
      </c>
      <c r="HM5" s="173" t="s">
        <v>565</v>
      </c>
      <c r="HN5" s="173" t="s">
        <v>566</v>
      </c>
      <c r="HO5" s="173" t="s">
        <v>567</v>
      </c>
      <c r="HP5" s="173" t="s">
        <v>568</v>
      </c>
      <c r="HQ5" s="11" t="s">
        <v>735</v>
      </c>
      <c r="HR5" s="11" t="s">
        <v>535</v>
      </c>
      <c r="HS5" s="173" t="s">
        <v>569</v>
      </c>
      <c r="HT5" s="173" t="s">
        <v>768</v>
      </c>
      <c r="HU5" s="173" t="s">
        <v>639</v>
      </c>
      <c r="HV5" s="173" t="s">
        <v>767</v>
      </c>
      <c r="HW5" s="173" t="s">
        <v>640</v>
      </c>
      <c r="HX5" s="173" t="s">
        <v>761</v>
      </c>
      <c r="HY5" s="173" t="s">
        <v>641</v>
      </c>
      <c r="HZ5" s="173" t="s">
        <v>762</v>
      </c>
      <c r="IA5" s="173" t="s">
        <v>571</v>
      </c>
      <c r="IB5" s="173" t="s">
        <v>276</v>
      </c>
      <c r="IC5" s="173" t="s">
        <v>274</v>
      </c>
      <c r="ID5" s="11" t="s">
        <v>770</v>
      </c>
      <c r="IE5" s="11" t="s">
        <v>729</v>
      </c>
      <c r="IF5" s="173" t="s">
        <v>275</v>
      </c>
      <c r="IG5" s="11" t="s">
        <v>729</v>
      </c>
      <c r="IH5" s="173" t="s">
        <v>275</v>
      </c>
      <c r="II5" s="11" t="s">
        <v>729</v>
      </c>
      <c r="IJ5" s="173" t="s">
        <v>275</v>
      </c>
      <c r="IK5" s="11" t="s">
        <v>737</v>
      </c>
      <c r="IL5" s="173" t="s">
        <v>275</v>
      </c>
      <c r="IM5" s="173" t="s">
        <v>275</v>
      </c>
      <c r="IN5" s="173" t="s">
        <v>736</v>
      </c>
      <c r="IO5" s="173" t="s">
        <v>574</v>
      </c>
      <c r="IP5" s="173" t="s">
        <v>575</v>
      </c>
      <c r="IQ5" s="173" t="s">
        <v>576</v>
      </c>
      <c r="IR5" s="173" t="s">
        <v>577</v>
      </c>
      <c r="IS5" s="173" t="s">
        <v>578</v>
      </c>
      <c r="IT5" s="173" t="s">
        <v>277</v>
      </c>
      <c r="IU5" s="173" t="s">
        <v>579</v>
      </c>
      <c r="IV5" s="173" t="s">
        <v>582</v>
      </c>
      <c r="IW5" s="173" t="s">
        <v>580</v>
      </c>
      <c r="IX5" s="11" t="s">
        <v>584</v>
      </c>
      <c r="IY5" s="11" t="s">
        <v>278</v>
      </c>
      <c r="IZ5" s="11" t="s">
        <v>766</v>
      </c>
      <c r="JA5" s="11" t="s">
        <v>586</v>
      </c>
      <c r="JB5" s="11" t="s">
        <v>587</v>
      </c>
      <c r="JC5" s="11" t="s">
        <v>730</v>
      </c>
      <c r="JD5" s="11" t="s">
        <v>588</v>
      </c>
      <c r="JE5" s="11" t="s">
        <v>589</v>
      </c>
      <c r="JF5" s="11" t="s">
        <v>590</v>
      </c>
      <c r="JG5" s="11" t="s">
        <v>591</v>
      </c>
      <c r="JH5" s="11" t="s">
        <v>592</v>
      </c>
      <c r="JI5" s="11" t="s">
        <v>593</v>
      </c>
      <c r="JJ5" s="11" t="s">
        <v>572</v>
      </c>
      <c r="JK5" s="11" t="s">
        <v>594</v>
      </c>
      <c r="JL5" s="11" t="s">
        <v>594</v>
      </c>
      <c r="JM5" s="11" t="s">
        <v>279</v>
      </c>
      <c r="JN5" s="11" t="s">
        <v>595</v>
      </c>
      <c r="JO5" s="173" t="s">
        <v>280</v>
      </c>
      <c r="JP5" s="11" t="s">
        <v>594</v>
      </c>
      <c r="JQ5" s="173" t="s">
        <v>280</v>
      </c>
      <c r="JR5" s="11" t="s">
        <v>597</v>
      </c>
      <c r="JS5" s="11" t="s">
        <v>597</v>
      </c>
      <c r="JT5" s="173" t="s">
        <v>598</v>
      </c>
      <c r="JU5" s="173" t="s">
        <v>599</v>
      </c>
      <c r="JV5" s="234" t="s">
        <v>281</v>
      </c>
      <c r="JW5" s="235"/>
      <c r="JX5" s="235"/>
      <c r="JY5" s="235"/>
      <c r="JZ5" s="235"/>
      <c r="KA5" s="235"/>
      <c r="KB5" s="235"/>
      <c r="KC5" s="235"/>
      <c r="KD5" s="235"/>
      <c r="KE5" s="236"/>
      <c r="KF5" s="173" t="s">
        <v>280</v>
      </c>
      <c r="KG5" s="173" t="s">
        <v>282</v>
      </c>
      <c r="KH5" s="173" t="s">
        <v>280</v>
      </c>
      <c r="KI5" s="173" t="s">
        <v>283</v>
      </c>
      <c r="KJ5" s="11" t="s">
        <v>600</v>
      </c>
      <c r="KK5" s="11" t="s">
        <v>600</v>
      </c>
      <c r="KL5" s="173" t="s">
        <v>601</v>
      </c>
      <c r="KM5" s="173" t="s">
        <v>602</v>
      </c>
      <c r="KN5" s="173" t="s">
        <v>280</v>
      </c>
      <c r="KO5" s="173" t="s">
        <v>572</v>
      </c>
      <c r="KP5" s="173" t="s">
        <v>572</v>
      </c>
      <c r="KQ5" s="173" t="s">
        <v>603</v>
      </c>
      <c r="KR5" s="173" t="s">
        <v>605</v>
      </c>
      <c r="KS5" s="173" t="s">
        <v>643</v>
      </c>
      <c r="KT5" s="173" t="s">
        <v>604</v>
      </c>
      <c r="KU5" s="173" t="s">
        <v>280</v>
      </c>
      <c r="KV5" s="173" t="s">
        <v>642</v>
      </c>
      <c r="KW5" s="173" t="s">
        <v>604</v>
      </c>
      <c r="KX5" s="173" t="s">
        <v>608</v>
      </c>
      <c r="KY5" s="173" t="s">
        <v>609</v>
      </c>
      <c r="KZ5" s="173" t="s">
        <v>610</v>
      </c>
      <c r="LA5" s="173" t="s">
        <v>611</v>
      </c>
      <c r="LB5" s="173" t="s">
        <v>612</v>
      </c>
      <c r="LC5" s="173" t="s">
        <v>616</v>
      </c>
      <c r="LD5" s="173" t="s">
        <v>613</v>
      </c>
      <c r="LE5" s="173" t="s">
        <v>615</v>
      </c>
      <c r="LF5" s="173" t="s">
        <v>614</v>
      </c>
      <c r="LG5" s="173" t="s">
        <v>617</v>
      </c>
      <c r="LH5" s="173" t="s">
        <v>618</v>
      </c>
      <c r="LI5" s="173" t="s">
        <v>619</v>
      </c>
      <c r="LJ5" s="173" t="s">
        <v>614</v>
      </c>
      <c r="LK5" s="173" t="s">
        <v>620</v>
      </c>
      <c r="LL5" s="173" t="s">
        <v>618</v>
      </c>
      <c r="LM5" s="173" t="s">
        <v>619</v>
      </c>
      <c r="LN5" s="173" t="s">
        <v>614</v>
      </c>
      <c r="LO5" s="173" t="s">
        <v>621</v>
      </c>
      <c r="LP5" s="173" t="s">
        <v>618</v>
      </c>
      <c r="LQ5" s="173" t="s">
        <v>619</v>
      </c>
      <c r="LR5" s="173" t="s">
        <v>614</v>
      </c>
      <c r="LS5" s="173" t="s">
        <v>622</v>
      </c>
      <c r="LT5" s="173" t="s">
        <v>618</v>
      </c>
      <c r="LU5" s="173" t="s">
        <v>619</v>
      </c>
      <c r="LV5" s="173" t="s">
        <v>614</v>
      </c>
      <c r="LW5" s="173" t="s">
        <v>623</v>
      </c>
      <c r="LX5" s="173" t="s">
        <v>624</v>
      </c>
      <c r="LY5" s="173" t="s">
        <v>625</v>
      </c>
      <c r="LZ5" s="173" t="s">
        <v>626</v>
      </c>
      <c r="MA5" s="173" t="s">
        <v>623</v>
      </c>
      <c r="MB5" s="173" t="s">
        <v>624</v>
      </c>
      <c r="MC5" s="173" t="s">
        <v>625</v>
      </c>
      <c r="MD5" s="173" t="s">
        <v>626</v>
      </c>
    </row>
  </sheetData>
  <protectedRanges>
    <protectedRange algorithmName="SHA-512" hashValue="T5GM3Hk55ikn4L72qf8drBnciehouugFmTxRvg4z3stC5BBsVfGehiKpXxQpfmvaGh0Uim03HEhyKoQz33dQCw==" saltValue="LyjMVodEJcZwL7GZBzd+0Q==" spinCount="100000" sqref="EG4:EH4 B4:C4 E4:AC4 AE4:AK4 BA4:BI4 BK4:BL4 BR4:CB4 CP4:CQ4 CS4:CT4 CV4:CY4 EA4:EE4 IB4:IC4 IL4:IM4 IT4 JB4 JJ4:KI4 KM4:KN4 DC4:DN4 IO4 IW4:IZ4" name="Rango2_1"/>
    <protectedRange algorithmName="SHA-512" hashValue="ViAdlylmV/HxJpF2FDYKuH1mdmYsDnRhOXspwOCuVIrui3X95V+H1cTu4IZ7ydSeEvlINtU9D++BdH163/ljAg==" saltValue="hbrHMpaiZ6YuEWTen54dCg==" spinCount="100000" sqref="AD4" name="Rango2"/>
    <protectedRange algorithmName="SHA-512" hashValue="R3mlUfs93ql+nRuDqs1ZcwWF91QEb2Q4R7h9Ngo+dskn1eGMrJGVGDO5YgMn2mZOVwGOiWDgWtpCLr8EMEFOzw==" saltValue="YKZE/6kOH0IfGYrvnmMFzQ==" spinCount="100000" sqref="AL4:AQ4" name="Rango2_6_1"/>
    <protectedRange algorithmName="SHA-512" hashValue="cR34urYs1moDUzMXhK608cryS72KFuIJr+USDU/e4HbjGNrIxLzShpb/NptCKibwUZ1E/l35OgxZzAFEYDJegw==" saltValue="w6wxOOpoqFE0jOhV3+UUQA==" spinCount="100000" sqref="AR4:AV4" name="Rango2_6_2"/>
    <protectedRange algorithmName="SHA-512" hashValue="rlvKbsY5OB4J8ccWHpZYbFQzCwfTDWvDzv9p08ujW6w6pi994C6qGZdUSfaBGNnOtQ5Q91R47IzeMiTzMeo6FA==" saltValue="oR23eM03O0q7bRNQmWIbuQ==" spinCount="100000" sqref="AW4:AY4" name="Rango2_6_3"/>
    <protectedRange algorithmName="SHA-512" hashValue="myGEtfYF6AVqbJhHXZw0izMYIxSEKNsDFti90+N06CAmGRe41BoPZvpC7X152Y6k1FwDPSFjs8gQtTjs4uLFtw==" saltValue="nFPM53YLPjyH63GlBIVt0g==" spinCount="100000" sqref="AZ4" name="Rango2_6_4"/>
    <protectedRange algorithmName="SHA-512" hashValue="/qgJpRcRIMoD5yDlKeL9SCTiNLX5HdTpVLT3nPjFfjLni52un5ad5QWvqmeZHSN/u+A8K8wo0XdKrLSrAcCvig==" saltValue="f1kIlCMpbeMFbbHrVj2hrw==" spinCount="100000" sqref="BJ4" name="Rango2_27"/>
    <protectedRange algorithmName="SHA-512" hashValue="fT1Y1d+I+IQszeVy1GKNi12uAKgjcVKtTUZ3adselWe9NMQPUBp2Vb3P2HdgYzWifLnMB6ORab3RFeOppzcKcg==" saltValue="SQkbkmlyiNxk/ptcjFvu7A==" spinCount="100000" sqref="BM4:BQ4" name="Rango2_2"/>
    <protectedRange algorithmName="SHA-512" hashValue="OdwF1CjCdp5mF4AFI6eFL6p7Tp8LtqF4bDQuAqL9/fv/F58gsq+g7Ek9tQxpQZU3gKSp9tu4FYOupovoMQ8HBw==" saltValue="sB/ZQbdLJugKwIKTVF9VgQ==" spinCount="100000" sqref="CC4:CD4" name="Rango2_3"/>
    <protectedRange algorithmName="SHA-512" hashValue="uCPT+CnjzYb3pqx+xmrN8yG0Lv8eEzoaaPZLFWPlol2TnaMkpJMzFWx2N7ARQIC9388o1GAdZA0XnKjkIlRM9Q==" saltValue="B8AP82wWv9yDWLSkoke/yA==" spinCount="100000" sqref="CI4 CG4" name="Rango2_4"/>
    <protectedRange algorithmName="SHA-512" hashValue="io5CEzupsVP7BVZWmGgh2Fiiqy28oR4nVuFhZUu5bDqWL8B92AHEzFujKnwsMdjc8k6xTt/gE4APV67GfD5MQw==" saltValue="DNq0lpKTAKnTxLvspvo6Eg==" spinCount="100000" sqref="CH4" name="Rango2_55"/>
    <protectedRange algorithmName="SHA-512" hashValue="yCjXa27SGqVXpur8tDu+prHjVpJEPoOD0ebXZtbqdc7z5f3SPatm4gVx5+G1mUkXd0dL/ZnLjBosZBlrGZ1PDg==" saltValue="p+VzU/xb6zEYH/xVgDEyAw==" spinCount="100000" sqref="CE4" name="Rango2_53"/>
    <protectedRange algorithmName="SHA-512" hashValue="mULTMdOTHFwqRTLDBhkWPY4OJA24+Jrky6A8O5ipHF4JxEMCgeG9FC7SjMmepYO7Hy71Ar+z5E5SSA2Os5hQrA==" saltValue="Q9GNoe+SS4HHa7LHJWjmyQ==" spinCount="100000" sqref="CF4" name="Rango2_54"/>
    <protectedRange algorithmName="SHA-512" hashValue="wy9DjrdH6LxUIr3oDgDpLR4eCwbHP8yWBA+Z4Rq2M1Zu5j1WwyL367+f/TLu/7VdSusgBi8GxziX2d9B9jfw+A==" saltValue="TojtaNVUEuGta992cnA1NA==" spinCount="100000" sqref="CL4 CN4" name="Rango2_5"/>
    <protectedRange algorithmName="SHA-512" hashValue="nw61xs4oYZQH2yhOZqO+zmXwB8TXhJuVimRa6305+2Weg46tjt5nCVgnmHT1DSXbNJr+ngm4cwvAQynVsBFdJw==" saltValue="RfdW58gNwedf8x8I9bvfRQ==" spinCount="100000" sqref="CJ4" name="Rango2_56"/>
    <protectedRange algorithmName="SHA-512" hashValue="QvCnlHGtZHeu01oxnTvOeH0IJg2D2qfRlbKin+P1vUdkB9vFMxFCbnj7/C9J8Dmqb/YyYLMG7BiFVe181qLyEg==" saltValue="7i/7UaYYfbVb3WzpwFUXQw==" spinCount="100000" sqref="CK4" name="Rango2_57"/>
    <protectedRange algorithmName="SHA-512" hashValue="3VPi4mseeSIVEvPGGJVvc7/KedUs+XHRGUxQg9kgTmQ8Gfe79DYX1+zxQwtUhRV8Xh3dQD8M/Pev9Idpk6IFPw==" saltValue="9EIIWYzFMtYxQbeQacaZjg==" spinCount="100000" sqref="CM4" name="Rango2_58"/>
    <protectedRange algorithmName="SHA-512" hashValue="miIZYa95nA/eq4xiagm2eHLPup45QRZI8rvL3UpFkdCgFyesnkNpbDVsTglsFEbXK3zb2nwALA+4xt74FNdaJw==" saltValue="O5gcwYgh1/uSgWPZIX1bdg==" spinCount="100000" sqref="CO4" name="Rango2_7"/>
    <protectedRange algorithmName="SHA-512" hashValue="03axmgossuKmEDp7qaMZLyAd4ZhJFGdYvuLpTcXCCtGLSxwv1T7UfM1yayEOXNJa+h0zxN+sB+olo35egTOB8Q==" saltValue="3BUqA8rhAdrSg5jbmpHM0Q==" spinCount="100000" sqref="DA4:DB4" name="Rango2_75"/>
    <protectedRange algorithmName="SHA-512" hashValue="BmJj4VfqXT18pzBiEquA/vWlWPO69wKDRh9rM9XfgKCVBmeXdO3VIFlBfi8vos5hWcg4uLyhkmgtGb3voCou7w==" saltValue="Gem4qNbUQoN0/wXsvkWUWA==" spinCount="100000" sqref="CR4" name="Rango2_8"/>
    <protectedRange algorithmName="SHA-512" hashValue="7m6qbk+O4sCixrFzGVsOc4ZzJ0sgp3Qqq4On0s22ePyLFPtyCFeubzB3k9IlHbv8r5PdNiXmLMAxnruhXZiKAw==" saltValue="fJza2K4m7NOTLPE8/GTlfA==" spinCount="100000" sqref="CU4" name="Rango2_10"/>
    <protectedRange algorithmName="SHA-512" hashValue="yK13XepkuRHPmANaEf5/cZgh4wTHV9CqAeAOyl1tiXkYDXO7bgllxNBNuKw2IAFPpeI0jNULFtLHoxpFD9JOdg==" saltValue="5tFkD3sJfOee7DQ89F68Bw==" spinCount="100000" sqref="CZ4" name="Rango2_11"/>
    <protectedRange algorithmName="SHA-512" hashValue="pa0ZC7QQGBngYLhOuEtMW8kDNmJy8a7AvDszT0PnEbjcknLxGD1a4tQwcE4uzq2fNeIJw/xhs6WGrDVj/bmxBg==" saltValue="gMbDGSVESDnhggI6QIAsoA==" spinCount="100000" sqref="DT4 DR4" name="Rango2_12"/>
    <protectedRange algorithmName="SHA-512" hashValue="WxN0SqVtk/lEOls7K/aqveg6Ch2vLpeDNbPsxO3zBMHVh+h79e4zFJuJ7HOTIL1lpmdzyTOgxdpVKTSf4STOUw==" saltValue="jiyF7rgqLQtTZmwOcTqYNQ==" spinCount="100000" sqref="DS4" name="Rango2_77"/>
    <protectedRange algorithmName="SHA-512" hashValue="wWvy47fvn33asxtX4l6U82ssQrKYExOzr2xXLlT5/5tZuOxl/DQ5CGK7Aa5AKdsqNFWp6ON1Pr4x2ZQUM6ld4w==" saltValue="anEr8gWk6CEqsX7cwo+oUg==" spinCount="100000" sqref="DU4:DV4" name="Rango2_78"/>
    <protectedRange algorithmName="SHA-512" hashValue="Qo3nc1FmzMPTXbH4v/fT5g4pCtgLm2usUFRZa2vKdnFfWpEZXcOx6Ei/HgaP8SgHrezXAvqnz5FkVTXueU2vXA==" saltValue="uw5KemXb2X/UvoQvdBtKrw==" spinCount="100000" sqref="DW4:DZ4" name="Rango2_13"/>
    <protectedRange algorithmName="SHA-512" hashValue="vyE6EWOfNttk7jMui+O1oRF5qt3fL5w9J+o2gY0ma0egVHvooF0Z/j+PNF5LlIhMEMVvZ8y7Ono4j/2TJ7d0RQ==" saltValue="rNDzvsLL+egg8OaHGNF7Rg==" spinCount="100000" sqref="EF4" name="Rango2_79"/>
    <protectedRange algorithmName="SHA-512" hashValue="zpyJK1fZ5KqPwEQyrQbZ5bbZUtd9tt1Y53C5HGkbyJBJm9hdnzjquRoDhw2cRyMuTL/Sghd6TSNJ82Mdz7k4mQ==" saltValue="cAXeuT82v+t9sJ2nS0egNQ==" spinCount="100000" sqref="EK4:EM4" name="Rango2_14"/>
    <protectedRange algorithmName="SHA-512" hashValue="taf8VKDI2aAYCtPSdeLNozUIAoyZdqZ84fYKL08pHFLcT6e4qP6JrFPSSTKmIpeyfLFEQeG0AZ3p4asp6xgYIQ==" saltValue="zYxlhSM202DbCtHgWdae/A==" spinCount="100000" sqref="EI4:EJ4" name="Rango2_79_1"/>
    <protectedRange algorithmName="SHA-512" hashValue="4tyXukZ9cdLiYgyD2L9x1PAaa6BAy/aLryktdm8lP4Vc2hKqcJbhPDcal3aKR373rd8YNWt79fmku+QUcQv7rQ==" saltValue="qr7PcNGavPXCGfTUZgJ6rw==" spinCount="100000" sqref="EP4:EQ4" name="Rango2_15"/>
    <protectedRange algorithmName="SHA-512" hashValue="LvKtPFwui+7ubAgeVxwzglpzDySTbK7PWHkePx3rKw7aIiOt1RmbrHwYEh1n4nBsdYmuR7OPamMrEQDJk6BYzw==" saltValue="JxgEvhhAsUL8aMP+840epw==" spinCount="100000" sqref="EN4:EO4" name="Rango2_89"/>
    <protectedRange algorithmName="SHA-512" hashValue="JvAi32sct5f8O675sSKEjxxz7zOqaWWoDt8TVhRPO9DEd9/d7k9RCFul7AtvVPsh4dHL1YBbWZJxPuEVtF/83w==" saltValue="a4z5CF2NghJo6Cz+N0GWjQ==" spinCount="100000" sqref="ET4:EU4" name="Rango2_16"/>
    <protectedRange algorithmName="SHA-512" hashValue="Mp1wLqteJvE+hDjkrUF/omlHQ/rjwx/szrcYUp54LeP8iLHGrUy1PAvAwP+kPAq1DLtOrD+4OJrygqZLh48vng==" saltValue="9SoGPDk6mEm23pN7/OHPyQ==" spinCount="100000" sqref="ER4:ES4" name="Rango2_96"/>
    <protectedRange algorithmName="SHA-512" hashValue="v+4aSz2fsHgt/41QaEP7ZLG6704x7VAWY9DXFlOgnsmMJLcfC7PjwSVfzneaS0yG/ygAzUUS8kU/8cdurc2f1Q==" saltValue="2FsOfLaYy631fU2za+rhGQ==" spinCount="100000" sqref="EX4" name="Rango2_17"/>
    <protectedRange algorithmName="SHA-512" hashValue="jTBHe379JZ81c1mfTNeZ/wTMBE/fvOQ3yr9UAKF3A5UAPrXUZkfA91oh9Hx1LcCs5qsD/SThyLM5G7Dr/t8Sbw==" saltValue="Z2pHRIVxnBmWJpWKckJc6A==" spinCount="100000" sqref="EV4:EW4" name="Rango2_97"/>
    <protectedRange algorithmName="SHA-512" hashValue="DiwwdNDeO+fFKT7GhEYKDNxhvhf4s2macsAyOWO58xNgAAJmbqnozvXQQ/FdkuGPK+T2G7ePrqgM9WoErPq3uw==" saltValue="fP7LveFGnJnQToiIfvXzpw==" spinCount="100000" sqref="EY4:FD4" name="Rango2_18"/>
    <protectedRange algorithmName="SHA-512" hashValue="uqqwwxkwMi9KoivZhGNEZes2GaZhqoXAo6ntRNLe72iY7nJynrRMoYoEVJ05s/kk0sHhfOnOSH/9bKDkAGJtNQ==" saltValue="+yWPLzVgRUwfRhhJaZFGLA==" spinCount="100000" sqref="FE4:FI4 FK4:FL4 FN4:FP4" name="Rango2_20"/>
    <protectedRange algorithmName="SHA-512" hashValue="2sQQ4Vlkx0elRvn4R4gqJfr/i9dYAzSLOctdQA/AjtaBR6aBrE8bk+9r4itN/oYZtRw96bLvgj0zQJB/41+XXA==" saltValue="gYgbBDHnn+FZFzeDgwgllQ==" spinCount="100000" sqref="FQ4:FV4" name="Rango2_22"/>
    <protectedRange algorithmName="SHA-512" hashValue="OYb+xRwYRUMYp+jmLKVnCN65WfONBjRiJFKT61S+ppQCNTnE5ahYwXAyJvjyBrKpirUw6npW68UYzaNrwjtFtA==" saltValue="eHM5svdobfHLJYEr8Uo/1g==" spinCount="100000" sqref="FW4:FX4" name="Rango2_23"/>
    <protectedRange algorithmName="SHA-512" hashValue="5t5OY/1WmEf2AJsZrJZLc8Yph8rgJ1TiEofSeET0/DK97W5CUbxH4EhMSAtDU+qGQzPBUKJFRIgZ3Ik7C2fktw==" saltValue="bitiG/6a8YtXK0XJyFqCvg==" spinCount="100000" sqref="GB4:GC4" name="Rango2_25"/>
    <protectedRange algorithmName="SHA-512" hashValue="CNaXgIJSmN9LhCrV0UaWY0ziZjkgUCqMW7Hfs8srxxy11kvQG9mHpz4+VqLWENMl1tjQMecBH6ZOi3I5xoGSnA==" saltValue="lf96LJU7jZL80tiPQUNjBA==" spinCount="100000" sqref="GH4:GK4" name="Rango2_26"/>
    <protectedRange algorithmName="SHA-512" hashValue="tTode/DgoACcHZi/pl/crwhRqQNV2BkuEzrzlAZpiN6rs4ChFphUDOqtiJFQCBvr5JNsivpKoJti+kQCDjwZww==" saltValue="68QMzv0M4uUVXPa5Wqjzlw==" spinCount="100000" sqref="GL4:GM4" name="Rango2_28"/>
    <protectedRange algorithmName="SHA-512" hashValue="hNKjoTglZhwS7YWoVv82sJD5cgxLo7TsvUjsN+CQwFhjpuWAwGhWR8uLljQcTusZMYgcSfpo4Epb4MLwRPSFHQ==" saltValue="bgxMoG3ClTGQHeoV6H83Ug==" spinCount="100000" sqref="GE4" name="Rango2_30"/>
    <protectedRange algorithmName="SHA-512" hashValue="TixJhnE3PsZQs1hQOyaqKL2HvwKWMQSrR/K6tsRAfIQrTYVah/jfCb5grNr2RHsPfmE7NFuv1DPXLowN4TlL7Q==" saltValue="3MqGBtwHwAUvhuLM9Ir9yg==" spinCount="100000" sqref="GF4" name="Rango2_31"/>
    <protectedRange algorithmName="SHA-512" hashValue="6a2me31Q+LTB4mAWSoBQi/4PdX0dGAsyK4ow7os3vmDbF9JzZwQeF2MoVxZqV72HN1O3GY7C41Fp98nEwwOpYw==" saltValue="E8iZTjQFcSJgrANQDlDCIw==" spinCount="100000" sqref="GN4:GP4" name="Rango2_33"/>
    <protectedRange algorithmName="SHA-512" hashValue="ojSOqHto1RcxnXA4K3xvlQbNPvluARCRbIFb8mRcrEQxIZVBaykCNvULZBywfN378JaFfsyrjiGYVmIBNvQYHA==" saltValue="uyDhcHzUDuPQ1g+Hgf82Bg==" spinCount="100000" sqref="GQ4:GV4" name="Rango2_34"/>
    <protectedRange algorithmName="SHA-512" hashValue="sOileb7kkqTRbACZ/X69lSpx8p/USwvFmfrL+ioD5EXbk5ZGgWA80DYDFfRmmWiHnotfyqsKpcYlgTJdwgW88w==" saltValue="4G/tMBgMo12oOO+MfUrVBQ==" spinCount="100000" sqref="GW4:GZ4" name="Rango2_35"/>
    <protectedRange algorithmName="SHA-512" hashValue="lUsFisR3cBz9dH0XTc4XVfFjG3Cfj4n78CGhb6z1fLOWytRrKcST1J4etoWXd2CBltjs04ato/gRxUHPDam6QQ==" saltValue="LM5KQiMciCVFU22CApsKMg==" spinCount="100000" sqref="HA4:HC4" name="Rango2_36"/>
    <protectedRange algorithmName="SHA-512" hashValue="nGRv0xVNxiYCg9USDLLrECQlscKnukp1MUI6u2F3K2KjpEf7VZ8ypr23qdNPojFM215QYQIqM6MO4ponutiknQ==" saltValue="ORTrLhTWKcfiBcs5Tn92XA==" spinCount="100000" sqref="HK4:HN4" name="Rango2_37"/>
    <protectedRange algorithmName="SHA-512" hashValue="7VX5ovLqPUJ5V0hiTTZNSKRdKv/WIyvf2TF6fMOFlW9VyqjD7j+kMZoKYqcdQHmWZEpxyDIywPTGidqHmyTffg==" saltValue="4Bf7rfTVhEtPrx17D9kRkA==" spinCount="100000" sqref="HQ4:HR4" name="Rango2_38"/>
    <protectedRange algorithmName="SHA-512" hashValue="S4DCHo/8Pb92Pe+armNJCa6XsMAgoAOdMUbwK9eYcI7o1wg0bllAboVAYzce8BaO3lUV5SXjdrQMDG3Gz4xbdQ==" saltValue="H++ZT9i4vimtX0wTeRVJNg==" spinCount="100000" sqref="HJ4" name="Rango2_39"/>
    <protectedRange algorithmName="SHA-512" hashValue="9+DNppQbWrLYYUMoJ+lyQctV2bX3Vq9kZnegLbpjTLP49It2ovUbcartuoQTeXgP+TGpY//7mDH/UQlFCKDGiA==" saltValue="KUnni6YEm00anzSSvyLqQA==" spinCount="100000" sqref="HV4 HX4 HZ4" name="Rango2_6"/>
    <protectedRange algorithmName="SHA-512" hashValue="9+DNppQbWrLYYUMoJ+lyQctV2bX3Vq9kZnegLbpjTLP49It2ovUbcartuoQTeXgP+TGpY//7mDH/UQlFCKDGiA==" saltValue="KUnni6YEm00anzSSvyLqQA==" spinCount="100000" sqref="IN4" name="Rango2_9"/>
    <protectedRange algorithmName="SHA-512" hashValue="9+DNppQbWrLYYUMoJ+lyQctV2bX3Vq9kZnegLbpjTLP49It2ovUbcartuoQTeXgP+TGpY//7mDH/UQlFCKDGiA==" saltValue="KUnni6YEm00anzSSvyLqQA==" spinCount="100000" sqref="IP4:IR4" name="Rango2_19"/>
    <protectedRange algorithmName="SHA-512" hashValue="9+DNppQbWrLYYUMoJ+lyQctV2bX3Vq9kZnegLbpjTLP49It2ovUbcartuoQTeXgP+TGpY//7mDH/UQlFCKDGiA==" saltValue="KUnni6YEm00anzSSvyLqQA==" spinCount="100000" sqref="JD4:JH4" name="Rango2_21"/>
    <protectedRange algorithmName="SHA-512" hashValue="9+DNppQbWrLYYUMoJ+lyQctV2bX3Vq9kZnegLbpjTLP49It2ovUbcartuoQTeXgP+TGpY//7mDH/UQlFCKDGiA==" saltValue="KUnni6YEm00anzSSvyLqQA==" spinCount="100000" sqref="JI4" name="Rango2_29"/>
    <protectedRange algorithmName="SHA-512" hashValue="9+DNppQbWrLYYUMoJ+lyQctV2bX3Vq9kZnegLbpjTLP49It2ovUbcartuoQTeXgP+TGpY//7mDH/UQlFCKDGiA==" saltValue="KUnni6YEm00anzSSvyLqQA==" spinCount="100000" sqref="IA4" name="Rango2_40"/>
    <protectedRange algorithmName="SHA-512" hashValue="9+DNppQbWrLYYUMoJ+lyQctV2bX3Vq9kZnegLbpjTLP49It2ovUbcartuoQTeXgP+TGpY//7mDH/UQlFCKDGiA==" saltValue="KUnni6YEm00anzSSvyLqQA==" spinCount="100000" sqref="JA4" name="Rango2_41"/>
    <protectedRange algorithmName="SHA-512" hashValue="9+DNppQbWrLYYUMoJ+lyQctV2bX3Vq9kZnegLbpjTLP49It2ovUbcartuoQTeXgP+TGpY//7mDH/UQlFCKDGiA==" saltValue="KUnni6YEm00anzSSvyLqQA==" spinCount="100000" sqref="IS4" name="Rango2_42"/>
    <protectedRange algorithmName="SHA-512" hashValue="9+DNppQbWrLYYUMoJ+lyQctV2bX3Vq9kZnegLbpjTLP49It2ovUbcartuoQTeXgP+TGpY//7mDH/UQlFCKDGiA==" saltValue="KUnni6YEm00anzSSvyLqQA==" spinCount="100000" sqref="KJ4:KL4" name="Rango2_43"/>
    <protectedRange algorithmName="SHA-512" hashValue="9+DNppQbWrLYYUMoJ+lyQctV2bX3Vq9kZnegLbpjTLP49It2ovUbcartuoQTeXgP+TGpY//7mDH/UQlFCKDGiA==" saltValue="KUnni6YEm00anzSSvyLqQA==" spinCount="100000" sqref="KQ4:KT4 KX4:LB4" name="Rango2_44"/>
    <protectedRange algorithmName="SHA-512" hashValue="9+DNppQbWrLYYUMoJ+lyQctV2bX3Vq9kZnegLbpjTLP49It2ovUbcartuoQTeXgP+TGpY//7mDH/UQlFCKDGiA==" saltValue="KUnni6YEm00anzSSvyLqQA==" spinCount="100000" sqref="KO4:KP4" name="Rango2_45"/>
    <protectedRange algorithmName="SHA-512" hashValue="9+DNppQbWrLYYUMoJ+lyQctV2bX3Vq9kZnegLbpjTLP49It2ovUbcartuoQTeXgP+TGpY//7mDH/UQlFCKDGiA==" saltValue="KUnni6YEm00anzSSvyLqQA==" spinCount="100000" sqref="KU4:KW4" name="Rango2_46"/>
    <protectedRange algorithmName="SHA-512" hashValue="+u8ETP7RnmTFzwP1xRwajJa0k8e4nLv8tEoGW4GVn+3uAiDu7IjPSpc8eJAORlZW6vPJAWwmGRugW8VCG8sO4g==" saltValue="npbfSwlEiEyOodcwZD1w4Q==" spinCount="100000" sqref="DO4" name="Rango2_78_1"/>
    <protectedRange algorithmName="SHA-512" hashValue="+u8ETP7RnmTFzwP1xRwajJa0k8e4nLv8tEoGW4GVn+3uAiDu7IjPSpc8eJAORlZW6vPJAWwmGRugW8VCG8sO4g==" saltValue="npbfSwlEiEyOodcwZD1w4Q==" spinCount="100000" sqref="DQ4" name="Rango2_78_2"/>
    <protectedRange algorithmName="SHA-512" hashValue="9+DNppQbWrLYYUMoJ+lyQctV2bX3Vq9kZnegLbpjTLP49It2ovUbcartuoQTeXgP+TGpY//7mDH/UQlFCKDGiA==" saltValue="KUnni6YEm00anzSSvyLqQA==" spinCount="100000" sqref="FJ4" name="Rango2_47"/>
    <protectedRange algorithmName="SHA-512" hashValue="9+DNppQbWrLYYUMoJ+lyQctV2bX3Vq9kZnegLbpjTLP49It2ovUbcartuoQTeXgP+TGpY//7mDH/UQlFCKDGiA==" saltValue="KUnni6YEm00anzSSvyLqQA==" spinCount="100000" sqref="FM4" name="Rango2_48"/>
    <protectedRange algorithmName="SHA-512" hashValue="9+DNppQbWrLYYUMoJ+lyQctV2bX3Vq9kZnegLbpjTLP49It2ovUbcartuoQTeXgP+TGpY//7mDH/UQlFCKDGiA==" saltValue="KUnni6YEm00anzSSvyLqQA==" spinCount="100000" sqref="FY4" name="Rango2_49"/>
    <protectedRange algorithmName="SHA-512" hashValue="9+DNppQbWrLYYUMoJ+lyQctV2bX3Vq9kZnegLbpjTLP49It2ovUbcartuoQTeXgP+TGpY//7mDH/UQlFCKDGiA==" saltValue="KUnni6YEm00anzSSvyLqQA==" spinCount="100000" sqref="FZ4" name="Rango2_50"/>
    <protectedRange algorithmName="SHA-512" hashValue="9+DNppQbWrLYYUMoJ+lyQctV2bX3Vq9kZnegLbpjTLP49It2ovUbcartuoQTeXgP+TGpY//7mDH/UQlFCKDGiA==" saltValue="KUnni6YEm00anzSSvyLqQA==" spinCount="100000" sqref="GA4" name="Rango2_51"/>
    <protectedRange algorithmName="SHA-512" hashValue="9+DNppQbWrLYYUMoJ+lyQctV2bX3Vq9kZnegLbpjTLP49It2ovUbcartuoQTeXgP+TGpY//7mDH/UQlFCKDGiA==" saltValue="KUnni6YEm00anzSSvyLqQA==" spinCount="100000" sqref="GD4" name="Rango2_52"/>
    <protectedRange algorithmName="SHA-512" hashValue="9+DNppQbWrLYYUMoJ+lyQctV2bX3Vq9kZnegLbpjTLP49It2ovUbcartuoQTeXgP+TGpY//7mDH/UQlFCKDGiA==" saltValue="KUnni6YEm00anzSSvyLqQA==" spinCount="100000" sqref="GG4" name="Rango2_59"/>
    <protectedRange algorithmName="SHA-512" hashValue="9+DNppQbWrLYYUMoJ+lyQctV2bX3Vq9kZnegLbpjTLP49It2ovUbcartuoQTeXgP+TGpY//7mDH/UQlFCKDGiA==" saltValue="KUnni6YEm00anzSSvyLqQA==" spinCount="100000" sqref="HD4:HI4" name="Rango2_60"/>
    <protectedRange algorithmName="SHA-512" hashValue="9+DNppQbWrLYYUMoJ+lyQctV2bX3Vq9kZnegLbpjTLP49It2ovUbcartuoQTeXgP+TGpY//7mDH/UQlFCKDGiA==" saltValue="KUnni6YEm00anzSSvyLqQA==" spinCount="100000" sqref="IE4:IJ4" name="Rango2_61"/>
    <protectedRange algorithmName="SHA-512" hashValue="9+DNppQbWrLYYUMoJ+lyQctV2bX3Vq9kZnegLbpjTLP49It2ovUbcartuoQTeXgP+TGpY//7mDH/UQlFCKDGiA==" saltValue="KUnni6YEm00anzSSvyLqQA==" spinCount="100000" sqref="IK4" name="Rango2_62"/>
    <protectedRange algorithmName="SHA-512" hashValue="9+DNppQbWrLYYUMoJ+lyQctV2bX3Vq9kZnegLbpjTLP49It2ovUbcartuoQTeXgP+TGpY//7mDH/UQlFCKDGiA==" saltValue="KUnni6YEm00anzSSvyLqQA==" spinCount="100000" sqref="JC4" name="Rango2_63"/>
    <protectedRange algorithmName="SHA-512" hashValue="+u8ETP7RnmTFzwP1xRwajJa0k8e4nLv8tEoGW4GVn+3uAiDu7IjPSpc8eJAORlZW6vPJAWwmGRugW8VCG8sO4g==" saltValue="npbfSwlEiEyOodcwZD1w4Q==" spinCount="100000" sqref="DP4" name="Rango2_78_3"/>
    <protectedRange algorithmName="SHA-512" hashValue="9+DNppQbWrLYYUMoJ+lyQctV2bX3Vq9kZnegLbpjTLP49It2ovUbcartuoQTeXgP+TGpY//7mDH/UQlFCKDGiA==" saltValue="KUnni6YEm00anzSSvyLqQA==" spinCount="100000" sqref="ID4" name="Rango2_24"/>
    <protectedRange algorithmName="SHA-512" hashValue="9+DNppQbWrLYYUMoJ+lyQctV2bX3Vq9kZnegLbpjTLP49It2ovUbcartuoQTeXgP+TGpY//7mDH/UQlFCKDGiA==" saltValue="KUnni6YEm00anzSSvyLqQA==" spinCount="100000" sqref="IU4" name="Rango2_32"/>
    <protectedRange algorithmName="SHA-512" hashValue="9+DNppQbWrLYYUMoJ+lyQctV2bX3Vq9kZnegLbpjTLP49It2ovUbcartuoQTeXgP+TGpY//7mDH/UQlFCKDGiA==" saltValue="KUnni6YEm00anzSSvyLqQA==" spinCount="100000" sqref="IV4" name="Rango2_64"/>
  </protectedRanges>
  <mergeCells count="7">
    <mergeCell ref="JV5:KE5"/>
    <mergeCell ref="A1:F1"/>
    <mergeCell ref="A2:F2"/>
    <mergeCell ref="A3:F3"/>
    <mergeCell ref="AL5:AQ5"/>
    <mergeCell ref="DC5:DN5"/>
    <mergeCell ref="EA5:EE5"/>
  </mergeCells>
  <conditionalFormatting sqref="IY4">
    <cfRule type="notContainsBlanks" dxfId="307" priority="5">
      <formula>LEN(TRIM(IY4))&gt;0</formula>
    </cfRule>
  </conditionalFormatting>
  <conditionalFormatting sqref="JN4">
    <cfRule type="notContainsBlanks" dxfId="306" priority="4">
      <formula>LEN(TRIM(JN4))&gt;0</formula>
    </cfRule>
  </conditionalFormatting>
  <conditionalFormatting sqref="JX4">
    <cfRule type="notContainsBlanks" dxfId="305" priority="3">
      <formula>LEN(TRIM(JX4))&gt;0</formula>
    </cfRule>
  </conditionalFormatting>
  <conditionalFormatting sqref="KG4">
    <cfRule type="notContainsBlanks" dxfId="304" priority="2">
      <formula>LEN(TRIM(KG4))&gt;0</formula>
    </cfRule>
  </conditionalFormatting>
  <conditionalFormatting sqref="KI4">
    <cfRule type="notContainsBlanks" dxfId="303" priority="1">
      <formula>LEN(TRIM(KI4))&gt;0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XFD153"/>
  <sheetViews>
    <sheetView topLeftCell="A9" zoomScale="115" zoomScaleNormal="115" workbookViewId="0">
      <selection activeCell="N126" sqref="N126"/>
    </sheetView>
  </sheetViews>
  <sheetFormatPr baseColWidth="10" defaultRowHeight="15" x14ac:dyDescent="0.25"/>
  <cols>
    <col min="1" max="1" width="43.42578125" customWidth="1"/>
    <col min="2" max="13" width="8.140625" customWidth="1"/>
  </cols>
  <sheetData>
    <row r="3" spans="1:13" ht="23.25" x14ac:dyDescent="0.35">
      <c r="A3" s="70" t="s">
        <v>436</v>
      </c>
      <c r="L3" s="231" t="s">
        <v>849</v>
      </c>
    </row>
    <row r="4" spans="1:13" ht="18.75" x14ac:dyDescent="0.3">
      <c r="A4" s="77" t="s">
        <v>18</v>
      </c>
      <c r="B4" s="77">
        <v>2022</v>
      </c>
    </row>
    <row r="5" spans="1:13" ht="15.75" thickBot="1" x14ac:dyDescent="0.3">
      <c r="A5" t="s">
        <v>444</v>
      </c>
      <c r="B5" t="s">
        <v>398</v>
      </c>
      <c r="C5" t="s">
        <v>399</v>
      </c>
      <c r="D5" t="s">
        <v>400</v>
      </c>
      <c r="E5" t="s">
        <v>401</v>
      </c>
      <c r="F5" t="s">
        <v>402</v>
      </c>
      <c r="G5" t="s">
        <v>403</v>
      </c>
      <c r="H5" t="s">
        <v>404</v>
      </c>
      <c r="I5" t="s">
        <v>405</v>
      </c>
      <c r="J5" t="s">
        <v>406</v>
      </c>
      <c r="K5" t="s">
        <v>407</v>
      </c>
      <c r="L5" t="s">
        <v>408</v>
      </c>
      <c r="M5" t="s">
        <v>409</v>
      </c>
    </row>
    <row r="6" spans="1:13" x14ac:dyDescent="0.25">
      <c r="A6" s="74" t="s">
        <v>435</v>
      </c>
      <c r="B6" s="136">
        <v>1</v>
      </c>
      <c r="C6" s="138">
        <v>2</v>
      </c>
      <c r="D6" s="138">
        <v>3</v>
      </c>
      <c r="E6" s="138">
        <v>4</v>
      </c>
      <c r="F6" s="138">
        <v>5</v>
      </c>
      <c r="G6" s="138">
        <v>6</v>
      </c>
      <c r="H6" s="138">
        <v>7</v>
      </c>
      <c r="I6" s="138">
        <v>8</v>
      </c>
      <c r="J6" s="138">
        <v>9</v>
      </c>
      <c r="K6" s="138">
        <v>10</v>
      </c>
      <c r="L6" s="138">
        <v>11</v>
      </c>
      <c r="M6" s="139">
        <v>12</v>
      </c>
    </row>
    <row r="7" spans="1:13" x14ac:dyDescent="0.25">
      <c r="A7" s="75" t="s">
        <v>440</v>
      </c>
      <c r="B7" s="223">
        <f>COUNTIFS(Tabla1[GESTANTES ACTUALES],"ACTIVA INGRESO A CPN")</f>
        <v>0</v>
      </c>
      <c r="C7" s="223">
        <f>COUNTIFS(Tabla1[GESTANTES ACTUALES],"ACTIVA INGRESO A CPN")</f>
        <v>0</v>
      </c>
      <c r="D7" s="223">
        <f>COUNTIFS(Tabla1[GESTANTES ACTUALES],"ACTIVA INGRESO A CPN")</f>
        <v>0</v>
      </c>
      <c r="E7" s="223">
        <f>COUNTIFS(Tabla1[GESTANTES ACTUALES],"ACTIVA INGRESO A CPN")</f>
        <v>0</v>
      </c>
      <c r="F7" s="223">
        <f>COUNTIFS(Tabla1[GESTANTES ACTUALES],"ACTIVA INGRESO A CPN")</f>
        <v>0</v>
      </c>
      <c r="G7" s="223">
        <f>COUNTIFS(Tabla1[GESTANTES ACTUALES],"ACTIVA INGRESO A CPN")</f>
        <v>0</v>
      </c>
      <c r="H7" s="223">
        <f>COUNTIFS(Tabla1[GESTANTES ACTUALES],"ACTIVA INGRESO A CPN")</f>
        <v>0</v>
      </c>
      <c r="I7" s="223">
        <f>COUNTIFS(Tabla1[GESTANTES ACTUALES],"ACTIVA INGRESO A CPN")</f>
        <v>0</v>
      </c>
      <c r="J7" s="223">
        <f>COUNTIFS(Tabla1[GESTANTES ACTUALES],"ACTIVA INGRESO A CPN")</f>
        <v>0</v>
      </c>
      <c r="K7" s="223">
        <f>COUNTIFS(Tabla1[GESTANTES ACTUALES],"ACTIVA INGRESO A CPN")</f>
        <v>0</v>
      </c>
      <c r="L7" s="223">
        <f>COUNTIFS(Tabla1[GESTANTES ACTUALES],"ACTIVA INGRESO A CPN")</f>
        <v>0</v>
      </c>
      <c r="M7" s="223">
        <f>COUNTIFS(Tabla1[GESTANTES ACTUALES],"ACTIVA INGRESO A CPN")</f>
        <v>0</v>
      </c>
    </row>
    <row r="8" spans="1:13" x14ac:dyDescent="0.25">
      <c r="A8" s="75" t="s">
        <v>434</v>
      </c>
      <c r="B8" s="137">
        <f>COUNTIFS(Tabla1[GESTANTES ACTUALES],"ACTIVA INGRESO A CPN",Tabla1[ALERTA SEGUIMIENTO],"INASISTENTE")</f>
        <v>0</v>
      </c>
      <c r="C8" s="137">
        <f>COUNTIFS(Tabla1[GESTANTES ACTUALES],"ACTIVA INGRESO A CPN",Tabla1[ALERTA SEGUIMIENTO],"INASISTENTE")</f>
        <v>0</v>
      </c>
      <c r="D8" s="137">
        <f>COUNTIFS(Tabla1[GESTANTES ACTUALES],"ACTIVA INGRESO A CPN",Tabla1[ALERTA SEGUIMIENTO],"INASISTENTE")</f>
        <v>0</v>
      </c>
      <c r="E8" s="137">
        <f>COUNTIFS(Tabla1[GESTANTES ACTUALES],"ACTIVA INGRESO A CPN",Tabla1[ALERTA SEGUIMIENTO],"INASISTENTE")</f>
        <v>0</v>
      </c>
      <c r="F8" s="137">
        <f>COUNTIFS(Tabla1[GESTANTES ACTUALES],"ACTIVA INGRESO A CPN",Tabla1[ALERTA SEGUIMIENTO],"INASISTENTE")</f>
        <v>0</v>
      </c>
      <c r="G8" s="137">
        <f>COUNTIFS(Tabla1[GESTANTES ACTUALES],"ACTIVA INGRESO A CPN",Tabla1[ALERTA SEGUIMIENTO],"INASISTENTE")</f>
        <v>0</v>
      </c>
      <c r="H8" s="137">
        <f>COUNTIFS(Tabla1[GESTANTES ACTUALES],"ACTIVA INGRESO A CPN",Tabla1[ALERTA SEGUIMIENTO],"INASISTENTE")</f>
        <v>0</v>
      </c>
      <c r="I8" s="137">
        <f>COUNTIFS(Tabla1[GESTANTES ACTUALES],"ACTIVA INGRESO A CPN",Tabla1[ALERTA SEGUIMIENTO],"INASISTENTE")</f>
        <v>0</v>
      </c>
      <c r="J8" s="137">
        <f>COUNTIFS(Tabla1[GESTANTES ACTUALES],"ACTIVA INGRESO A CPN",Tabla1[ALERTA SEGUIMIENTO],"INASISTENTE")</f>
        <v>0</v>
      </c>
      <c r="K8" s="137">
        <f>COUNTIFS(Tabla1[GESTANTES ACTUALES],"ACTIVA INGRESO A CPN",Tabla1[ALERTA SEGUIMIENTO],"INASISTENTE")</f>
        <v>0</v>
      </c>
      <c r="L8" s="137">
        <f>COUNTIFS(Tabla1[GESTANTES ACTUALES],"ACTIVA INGRESO A CPN",Tabla1[ALERTA SEGUIMIENTO],"INASISTENTE")</f>
        <v>0</v>
      </c>
      <c r="M8" s="137">
        <f>COUNTIFS(Tabla1[GESTANTES ACTUALES],"ACTIVA INGRESO A CPN",Tabla1[ALERTA SEGUIMIENTO],"INASISTENTE")</f>
        <v>0</v>
      </c>
    </row>
    <row r="9" spans="1:13" x14ac:dyDescent="0.25">
      <c r="A9" s="75" t="s">
        <v>441</v>
      </c>
      <c r="B9" s="137">
        <f>COUNTIFS(Tabla1[GESTANTES ACTUALES],"ACTIVA SIN INGRESO CPN")</f>
        <v>0</v>
      </c>
      <c r="C9" s="137">
        <f>COUNTIFS(Tabla1[GESTANTES ACTUALES],"ACTIVA SIN INGRESO CPN")</f>
        <v>0</v>
      </c>
      <c r="D9" s="137">
        <f>COUNTIFS(Tabla1[GESTANTES ACTUALES],"ACTIVA SIN INGRESO CPN")</f>
        <v>0</v>
      </c>
      <c r="E9" s="137">
        <f>COUNTIFS(Tabla1[GESTANTES ACTUALES],"ACTIVA SIN INGRESO CPN")</f>
        <v>0</v>
      </c>
      <c r="F9" s="137">
        <f>COUNTIFS(Tabla1[GESTANTES ACTUALES],"ACTIVA SIN INGRESO CPN")</f>
        <v>0</v>
      </c>
      <c r="G9" s="137">
        <f>COUNTIFS(Tabla1[GESTANTES ACTUALES],"ACTIVA SIN INGRESO CPN")</f>
        <v>0</v>
      </c>
      <c r="H9" s="137">
        <f>COUNTIFS(Tabla1[GESTANTES ACTUALES],"ACTIVA SIN INGRESO CPN")</f>
        <v>0</v>
      </c>
      <c r="I9" s="137">
        <f>COUNTIFS(Tabla1[GESTANTES ACTUALES],"ACTIVA SIN INGRESO CPN")</f>
        <v>0</v>
      </c>
      <c r="J9" s="137">
        <f>COUNTIFS(Tabla1[GESTANTES ACTUALES],"ACTIVA SIN INGRESO CPN")</f>
        <v>0</v>
      </c>
      <c r="K9" s="137">
        <f>COUNTIFS(Tabla1[GESTANTES ACTUALES],"ACTIVA SIN INGRESO CPN")</f>
        <v>0</v>
      </c>
      <c r="L9" s="137">
        <f>COUNTIFS(Tabla1[GESTANTES ACTUALES],"ACTIVA SIN INGRESO CPN")</f>
        <v>0</v>
      </c>
      <c r="M9" s="137">
        <f>COUNTIFS(Tabla1[GESTANTES ACTUALES],"ACTIVA SIN INGRESO CPN")</f>
        <v>0</v>
      </c>
    </row>
    <row r="10" spans="1:13" x14ac:dyDescent="0.25">
      <c r="A10" s="75" t="s">
        <v>442</v>
      </c>
      <c r="B10" s="137">
        <f>COUNTIFS(Tabla1[GESTANTES ACTUALES],"SALE SIN INGRESO CPN")</f>
        <v>0</v>
      </c>
      <c r="C10" s="137">
        <f>COUNTIFS(Tabla1[GESTANTES ACTUALES],"SALE SIN INGRESO CPN")</f>
        <v>0</v>
      </c>
      <c r="D10" s="137">
        <f>COUNTIFS(Tabla1[GESTANTES ACTUALES],"SALE SIN INGRESO CPN")</f>
        <v>0</v>
      </c>
      <c r="E10" s="137">
        <f>COUNTIFS(Tabla1[GESTANTES ACTUALES],"SALE SIN INGRESO CPN")</f>
        <v>0</v>
      </c>
      <c r="F10" s="137">
        <f>COUNTIFS(Tabla1[GESTANTES ACTUALES],"SALE SIN INGRESO CPN")</f>
        <v>0</v>
      </c>
      <c r="G10" s="137">
        <f>COUNTIFS(Tabla1[GESTANTES ACTUALES],"SALE SIN INGRESO CPN")</f>
        <v>0</v>
      </c>
      <c r="H10" s="137">
        <f>COUNTIFS(Tabla1[GESTANTES ACTUALES],"SALE SIN INGRESO CPN")</f>
        <v>0</v>
      </c>
      <c r="I10" s="137">
        <f>COUNTIFS(Tabla1[GESTANTES ACTUALES],"SALE SIN INGRESO CPN")</f>
        <v>0</v>
      </c>
      <c r="J10" s="137">
        <f>COUNTIFS(Tabla1[GESTANTES ACTUALES],"SALE SIN INGRESO CPN")</f>
        <v>0</v>
      </c>
      <c r="K10" s="137">
        <f>COUNTIFS(Tabla1[GESTANTES ACTUALES],"SALE SIN INGRESO CPN")</f>
        <v>0</v>
      </c>
      <c r="L10" s="137">
        <f>COUNTIFS(Tabla1[GESTANTES ACTUALES],"SALE SIN INGRESO CPN")</f>
        <v>0</v>
      </c>
      <c r="M10" s="137">
        <f>COUNTIFS(Tabla1[GESTANTES ACTUALES],"SALE SIN INGRESO CPN")</f>
        <v>0</v>
      </c>
    </row>
    <row r="11" spans="1:13" x14ac:dyDescent="0.25">
      <c r="A11" s="76" t="s">
        <v>443</v>
      </c>
      <c r="B11" s="71" t="str">
        <f t="shared" ref="B11:M11" si="0">IF(B7=0,"",SUM(B8/B7))</f>
        <v/>
      </c>
      <c r="C11" s="71" t="str">
        <f t="shared" si="0"/>
        <v/>
      </c>
      <c r="D11" s="71" t="str">
        <f t="shared" si="0"/>
        <v/>
      </c>
      <c r="E11" s="71" t="str">
        <f t="shared" si="0"/>
        <v/>
      </c>
      <c r="F11" s="71" t="str">
        <f t="shared" si="0"/>
        <v/>
      </c>
      <c r="G11" s="71" t="str">
        <f t="shared" si="0"/>
        <v/>
      </c>
      <c r="H11" s="71" t="str">
        <f t="shared" si="0"/>
        <v/>
      </c>
      <c r="I11" s="71" t="str">
        <f t="shared" si="0"/>
        <v/>
      </c>
      <c r="J11" s="71" t="str">
        <f t="shared" si="0"/>
        <v/>
      </c>
      <c r="K11" s="71" t="str">
        <f t="shared" si="0"/>
        <v/>
      </c>
      <c r="L11" s="71" t="str">
        <f t="shared" si="0"/>
        <v/>
      </c>
      <c r="M11" s="71" t="str">
        <f t="shared" si="0"/>
        <v/>
      </c>
    </row>
    <row r="12" spans="1:13" ht="15.75" thickBot="1" x14ac:dyDescent="0.3">
      <c r="A12" s="78"/>
      <c r="B12" s="222"/>
      <c r="C12" s="103"/>
      <c r="D12" s="103"/>
      <c r="E12" s="103"/>
      <c r="F12" s="103"/>
      <c r="G12" s="103"/>
      <c r="H12" s="103"/>
      <c r="I12" s="103"/>
      <c r="J12" s="103"/>
      <c r="K12" s="103"/>
      <c r="L12" s="103"/>
      <c r="M12" s="103"/>
    </row>
    <row r="13" spans="1:13" ht="19.5" thickBot="1" x14ac:dyDescent="0.35">
      <c r="A13" s="225" t="s">
        <v>800</v>
      </c>
      <c r="B13" s="243" t="s">
        <v>812</v>
      </c>
      <c r="C13" s="244"/>
      <c r="D13" s="245" t="s">
        <v>833</v>
      </c>
      <c r="E13" s="246"/>
      <c r="F13" s="103"/>
      <c r="G13" s="103"/>
      <c r="H13" s="103"/>
      <c r="I13" s="103"/>
      <c r="J13" s="103"/>
      <c r="K13" s="103"/>
      <c r="L13" s="103"/>
      <c r="M13" s="103"/>
    </row>
    <row r="14" spans="1:13" ht="26.25" thickBot="1" x14ac:dyDescent="0.3">
      <c r="A14" s="221" t="s">
        <v>803</v>
      </c>
      <c r="B14" s="224">
        <f>COUNTIFS(Tabla1[GESTANTES ACTUALES],"ACTIVA INGRESO A CPN",Tabla1[RIESGO BIOPSICOSOCIAL],"ALTO RIESGO",Tabla1[FECHA ASISTENCIA PRIMERA VEZ CON GINECOLOGÍA],"&lt;&gt;",Tabla1[ASEGURADORA],$A$13)</f>
        <v>0</v>
      </c>
      <c r="C14" s="249" t="str">
        <f>IFERROR((SUM(B14/B15)),"")</f>
        <v/>
      </c>
      <c r="D14" s="224">
        <f>COUNTIFS(Tabla1[GESTANTES ACTUALES],"ACTIVA INGRESO A CPN",Tabla1[RIESGO BIOPSICOSOCIAL],"ALTO RIESGO",Tabla1[FECHA ASISTENCIA PRIMERA VEZ CON GINECOLOGÍA],"&lt;&gt;")</f>
        <v>0</v>
      </c>
      <c r="E14" s="249" t="str">
        <f>IFERROR(SUM(D14/D15),"")</f>
        <v/>
      </c>
      <c r="F14" s="103"/>
      <c r="G14" s="103"/>
      <c r="H14" s="103"/>
      <c r="I14" s="103"/>
      <c r="J14" s="103"/>
      <c r="K14" s="103"/>
      <c r="L14" s="103"/>
      <c r="M14" s="103"/>
    </row>
    <row r="15" spans="1:13" ht="23.25" customHeight="1" thickBot="1" x14ac:dyDescent="0.3">
      <c r="A15" s="221" t="s">
        <v>802</v>
      </c>
      <c r="B15" s="224">
        <f>COUNTIFS(Tabla1[GESTANTES ACTUALES],"ACTIVA INGRESO A CPN",Tabla1[RIESGO BIOPSICOSOCIAL],"ALTO RIESGO",Tabla1[ASEGURADORA],$A$13)</f>
        <v>0</v>
      </c>
      <c r="C15" s="250"/>
      <c r="D15" s="224">
        <f>COUNTIFS(Tabla1[GESTANTES ACTUALES],"ACTIVA INGRESO A CPN",Tabla1[RIESGO BIOPSICOSOCIAL],"ALTO RIESGO")</f>
        <v>0</v>
      </c>
      <c r="E15" s="250"/>
      <c r="F15" s="103"/>
      <c r="G15" s="103"/>
      <c r="H15" s="103"/>
      <c r="I15" s="103"/>
      <c r="J15" s="103"/>
      <c r="K15" s="103"/>
      <c r="L15" s="103"/>
      <c r="M15" s="103"/>
    </row>
    <row r="16" spans="1:13" ht="19.5" thickBot="1" x14ac:dyDescent="0.35">
      <c r="B16" s="243" t="s">
        <v>812</v>
      </c>
      <c r="C16" s="244"/>
      <c r="D16" s="245" t="s">
        <v>833</v>
      </c>
      <c r="E16" s="246"/>
      <c r="F16" s="103"/>
      <c r="G16" s="103"/>
      <c r="H16" s="103"/>
      <c r="I16" s="103"/>
      <c r="J16" s="103"/>
      <c r="K16" s="103"/>
      <c r="L16" s="103"/>
      <c r="M16" s="103"/>
    </row>
    <row r="17" spans="1:13" ht="26.25" thickBot="1" x14ac:dyDescent="0.3">
      <c r="A17" s="221" t="s">
        <v>811</v>
      </c>
      <c r="B17" s="224">
        <f>COUNTIFS(Tabla1[GESTANTES ACTUALES],"ACTIVA INGRESO A CPN",Tabla1['# DE MUJERES CON SUMINISTRO ADECUADO DE MICRONUTRIENTES],"COMPLETO",Tabla1[ASEGURADORA],$A$13)</f>
        <v>0</v>
      </c>
      <c r="C17" s="251" t="str">
        <f>IFERROR(SUM(B17/B18),"")</f>
        <v/>
      </c>
      <c r="D17" s="224">
        <f>COUNTIFS(Tabla1[GESTANTES ACTUALES],"ACTIVA INGRESO A CPN",Tabla1['# DE MUJERES CON SUMINISTRO ADECUADO DE MICRONUTRIENTES],"COMPLETO")</f>
        <v>0</v>
      </c>
      <c r="E17" s="251" t="str">
        <f>IFERROR(SUM(D17/D18),"")</f>
        <v/>
      </c>
      <c r="F17" s="103"/>
      <c r="G17" s="103"/>
      <c r="H17" s="103"/>
      <c r="I17" s="103"/>
      <c r="J17" s="103"/>
      <c r="K17" s="103"/>
      <c r="L17" s="103"/>
      <c r="M17" s="103"/>
    </row>
    <row r="18" spans="1:13" ht="15.75" thickBot="1" x14ac:dyDescent="0.3">
      <c r="A18" s="75" t="s">
        <v>440</v>
      </c>
      <c r="B18" s="224">
        <f>COUNTIFS(Tabla1[GESTANTES ACTUALES],"ACTIVA INGRESO A CPN",Tabla1[ASEGURADORA],$A$13)</f>
        <v>0</v>
      </c>
      <c r="C18" s="252"/>
      <c r="D18" s="224">
        <f>COUNTIFS(Tabla1[GESTANTES ACTUALES],"ACTIVA INGRESO A CPN")</f>
        <v>0</v>
      </c>
      <c r="E18" s="252"/>
      <c r="F18" s="103"/>
      <c r="G18" s="103"/>
      <c r="H18" s="103"/>
      <c r="I18" s="103"/>
      <c r="J18" s="103"/>
      <c r="K18" s="103"/>
      <c r="L18" s="103"/>
      <c r="M18" s="103"/>
    </row>
    <row r="19" spans="1:13" ht="19.5" thickBot="1" x14ac:dyDescent="0.35">
      <c r="B19" s="243" t="s">
        <v>812</v>
      </c>
      <c r="C19" s="244"/>
      <c r="D19" s="245" t="s">
        <v>833</v>
      </c>
      <c r="E19" s="246"/>
      <c r="F19" s="103"/>
      <c r="G19" s="103"/>
      <c r="H19" s="103"/>
      <c r="I19" s="103"/>
      <c r="J19" s="103"/>
      <c r="K19" s="103"/>
      <c r="L19" s="103"/>
      <c r="M19" s="103"/>
    </row>
    <row r="20" spans="1:13" ht="26.25" thickBot="1" x14ac:dyDescent="0.3">
      <c r="A20" s="221" t="s">
        <v>832</v>
      </c>
      <c r="B20" s="224">
        <f>COUNTIFS(Tabla1[GESTANTES ACTUALES],"ACTIVA INGRESO A CPN",Tabla1[Alarma de apoyo Tamizaje Sífilis],"COMPLETO",Tabla1[ASEGURADORA],$A$13)</f>
        <v>0</v>
      </c>
      <c r="C20" s="247" t="str">
        <f>IFERROR(SUM(B20/B21),"")</f>
        <v/>
      </c>
      <c r="D20" s="224">
        <f>COUNTIFS(Tabla1[GESTANTES ACTUALES],"ACTIVA INGRESO A CPN",Tabla1[Alarma de apoyo Tamizaje Sífilis],"COMPLETO")</f>
        <v>0</v>
      </c>
      <c r="E20" s="247" t="str">
        <f>IFERROR(SUM(D20/D21),"")</f>
        <v/>
      </c>
      <c r="F20" s="103"/>
      <c r="G20" s="103"/>
      <c r="H20" s="103"/>
      <c r="I20" s="103"/>
      <c r="J20" s="103"/>
      <c r="K20" s="103"/>
      <c r="L20" s="103"/>
      <c r="M20" s="103"/>
    </row>
    <row r="21" spans="1:13" ht="15.75" customHeight="1" thickBot="1" x14ac:dyDescent="0.3">
      <c r="A21" s="75" t="s">
        <v>440</v>
      </c>
      <c r="B21" s="224">
        <f>COUNTIFS(Tabla1[GESTANTES ACTUALES],"ACTIVA INGRESO A CPN",Tabla1[ASEGURADORA],$A$13)</f>
        <v>0</v>
      </c>
      <c r="C21" s="248"/>
      <c r="D21" s="224">
        <f>COUNTIFS(Tabla1[GESTANTES ACTUALES],"ACTIVA INGRESO A CPN")</f>
        <v>0</v>
      </c>
      <c r="E21" s="248"/>
      <c r="F21" s="103"/>
      <c r="G21" s="103"/>
      <c r="H21" s="103"/>
      <c r="I21" s="103"/>
      <c r="J21" s="103"/>
      <c r="K21" s="103"/>
      <c r="L21" s="103"/>
      <c r="M21" s="103"/>
    </row>
    <row r="22" spans="1:13" ht="19.5" thickBot="1" x14ac:dyDescent="0.35">
      <c r="B22" s="243" t="s">
        <v>812</v>
      </c>
      <c r="C22" s="244"/>
      <c r="D22" s="245" t="s">
        <v>833</v>
      </c>
      <c r="E22" s="246"/>
      <c r="F22" s="103"/>
      <c r="G22" s="103"/>
      <c r="H22" s="103"/>
      <c r="I22" s="103"/>
      <c r="J22" s="103"/>
      <c r="K22" s="103"/>
      <c r="L22" s="103"/>
      <c r="M22" s="103"/>
    </row>
    <row r="23" spans="1:13" ht="26.25" thickBot="1" x14ac:dyDescent="0.3">
      <c r="A23" s="221" t="s">
        <v>836</v>
      </c>
      <c r="B23" s="224">
        <f>COUNTIFS(Tabla1[GESTANTES ACTUALES],"ACTIVA INGRESO A CPN",Tabla1[Alarma de apoyo Tamizaje VIH],"COMPLETO",Tabla1[ASEGURADORA],$A$13)</f>
        <v>0</v>
      </c>
      <c r="C23" s="247" t="str">
        <f>IFERROR(SUM(B23/B24),"")</f>
        <v/>
      </c>
      <c r="D23" s="224">
        <f>COUNTIFS(Tabla1[GESTANTES ACTUALES],"ACTIVA INGRESO A CPN",Tabla1[Alarma de apoyo Tamizaje VIH],"COMPLETO")</f>
        <v>0</v>
      </c>
      <c r="E23" s="247" t="str">
        <f>IFERROR(SUM(D23/D24),"")</f>
        <v/>
      </c>
      <c r="F23" s="103"/>
      <c r="G23" s="103"/>
      <c r="H23" s="103"/>
      <c r="I23" s="103"/>
      <c r="J23" s="103"/>
      <c r="K23" s="103"/>
      <c r="L23" s="103"/>
      <c r="M23" s="103"/>
    </row>
    <row r="24" spans="1:13" ht="15.75" thickBot="1" x14ac:dyDescent="0.3">
      <c r="A24" s="75" t="s">
        <v>440</v>
      </c>
      <c r="B24" s="224">
        <f>COUNTIFS(Tabla1[GESTANTES ACTUALES],"ACTIVA INGRESO A CPN",Tabla1[ASEGURADORA],$A$13)</f>
        <v>0</v>
      </c>
      <c r="C24" s="248"/>
      <c r="D24" s="224">
        <f>COUNTIFS(Tabla1[GESTANTES ACTUALES],"ACTIVA INGRESO A CPN")</f>
        <v>0</v>
      </c>
      <c r="E24" s="248"/>
      <c r="F24" s="103"/>
      <c r="G24" s="103"/>
      <c r="H24" s="103"/>
      <c r="I24" s="103"/>
      <c r="J24" s="103"/>
      <c r="K24" s="103"/>
      <c r="L24" s="103"/>
      <c r="M24" s="103"/>
    </row>
    <row r="25" spans="1:13" ht="19.5" thickBot="1" x14ac:dyDescent="0.35">
      <c r="B25" s="243" t="s">
        <v>812</v>
      </c>
      <c r="C25" s="244"/>
      <c r="D25" s="245" t="s">
        <v>833</v>
      </c>
      <c r="E25" s="246"/>
      <c r="F25" s="103"/>
      <c r="G25" s="103"/>
      <c r="H25" s="103"/>
      <c r="I25" s="103"/>
      <c r="J25" s="103"/>
      <c r="K25" s="103"/>
      <c r="L25" s="103"/>
      <c r="M25" s="103"/>
    </row>
    <row r="26" spans="1:13" ht="26.25" thickBot="1" x14ac:dyDescent="0.3">
      <c r="A26" s="221" t="s">
        <v>835</v>
      </c>
      <c r="B26" s="224">
        <f>COUNTIFS(Tabla1[GESTANTES ACTUALES],"ACTIVA INGRESO A CPN",Tabla1[SEMANAS DE GESTACION ACTUALIZADAS],"&gt;36",Tabla1[SEMANAS DE GESTACION ACTUALIZADAS],"&lt;44",Tabla1[FECHA DE CONCERTACIÓN PLAN DE PARTO (Soporte HC)],"&lt;&gt;",Tabla1[ASEGURADORA],$A$13)</f>
        <v>0</v>
      </c>
      <c r="C26" s="247" t="str">
        <f>IFERROR(SUM(B26/B27),"")</f>
        <v/>
      </c>
      <c r="D26" s="224">
        <f>COUNTIFS(Tabla1[GESTANTES ACTUALES],"ACTIVA INGRESO A CPN",Tabla1[SEMANAS DE GESTACION ACTUALIZADAS],"&gt;36",Tabla1[SEMANAS DE GESTACION ACTUALIZADAS],"&lt;44",Tabla1[FECHA DE CONCERTACIÓN PLAN DE PARTO (Soporte HC)],"&lt;&gt;")</f>
        <v>0</v>
      </c>
      <c r="E26" s="247" t="str">
        <f>IFERROR(SUM(D26/D27),"")</f>
        <v/>
      </c>
      <c r="F26" s="103"/>
      <c r="G26" s="103"/>
      <c r="H26" s="103"/>
      <c r="I26" s="103"/>
      <c r="J26" s="103"/>
      <c r="K26" s="103"/>
      <c r="L26" s="103"/>
      <c r="M26" s="103"/>
    </row>
    <row r="27" spans="1:13" ht="15.75" thickBot="1" x14ac:dyDescent="0.3">
      <c r="A27" s="75" t="s">
        <v>834</v>
      </c>
      <c r="B27" s="224">
        <f>COUNTIFS(Tabla1[GESTANTES ACTUALES],"ACTIVA INGRESO A CPN",Tabla1[SEMANAS DE GESTACION ACTUALIZADAS],"&gt;36",Tabla1[SEMANAS DE GESTACION ACTUALIZADAS],"&lt;44",Tabla1[ASEGURADORA],$A$13)</f>
        <v>0</v>
      </c>
      <c r="C27" s="248"/>
      <c r="D27" s="224">
        <f>COUNTIFS(Tabla1[GESTANTES ACTUALES],"ACTIVA INGRESO A CPN",Tabla1[SEMANAS DE GESTACION ACTUALIZADAS],"&gt;36",Tabla1[SEMANAS DE GESTACION ACTUALIZADAS],"&lt;44")</f>
        <v>0</v>
      </c>
      <c r="E27" s="248"/>
      <c r="F27" s="103"/>
      <c r="G27" s="103"/>
      <c r="H27" s="103"/>
      <c r="I27" s="103"/>
      <c r="J27" s="103"/>
      <c r="K27" s="103"/>
      <c r="L27" s="103"/>
      <c r="M27" s="103"/>
    </row>
    <row r="28" spans="1:13" ht="19.5" thickBot="1" x14ac:dyDescent="0.35">
      <c r="B28" s="243" t="s">
        <v>812</v>
      </c>
      <c r="C28" s="244"/>
      <c r="D28" s="245" t="s">
        <v>833</v>
      </c>
      <c r="E28" s="246"/>
      <c r="F28" s="103"/>
      <c r="G28" s="103"/>
      <c r="H28" s="103"/>
      <c r="I28" s="103"/>
      <c r="J28" s="103"/>
      <c r="K28" s="103"/>
      <c r="L28" s="103"/>
      <c r="M28" s="103"/>
    </row>
    <row r="29" spans="1:13" ht="26.25" thickBot="1" x14ac:dyDescent="0.3">
      <c r="A29" s="232" t="s">
        <v>850</v>
      </c>
      <c r="B29" s="224">
        <f>COUNTIFS(Tabla1[GESTANTES ACTUALES],"ACTIVA INGRESO A CPN",Tabla1[SEMANAS DE GESTACION ACTUALIZADAS],"&gt;36",Tabla1[SEMANAS DE GESTACION ACTUALIZADAS],"&lt;44",Tabla1[FECHA VACUNA DPT ACELULAR],"&lt;&gt;",Tabla1[ASEGURADORA],$A$13)</f>
        <v>0</v>
      </c>
      <c r="C29" s="247" t="str">
        <f>IFERROR(SUM(B29/B30),"")</f>
        <v/>
      </c>
      <c r="D29" s="224">
        <f>COUNTIFS(Tabla1[GESTANTES ACTUALES],"ACTIVA INGRESO A CPN",Tabla1[SEMANAS DE GESTACION ACTUALIZADAS],"&gt;36",Tabla1[SEMANAS DE GESTACION ACTUALIZADAS],"&lt;44",Tabla1[FECHA VACUNA DPT ACELULAR],"&lt;&gt;")</f>
        <v>0</v>
      </c>
      <c r="E29" s="247" t="str">
        <f>IFERROR(SUM(D29/D30),"")</f>
        <v/>
      </c>
      <c r="F29" s="103"/>
      <c r="G29" s="103"/>
      <c r="H29" s="103"/>
      <c r="I29" s="103"/>
      <c r="J29" s="103"/>
      <c r="K29" s="103"/>
      <c r="L29" s="103"/>
      <c r="M29" s="103"/>
    </row>
    <row r="30" spans="1:13" ht="15.75" thickBot="1" x14ac:dyDescent="0.3">
      <c r="A30" s="75" t="s">
        <v>834</v>
      </c>
      <c r="B30" s="224">
        <f>COUNTIFS(Tabla1[GESTANTES ACTUALES],"ACTIVA INGRESO A CPN",Tabla1[SEMANAS DE GESTACION ACTUALIZADAS],"&gt;36",Tabla1[SEMANAS DE GESTACION ACTUALIZADAS],"&lt;44",Tabla1[ASEGURADORA],$A$13)</f>
        <v>0</v>
      </c>
      <c r="C30" s="248"/>
      <c r="D30" s="224">
        <f>COUNTIFS(Tabla1[GESTANTES ACTUALES],"ACTIVA INGRESO A CPN",Tabla1[SEMANAS DE GESTACION ACTUALIZADAS],"&gt;36",Tabla1[SEMANAS DE GESTACION ACTUALIZADAS],"&lt;44")</f>
        <v>0</v>
      </c>
      <c r="E30" s="248"/>
      <c r="F30" s="103"/>
      <c r="G30" s="103"/>
      <c r="H30" s="103"/>
      <c r="I30" s="103"/>
      <c r="J30" s="103"/>
      <c r="K30" s="103"/>
      <c r="L30" s="103"/>
      <c r="M30" s="103"/>
    </row>
    <row r="31" spans="1:13" x14ac:dyDescent="0.25">
      <c r="C31" s="103"/>
      <c r="D31" s="103"/>
      <c r="E31" s="103"/>
      <c r="F31" s="103"/>
      <c r="G31" s="103"/>
      <c r="H31" s="103"/>
      <c r="I31" s="103"/>
      <c r="J31" s="103"/>
      <c r="K31" s="103"/>
      <c r="L31" s="103"/>
      <c r="M31" s="103"/>
    </row>
    <row r="32" spans="1:13" x14ac:dyDescent="0.25">
      <c r="C32" s="103"/>
      <c r="D32" s="103"/>
      <c r="E32" s="103"/>
      <c r="F32" s="103"/>
      <c r="G32" s="103"/>
      <c r="H32" s="103"/>
      <c r="I32" s="103"/>
      <c r="J32" s="103"/>
      <c r="K32" s="103"/>
      <c r="L32" s="103"/>
      <c r="M32" s="103"/>
    </row>
    <row r="33" spans="1:14" x14ac:dyDescent="0.25">
      <c r="A33" s="104" t="s">
        <v>647</v>
      </c>
      <c r="B33" s="103"/>
      <c r="C33" s="103"/>
      <c r="D33" s="103"/>
      <c r="E33" s="103"/>
      <c r="F33" s="103"/>
      <c r="G33" s="103"/>
      <c r="H33" s="103"/>
      <c r="I33" s="103"/>
      <c r="J33" s="103"/>
      <c r="K33" s="103"/>
      <c r="L33" s="103"/>
      <c r="M33" s="103"/>
    </row>
    <row r="34" spans="1:14" ht="15.75" thickBot="1" x14ac:dyDescent="0.3">
      <c r="A34" s="72"/>
      <c r="B34" s="73"/>
      <c r="C34" s="73"/>
      <c r="D34" s="73"/>
      <c r="E34" s="73"/>
      <c r="F34" s="73"/>
      <c r="G34" s="73"/>
      <c r="H34" s="73"/>
      <c r="I34" s="73"/>
      <c r="J34" s="73"/>
      <c r="K34" s="73"/>
      <c r="L34" s="73"/>
      <c r="M34" s="73"/>
    </row>
    <row r="35" spans="1:14" ht="16.5" thickBot="1" x14ac:dyDescent="0.3">
      <c r="A35" s="109" t="s">
        <v>444</v>
      </c>
      <c r="B35" s="111" t="s">
        <v>398</v>
      </c>
      <c r="C35" s="112" t="s">
        <v>399</v>
      </c>
      <c r="D35" s="112" t="s">
        <v>400</v>
      </c>
      <c r="E35" s="112" t="s">
        <v>401</v>
      </c>
      <c r="F35" s="112" t="s">
        <v>402</v>
      </c>
      <c r="G35" s="112" t="s">
        <v>403</v>
      </c>
      <c r="H35" s="112" t="s">
        <v>404</v>
      </c>
      <c r="I35" s="112" t="s">
        <v>405</v>
      </c>
      <c r="J35" s="112" t="s">
        <v>406</v>
      </c>
      <c r="K35" s="112" t="s">
        <v>407</v>
      </c>
      <c r="L35" s="112" t="s">
        <v>408</v>
      </c>
      <c r="M35" s="114" t="s">
        <v>409</v>
      </c>
      <c r="N35" s="255" t="s">
        <v>456</v>
      </c>
    </row>
    <row r="36" spans="1:14" ht="15.75" thickBot="1" x14ac:dyDescent="0.3">
      <c r="A36" s="110" t="s">
        <v>410</v>
      </c>
      <c r="B36" s="111">
        <v>1</v>
      </c>
      <c r="C36" s="112">
        <v>2</v>
      </c>
      <c r="D36" s="112">
        <v>3</v>
      </c>
      <c r="E36" s="112">
        <v>4</v>
      </c>
      <c r="F36" s="112">
        <v>5</v>
      </c>
      <c r="G36" s="112">
        <v>6</v>
      </c>
      <c r="H36" s="112">
        <v>7</v>
      </c>
      <c r="I36" s="112">
        <v>8</v>
      </c>
      <c r="J36" s="112">
        <v>9</v>
      </c>
      <c r="K36" s="112">
        <v>10</v>
      </c>
      <c r="L36" s="112">
        <v>11</v>
      </c>
      <c r="M36" s="113">
        <v>12</v>
      </c>
      <c r="N36" s="256"/>
    </row>
    <row r="37" spans="1:14" ht="25.5" x14ac:dyDescent="0.25">
      <c r="A37" s="120" t="s">
        <v>648</v>
      </c>
      <c r="B37" s="115">
        <f>COUNTIFS(Tabla1[AÑO3 INGRESO CPN],$B$4,Tabla1[MES2 INGRESO CPN],B6,Tabla1[NOVEDAD AL MOMENTO DE LA IDENTIFICACIÓN Y/O CAPTACIÓN ],$A$33)</f>
        <v>0</v>
      </c>
      <c r="C37" s="115">
        <f>COUNTIFS(Tabla1[AÑO3 INGRESO CPN],$B$4,Tabla1[MES2 INGRESO CPN],C6,Tabla1[NOVEDAD AL MOMENTO DE LA IDENTIFICACIÓN Y/O CAPTACIÓN ],$A$33)</f>
        <v>0</v>
      </c>
      <c r="D37" s="115">
        <f>COUNTIFS(Tabla1[AÑO3 INGRESO CPN],$B$4,Tabla1[MES2 INGRESO CPN],D6,Tabla1[NOVEDAD AL MOMENTO DE LA IDENTIFICACIÓN Y/O CAPTACIÓN ],$A$33)</f>
        <v>0</v>
      </c>
      <c r="E37" s="115">
        <f>COUNTIFS(Tabla1[AÑO3 INGRESO CPN],$B$4,Tabla1[MES2 INGRESO CPN],E6,Tabla1[NOVEDAD AL MOMENTO DE LA IDENTIFICACIÓN Y/O CAPTACIÓN ],$A$33)</f>
        <v>0</v>
      </c>
      <c r="F37" s="115">
        <f>COUNTIFS(Tabla1[AÑO3 INGRESO CPN],$B$4,Tabla1[MES2 INGRESO CPN],F6,Tabla1[NOVEDAD AL MOMENTO DE LA IDENTIFICACIÓN Y/O CAPTACIÓN ],$A$33)</f>
        <v>0</v>
      </c>
      <c r="G37" s="115">
        <f>COUNTIFS(Tabla1[AÑO3 INGRESO CPN],$B$4,Tabla1[MES2 INGRESO CPN],G6,Tabla1[NOVEDAD AL MOMENTO DE LA IDENTIFICACIÓN Y/O CAPTACIÓN ],$A$33)</f>
        <v>0</v>
      </c>
      <c r="H37" s="115">
        <f>COUNTIFS(Tabla1[AÑO3 INGRESO CPN],$B$4,Tabla1[MES2 INGRESO CPN],H6,Tabla1[NOVEDAD AL MOMENTO DE LA IDENTIFICACIÓN Y/O CAPTACIÓN ],$A$33)</f>
        <v>0</v>
      </c>
      <c r="I37" s="115">
        <f>COUNTIFS(Tabla1[AÑO3 INGRESO CPN],$B$4,Tabla1[MES2 INGRESO CPN],I6,Tabla1[NOVEDAD AL MOMENTO DE LA IDENTIFICACIÓN Y/O CAPTACIÓN ],$A$33)</f>
        <v>0</v>
      </c>
      <c r="J37" s="115">
        <f>COUNTIFS(Tabla1[AÑO3 INGRESO CPN],$B$4,Tabla1[MES2 INGRESO CPN],J6,Tabla1[NOVEDAD AL MOMENTO DE LA IDENTIFICACIÓN Y/O CAPTACIÓN ],$A$33)</f>
        <v>0</v>
      </c>
      <c r="K37" s="115">
        <f>COUNTIFS(Tabla1[AÑO3 INGRESO CPN],$B$4,Tabla1[MES2 INGRESO CPN],K6,Tabla1[NOVEDAD AL MOMENTO DE LA IDENTIFICACIÓN Y/O CAPTACIÓN ],$A$33)</f>
        <v>0</v>
      </c>
      <c r="L37" s="115">
        <f>COUNTIFS(Tabla1[AÑO3 INGRESO CPN],$B$4,Tabla1[MES2 INGRESO CPN],L6,Tabla1[NOVEDAD AL MOMENTO DE LA IDENTIFICACIÓN Y/O CAPTACIÓN ],$A$33)</f>
        <v>0</v>
      </c>
      <c r="M37" s="115">
        <f>COUNTIFS(Tabla1[AÑO3 INGRESO CPN],$B$4,Tabla1[MES2 INGRESO CPN],M6,Tabla1[NOVEDAD AL MOMENTO DE LA IDENTIFICACIÓN Y/O CAPTACIÓN ],$A$33)</f>
        <v>0</v>
      </c>
      <c r="N37" s="121">
        <f>SUM(B37:M37)</f>
        <v>0</v>
      </c>
    </row>
    <row r="38" spans="1:14" ht="26.25" thickBot="1" x14ac:dyDescent="0.3">
      <c r="A38" s="122" t="s">
        <v>837</v>
      </c>
      <c r="B38" s="116">
        <f>COUNTIFS(Tabla1[AÑO3 INGRESO CPN],$B$4,Tabla1[MES2 INGRESO CPN],B6,Tabla1[TRIMESTRE DE  INGRESO AL CPN],"I TRIM",Tabla1[NOVEDAD AL MOMENTO DE LA IDENTIFICACIÓN Y/O CAPTACIÓN ],$A$33)</f>
        <v>0</v>
      </c>
      <c r="C38" s="116">
        <f>COUNTIFS(Tabla1[AÑO3 INGRESO CPN],$B$4,Tabla1[MES2 INGRESO CPN],C6,Tabla1[TRIMESTRE DE  INGRESO AL CPN],"I TRIM",Tabla1[NOVEDAD AL MOMENTO DE LA IDENTIFICACIÓN Y/O CAPTACIÓN ],$A$33)</f>
        <v>0</v>
      </c>
      <c r="D38" s="116">
        <f>COUNTIFS(Tabla1[AÑO3 INGRESO CPN],$B$4,Tabla1[MES2 INGRESO CPN],D6,Tabla1[TRIMESTRE DE  INGRESO AL CPN],"I TRIM",Tabla1[NOVEDAD AL MOMENTO DE LA IDENTIFICACIÓN Y/O CAPTACIÓN ],$A$33)</f>
        <v>0</v>
      </c>
      <c r="E38" s="116">
        <f>COUNTIFS(Tabla1[AÑO3 INGRESO CPN],$B$4,Tabla1[MES2 INGRESO CPN],E6,Tabla1[TRIMESTRE DE  INGRESO AL CPN],"I TRIM",Tabla1[NOVEDAD AL MOMENTO DE LA IDENTIFICACIÓN Y/O CAPTACIÓN ],$A$33)</f>
        <v>0</v>
      </c>
      <c r="F38" s="116">
        <f>COUNTIFS(Tabla1[AÑO3 INGRESO CPN],$B$4,Tabla1[MES2 INGRESO CPN],F6,Tabla1[TRIMESTRE DE  INGRESO AL CPN],"I TRIM",Tabla1[NOVEDAD AL MOMENTO DE LA IDENTIFICACIÓN Y/O CAPTACIÓN ],$A$33)</f>
        <v>0</v>
      </c>
      <c r="G38" s="116">
        <f>COUNTIFS(Tabla1[AÑO3 INGRESO CPN],$B$4,Tabla1[MES2 INGRESO CPN],G6,Tabla1[TRIMESTRE DE  INGRESO AL CPN],"I TRIM",Tabla1[NOVEDAD AL MOMENTO DE LA IDENTIFICACIÓN Y/O CAPTACIÓN ],$A$33)</f>
        <v>0</v>
      </c>
      <c r="H38" s="116">
        <f>COUNTIFS(Tabla1[AÑO3 INGRESO CPN],$B$4,Tabla1[MES2 INGRESO CPN],H6,Tabla1[TRIMESTRE DE  INGRESO AL CPN],"I TRIM",Tabla1[NOVEDAD AL MOMENTO DE LA IDENTIFICACIÓN Y/O CAPTACIÓN ],$A$33)</f>
        <v>0</v>
      </c>
      <c r="I38" s="116">
        <f>COUNTIFS(Tabla1[AÑO3 INGRESO CPN],$B$4,Tabla1[MES2 INGRESO CPN],I6,Tabla1[TRIMESTRE DE  INGRESO AL CPN],"I TRIM",Tabla1[NOVEDAD AL MOMENTO DE LA IDENTIFICACIÓN Y/O CAPTACIÓN ],$A$33)</f>
        <v>0</v>
      </c>
      <c r="J38" s="116">
        <f>COUNTIFS(Tabla1[AÑO3 INGRESO CPN],$B$4,Tabla1[MES2 INGRESO CPN],J6,Tabla1[TRIMESTRE DE  INGRESO AL CPN],"I TRIM",Tabla1[NOVEDAD AL MOMENTO DE LA IDENTIFICACIÓN Y/O CAPTACIÓN ],$A$33)</f>
        <v>0</v>
      </c>
      <c r="K38" s="116">
        <f>COUNTIFS(Tabla1[AÑO3 INGRESO CPN],$B$4,Tabla1[MES2 INGRESO CPN],K6,Tabla1[TRIMESTRE DE  INGRESO AL CPN],"I TRIM",Tabla1[NOVEDAD AL MOMENTO DE LA IDENTIFICACIÓN Y/O CAPTACIÓN ],$A$33)</f>
        <v>0</v>
      </c>
      <c r="L38" s="116">
        <f>COUNTIFS(Tabla1[AÑO3 INGRESO CPN],$B$4,Tabla1[MES2 INGRESO CPN],L6,Tabla1[TRIMESTRE DE  INGRESO AL CPN],"I TRIM",Tabla1[NOVEDAD AL MOMENTO DE LA IDENTIFICACIÓN Y/O CAPTACIÓN ],$A$33)</f>
        <v>0</v>
      </c>
      <c r="M38" s="116">
        <f>COUNTIFS(Tabla1[AÑO3 INGRESO CPN],$B$4,Tabla1[MES2 INGRESO CPN],M6,Tabla1[TRIMESTRE DE  INGRESO AL CPN],"I TRIM",Tabla1[NOVEDAD AL MOMENTO DE LA IDENTIFICACIÓN Y/O CAPTACIÓN ],$A$33)</f>
        <v>0</v>
      </c>
      <c r="N38" s="123">
        <f>SUM(B38:M38)</f>
        <v>0</v>
      </c>
    </row>
    <row r="39" spans="1:14" ht="15.75" thickBot="1" x14ac:dyDescent="0.3">
      <c r="A39" s="106" t="s">
        <v>649</v>
      </c>
      <c r="B39" s="117" t="str">
        <f>IF(B37=0,"",SUM(B38/B37))</f>
        <v/>
      </c>
      <c r="C39" s="118" t="str">
        <f>IF(C37=0,"",SUM(C38/C37))</f>
        <v/>
      </c>
      <c r="D39" s="118" t="str">
        <f t="shared" ref="D39:N39" si="1">IF(D37=0,"",SUM(D38/D37))</f>
        <v/>
      </c>
      <c r="E39" s="118" t="str">
        <f t="shared" si="1"/>
        <v/>
      </c>
      <c r="F39" s="118" t="str">
        <f t="shared" si="1"/>
        <v/>
      </c>
      <c r="G39" s="118" t="str">
        <f t="shared" si="1"/>
        <v/>
      </c>
      <c r="H39" s="118" t="str">
        <f t="shared" si="1"/>
        <v/>
      </c>
      <c r="I39" s="118" t="str">
        <f t="shared" si="1"/>
        <v/>
      </c>
      <c r="J39" s="118" t="str">
        <f t="shared" si="1"/>
        <v/>
      </c>
      <c r="K39" s="118" t="str">
        <f t="shared" si="1"/>
        <v/>
      </c>
      <c r="L39" s="118" t="str">
        <f t="shared" si="1"/>
        <v/>
      </c>
      <c r="M39" s="118" t="str">
        <f t="shared" si="1"/>
        <v/>
      </c>
      <c r="N39" s="119" t="str">
        <f t="shared" si="1"/>
        <v/>
      </c>
    </row>
    <row r="40" spans="1:14" ht="31.5" customHeight="1" x14ac:dyDescent="0.25">
      <c r="A40" s="120" t="s">
        <v>650</v>
      </c>
      <c r="B40" s="115">
        <f>COUNTIFS(Tabla1[AÑO3 INGRESO CPN],$B$4,Tabla1[MES2 INGRESO CPN],$B$6)</f>
        <v>0</v>
      </c>
      <c r="C40" s="115">
        <f>COUNTIFS(Tabla1[AÑO3 INGRESO CPN],B4,Tabla1[MES2 INGRESO CPN],C6)</f>
        <v>0</v>
      </c>
      <c r="D40" s="115">
        <f>COUNTIFS(Tabla1[AÑO3 INGRESO CPN],B4,Tabla1[MES2 INGRESO CPN],D6)</f>
        <v>0</v>
      </c>
      <c r="E40" s="115">
        <f>COUNTIFS(Tabla1[AÑO3 INGRESO CPN],B4,Tabla1[MES2 INGRESO CPN],E6)</f>
        <v>1</v>
      </c>
      <c r="F40" s="115">
        <f>COUNTIFS(Tabla1[AÑO3 INGRESO CPN],B4,Tabla1[MES2 INGRESO CPN],F6)</f>
        <v>0</v>
      </c>
      <c r="G40" s="115">
        <f>COUNTIFS(Tabla1[AÑO3 INGRESO CPN],B4,Tabla1[MES2 INGRESO CPN],G6)</f>
        <v>2</v>
      </c>
      <c r="H40" s="115">
        <f>COUNTIFS(Tabla1[AÑO3 INGRESO CPN],B4,Tabla1[MES2 INGRESO CPN],H6)</f>
        <v>0</v>
      </c>
      <c r="I40" s="115">
        <f>COUNTIFS(Tabla1[AÑO3 INGRESO CPN],B4,Tabla1[MES2 INGRESO CPN],I6)</f>
        <v>0</v>
      </c>
      <c r="J40" s="115">
        <f>COUNTIFS(Tabla1[AÑO3 INGRESO CPN],B4,Tabla1[MES2 INGRESO CPN],J6)</f>
        <v>0</v>
      </c>
      <c r="K40" s="115">
        <f>COUNTIFS(Tabla1[AÑO3 INGRESO CPN],B4,Tabla1[MES2 INGRESO CPN],K6)</f>
        <v>0</v>
      </c>
      <c r="L40" s="115">
        <f>COUNTIFS(Tabla1[AÑO3 INGRESO CPN],B4,Tabla1[MES2 INGRESO CPN],L6)</f>
        <v>0</v>
      </c>
      <c r="M40" s="115">
        <f>COUNTIFS(Tabla1[AÑO3 INGRESO CPN],B4,Tabla1[MES2 INGRESO CPN],M6)</f>
        <v>0</v>
      </c>
      <c r="N40" s="124">
        <f>SUM(B40:M40)</f>
        <v>3</v>
      </c>
    </row>
    <row r="41" spans="1:14" ht="31.5" customHeight="1" thickBot="1" x14ac:dyDescent="0.3">
      <c r="A41" s="122" t="s">
        <v>411</v>
      </c>
      <c r="B41" s="116">
        <f>COUNTIFS(Tabla1[AÑO3 INGRESO CPN],$B$4,Tabla1[MES2 INGRESO CPN],$B$6,Tabla1[TRIMESTRE DE  INGRESO AL CPN],"I TRIM")</f>
        <v>0</v>
      </c>
      <c r="C41" s="116">
        <f>COUNTIFS(Tabla1[AÑO3 INGRESO CPN],B4,Tabla1[MES2 INGRESO CPN],C6,Tabla1[TRIMESTRE DE  INGRESO AL CPN],"I TRIM")</f>
        <v>0</v>
      </c>
      <c r="D41" s="116">
        <f>COUNTIFS(Tabla1[AÑO3 INGRESO CPN],B4,Tabla1[MES2 INGRESO CPN],D6,Tabla1[TRIMESTRE DE  INGRESO AL CPN],"I TRIM")</f>
        <v>0</v>
      </c>
      <c r="E41" s="116">
        <f>COUNTIFS(Tabla1[AÑO3 INGRESO CPN],B4,Tabla1[MES2 INGRESO CPN],E6,Tabla1[TRIMESTRE DE  INGRESO AL CPN],"I TRIM")</f>
        <v>1</v>
      </c>
      <c r="F41" s="116">
        <f>COUNTIFS(Tabla1[AÑO3 INGRESO CPN],B4,Tabla1[MES2 INGRESO CPN],F6,Tabla1[TRIMESTRE DE  INGRESO AL CPN],"I TRIM")</f>
        <v>0</v>
      </c>
      <c r="G41" s="116">
        <f>COUNTIFS(Tabla1[AÑO3 INGRESO CPN],B4,Tabla1[MES2 INGRESO CPN],G6,Tabla1[TRIMESTRE DE  INGRESO AL CPN],"I TRIM")</f>
        <v>2</v>
      </c>
      <c r="H41" s="116">
        <f>COUNTIFS(Tabla1[AÑO3 INGRESO CPN],B4,Tabla1[MES2 INGRESO CPN],H6,Tabla1[TRIMESTRE DE  INGRESO AL CPN],"I TRIM")</f>
        <v>0</v>
      </c>
      <c r="I41" s="116">
        <f>COUNTIFS(Tabla1[AÑO3 INGRESO CPN],B4,Tabla1[MES2 INGRESO CPN],I6,Tabla1[TRIMESTRE DE  INGRESO AL CPN],"I TRIM")</f>
        <v>0</v>
      </c>
      <c r="J41" s="116">
        <f>COUNTIFS(Tabla1[AÑO3 INGRESO CPN],B4,Tabla1[MES2 INGRESO CPN],J6,Tabla1[TRIMESTRE DE  INGRESO AL CPN],"I TRIM")</f>
        <v>0</v>
      </c>
      <c r="K41" s="116">
        <f>COUNTIFS(Tabla1[AÑO3 INGRESO CPN],B4,Tabla1[MES2 INGRESO CPN],K6,Tabla1[TRIMESTRE DE  INGRESO AL CPN],"I TRIM")</f>
        <v>0</v>
      </c>
      <c r="L41" s="116">
        <f>COUNTIFS(Tabla1[AÑO3 INGRESO CPN],B4,Tabla1[MES2 INGRESO CPN],L6,Tabla1[TRIMESTRE DE  INGRESO AL CPN],"I TRIM")</f>
        <v>0</v>
      </c>
      <c r="M41" s="116">
        <f>COUNTIFS(Tabla1[AÑO3 INGRESO CPN],B4,Tabla1[MES2 INGRESO CPN],M6,Tabla1[TRIMESTRE DE  INGRESO AL CPN],"I TRIM")</f>
        <v>0</v>
      </c>
      <c r="N41" s="125">
        <f>SUM(B41:M41)</f>
        <v>3</v>
      </c>
    </row>
    <row r="42" spans="1:14" ht="31.5" customHeight="1" thickBot="1" x14ac:dyDescent="0.3">
      <c r="A42" s="107" t="s">
        <v>666</v>
      </c>
      <c r="B42" s="117" t="str">
        <f>IF($B$40=0,"",SUM(B41/$B$40))</f>
        <v/>
      </c>
      <c r="C42" s="118" t="str">
        <f t="shared" ref="C42:N42" si="2">IF(C40=0,"",SUM(C41/C40))</f>
        <v/>
      </c>
      <c r="D42" s="118" t="str">
        <f t="shared" si="2"/>
        <v/>
      </c>
      <c r="E42" s="118">
        <f t="shared" si="2"/>
        <v>1</v>
      </c>
      <c r="F42" s="118" t="str">
        <f t="shared" si="2"/>
        <v/>
      </c>
      <c r="G42" s="118">
        <f t="shared" si="2"/>
        <v>1</v>
      </c>
      <c r="H42" s="118" t="str">
        <f t="shared" si="2"/>
        <v/>
      </c>
      <c r="I42" s="118" t="str">
        <f t="shared" si="2"/>
        <v/>
      </c>
      <c r="J42" s="118" t="str">
        <f t="shared" si="2"/>
        <v/>
      </c>
      <c r="K42" s="118" t="str">
        <f t="shared" si="2"/>
        <v/>
      </c>
      <c r="L42" s="118" t="str">
        <f t="shared" si="2"/>
        <v/>
      </c>
      <c r="M42" s="118" t="str">
        <f t="shared" si="2"/>
        <v/>
      </c>
      <c r="N42" s="119">
        <f t="shared" si="2"/>
        <v>1</v>
      </c>
    </row>
    <row r="43" spans="1:14" ht="31.5" customHeight="1" thickBot="1" x14ac:dyDescent="0.3">
      <c r="A43" s="140" t="s">
        <v>668</v>
      </c>
      <c r="B43" s="143">
        <f>COUNTIFS(Tabla1[AÑO3 INGRESO CPN],$B$4,Tabla1[MES2 INGRESO CPN],$B$6,Tabla1[CAPTACIÓN A SEMANA 10],"I TRIM")</f>
        <v>0</v>
      </c>
      <c r="C43" s="143">
        <f>COUNTIFS(Tabla1[AÑO3 INGRESO CPN],B4,Tabla1[MES2 INGRESO CPN],C6,Tabla1[CAPTACIÓN A SEMANA 10],"I TRIM")</f>
        <v>0</v>
      </c>
      <c r="D43" s="143">
        <f>COUNTIFS(Tabla1[AÑO3 INGRESO CPN],B4,Tabla1[MES2 INGRESO CPN],D6,Tabla1[CAPTACIÓN A SEMANA 10],"I TRIM")</f>
        <v>0</v>
      </c>
      <c r="E43" s="143">
        <f>COUNTIFS(Tabla1[AÑO3 INGRESO CPN],B4,Tabla1[MES2 INGRESO CPN],E5,Tabla1[CAPTACIÓN A SEMANA 10],"I TRIM")</f>
        <v>0</v>
      </c>
      <c r="F43" s="143">
        <f>COUNTIFS(Tabla1[AÑO3 INGRESO CPN],B4,Tabla1[MES2 INGRESO CPN],F6,Tabla1[CAPTACIÓN A SEMANA 10],"I TRIM")</f>
        <v>0</v>
      </c>
      <c r="G43" s="143">
        <f>COUNTIFS(Tabla1[AÑO3 INGRESO CPN],B4,Tabla1[MES2 INGRESO CPN],G6,Tabla1[CAPTACIÓN A SEMANA 10],"I TRIM")</f>
        <v>0</v>
      </c>
      <c r="H43" s="143">
        <f>COUNTIFS(Tabla1[AÑO3 INGRESO CPN],B4,Tabla1[MES2 INGRESO CPN],H6,Tabla1[CAPTACIÓN A SEMANA 10],"I TRIM")</f>
        <v>0</v>
      </c>
      <c r="I43" s="143">
        <f>COUNTIFS(Tabla1[AÑO3 INGRESO CPN],B4,Tabla1[MES2 INGRESO CPN],I6,Tabla1[CAPTACIÓN A SEMANA 10],"I TRIM")</f>
        <v>0</v>
      </c>
      <c r="J43" s="143">
        <f>COUNTIFS(Tabla1[AÑO3 INGRESO CPN],B4,Tabla1[MES2 INGRESO CPN],J6,Tabla1[CAPTACIÓN A SEMANA 10],"I TRIM")</f>
        <v>0</v>
      </c>
      <c r="K43" s="143">
        <f>COUNTIFS(Tabla1[AÑO3 INGRESO CPN],B4,Tabla1[MES2 INGRESO CPN],K6,Tabla1[CAPTACIÓN A SEMANA 10],"I TRIM")</f>
        <v>0</v>
      </c>
      <c r="L43" s="143">
        <f>COUNTIFS(Tabla1[AÑO3 INGRESO CPN],B4,Tabla1[MES2 INGRESO CPN],L6,Tabla1[CAPTACIÓN A SEMANA 10],"I TRIM")</f>
        <v>0</v>
      </c>
      <c r="M43" s="143">
        <f>COUNTIFS(Tabla1[AÑO3 INGRESO CPN],B4,Tabla1[MES2 INGRESO CPN],M6,Tabla1[CAPTACIÓN A SEMANA 10],"I TRIM")</f>
        <v>0</v>
      </c>
      <c r="N43" s="125">
        <f>SUM(B43:M43)</f>
        <v>0</v>
      </c>
    </row>
    <row r="44" spans="1:14" ht="31.5" customHeight="1" thickBot="1" x14ac:dyDescent="0.3">
      <c r="A44" s="144" t="s">
        <v>667</v>
      </c>
      <c r="B44" s="117" t="str">
        <f>IF(B40=0,"",SUM(B43/B40))</f>
        <v/>
      </c>
      <c r="C44" s="118" t="str">
        <f t="shared" ref="C44:M44" si="3">IF(C40=0,"",SUM(C43/C40))</f>
        <v/>
      </c>
      <c r="D44" s="118" t="str">
        <f t="shared" si="3"/>
        <v/>
      </c>
      <c r="E44" s="118">
        <f t="shared" si="3"/>
        <v>0</v>
      </c>
      <c r="F44" s="118" t="str">
        <f t="shared" si="3"/>
        <v/>
      </c>
      <c r="G44" s="118">
        <f t="shared" si="3"/>
        <v>0</v>
      </c>
      <c r="H44" s="118" t="str">
        <f t="shared" si="3"/>
        <v/>
      </c>
      <c r="I44" s="118" t="str">
        <f t="shared" si="3"/>
        <v/>
      </c>
      <c r="J44" s="118" t="str">
        <f t="shared" si="3"/>
        <v/>
      </c>
      <c r="K44" s="118" t="str">
        <f t="shared" si="3"/>
        <v/>
      </c>
      <c r="L44" s="118" t="str">
        <f t="shared" si="3"/>
        <v/>
      </c>
      <c r="M44" s="118" t="str">
        <f t="shared" si="3"/>
        <v/>
      </c>
      <c r="N44" s="119">
        <f>IF(N40=0,"",SUM(N43/N40))</f>
        <v>0</v>
      </c>
    </row>
    <row r="45" spans="1:14" ht="31.5" customHeight="1" x14ac:dyDescent="0.25">
      <c r="A45" s="120" t="s">
        <v>651</v>
      </c>
      <c r="B45" s="115">
        <f>SUM(B40-B37)</f>
        <v>0</v>
      </c>
      <c r="C45" s="115">
        <f t="shared" ref="C45:M45" si="4">SUM(C40-C37)</f>
        <v>0</v>
      </c>
      <c r="D45" s="115">
        <f t="shared" si="4"/>
        <v>0</v>
      </c>
      <c r="E45" s="115">
        <f t="shared" si="4"/>
        <v>1</v>
      </c>
      <c r="F45" s="115">
        <f t="shared" si="4"/>
        <v>0</v>
      </c>
      <c r="G45" s="115">
        <f t="shared" si="4"/>
        <v>2</v>
      </c>
      <c r="H45" s="115">
        <f t="shared" si="4"/>
        <v>0</v>
      </c>
      <c r="I45" s="115">
        <f t="shared" si="4"/>
        <v>0</v>
      </c>
      <c r="J45" s="115">
        <f t="shared" si="4"/>
        <v>0</v>
      </c>
      <c r="K45" s="115">
        <f t="shared" si="4"/>
        <v>0</v>
      </c>
      <c r="L45" s="115">
        <f t="shared" si="4"/>
        <v>0</v>
      </c>
      <c r="M45" s="115">
        <f t="shared" si="4"/>
        <v>0</v>
      </c>
      <c r="N45" s="124">
        <f>SUM(B45:M45)</f>
        <v>3</v>
      </c>
    </row>
    <row r="46" spans="1:14" ht="31.5" customHeight="1" thickBot="1" x14ac:dyDescent="0.3">
      <c r="A46" s="122" t="s">
        <v>411</v>
      </c>
      <c r="B46" s="116">
        <f>+B41-B38</f>
        <v>0</v>
      </c>
      <c r="C46" s="116">
        <f t="shared" ref="C46:M46" si="5">+C41-C38</f>
        <v>0</v>
      </c>
      <c r="D46" s="116">
        <f t="shared" si="5"/>
        <v>0</v>
      </c>
      <c r="E46" s="116">
        <f t="shared" si="5"/>
        <v>1</v>
      </c>
      <c r="F46" s="116">
        <f t="shared" si="5"/>
        <v>0</v>
      </c>
      <c r="G46" s="116">
        <f t="shared" si="5"/>
        <v>2</v>
      </c>
      <c r="H46" s="116">
        <f t="shared" si="5"/>
        <v>0</v>
      </c>
      <c r="I46" s="116">
        <f t="shared" si="5"/>
        <v>0</v>
      </c>
      <c r="J46" s="116">
        <f t="shared" si="5"/>
        <v>0</v>
      </c>
      <c r="K46" s="116">
        <f t="shared" si="5"/>
        <v>0</v>
      </c>
      <c r="L46" s="116">
        <f t="shared" si="5"/>
        <v>0</v>
      </c>
      <c r="M46" s="116">
        <f t="shared" si="5"/>
        <v>0</v>
      </c>
      <c r="N46" s="125">
        <f>SUM(B46:M46)</f>
        <v>3</v>
      </c>
    </row>
    <row r="47" spans="1:14" ht="31.5" customHeight="1" thickBot="1" x14ac:dyDescent="0.3">
      <c r="A47" s="108" t="s">
        <v>652</v>
      </c>
      <c r="B47" s="117" t="str">
        <f>IF(B45=0,"",SUM(B46/B45))</f>
        <v/>
      </c>
      <c r="C47" s="118" t="str">
        <f t="shared" ref="C47:M47" si="6">IF(C45=0,"",SUM(C46/C45))</f>
        <v/>
      </c>
      <c r="D47" s="118" t="str">
        <f t="shared" si="6"/>
        <v/>
      </c>
      <c r="E47" s="118">
        <f t="shared" si="6"/>
        <v>1</v>
      </c>
      <c r="F47" s="118" t="str">
        <f t="shared" si="6"/>
        <v/>
      </c>
      <c r="G47" s="118">
        <f t="shared" si="6"/>
        <v>1</v>
      </c>
      <c r="H47" s="118" t="str">
        <f t="shared" si="6"/>
        <v/>
      </c>
      <c r="I47" s="118" t="str">
        <f t="shared" si="6"/>
        <v/>
      </c>
      <c r="J47" s="118" t="str">
        <f t="shared" si="6"/>
        <v/>
      </c>
      <c r="K47" s="118" t="str">
        <f t="shared" si="6"/>
        <v/>
      </c>
      <c r="L47" s="118" t="str">
        <f t="shared" si="6"/>
        <v/>
      </c>
      <c r="M47" s="118" t="str">
        <f t="shared" si="6"/>
        <v/>
      </c>
      <c r="N47" s="119">
        <f>IF(N45=0,"",SUM(N46/N45))</f>
        <v>1</v>
      </c>
    </row>
    <row r="48" spans="1:14" ht="31.5" customHeight="1" thickBot="1" x14ac:dyDescent="0.3">
      <c r="A48" s="120" t="s">
        <v>778</v>
      </c>
      <c r="B48" s="115">
        <f>COUNTIFS(Tabla1[AÑO3 INGRESO CPN],$B$4,Tabla1[MES2 INGRESO CPN],B19,Tabla1[ATENCIÓN PRECONCEPCIONAL],"PROCESO COMPLETO DE ATENCIÓN")</f>
        <v>0</v>
      </c>
      <c r="C48" s="115">
        <f>COUNTIFS(Tabla1[AÑO3 INGRESO CPN],$B$4,Tabla1[MES2 INGRESO CPN],C19,Tabla1[ATENCIÓN PRECONCEPCIONAL],"PROCESO COMPLETO DE ATENCIÓN")</f>
        <v>0</v>
      </c>
      <c r="D48" s="115">
        <f>COUNTIFS(Tabla1[AÑO3 INGRESO CPN],$B$4,Tabla1[MES2 INGRESO CPN],D19,Tabla1[ATENCIÓN PRECONCEPCIONAL],"PROCESO COMPLETO DE ATENCIÓN")</f>
        <v>0</v>
      </c>
      <c r="E48" s="115">
        <f>COUNTIFS(Tabla1[AÑO3 INGRESO CPN],$B$4,Tabla1[MES2 INGRESO CPN],E19,Tabla1[ATENCIÓN PRECONCEPCIONAL],"PROCESO COMPLETO DE ATENCIÓN")</f>
        <v>0</v>
      </c>
      <c r="F48" s="115">
        <f>COUNTIFS(Tabla1[AÑO3 INGRESO CPN],$B$4,Tabla1[MES2 INGRESO CPN],F19,Tabla1[ATENCIÓN PRECONCEPCIONAL],"PROCESO COMPLETO DE ATENCIÓN")</f>
        <v>0</v>
      </c>
      <c r="G48" s="115">
        <f>COUNTIFS(Tabla1[AÑO3 INGRESO CPN],$B$4,Tabla1[MES2 INGRESO CPN],G19,Tabla1[ATENCIÓN PRECONCEPCIONAL],"PROCESO COMPLETO DE ATENCIÓN")</f>
        <v>0</v>
      </c>
      <c r="H48" s="115">
        <f>COUNTIFS(Tabla1[AÑO3 INGRESO CPN],$B$4,Tabla1[MES2 INGRESO CPN],H19,Tabla1[ATENCIÓN PRECONCEPCIONAL],"PROCESO COMPLETO DE ATENCIÓN")</f>
        <v>0</v>
      </c>
      <c r="I48" s="115">
        <f>COUNTIFS(Tabla1[AÑO3 INGRESO CPN],$B$4,Tabla1[MES2 INGRESO CPN],I19,Tabla1[ATENCIÓN PRECONCEPCIONAL],"PROCESO COMPLETO DE ATENCIÓN")</f>
        <v>0</v>
      </c>
      <c r="J48" s="115">
        <f>COUNTIFS(Tabla1[AÑO3 INGRESO CPN],$B$4,Tabla1[MES2 INGRESO CPN],J19,Tabla1[ATENCIÓN PRECONCEPCIONAL],"PROCESO COMPLETO DE ATENCIÓN")</f>
        <v>0</v>
      </c>
      <c r="K48" s="115">
        <f>COUNTIFS(Tabla1[AÑO3 INGRESO CPN],$B$4,Tabla1[MES2 INGRESO CPN],K19,Tabla1[ATENCIÓN PRECONCEPCIONAL],"PROCESO COMPLETO DE ATENCIÓN")</f>
        <v>0</v>
      </c>
      <c r="L48" s="115">
        <f>COUNTIFS(Tabla1[AÑO3 INGRESO CPN],$B$4,Tabla1[MES2 INGRESO CPN],L19,Tabla1[ATENCIÓN PRECONCEPCIONAL],"PROCESO COMPLETO DE ATENCIÓN")</f>
        <v>0</v>
      </c>
      <c r="M48" s="115">
        <f>COUNTIFS(Tabla1[AÑO3 INGRESO CPN],$B$4,Tabla1[MES2 INGRESO CPN],M19,Tabla1[ATENCIÓN PRECONCEPCIONAL],"PROCESO COMPLETO DE ATENCIÓN")</f>
        <v>0</v>
      </c>
      <c r="N48" s="121">
        <f>SUM(B48:M48)</f>
        <v>0</v>
      </c>
    </row>
    <row r="49" spans="1:14" ht="31.5" customHeight="1" thickBot="1" x14ac:dyDescent="0.3">
      <c r="A49" s="204" t="s">
        <v>777</v>
      </c>
      <c r="B49" s="117" t="str">
        <f t="shared" ref="B49:N49" si="7">IF(B53=0,"",SUM(B48/B53))</f>
        <v/>
      </c>
      <c r="C49" s="118" t="str">
        <f t="shared" si="7"/>
        <v/>
      </c>
      <c r="D49" s="118" t="str">
        <f t="shared" si="7"/>
        <v/>
      </c>
      <c r="E49" s="118" t="str">
        <f t="shared" si="7"/>
        <v/>
      </c>
      <c r="F49" s="118" t="str">
        <f t="shared" si="7"/>
        <v/>
      </c>
      <c r="G49" s="118" t="str">
        <f t="shared" si="7"/>
        <v/>
      </c>
      <c r="H49" s="118" t="str">
        <f t="shared" si="7"/>
        <v/>
      </c>
      <c r="I49" s="118" t="str">
        <f t="shared" si="7"/>
        <v/>
      </c>
      <c r="J49" s="118" t="str">
        <f t="shared" si="7"/>
        <v/>
      </c>
      <c r="K49" s="118" t="str">
        <f t="shared" si="7"/>
        <v/>
      </c>
      <c r="L49" s="118" t="str">
        <f t="shared" si="7"/>
        <v/>
      </c>
      <c r="M49" s="118" t="str">
        <f t="shared" si="7"/>
        <v/>
      </c>
      <c r="N49" s="119" t="str">
        <f t="shared" si="7"/>
        <v/>
      </c>
    </row>
    <row r="50" spans="1:14" ht="42" customHeight="1" x14ac:dyDescent="0.25">
      <c r="A50" s="228" t="s">
        <v>780</v>
      </c>
      <c r="B50" s="116">
        <f>COUNTIFS(Tabla1[AÑO3 INGRESO CPN],$B$4,Tabla1[MES2 INGRESO CPN],B6,Tabla1[RIESGO BIOPSICOSOCIAL],"ALTO RIESGO",Tabla1[FECHA ASISTENCIA PRIMERA VEZ CON GINECOLOGÍA],"&lt;&gt;")</f>
        <v>0</v>
      </c>
      <c r="C50" s="116">
        <f>COUNTIFS(Tabla1[AÑO3 INGRESO CPN],$B$4,Tabla1[MES2 INGRESO CPN],C6,Tabla1[RIESGO BIOPSICOSOCIAL],"ALTO RIESGO",Tabla1[FECHA ASISTENCIA PRIMERA VEZ CON GINECOLOGÍA],"&lt;&gt;")</f>
        <v>0</v>
      </c>
      <c r="D50" s="116">
        <f>COUNTIFS(Tabla1[AÑO3 INGRESO CPN],$B$4,Tabla1[MES2 INGRESO CPN],D6,Tabla1[RIESGO BIOPSICOSOCIAL],"ALTO RIESGO",Tabla1[FECHA ASISTENCIA PRIMERA VEZ CON GINECOLOGÍA],"&lt;&gt;")</f>
        <v>0</v>
      </c>
      <c r="E50" s="116">
        <f ca="1">COUNTIFS(Tabla1[AÑO3 INGRESO CPN],$B$4,Tabla1[MES2 INGRESO CPN],E6,Tabla1[RIESGO BIOPSICOSOCIAL],"ALTO RIESGO",Tabla1[FECHA ASISTENCIA PRIMERA VEZ CON GINECOLOGÍA],"&lt;&gt;")</f>
        <v>0</v>
      </c>
      <c r="F50" s="116">
        <f>COUNTIFS(Tabla1[AÑO3 INGRESO CPN],$B$4,Tabla1[MES2 INGRESO CPN],F6,Tabla1[RIESGO BIOPSICOSOCIAL],"ALTO RIESGO",Tabla1[FECHA ASISTENCIA PRIMERA VEZ CON GINECOLOGÍA],"&lt;&gt;")</f>
        <v>0</v>
      </c>
      <c r="G50" s="116">
        <f ca="1">COUNTIFS(Tabla1[AÑO3 INGRESO CPN],$B$4,Tabla1[MES2 INGRESO CPN],G6,Tabla1[RIESGO BIOPSICOSOCIAL],"ALTO RIESGO",Tabla1[FECHA ASISTENCIA PRIMERA VEZ CON GINECOLOGÍA],"&lt;&gt;")</f>
        <v>0</v>
      </c>
      <c r="H50" s="116">
        <f>COUNTIFS(Tabla1[AÑO3 INGRESO CPN],$B$4,Tabla1[MES2 INGRESO CPN],H6,Tabla1[RIESGO BIOPSICOSOCIAL],"ALTO RIESGO",Tabla1[FECHA ASISTENCIA PRIMERA VEZ CON GINECOLOGÍA],"&lt;&gt;")</f>
        <v>0</v>
      </c>
      <c r="I50" s="116">
        <f>COUNTIFS(Tabla1[AÑO3 INGRESO CPN],$B$4,Tabla1[MES2 INGRESO CPN],I6,Tabla1[RIESGO BIOPSICOSOCIAL],"ALTO RIESGO",Tabla1[FECHA ASISTENCIA PRIMERA VEZ CON GINECOLOGÍA],"&lt;&gt;")</f>
        <v>0</v>
      </c>
      <c r="J50" s="116">
        <f>COUNTIFS(Tabla1[AÑO3 INGRESO CPN],$B$4,Tabla1[MES2 INGRESO CPN],J6,Tabla1[RIESGO BIOPSICOSOCIAL],"ALTO RIESGO",Tabla1[FECHA ASISTENCIA PRIMERA VEZ CON GINECOLOGÍA],"&lt;&gt;")</f>
        <v>0</v>
      </c>
      <c r="K50" s="116">
        <f>COUNTIFS(Tabla1[AÑO3 INGRESO CPN],$B$4,Tabla1[MES2 INGRESO CPN],K6,Tabla1[RIESGO BIOPSICOSOCIAL],"ALTO RIESGO",Tabla1[FECHA ASISTENCIA PRIMERA VEZ CON GINECOLOGÍA],"&lt;&gt;")</f>
        <v>0</v>
      </c>
      <c r="L50" s="116">
        <f>COUNTIFS(Tabla1[AÑO3 INGRESO CPN],$B$4,Tabla1[MES2 INGRESO CPN],L6,Tabla1[RIESGO BIOPSICOSOCIAL],"ALTO RIESGO",Tabla1[FECHA ASISTENCIA PRIMERA VEZ CON GINECOLOGÍA],"&lt;&gt;")</f>
        <v>0</v>
      </c>
      <c r="M50" s="116">
        <f>COUNTIFS(Tabla1[AÑO3 INGRESO CPN],$B$4,Tabla1[MES2 INGRESO CPN],M6,Tabla1[RIESGO BIOPSICOSOCIAL],"ALTO RIESGO",Tabla1[FECHA ASISTENCIA PRIMERA VEZ CON GINECOLOGÍA],"&lt;&gt;")</f>
        <v>0</v>
      </c>
      <c r="N50" s="125">
        <f ca="1">SUM(B50:M50)</f>
        <v>0</v>
      </c>
    </row>
    <row r="51" spans="1:14" ht="42" customHeight="1" thickBot="1" x14ac:dyDescent="0.3">
      <c r="A51" s="122" t="s">
        <v>790</v>
      </c>
      <c r="B51" s="116">
        <f>COUNTIFS(Tabla1[AÑO3 INGRESO CPN],$B$4,Tabla1[MES2 INGRESO CPN],B6,Tabla1[RIESGO BIOPSICOSOCIAL],"ALTO RIESGO")</f>
        <v>0</v>
      </c>
      <c r="C51" s="116">
        <f>COUNTIFS(Tabla1[AÑO3 INGRESO CPN],$B$4,Tabla1[MES2 INGRESO CPN],C6,Tabla1[RIESGO BIOPSICOSOCIAL],"ALTO RIESGO")</f>
        <v>0</v>
      </c>
      <c r="D51" s="116">
        <f>COUNTIFS(Tabla1[AÑO3 INGRESO CPN],$B$4,Tabla1[MES2 INGRESO CPN],D6,Tabla1[RIESGO BIOPSICOSOCIAL],"ALTO RIESGO")</f>
        <v>0</v>
      </c>
      <c r="E51" s="116">
        <f ca="1">COUNTIFS(Tabla1[AÑO3 INGRESO CPN],$B$4,Tabla1[MES2 INGRESO CPN],E6,Tabla1[RIESGO BIOPSICOSOCIAL],"ALTO RIESGO")</f>
        <v>0</v>
      </c>
      <c r="F51" s="116">
        <f>COUNTIFS(Tabla1[AÑO3 INGRESO CPN],$B$4,Tabla1[MES2 INGRESO CPN],F6,Tabla1[RIESGO BIOPSICOSOCIAL],"ALTO RIESGO")</f>
        <v>0</v>
      </c>
      <c r="G51" s="116">
        <f ca="1">COUNTIFS(Tabla1[AÑO3 INGRESO CPN],$B$4,Tabla1[MES2 INGRESO CPN],G6,Tabla1[RIESGO BIOPSICOSOCIAL],"ALTO RIESGO")</f>
        <v>0</v>
      </c>
      <c r="H51" s="116">
        <f>COUNTIFS(Tabla1[AÑO3 INGRESO CPN],$B$4,Tabla1[MES2 INGRESO CPN],H6,Tabla1[RIESGO BIOPSICOSOCIAL],"ALTO RIESGO")</f>
        <v>0</v>
      </c>
      <c r="I51" s="116">
        <f>COUNTIFS(Tabla1[AÑO3 INGRESO CPN],$B$4,Tabla1[MES2 INGRESO CPN],I6,Tabla1[RIESGO BIOPSICOSOCIAL],"ALTO RIESGO")</f>
        <v>0</v>
      </c>
      <c r="J51" s="116">
        <f>COUNTIFS(Tabla1[AÑO3 INGRESO CPN],$B$4,Tabla1[MES2 INGRESO CPN],J6,Tabla1[RIESGO BIOPSICOSOCIAL],"ALTO RIESGO")</f>
        <v>0</v>
      </c>
      <c r="K51" s="116">
        <f>COUNTIFS(Tabla1[AÑO3 INGRESO CPN],$B$4,Tabla1[MES2 INGRESO CPN],K6,Tabla1[RIESGO BIOPSICOSOCIAL],"ALTO RIESGO")</f>
        <v>0</v>
      </c>
      <c r="L51" s="116">
        <f>COUNTIFS(Tabla1[AÑO3 INGRESO CPN],$B$4,Tabla1[MES2 INGRESO CPN],L6,Tabla1[RIESGO BIOPSICOSOCIAL],"ALTO RIESGO")</f>
        <v>0</v>
      </c>
      <c r="M51" s="116">
        <f>COUNTIFS(Tabla1[AÑO3 INGRESO CPN],$B$4,Tabla1[MES2 INGRESO CPN],M6,Tabla1[RIESGO BIOPSICOSOCIAL],"ALTO RIESGO")</f>
        <v>0</v>
      </c>
      <c r="N51" s="125">
        <f ca="1">SUM(B51:M51)</f>
        <v>0</v>
      </c>
    </row>
    <row r="52" spans="1:14" ht="31.5" customHeight="1" thickBot="1" x14ac:dyDescent="0.3">
      <c r="A52" s="217" t="s">
        <v>779</v>
      </c>
      <c r="B52" s="117" t="str">
        <f>IF(B51=0,"",SUM(B50/B51))</f>
        <v/>
      </c>
      <c r="C52" s="118" t="str">
        <f t="shared" ref="C52:N52" si="8">IF(C51=0,"",SUM(C50/C51))</f>
        <v/>
      </c>
      <c r="D52" s="118" t="str">
        <f t="shared" si="8"/>
        <v/>
      </c>
      <c r="E52" s="118" t="str">
        <f t="shared" ca="1" si="8"/>
        <v/>
      </c>
      <c r="F52" s="118" t="str">
        <f t="shared" si="8"/>
        <v/>
      </c>
      <c r="G52" s="118" t="str">
        <f t="shared" ca="1" si="8"/>
        <v/>
      </c>
      <c r="H52" s="118" t="str">
        <f t="shared" si="8"/>
        <v/>
      </c>
      <c r="I52" s="118" t="str">
        <f t="shared" si="8"/>
        <v/>
      </c>
      <c r="J52" s="118" t="str">
        <f t="shared" si="8"/>
        <v/>
      </c>
      <c r="K52" s="118" t="str">
        <f t="shared" si="8"/>
        <v/>
      </c>
      <c r="L52" s="118" t="str">
        <f t="shared" si="8"/>
        <v/>
      </c>
      <c r="M52" s="118" t="str">
        <f t="shared" si="8"/>
        <v/>
      </c>
      <c r="N52" s="119" t="str">
        <f t="shared" ca="1" si="8"/>
        <v/>
      </c>
    </row>
    <row r="53" spans="1:14" ht="39" customHeight="1" thickBot="1" x14ac:dyDescent="0.3">
      <c r="A53" s="122" t="s">
        <v>808</v>
      </c>
      <c r="B53" s="116">
        <f>SUM(COUNTIFS(Tabla1[AÑO PARTO],$B$4,Tabla1[MES PARTO],B6,Tabla1[SALE DEL PROGRAMA POR],"PARTO",Tabla1[EDAD GESTACIONAL SALIDA PROGRAMA],"&gt;36",Tabla1[EDAD GESTACIONAL SALIDA PROGRAMA],"&lt;44",Tabla1[FECHA ASISTENCIA A CONSULTA NUTRICION],"&lt;&gt;"),COUNTIFS(Tabla1[AÑO PARTO],$B$4,Tabla1[MES PARTO],B6,Tabla1[SALE DEL PROGRAMA POR],"CESAREA",Tabla1[EDAD GESTACIONAL SALIDA PROGRAMA],"&gt;36",Tabla1[EDAD GESTACIONAL SALIDA PROGRAMA],"&lt;44",Tabla1[FECHA ASISTENCIA A CONSULTA NUTRICION],"&lt;&gt;"))</f>
        <v>0</v>
      </c>
      <c r="C53" s="116">
        <f>SUM(COUNTIFS(Tabla1[AÑO PARTO],$B$4,Tabla1[MES PARTO],C6,Tabla1[SALE DEL PROGRAMA POR],"PARTO",Tabla1[EDAD GESTACIONAL SALIDA PROGRAMA],"&gt;36",Tabla1[EDAD GESTACIONAL SALIDA PROGRAMA],"&lt;44",Tabla1[FECHA ASISTENCIA A CONSULTA NUTRICION],"&lt;&gt;"),COUNTIFS(Tabla1[AÑO PARTO],$B$4,Tabla1[MES PARTO],C6,Tabla1[SALE DEL PROGRAMA POR],"CESAREA",Tabla1[EDAD GESTACIONAL SALIDA PROGRAMA],"&gt;36",Tabla1[EDAD GESTACIONAL SALIDA PROGRAMA],"&lt;44",Tabla1[FECHA ASISTENCIA A CONSULTA NUTRICION],"&lt;&gt;"))</f>
        <v>0</v>
      </c>
      <c r="D53" s="116">
        <f>SUM(COUNTIFS(Tabla1[AÑO PARTO],$B$4,Tabla1[MES PARTO],D6,Tabla1[SALE DEL PROGRAMA POR],"PARTO",Tabla1[EDAD GESTACIONAL SALIDA PROGRAMA],"&gt;36",Tabla1[EDAD GESTACIONAL SALIDA PROGRAMA],"&lt;44",Tabla1[FECHA ASISTENCIA A CONSULTA NUTRICION],"&lt;&gt;"),COUNTIFS(Tabla1[AÑO PARTO],$B$4,Tabla1[MES PARTO],D6,Tabla1[SALE DEL PROGRAMA POR],"CESAREA",Tabla1[EDAD GESTACIONAL SALIDA PROGRAMA],"&gt;36",Tabla1[EDAD GESTACIONAL SALIDA PROGRAMA],"&lt;44",Tabla1[FECHA ASISTENCIA A CONSULTA NUTRICION],"&lt;&gt;"))</f>
        <v>0</v>
      </c>
      <c r="E53" s="116">
        <f>SUM(COUNTIFS(Tabla1[AÑO PARTO],$B$4,Tabla1[MES PARTO],E6,Tabla1[SALE DEL PROGRAMA POR],"PARTO",Tabla1[EDAD GESTACIONAL SALIDA PROGRAMA],"&gt;36",Tabla1[EDAD GESTACIONAL SALIDA PROGRAMA],"&lt;44",Tabla1[FECHA ASISTENCIA A CONSULTA NUTRICION],"&lt;&gt;"),COUNTIFS(Tabla1[AÑO PARTO],$B$4,Tabla1[MES PARTO],E6,Tabla1[SALE DEL PROGRAMA POR],"CESAREA",Tabla1[EDAD GESTACIONAL SALIDA PROGRAMA],"&gt;36",Tabla1[EDAD GESTACIONAL SALIDA PROGRAMA],"&lt;44",Tabla1[FECHA ASISTENCIA A CONSULTA NUTRICION],"&lt;&gt;"))</f>
        <v>0</v>
      </c>
      <c r="F53" s="116">
        <f>SUM(COUNTIFS(Tabla1[AÑO PARTO],$B$4,Tabla1[MES PARTO],F6,Tabla1[SALE DEL PROGRAMA POR],"PARTO",Tabla1[EDAD GESTACIONAL SALIDA PROGRAMA],"&gt;36",Tabla1[EDAD GESTACIONAL SALIDA PROGRAMA],"&lt;44",Tabla1[FECHA ASISTENCIA A CONSULTA NUTRICION],"&lt;&gt;"),COUNTIFS(Tabla1[AÑO PARTO],$B$4,Tabla1[MES PARTO],F6,Tabla1[SALE DEL PROGRAMA POR],"CESAREA",Tabla1[EDAD GESTACIONAL SALIDA PROGRAMA],"&gt;36",Tabla1[EDAD GESTACIONAL SALIDA PROGRAMA],"&lt;44",Tabla1[FECHA ASISTENCIA A CONSULTA NUTRICION],"&lt;&gt;"))</f>
        <v>0</v>
      </c>
      <c r="G53" s="116">
        <f>SUM(COUNTIFS(Tabla1[AÑO PARTO],$B$4,Tabla1[MES PARTO],G6,Tabla1[SALE DEL PROGRAMA POR],"PARTO",Tabla1[EDAD GESTACIONAL SALIDA PROGRAMA],"&gt;36",Tabla1[EDAD GESTACIONAL SALIDA PROGRAMA],"&lt;44",Tabla1[FECHA ASISTENCIA A CONSULTA NUTRICION],"&lt;&gt;"),COUNTIFS(Tabla1[AÑO PARTO],$B$4,Tabla1[MES PARTO],G6,Tabla1[SALE DEL PROGRAMA POR],"CESAREA",Tabla1[EDAD GESTACIONAL SALIDA PROGRAMA],"&gt;36",Tabla1[EDAD GESTACIONAL SALIDA PROGRAMA],"&lt;44",Tabla1[FECHA ASISTENCIA A CONSULTA NUTRICION],"&lt;&gt;"))</f>
        <v>0</v>
      </c>
      <c r="H53" s="116">
        <f>SUM(COUNTIFS(Tabla1[AÑO PARTO],$B$4,Tabla1[MES PARTO],H6,Tabla1[SALE DEL PROGRAMA POR],"PARTO",Tabla1[EDAD GESTACIONAL SALIDA PROGRAMA],"&gt;36",Tabla1[EDAD GESTACIONAL SALIDA PROGRAMA],"&lt;44",Tabla1[FECHA ASISTENCIA A CONSULTA NUTRICION],"&lt;&gt;"),COUNTIFS(Tabla1[AÑO PARTO],$B$4,Tabla1[MES PARTO],H6,Tabla1[SALE DEL PROGRAMA POR],"CESAREA",Tabla1[EDAD GESTACIONAL SALIDA PROGRAMA],"&gt;36",Tabla1[EDAD GESTACIONAL SALIDA PROGRAMA],"&lt;44",Tabla1[FECHA ASISTENCIA A CONSULTA NUTRICION],"&lt;&gt;"))</f>
        <v>0</v>
      </c>
      <c r="I53" s="116">
        <f>SUM(COUNTIFS(Tabla1[AÑO PARTO],$B$4,Tabla1[MES PARTO],I6,Tabla1[SALE DEL PROGRAMA POR],"PARTO",Tabla1[EDAD GESTACIONAL SALIDA PROGRAMA],"&gt;36",Tabla1[EDAD GESTACIONAL SALIDA PROGRAMA],"&lt;44",Tabla1[FECHA ASISTENCIA A CONSULTA NUTRICION],"&lt;&gt;"),COUNTIFS(Tabla1[AÑO PARTO],$B$4,Tabla1[MES PARTO],I6,Tabla1[SALE DEL PROGRAMA POR],"CESAREA",Tabla1[EDAD GESTACIONAL SALIDA PROGRAMA],"&gt;36",Tabla1[EDAD GESTACIONAL SALIDA PROGRAMA],"&lt;44",Tabla1[FECHA ASISTENCIA A CONSULTA NUTRICION],"&lt;&gt;"))</f>
        <v>0</v>
      </c>
      <c r="J53" s="116">
        <f>SUM(COUNTIFS(Tabla1[AÑO PARTO],$B$4,Tabla1[MES PARTO],J6,Tabla1[SALE DEL PROGRAMA POR],"PARTO",Tabla1[EDAD GESTACIONAL SALIDA PROGRAMA],"&gt;36",Tabla1[EDAD GESTACIONAL SALIDA PROGRAMA],"&lt;44",Tabla1[FECHA ASISTENCIA A CONSULTA NUTRICION],"&lt;&gt;"),COUNTIFS(Tabla1[AÑO PARTO],$B$4,Tabla1[MES PARTO],J6,Tabla1[SALE DEL PROGRAMA POR],"CESAREA",Tabla1[EDAD GESTACIONAL SALIDA PROGRAMA],"&gt;36",Tabla1[EDAD GESTACIONAL SALIDA PROGRAMA],"&lt;44",Tabla1[FECHA ASISTENCIA A CONSULTA NUTRICION],"&lt;&gt;"))</f>
        <v>0</v>
      </c>
      <c r="K53" s="116">
        <f>SUM(COUNTIFS(Tabla1[AÑO PARTO],$B$4,Tabla1[MES PARTO],K6,Tabla1[SALE DEL PROGRAMA POR],"PARTO",Tabla1[EDAD GESTACIONAL SALIDA PROGRAMA],"&gt;36",Tabla1[EDAD GESTACIONAL SALIDA PROGRAMA],"&lt;44",Tabla1[FECHA ASISTENCIA A CONSULTA NUTRICION],"&lt;&gt;"),COUNTIFS(Tabla1[AÑO PARTO],$B$4,Tabla1[MES PARTO],K6,Tabla1[SALE DEL PROGRAMA POR],"CESAREA",Tabla1[EDAD GESTACIONAL SALIDA PROGRAMA],"&gt;36",Tabla1[EDAD GESTACIONAL SALIDA PROGRAMA],"&lt;44",Tabla1[FECHA ASISTENCIA A CONSULTA NUTRICION],"&lt;&gt;"))</f>
        <v>0</v>
      </c>
      <c r="L53" s="116">
        <f>SUM(COUNTIFS(Tabla1[AÑO PARTO],$B$4,Tabla1[MES PARTO],L6,Tabla1[SALE DEL PROGRAMA POR],"PARTO",Tabla1[EDAD GESTACIONAL SALIDA PROGRAMA],"&gt;36",Tabla1[EDAD GESTACIONAL SALIDA PROGRAMA],"&lt;44",Tabla1[FECHA ASISTENCIA A CONSULTA NUTRICION],"&lt;&gt;"),COUNTIFS(Tabla1[AÑO PARTO],$B$4,Tabla1[MES PARTO],L6,Tabla1[SALE DEL PROGRAMA POR],"CESAREA",Tabla1[EDAD GESTACIONAL SALIDA PROGRAMA],"&gt;36",Tabla1[EDAD GESTACIONAL SALIDA PROGRAMA],"&lt;44",Tabla1[FECHA ASISTENCIA A CONSULTA NUTRICION],"&lt;&gt;"))</f>
        <v>0</v>
      </c>
      <c r="M53" s="116">
        <f>SUM(COUNTIFS(Tabla1[AÑO PARTO],$B$4,Tabla1[MES PARTO],M6,Tabla1[SALE DEL PROGRAMA POR],"PARTO",Tabla1[EDAD GESTACIONAL SALIDA PROGRAMA],"&gt;36",Tabla1[EDAD GESTACIONAL SALIDA PROGRAMA],"&lt;44",Tabla1[FECHA ASISTENCIA A CONSULTA NUTRICION],"&lt;&gt;"),COUNTIFS(Tabla1[AÑO PARTO],$B$4,Tabla1[MES PARTO],M6,Tabla1[SALE DEL PROGRAMA POR],"CESAREA",Tabla1[EDAD GESTACIONAL SALIDA PROGRAMA],"&gt;36",Tabla1[EDAD GESTACIONAL SALIDA PROGRAMA],"&lt;44",Tabla1[FECHA ASISTENCIA A CONSULTA NUTRICION],"&lt;&gt;"))</f>
        <v>0</v>
      </c>
      <c r="N53" s="125">
        <f>SUM(B53:M53)</f>
        <v>0</v>
      </c>
    </row>
    <row r="54" spans="1:14" ht="31.5" customHeight="1" thickBot="1" x14ac:dyDescent="0.3">
      <c r="A54" s="217" t="s">
        <v>807</v>
      </c>
      <c r="B54" s="117" t="str">
        <f t="shared" ref="B54:N54" si="9">IF(B$60=0,"",SUM(B53/B$60))</f>
        <v/>
      </c>
      <c r="C54" s="118" t="str">
        <f t="shared" si="9"/>
        <v/>
      </c>
      <c r="D54" s="118" t="str">
        <f t="shared" si="9"/>
        <v/>
      </c>
      <c r="E54" s="118" t="str">
        <f t="shared" si="9"/>
        <v/>
      </c>
      <c r="F54" s="118" t="str">
        <f t="shared" si="9"/>
        <v/>
      </c>
      <c r="G54" s="118" t="str">
        <f t="shared" si="9"/>
        <v/>
      </c>
      <c r="H54" s="118" t="str">
        <f t="shared" si="9"/>
        <v/>
      </c>
      <c r="I54" s="118" t="str">
        <f t="shared" si="9"/>
        <v/>
      </c>
      <c r="J54" s="118" t="str">
        <f t="shared" si="9"/>
        <v/>
      </c>
      <c r="K54" s="118" t="str">
        <f t="shared" si="9"/>
        <v/>
      </c>
      <c r="L54" s="118" t="str">
        <f t="shared" si="9"/>
        <v/>
      </c>
      <c r="M54" s="118" t="str">
        <f t="shared" si="9"/>
        <v/>
      </c>
      <c r="N54" s="119" t="str">
        <f t="shared" si="9"/>
        <v/>
      </c>
    </row>
    <row r="55" spans="1:14" ht="31.5" customHeight="1" x14ac:dyDescent="0.25">
      <c r="A55" s="122" t="s">
        <v>784</v>
      </c>
      <c r="B55" s="116">
        <f>COUNTIFS(Tabla1[AÑO PARTO],$B$4,Tabla1[MES PARTO],B6,Tabla1[GESTANTES ACTUALES],"SALIO PROGRAMA")</f>
        <v>0</v>
      </c>
      <c r="C55" s="116">
        <f>COUNTIFS(Tabla1[AÑO PARTO],$B$4,Tabla1[MES PARTO],C6,Tabla1[GESTANTES ACTUALES],"SALIO PROGRAMA")</f>
        <v>0</v>
      </c>
      <c r="D55" s="116">
        <f>COUNTIFS(Tabla1[AÑO PARTO],$B$4,Tabla1[MES PARTO],D6,Tabla1[GESTANTES ACTUALES],"SALIO PROGRAMA")</f>
        <v>0</v>
      </c>
      <c r="E55" s="116">
        <f>COUNTIFS(Tabla1[AÑO PARTO],$B$4,Tabla1[MES PARTO],E6,Tabla1[GESTANTES ACTUALES],"SALIO PROGRAMA")</f>
        <v>0</v>
      </c>
      <c r="F55" s="116">
        <f>COUNTIFS(Tabla1[AÑO PARTO],$B$4,Tabla1[MES PARTO],F6,Tabla1[GESTANTES ACTUALES],"SALIO PROGRAMA")</f>
        <v>0</v>
      </c>
      <c r="G55" s="116">
        <f>COUNTIFS(Tabla1[AÑO PARTO],$B$4,Tabla1[MES PARTO],G6,Tabla1[GESTANTES ACTUALES],"SALIO PROGRAMA")</f>
        <v>0</v>
      </c>
      <c r="H55" s="116">
        <f>COUNTIFS(Tabla1[AÑO PARTO],$B$4,Tabla1[MES PARTO],H6,Tabla1[GESTANTES ACTUALES],"SALIO PROGRAMA")</f>
        <v>0</v>
      </c>
      <c r="I55" s="116">
        <f>COUNTIFS(Tabla1[AÑO PARTO],$B$4,Tabla1[MES PARTO],I6,Tabla1[GESTANTES ACTUALES],"SALIO PROGRAMA")</f>
        <v>0</v>
      </c>
      <c r="J55" s="116">
        <f>COUNTIFS(Tabla1[AÑO PARTO],$B$4,Tabla1[MES PARTO],J6,Tabla1[GESTANTES ACTUALES],"SALIO PROGRAMA")</f>
        <v>0</v>
      </c>
      <c r="K55" s="116">
        <f>COUNTIFS(Tabla1[AÑO PARTO],$B$4,Tabla1[MES PARTO],K6,Tabla1[GESTANTES ACTUALES],"SALIO PROGRAMA")</f>
        <v>0</v>
      </c>
      <c r="L55" s="116">
        <f>COUNTIFS(Tabla1[AÑO PARTO],$B$4,Tabla1[MES PARTO],L6,Tabla1[GESTANTES ACTUALES],"SALIO PROGRAMA")</f>
        <v>0</v>
      </c>
      <c r="M55" s="116">
        <f>COUNTIFS(Tabla1[AÑO PARTO],$B$4,Tabla1[MES PARTO],M6,Tabla1[GESTANTES ACTUALES],"SALIO PROGRAMA")</f>
        <v>0</v>
      </c>
      <c r="N55" s="124">
        <f>SUM(B55:M55)</f>
        <v>0</v>
      </c>
    </row>
    <row r="56" spans="1:14" ht="43.5" customHeight="1" thickBot="1" x14ac:dyDescent="0.3">
      <c r="A56" s="78" t="s">
        <v>785</v>
      </c>
      <c r="B56" s="68">
        <f>COUNTIFS(Tabla1[AÑO PARTO],$B$4,Tabla1[MES PARTO],B6,Tabla1[GESTANTES ACTUALES],"SALIO PROGRAMA",Tabla1[Alarma de apoyo Tamizaje Sífilis],"COMPLETO")</f>
        <v>0</v>
      </c>
      <c r="C56" s="68">
        <f>COUNTIFS(Tabla1[AÑO PARTO],$B$4,Tabla1[MES PARTO],C6,Tabla1[GESTANTES ACTUALES],"SALIO PROGRAMA",Tabla1[Alarma de apoyo Tamizaje Sífilis],"COMPLETO")</f>
        <v>0</v>
      </c>
      <c r="D56" s="68">
        <f>COUNTIFS(Tabla1[AÑO PARTO],$B$4,Tabla1[MES PARTO],D6,Tabla1[GESTANTES ACTUALES],"SALIO PROGRAMA",Tabla1[Alarma de apoyo Tamizaje Sífilis],"COMPLETO")</f>
        <v>0</v>
      </c>
      <c r="E56" s="68">
        <f>COUNTIFS(Tabla1[AÑO PARTO],$B$4,Tabla1[MES PARTO],E6,Tabla1[GESTANTES ACTUALES],"SALIO PROGRAMA",Tabla1[Alarma de apoyo Tamizaje Sífilis],"COMPLETO")</f>
        <v>0</v>
      </c>
      <c r="F56" s="68">
        <f>COUNTIFS(Tabla1[AÑO PARTO],$B$4,Tabla1[MES PARTO],F6,Tabla1[GESTANTES ACTUALES],"SALIO PROGRAMA",Tabla1[Alarma de apoyo Tamizaje Sífilis],"COMPLETO")</f>
        <v>0</v>
      </c>
      <c r="G56" s="68">
        <f>COUNTIFS(Tabla1[AÑO PARTO],$B$4,Tabla1[MES PARTO],G6,Tabla1[GESTANTES ACTUALES],"SALIO PROGRAMA",Tabla1[Alarma de apoyo Tamizaje Sífilis],"COMPLETO")</f>
        <v>0</v>
      </c>
      <c r="H56" s="68">
        <f>COUNTIFS(Tabla1[AÑO PARTO],$B$4,Tabla1[MES PARTO],H6,Tabla1[GESTANTES ACTUALES],"SALIO PROGRAMA",Tabla1[Alarma de apoyo Tamizaje Sífilis],"COMPLETO")</f>
        <v>0</v>
      </c>
      <c r="I56" s="68">
        <f>COUNTIFS(Tabla1[AÑO PARTO],$B$4,Tabla1[MES PARTO],I6,Tabla1[GESTANTES ACTUALES],"SALIO PROGRAMA",Tabla1[Alarma de apoyo Tamizaje Sífilis],"COMPLETO")</f>
        <v>0</v>
      </c>
      <c r="J56" s="68">
        <f>COUNTIFS(Tabla1[AÑO PARTO],$B$4,Tabla1[MES PARTO],J6,Tabla1[GESTANTES ACTUALES],"SALIO PROGRAMA",Tabla1[Alarma de apoyo Tamizaje Sífilis],"COMPLETO")</f>
        <v>0</v>
      </c>
      <c r="K56" s="68">
        <f>COUNTIFS(Tabla1[AÑO PARTO],$B$4,Tabla1[MES PARTO],K6,Tabla1[GESTANTES ACTUALES],"SALIO PROGRAMA",Tabla1[Alarma de apoyo Tamizaje Sífilis],"COMPLETO")</f>
        <v>0</v>
      </c>
      <c r="L56" s="68">
        <f>COUNTIFS(Tabla1[AÑO PARTO],$B$4,Tabla1[MES PARTO],L6,Tabla1[GESTANTES ACTUALES],"SALIO PROGRAMA",Tabla1[Alarma de apoyo Tamizaje Sífilis],"COMPLETO")</f>
        <v>0</v>
      </c>
      <c r="M56" s="68">
        <f>COUNTIFS(Tabla1[AÑO PARTO],$B$4,Tabla1[MES PARTO],M6,Tabla1[GESTANTES ACTUALES],"SALIO PROGRAMA",Tabla1[Alarma de apoyo Tamizaje Sífilis],"COMPLETO")</f>
        <v>0</v>
      </c>
      <c r="N56" s="68">
        <f t="shared" ref="N56" si="10">SUM(B56:M56)</f>
        <v>0</v>
      </c>
    </row>
    <row r="57" spans="1:14" ht="37.5" customHeight="1" thickBot="1" x14ac:dyDescent="0.3">
      <c r="A57" s="204" t="s">
        <v>783</v>
      </c>
      <c r="B57" s="117" t="str">
        <f t="shared" ref="B57:N57" si="11">IF(B55=0,"",SUM(B56/B55))</f>
        <v/>
      </c>
      <c r="C57" s="118" t="str">
        <f t="shared" si="11"/>
        <v/>
      </c>
      <c r="D57" s="118" t="str">
        <f t="shared" si="11"/>
        <v/>
      </c>
      <c r="E57" s="118" t="str">
        <f t="shared" si="11"/>
        <v/>
      </c>
      <c r="F57" s="118" t="str">
        <f t="shared" si="11"/>
        <v/>
      </c>
      <c r="G57" s="118" t="str">
        <f t="shared" si="11"/>
        <v/>
      </c>
      <c r="H57" s="118" t="str">
        <f t="shared" si="11"/>
        <v/>
      </c>
      <c r="I57" s="118" t="str">
        <f t="shared" si="11"/>
        <v/>
      </c>
      <c r="J57" s="118" t="str">
        <f t="shared" si="11"/>
        <v/>
      </c>
      <c r="K57" s="118" t="str">
        <f t="shared" si="11"/>
        <v/>
      </c>
      <c r="L57" s="118" t="str">
        <f t="shared" si="11"/>
        <v/>
      </c>
      <c r="M57" s="118" t="str">
        <f t="shared" si="11"/>
        <v/>
      </c>
      <c r="N57" s="119" t="str">
        <f t="shared" si="11"/>
        <v/>
      </c>
    </row>
    <row r="58" spans="1:14" ht="53.25" customHeight="1" thickBot="1" x14ac:dyDescent="0.3">
      <c r="A58" s="78" t="s">
        <v>788</v>
      </c>
      <c r="B58" s="68">
        <f>COUNTIFS(Tabla1[AÑO PARTO],$B$4,Tabla1[MES PARTO],B6,Tabla1[GESTANTES ACTUALES],"SALIO PROGRAMA",Tabla1[Alarma de apoyo Tamizaje VIH],"COMPLETO")</f>
        <v>0</v>
      </c>
      <c r="C58" s="68">
        <f>COUNTIFS(Tabla1[AÑO PARTO],$B$4,Tabla1[MES PARTO],C6,Tabla1[GESTANTES ACTUALES],"SALIO PROGRAMA",Tabla1[Alarma de apoyo Tamizaje VIH],"COMPLETO")</f>
        <v>0</v>
      </c>
      <c r="D58" s="68">
        <f>COUNTIFS(Tabla1[AÑO PARTO],$B$4,Tabla1[MES PARTO],D6,Tabla1[GESTANTES ACTUALES],"SALIO PROGRAMA",Tabla1[Alarma de apoyo Tamizaje VIH],"COMPLETO")</f>
        <v>0</v>
      </c>
      <c r="E58" s="68">
        <f>COUNTIFS(Tabla1[AÑO PARTO],$B$4,Tabla1[MES PARTO],E6,Tabla1[GESTANTES ACTUALES],"SALIO PROGRAMA",Tabla1[Alarma de apoyo Tamizaje VIH],"COMPLETO")</f>
        <v>0</v>
      </c>
      <c r="F58" s="68">
        <f>COUNTIFS(Tabla1[AÑO PARTO],$B$4,Tabla1[MES PARTO],F6,Tabla1[GESTANTES ACTUALES],"SALIO PROGRAMA",Tabla1[Alarma de apoyo Tamizaje VIH],"COMPLETO")</f>
        <v>0</v>
      </c>
      <c r="G58" s="68">
        <f>COUNTIFS(Tabla1[AÑO PARTO],$B$4,Tabla1[MES PARTO],G6,Tabla1[GESTANTES ACTUALES],"SALIO PROGRAMA",Tabla1[Alarma de apoyo Tamizaje VIH],"COMPLETO")</f>
        <v>0</v>
      </c>
      <c r="H58" s="68">
        <f>COUNTIFS(Tabla1[AÑO PARTO],$B$4,Tabla1[MES PARTO],H6,Tabla1[GESTANTES ACTUALES],"SALIO PROGRAMA",Tabla1[Alarma de apoyo Tamizaje VIH],"COMPLETO")</f>
        <v>0</v>
      </c>
      <c r="I58" s="68">
        <f>COUNTIFS(Tabla1[AÑO PARTO],$B$4,Tabla1[MES PARTO],I6,Tabla1[GESTANTES ACTUALES],"SALIO PROGRAMA",Tabla1[Alarma de apoyo Tamizaje VIH],"COMPLETO")</f>
        <v>0</v>
      </c>
      <c r="J58" s="68">
        <f>COUNTIFS(Tabla1[AÑO PARTO],$B$4,Tabla1[MES PARTO],J6,Tabla1[GESTANTES ACTUALES],"SALIO PROGRAMA",Tabla1[Alarma de apoyo Tamizaje VIH],"COMPLETO")</f>
        <v>0</v>
      </c>
      <c r="K58" s="68">
        <f>COUNTIFS(Tabla1[AÑO PARTO],$B$4,Tabla1[MES PARTO],K6,Tabla1[GESTANTES ACTUALES],"SALIO PROGRAMA",Tabla1[Alarma de apoyo Tamizaje VIH],"COMPLETO")</f>
        <v>0</v>
      </c>
      <c r="L58" s="68">
        <f>COUNTIFS(Tabla1[AÑO PARTO],$B$4,Tabla1[MES PARTO],L6,Tabla1[GESTANTES ACTUALES],"SALIO PROGRAMA",Tabla1[Alarma de apoyo Tamizaje VIH],"COMPLETO")</f>
        <v>0</v>
      </c>
      <c r="M58" s="68">
        <f>COUNTIFS(Tabla1[AÑO PARTO],$B$4,Tabla1[MES PARTO],M6,Tabla1[GESTANTES ACTUALES],"SALIO PROGRAMA",Tabla1[Alarma de apoyo Tamizaje VIH],"COMPLETO")</f>
        <v>0</v>
      </c>
      <c r="N58" s="68">
        <f>SUM(B58:M58)</f>
        <v>0</v>
      </c>
    </row>
    <row r="59" spans="1:14" ht="37.5" customHeight="1" thickBot="1" x14ac:dyDescent="0.3">
      <c r="A59" s="204" t="s">
        <v>789</v>
      </c>
      <c r="B59" s="117" t="str">
        <f t="shared" ref="B59:N59" si="12">IF(B55=0,"",SUM(B58/B55))</f>
        <v/>
      </c>
      <c r="C59" s="118" t="str">
        <f t="shared" si="12"/>
        <v/>
      </c>
      <c r="D59" s="118" t="str">
        <f t="shared" si="12"/>
        <v/>
      </c>
      <c r="E59" s="118" t="str">
        <f t="shared" si="12"/>
        <v/>
      </c>
      <c r="F59" s="118" t="str">
        <f t="shared" si="12"/>
        <v/>
      </c>
      <c r="G59" s="118" t="str">
        <f t="shared" si="12"/>
        <v/>
      </c>
      <c r="H59" s="118" t="str">
        <f t="shared" si="12"/>
        <v/>
      </c>
      <c r="I59" s="118" t="str">
        <f t="shared" si="12"/>
        <v/>
      </c>
      <c r="J59" s="118" t="str">
        <f t="shared" si="12"/>
        <v/>
      </c>
      <c r="K59" s="118" t="str">
        <f t="shared" si="12"/>
        <v/>
      </c>
      <c r="L59" s="118" t="str">
        <f t="shared" si="12"/>
        <v/>
      </c>
      <c r="M59" s="118" t="str">
        <f t="shared" si="12"/>
        <v/>
      </c>
      <c r="N59" s="119" t="str">
        <f t="shared" si="12"/>
        <v/>
      </c>
    </row>
    <row r="60" spans="1:14" ht="31.5" customHeight="1" thickBot="1" x14ac:dyDescent="0.3">
      <c r="A60" s="228" t="s">
        <v>742</v>
      </c>
      <c r="B60" s="116">
        <f>SUM(COUNTIFS(Tabla1[AÑO PARTO],B4,Tabla1[MES PARTO],B6,Tabla1[SALE DEL PROGRAMA POR],"PARTO",Tabla1[EDAD GESTACIONAL SALIDA PROGRAMA],"&gt;36",Tabla1[EDAD GESTACIONAL SALIDA PROGRAMA],"&lt;44"),COUNTIFS(Tabla1[AÑO PARTO],B4,Tabla1[MES PARTO],B6,Tabla1[SALE DEL PROGRAMA POR],"CESAREA",Tabla1[EDAD GESTACIONAL SALIDA PROGRAMA],"&gt;36",Tabla1[EDAD GESTACIONAL SALIDA PROGRAMA],"&lt;44"))</f>
        <v>0</v>
      </c>
      <c r="C60" s="116">
        <f>SUM(COUNTIFS(Tabla1[AÑO PARTO],B4,Tabla1[MES PARTO],C6,Tabla1[SALE DEL PROGRAMA POR],"PARTO",Tabla1[EDAD GESTACIONAL SALIDA PROGRAMA],"&gt;36",Tabla1[EDAD GESTACIONAL SALIDA PROGRAMA],"&lt;44"),COUNTIFS(Tabla1[AÑO PARTO],B4,Tabla1[MES PARTO],C6,Tabla1[SALE DEL PROGRAMA POR],"CESAREA",Tabla1[EDAD GESTACIONAL SALIDA PROGRAMA],"&gt;36",Tabla1[EDAD GESTACIONAL SALIDA PROGRAMA],"&lt;44"))</f>
        <v>0</v>
      </c>
      <c r="D60" s="116">
        <f>SUM(COUNTIFS(Tabla1[AÑO PARTO],B4,Tabla1[MES PARTO],D6,Tabla1[SALE DEL PROGRAMA POR],"PARTO",Tabla1[EDAD GESTACIONAL SALIDA PROGRAMA],"&gt;36",Tabla1[EDAD GESTACIONAL SALIDA PROGRAMA],"&lt;44"),COUNTIFS(Tabla1[AÑO PARTO],B4,Tabla1[MES PARTO],D6,Tabla1[SALE DEL PROGRAMA POR],"CESAREA",Tabla1[EDAD GESTACIONAL SALIDA PROGRAMA],"&gt;36",Tabla1[EDAD GESTACIONAL SALIDA PROGRAMA],"&lt;44"))</f>
        <v>0</v>
      </c>
      <c r="E60" s="116">
        <f>SUM(COUNTIFS(Tabla1[AÑO PARTO],B4,Tabla1[MES PARTO],E6,Tabla1[SALE DEL PROGRAMA POR],"PARTO",Tabla1[EDAD GESTACIONAL SALIDA PROGRAMA],"&gt;36",Tabla1[EDAD GESTACIONAL SALIDA PROGRAMA],"&lt;44"),COUNTIFS(Tabla1[AÑO PARTO],B4,Tabla1[MES PARTO],E6,Tabla1[SALE DEL PROGRAMA POR],"CESAREA",Tabla1[EDAD GESTACIONAL SALIDA PROGRAMA],"&gt;36",Tabla1[EDAD GESTACIONAL SALIDA PROGRAMA],"&lt;44"))</f>
        <v>0</v>
      </c>
      <c r="F60" s="116">
        <f>SUM(COUNTIFS(Tabla1[AÑO PARTO],B4,Tabla1[MES PARTO],F6,Tabla1[SALE DEL PROGRAMA POR],"PARTO",Tabla1[EDAD GESTACIONAL SALIDA PROGRAMA],"&gt;36",Tabla1[EDAD GESTACIONAL SALIDA PROGRAMA],"&lt;44"),COUNTIFS(Tabla1[AÑO PARTO],B4,Tabla1[MES PARTO],F6,Tabla1[SALE DEL PROGRAMA POR],"CESAREA",Tabla1[EDAD GESTACIONAL SALIDA PROGRAMA],"&gt;36",Tabla1[EDAD GESTACIONAL SALIDA PROGRAMA],"&lt;44"))</f>
        <v>0</v>
      </c>
      <c r="G60" s="116">
        <f>SUM(COUNTIFS(Tabla1[AÑO PARTO],B4,Tabla1[MES PARTO],G6,Tabla1[SALE DEL PROGRAMA POR],"PARTO",Tabla1[EDAD GESTACIONAL SALIDA PROGRAMA],"&gt;36",Tabla1[EDAD GESTACIONAL SALIDA PROGRAMA],"&lt;44"),COUNTIFS(Tabla1[AÑO PARTO],B4,Tabla1[MES PARTO],G6,Tabla1[SALE DEL PROGRAMA POR],"CESAREA",Tabla1[EDAD GESTACIONAL SALIDA PROGRAMA],"&gt;36",Tabla1[EDAD GESTACIONAL SALIDA PROGRAMA],"&lt;44"))</f>
        <v>0</v>
      </c>
      <c r="H60" s="116">
        <f>SUM(COUNTIFS(Tabla1[AÑO PARTO],B4,Tabla1[MES PARTO],H6,Tabla1[SALE DEL PROGRAMA POR],"PARTO",Tabla1[EDAD GESTACIONAL SALIDA PROGRAMA],"&gt;36",Tabla1[EDAD GESTACIONAL SALIDA PROGRAMA],"&lt;44"),COUNTIFS(Tabla1[AÑO PARTO],B4,Tabla1[MES PARTO],H6,Tabla1[SALE DEL PROGRAMA POR],"CESAREA",Tabla1[EDAD GESTACIONAL SALIDA PROGRAMA],"&gt;36",Tabla1[EDAD GESTACIONAL SALIDA PROGRAMA],"&lt;44"))</f>
        <v>0</v>
      </c>
      <c r="I60" s="116">
        <f>SUM(COUNTIFS(Tabla1[AÑO PARTO],B4,Tabla1[MES PARTO],I6,Tabla1[SALE DEL PROGRAMA POR],"PARTO",Tabla1[EDAD GESTACIONAL SALIDA PROGRAMA],"&gt;36",Tabla1[EDAD GESTACIONAL SALIDA PROGRAMA],"&lt;44"),COUNTIFS(Tabla1[AÑO PARTO],B4,Tabla1[MES PARTO],I6,Tabla1[SALE DEL PROGRAMA POR],"CESAREA",Tabla1[EDAD GESTACIONAL SALIDA PROGRAMA],"&gt;36",Tabla1[EDAD GESTACIONAL SALIDA PROGRAMA],"&lt;44"))</f>
        <v>0</v>
      </c>
      <c r="J60" s="116">
        <f>SUM(COUNTIFS(Tabla1[AÑO PARTO],B4,Tabla1[MES PARTO],J6,Tabla1[SALE DEL PROGRAMA POR],"PARTO",Tabla1[EDAD GESTACIONAL SALIDA PROGRAMA],"&gt;36",Tabla1[EDAD GESTACIONAL SALIDA PROGRAMA],"&lt;44"),COUNTIFS(Tabla1[AÑO PARTO],B4,Tabla1[MES PARTO],J6,Tabla1[SALE DEL PROGRAMA POR],"CESAREA",Tabla1[EDAD GESTACIONAL SALIDA PROGRAMA],"&gt;36",Tabla1[EDAD GESTACIONAL SALIDA PROGRAMA],"&lt;44"))</f>
        <v>0</v>
      </c>
      <c r="K60" s="116">
        <f>SUM(COUNTIFS(Tabla1[AÑO PARTO],B4,Tabla1[MES PARTO],K6,Tabla1[SALE DEL PROGRAMA POR],"PARTO",Tabla1[EDAD GESTACIONAL SALIDA PROGRAMA],"&gt;36",Tabla1[EDAD GESTACIONAL SALIDA PROGRAMA],"&lt;44"),COUNTIFS(Tabla1[AÑO PARTO],B4,Tabla1[MES PARTO],K6,Tabla1[SALE DEL PROGRAMA POR],"CESAREA",Tabla1[EDAD GESTACIONAL SALIDA PROGRAMA],"&gt;36",Tabla1[EDAD GESTACIONAL SALIDA PROGRAMA],"&lt;44"))</f>
        <v>0</v>
      </c>
      <c r="L60" s="116">
        <f>SUM(COUNTIFS(Tabla1[AÑO PARTO],B4,Tabla1[MES PARTO],L6,Tabla1[SALE DEL PROGRAMA POR],"PARTO",Tabla1[EDAD GESTACIONAL SALIDA PROGRAMA],"&gt;36",Tabla1[EDAD GESTACIONAL SALIDA PROGRAMA],"&lt;44"),COUNTIFS(Tabla1[AÑO PARTO],B4,Tabla1[MES PARTO],L6,Tabla1[SALE DEL PROGRAMA POR],"CESAREA",Tabla1[EDAD GESTACIONAL SALIDA PROGRAMA],"&gt;36",Tabla1[EDAD GESTACIONAL SALIDA PROGRAMA],"&lt;44"))</f>
        <v>0</v>
      </c>
      <c r="M60" s="116">
        <f>SUM(COUNTIFS(Tabla1[AÑO PARTO],B4,Tabla1[MES PARTO],M6,Tabla1[SALE DEL PROGRAMA POR],"PARTO",Tabla1[EDAD GESTACIONAL SALIDA PROGRAMA],"&gt;36",Tabla1[EDAD GESTACIONAL SALIDA PROGRAMA],"&lt;44"),COUNTIFS(Tabla1[AÑO PARTO],B4,Tabla1[MES PARTO],M6,Tabla1[SALE DEL PROGRAMA POR],"CESAREA",Tabla1[EDAD GESTACIONAL SALIDA PROGRAMA],"&gt;36",Tabla1[EDAD GESTACIONAL SALIDA PROGRAMA],"&lt;44"))</f>
        <v>0</v>
      </c>
      <c r="N60" s="125">
        <f>SUM(B60:M60)</f>
        <v>0</v>
      </c>
    </row>
    <row r="61" spans="1:14" ht="39" customHeight="1" thickBot="1" x14ac:dyDescent="0.3">
      <c r="A61" s="212" t="s">
        <v>791</v>
      </c>
      <c r="B61" s="203">
        <f>SUM(COUNTIFS(Tabla1[AÑO PARTO],$B$4,Tabla1[MES PARTO],B6,Tabla1[SALE DEL PROGRAMA POR],"PARTO",Tabla1[EDAD GESTACIONAL SALIDA PROGRAMA],"&gt;36",Tabla1[EDAD GESTACIONAL SALIDA PROGRAMA],"&lt;44",Tabla1[FECHA CONSULTA DE 1RA VEZ POR ODONTOLOGIA],"&lt;&gt;"),COUNTIFS(Tabla1[AÑO PARTO],$B$4,Tabla1[MES PARTO],B6,Tabla1[SALE DEL PROGRAMA POR],"CESAREA",Tabla1[EDAD GESTACIONAL SALIDA PROGRAMA],"&gt;36",Tabla1[EDAD GESTACIONAL SALIDA PROGRAMA],"&lt;44",Tabla1[FECHA CONSULTA DE 1RA VEZ POR ODONTOLOGIA],"&lt;&gt;"))</f>
        <v>0</v>
      </c>
      <c r="C61" s="203">
        <f>SUM(COUNTIFS(Tabla1[AÑO PARTO],$B$4,Tabla1[MES PARTO],C6,Tabla1[SALE DEL PROGRAMA POR],"PARTO",Tabla1[EDAD GESTACIONAL SALIDA PROGRAMA],"&gt;36",Tabla1[EDAD GESTACIONAL SALIDA PROGRAMA],"&lt;44",Tabla1[FECHA CONSULTA DE 1RA VEZ POR ODONTOLOGIA],"&lt;&gt;"),COUNTIFS(Tabla1[AÑO PARTO],$B$4,Tabla1[MES PARTO],C6,Tabla1[SALE DEL PROGRAMA POR],"CESAREA",Tabla1[EDAD GESTACIONAL SALIDA PROGRAMA],"&gt;36",Tabla1[EDAD GESTACIONAL SALIDA PROGRAMA],"&lt;44",Tabla1[FECHA CONSULTA DE 1RA VEZ POR ODONTOLOGIA],"&lt;&gt;"))</f>
        <v>0</v>
      </c>
      <c r="D61" s="203">
        <f>SUM(COUNTIFS(Tabla1[AÑO PARTO],$B$4,Tabla1[MES PARTO],D6,Tabla1[SALE DEL PROGRAMA POR],"PARTO",Tabla1[EDAD GESTACIONAL SALIDA PROGRAMA],"&gt;36",Tabla1[EDAD GESTACIONAL SALIDA PROGRAMA],"&lt;44",Tabla1[FECHA CONSULTA DE 1RA VEZ POR ODONTOLOGIA],"&lt;&gt;"),COUNTIFS(Tabla1[AÑO PARTO],$B$4,Tabla1[MES PARTO],D6,Tabla1[SALE DEL PROGRAMA POR],"CESAREA",Tabla1[EDAD GESTACIONAL SALIDA PROGRAMA],"&gt;36",Tabla1[EDAD GESTACIONAL SALIDA PROGRAMA],"&lt;44",Tabla1[FECHA CONSULTA DE 1RA VEZ POR ODONTOLOGIA],"&lt;&gt;"))</f>
        <v>0</v>
      </c>
      <c r="E61" s="203">
        <f>SUM(COUNTIFS(Tabla1[AÑO PARTO],$B$4,Tabla1[MES PARTO],E6,Tabla1[SALE DEL PROGRAMA POR],"PARTO",Tabla1[EDAD GESTACIONAL SALIDA PROGRAMA],"&gt;36",Tabla1[EDAD GESTACIONAL SALIDA PROGRAMA],"&lt;44",Tabla1[FECHA CONSULTA DE 1RA VEZ POR ODONTOLOGIA],"&lt;&gt;"),COUNTIFS(Tabla1[AÑO PARTO],$B$4,Tabla1[MES PARTO],E6,Tabla1[SALE DEL PROGRAMA POR],"CESAREA",Tabla1[EDAD GESTACIONAL SALIDA PROGRAMA],"&gt;36",Tabla1[EDAD GESTACIONAL SALIDA PROGRAMA],"&lt;44",Tabla1[FECHA CONSULTA DE 1RA VEZ POR ODONTOLOGIA],"&lt;&gt;"))</f>
        <v>0</v>
      </c>
      <c r="F61" s="203">
        <f>SUM(COUNTIFS(Tabla1[AÑO PARTO],$B$4,Tabla1[MES PARTO],F6,Tabla1[SALE DEL PROGRAMA POR],"PARTO",Tabla1[EDAD GESTACIONAL SALIDA PROGRAMA],"&gt;36",Tabla1[EDAD GESTACIONAL SALIDA PROGRAMA],"&lt;44",Tabla1[FECHA CONSULTA DE 1RA VEZ POR ODONTOLOGIA],"&lt;&gt;"),COUNTIFS(Tabla1[AÑO PARTO],$B$4,Tabla1[MES PARTO],F6,Tabla1[SALE DEL PROGRAMA POR],"CESAREA",Tabla1[EDAD GESTACIONAL SALIDA PROGRAMA],"&gt;36",Tabla1[EDAD GESTACIONAL SALIDA PROGRAMA],"&lt;44",Tabla1[FECHA CONSULTA DE 1RA VEZ POR ODONTOLOGIA],"&lt;&gt;"))</f>
        <v>0</v>
      </c>
      <c r="G61" s="203">
        <f>SUM(COUNTIFS(Tabla1[AÑO PARTO],$B$4,Tabla1[MES PARTO],G6,Tabla1[SALE DEL PROGRAMA POR],"PARTO",Tabla1[EDAD GESTACIONAL SALIDA PROGRAMA],"&gt;36",Tabla1[EDAD GESTACIONAL SALIDA PROGRAMA],"&lt;44",Tabla1[FECHA CONSULTA DE 1RA VEZ POR ODONTOLOGIA],"&lt;&gt;"),COUNTIFS(Tabla1[AÑO PARTO],$B$4,Tabla1[MES PARTO],G6,Tabla1[SALE DEL PROGRAMA POR],"CESAREA",Tabla1[EDAD GESTACIONAL SALIDA PROGRAMA],"&gt;36",Tabla1[EDAD GESTACIONAL SALIDA PROGRAMA],"&lt;44",Tabla1[FECHA CONSULTA DE 1RA VEZ POR ODONTOLOGIA],"&lt;&gt;"))</f>
        <v>0</v>
      </c>
      <c r="H61" s="203">
        <f>SUM(COUNTIFS(Tabla1[AÑO PARTO],$B$4,Tabla1[MES PARTO],H6,Tabla1[SALE DEL PROGRAMA POR],"PARTO",Tabla1[EDAD GESTACIONAL SALIDA PROGRAMA],"&gt;36",Tabla1[EDAD GESTACIONAL SALIDA PROGRAMA],"&lt;44",Tabla1[FECHA CONSULTA DE 1RA VEZ POR ODONTOLOGIA],"&lt;&gt;"),COUNTIFS(Tabla1[AÑO PARTO],$B$4,Tabla1[MES PARTO],H6,Tabla1[SALE DEL PROGRAMA POR],"CESAREA",Tabla1[EDAD GESTACIONAL SALIDA PROGRAMA],"&gt;36",Tabla1[EDAD GESTACIONAL SALIDA PROGRAMA],"&lt;44",Tabla1[FECHA CONSULTA DE 1RA VEZ POR ODONTOLOGIA],"&lt;&gt;"))</f>
        <v>0</v>
      </c>
      <c r="I61" s="203">
        <f>SUM(COUNTIFS(Tabla1[AÑO PARTO],$B$4,Tabla1[MES PARTO],I6,Tabla1[SALE DEL PROGRAMA POR],"PARTO",Tabla1[EDAD GESTACIONAL SALIDA PROGRAMA],"&gt;36",Tabla1[EDAD GESTACIONAL SALIDA PROGRAMA],"&lt;44",Tabla1[FECHA CONSULTA DE 1RA VEZ POR ODONTOLOGIA],"&lt;&gt;"),COUNTIFS(Tabla1[AÑO PARTO],$B$4,Tabla1[MES PARTO],I6,Tabla1[SALE DEL PROGRAMA POR],"CESAREA",Tabla1[EDAD GESTACIONAL SALIDA PROGRAMA],"&gt;36",Tabla1[EDAD GESTACIONAL SALIDA PROGRAMA],"&lt;44",Tabla1[FECHA CONSULTA DE 1RA VEZ POR ODONTOLOGIA],"&lt;&gt;"))</f>
        <v>0</v>
      </c>
      <c r="J61" s="203">
        <f>SUM(COUNTIFS(Tabla1[AÑO PARTO],$B$4,Tabla1[MES PARTO],J6,Tabla1[SALE DEL PROGRAMA POR],"PARTO",Tabla1[EDAD GESTACIONAL SALIDA PROGRAMA],"&gt;36",Tabla1[EDAD GESTACIONAL SALIDA PROGRAMA],"&lt;44",Tabla1[FECHA CONSULTA DE 1RA VEZ POR ODONTOLOGIA],"&lt;&gt;"),COUNTIFS(Tabla1[AÑO PARTO],$B$4,Tabla1[MES PARTO],J6,Tabla1[SALE DEL PROGRAMA POR],"CESAREA",Tabla1[EDAD GESTACIONAL SALIDA PROGRAMA],"&gt;36",Tabla1[EDAD GESTACIONAL SALIDA PROGRAMA],"&lt;44",Tabla1[FECHA CONSULTA DE 1RA VEZ POR ODONTOLOGIA],"&lt;&gt;"))</f>
        <v>0</v>
      </c>
      <c r="K61" s="203">
        <f>SUM(COUNTIFS(Tabla1[AÑO PARTO],$B$4,Tabla1[MES PARTO],K6,Tabla1[SALE DEL PROGRAMA POR],"PARTO",Tabla1[EDAD GESTACIONAL SALIDA PROGRAMA],"&gt;36",Tabla1[EDAD GESTACIONAL SALIDA PROGRAMA],"&lt;44",Tabla1[FECHA CONSULTA DE 1RA VEZ POR ODONTOLOGIA],"&lt;&gt;"),COUNTIFS(Tabla1[AÑO PARTO],$B$4,Tabla1[MES PARTO],K6,Tabla1[SALE DEL PROGRAMA POR],"CESAREA",Tabla1[EDAD GESTACIONAL SALIDA PROGRAMA],"&gt;36",Tabla1[EDAD GESTACIONAL SALIDA PROGRAMA],"&lt;44",Tabla1[FECHA CONSULTA DE 1RA VEZ POR ODONTOLOGIA],"&lt;&gt;"))</f>
        <v>0</v>
      </c>
      <c r="L61" s="203">
        <f>SUM(COUNTIFS(Tabla1[AÑO PARTO],$B$4,Tabla1[MES PARTO],L6,Tabla1[SALE DEL PROGRAMA POR],"PARTO",Tabla1[EDAD GESTACIONAL SALIDA PROGRAMA],"&gt;36",Tabla1[EDAD GESTACIONAL SALIDA PROGRAMA],"&lt;44",Tabla1[FECHA CONSULTA DE 1RA VEZ POR ODONTOLOGIA],"&lt;&gt;"),COUNTIFS(Tabla1[AÑO PARTO],$B$4,Tabla1[MES PARTO],L6,Tabla1[SALE DEL PROGRAMA POR],"CESAREA",Tabla1[EDAD GESTACIONAL SALIDA PROGRAMA],"&gt;36",Tabla1[EDAD GESTACIONAL SALIDA PROGRAMA],"&lt;44",Tabla1[FECHA CONSULTA DE 1RA VEZ POR ODONTOLOGIA],"&lt;&gt;"))</f>
        <v>0</v>
      </c>
      <c r="M61" s="203">
        <f>SUM(COUNTIFS(Tabla1[AÑO PARTO],$B$4,Tabla1[MES PARTO],M6,Tabla1[SALE DEL PROGRAMA POR],"PARTO",Tabla1[EDAD GESTACIONAL SALIDA PROGRAMA],"&gt;36",Tabla1[EDAD GESTACIONAL SALIDA PROGRAMA],"&lt;44",Tabla1[FECHA CONSULTA DE 1RA VEZ POR ODONTOLOGIA],"&lt;&gt;"),COUNTIFS(Tabla1[AÑO PARTO],$B$4,Tabla1[MES PARTO],M6,Tabla1[SALE DEL PROGRAMA POR],"CESAREA",Tabla1[EDAD GESTACIONAL SALIDA PROGRAMA],"&gt;36",Tabla1[EDAD GESTACIONAL SALIDA PROGRAMA],"&lt;44",Tabla1[FECHA CONSULTA DE 1RA VEZ POR ODONTOLOGIA],"&lt;&gt;"))</f>
        <v>0</v>
      </c>
      <c r="N61" s="116">
        <f>SUM(B61:M61)</f>
        <v>0</v>
      </c>
    </row>
    <row r="62" spans="1:14" ht="33.75" customHeight="1" thickBot="1" x14ac:dyDescent="0.3">
      <c r="A62" s="204" t="s">
        <v>752</v>
      </c>
      <c r="B62" s="117" t="str">
        <f t="shared" ref="B62:N62" si="13">IF(B$60=0,"",SUM(B61/B$60))</f>
        <v/>
      </c>
      <c r="C62" s="118" t="str">
        <f t="shared" si="13"/>
        <v/>
      </c>
      <c r="D62" s="118" t="str">
        <f t="shared" si="13"/>
        <v/>
      </c>
      <c r="E62" s="118" t="str">
        <f t="shared" si="13"/>
        <v/>
      </c>
      <c r="F62" s="118" t="str">
        <f t="shared" si="13"/>
        <v/>
      </c>
      <c r="G62" s="118" t="str">
        <f t="shared" si="13"/>
        <v/>
      </c>
      <c r="H62" s="118" t="str">
        <f t="shared" si="13"/>
        <v/>
      </c>
      <c r="I62" s="118" t="str">
        <f t="shared" si="13"/>
        <v/>
      </c>
      <c r="J62" s="118" t="str">
        <f t="shared" si="13"/>
        <v/>
      </c>
      <c r="K62" s="118" t="str">
        <f t="shared" si="13"/>
        <v/>
      </c>
      <c r="L62" s="118" t="str">
        <f t="shared" si="13"/>
        <v/>
      </c>
      <c r="M62" s="118" t="str">
        <f t="shared" si="13"/>
        <v/>
      </c>
      <c r="N62" s="119" t="str">
        <f t="shared" si="13"/>
        <v/>
      </c>
    </row>
    <row r="63" spans="1:14" ht="37.5" customHeight="1" thickBot="1" x14ac:dyDescent="0.3">
      <c r="A63" s="122" t="s">
        <v>743</v>
      </c>
      <c r="B63" s="116">
        <f>SUM(COUNTIFS(Tabla1[AÑO PARTO],B4,Tabla1[MES PARTO],B6,Tabla1[SALE DEL PROGRAMA POR],"PARTO",Tabla1[EDAD GESTACIONAL SALIDA PROGRAMA],"&gt;36",Tabla1[EDAD GESTACIONAL SALIDA PROGRAMA],"&lt;44",Tabla1[CURSO DE MATERNIDAD Y PATERNIDAD],"7"),COUNTIFS(Tabla1[AÑO PARTO],B4,Tabla1[MES PARTO],B6,Tabla1[SALE DEL PROGRAMA POR],"CESAREA",Tabla1[EDAD GESTACIONAL SALIDA PROGRAMA],"&gt;36",Tabla1[EDAD GESTACIONAL SALIDA PROGRAMA],"&lt;44",Tabla1[CURSO DE MATERNIDAD Y PATERNIDAD],"7"))</f>
        <v>0</v>
      </c>
      <c r="C63" s="116">
        <f>SUM(COUNTIFS(Tabla1[AÑO PARTO],B4,Tabla1[MES PARTO],C6,Tabla1[SALE DEL PROGRAMA POR],"PARTO",Tabla1[EDAD GESTACIONAL SALIDA PROGRAMA],"&gt;36",Tabla1[EDAD GESTACIONAL SALIDA PROGRAMA],"&lt;44",Tabla1[CURSO DE MATERNIDAD Y PATERNIDAD],"7"),COUNTIFS(Tabla1[AÑO PARTO],B4,Tabla1[MES PARTO],C6,Tabla1[SALE DEL PROGRAMA POR],"CESAREA",Tabla1[EDAD GESTACIONAL SALIDA PROGRAMA],"&gt;36",Tabla1[EDAD GESTACIONAL SALIDA PROGRAMA],"&lt;44",Tabla1[CURSO DE MATERNIDAD Y PATERNIDAD],"7"))</f>
        <v>0</v>
      </c>
      <c r="D63" s="116">
        <f>SUM(COUNTIFS(Tabla1[AÑO PARTO],B4,Tabla1[MES PARTO],D6,Tabla1[SALE DEL PROGRAMA POR],"PARTO",Tabla1[EDAD GESTACIONAL SALIDA PROGRAMA],"&gt;36",Tabla1[EDAD GESTACIONAL SALIDA PROGRAMA],"&lt;44",Tabla1[CURSO DE MATERNIDAD Y PATERNIDAD],"7"),COUNTIFS(Tabla1[AÑO PARTO],B4,Tabla1[MES PARTO],D6,Tabla1[SALE DEL PROGRAMA POR],"CESAREA",Tabla1[EDAD GESTACIONAL SALIDA PROGRAMA],"&gt;36",Tabla1[EDAD GESTACIONAL SALIDA PROGRAMA],"&lt;44",Tabla1[CURSO DE MATERNIDAD Y PATERNIDAD],"7"))</f>
        <v>0</v>
      </c>
      <c r="E63" s="116">
        <f>SUM(COUNTIFS(Tabla1[AÑO PARTO],B4,Tabla1[MES PARTO],E6,Tabla1[SALE DEL PROGRAMA POR],"PARTO",Tabla1[EDAD GESTACIONAL SALIDA PROGRAMA],"&gt;36",Tabla1[EDAD GESTACIONAL SALIDA PROGRAMA],"&lt;44",Tabla1[CURSO DE MATERNIDAD Y PATERNIDAD],"7"),COUNTIFS(Tabla1[AÑO PARTO],B4,Tabla1[MES PARTO],E6,Tabla1[SALE DEL PROGRAMA POR],"CESAREA",Tabla1[EDAD GESTACIONAL SALIDA PROGRAMA],"&gt;36",Tabla1[EDAD GESTACIONAL SALIDA PROGRAMA],"&lt;44",Tabla1[CURSO DE MATERNIDAD Y PATERNIDAD],"7"))</f>
        <v>0</v>
      </c>
      <c r="F63" s="116">
        <f>SUM(COUNTIFS(Tabla1[AÑO PARTO],B4,Tabla1[MES PARTO],F6,Tabla1[SALE DEL PROGRAMA POR],"PARTO",Tabla1[EDAD GESTACIONAL SALIDA PROGRAMA],"&gt;36",Tabla1[EDAD GESTACIONAL SALIDA PROGRAMA],"&lt;44",Tabla1[CURSO DE MATERNIDAD Y PATERNIDAD],"7"),COUNTIFS(Tabla1[AÑO PARTO],B4,Tabla1[MES PARTO],F6,Tabla1[SALE DEL PROGRAMA POR],"CESAREA",Tabla1[EDAD GESTACIONAL SALIDA PROGRAMA],"&gt;36",Tabla1[EDAD GESTACIONAL SALIDA PROGRAMA],"&lt;44",Tabla1[CURSO DE MATERNIDAD Y PATERNIDAD],"7"))</f>
        <v>0</v>
      </c>
      <c r="G63" s="116">
        <f>SUM(COUNTIFS(Tabla1[AÑO PARTO],B4,Tabla1[MES PARTO],G6,Tabla1[SALE DEL PROGRAMA POR],"PARTO",Tabla1[EDAD GESTACIONAL SALIDA PROGRAMA],"&gt;36",Tabla1[EDAD GESTACIONAL SALIDA PROGRAMA],"&lt;44",Tabla1[CURSO DE MATERNIDAD Y PATERNIDAD],"7"),COUNTIFS(Tabla1[AÑO PARTO],B4,Tabla1[MES PARTO],G6,Tabla1[SALE DEL PROGRAMA POR],"CESAREA",Tabla1[EDAD GESTACIONAL SALIDA PROGRAMA],"&gt;36",Tabla1[EDAD GESTACIONAL SALIDA PROGRAMA],"&lt;44",Tabla1[CURSO DE MATERNIDAD Y PATERNIDAD],"7"))</f>
        <v>0</v>
      </c>
      <c r="H63" s="116">
        <f>SUM(COUNTIFS(Tabla1[AÑO PARTO],B4,Tabla1[MES PARTO],H6,Tabla1[SALE DEL PROGRAMA POR],"PARTO",Tabla1[EDAD GESTACIONAL SALIDA PROGRAMA],"&gt;36",Tabla1[EDAD GESTACIONAL SALIDA PROGRAMA],"&lt;44",Tabla1[CURSO DE MATERNIDAD Y PATERNIDAD],"7"),COUNTIFS(Tabla1[AÑO PARTO],B4,Tabla1[MES PARTO],H6,Tabla1[SALE DEL PROGRAMA POR],"CESAREA",Tabla1[EDAD GESTACIONAL SALIDA PROGRAMA],"&gt;36",Tabla1[EDAD GESTACIONAL SALIDA PROGRAMA],"&lt;44",Tabla1[CURSO DE MATERNIDAD Y PATERNIDAD],"7"))</f>
        <v>0</v>
      </c>
      <c r="I63" s="116">
        <f>SUM(COUNTIFS(Tabla1[AÑO PARTO],B4,Tabla1[MES PARTO],I6,Tabla1[SALE DEL PROGRAMA POR],"PARTO",Tabla1[EDAD GESTACIONAL SALIDA PROGRAMA],"&gt;36",Tabla1[EDAD GESTACIONAL SALIDA PROGRAMA],"&lt;44",Tabla1[CURSO DE MATERNIDAD Y PATERNIDAD],"7"),COUNTIFS(Tabla1[AÑO PARTO],B4,Tabla1[MES PARTO],I6,Tabla1[SALE DEL PROGRAMA POR],"CESAREA",Tabla1[EDAD GESTACIONAL SALIDA PROGRAMA],"&gt;36",Tabla1[EDAD GESTACIONAL SALIDA PROGRAMA],"&lt;44",Tabla1[CURSO DE MATERNIDAD Y PATERNIDAD],"7"))</f>
        <v>0</v>
      </c>
      <c r="J63" s="116">
        <f>SUM(COUNTIFS(Tabla1[AÑO PARTO],B4,Tabla1[MES PARTO],J6,Tabla1[SALE DEL PROGRAMA POR],"PARTO",Tabla1[EDAD GESTACIONAL SALIDA PROGRAMA],"&gt;36",Tabla1[EDAD GESTACIONAL SALIDA PROGRAMA],"&lt;44",Tabla1[CURSO DE MATERNIDAD Y PATERNIDAD],"7"),COUNTIFS(Tabla1[AÑO PARTO],B4,Tabla1[MES PARTO],J6,Tabla1[SALE DEL PROGRAMA POR],"CESAREA",Tabla1[EDAD GESTACIONAL SALIDA PROGRAMA],"&gt;36",Tabla1[EDAD GESTACIONAL SALIDA PROGRAMA],"&lt;44",Tabla1[CURSO DE MATERNIDAD Y PATERNIDAD],"7"))</f>
        <v>0</v>
      </c>
      <c r="K63" s="116">
        <f>SUM(COUNTIFS(Tabla1[AÑO PARTO],B4,Tabla1[MES PARTO],K6,Tabla1[SALE DEL PROGRAMA POR],"PARTO",Tabla1[EDAD GESTACIONAL SALIDA PROGRAMA],"&gt;36",Tabla1[EDAD GESTACIONAL SALIDA PROGRAMA],"&lt;44",Tabla1[CURSO DE MATERNIDAD Y PATERNIDAD],"7"),COUNTIFS(Tabla1[AÑO PARTO],B4,Tabla1[MES PARTO],K6,Tabla1[SALE DEL PROGRAMA POR],"CESAREA",Tabla1[EDAD GESTACIONAL SALIDA PROGRAMA],"&gt;36",Tabla1[EDAD GESTACIONAL SALIDA PROGRAMA],"&lt;44",Tabla1[CURSO DE MATERNIDAD Y PATERNIDAD],"7"))</f>
        <v>0</v>
      </c>
      <c r="L63" s="116">
        <f>SUM(COUNTIFS(Tabla1[AÑO PARTO],B4,Tabla1[MES PARTO],L6,Tabla1[SALE DEL PROGRAMA POR],"PARTO",Tabla1[EDAD GESTACIONAL SALIDA PROGRAMA],"&gt;36",Tabla1[EDAD GESTACIONAL SALIDA PROGRAMA],"&lt;44",Tabla1[CURSO DE MATERNIDAD Y PATERNIDAD],"7"),COUNTIFS(Tabla1[AÑO PARTO],B4,Tabla1[MES PARTO],L6,Tabla1[SALE DEL PROGRAMA POR],"CESAREA",Tabla1[EDAD GESTACIONAL SALIDA PROGRAMA],"&gt;36",Tabla1[EDAD GESTACIONAL SALIDA PROGRAMA],"&lt;44",Tabla1[CURSO DE MATERNIDAD Y PATERNIDAD],"7"))</f>
        <v>0</v>
      </c>
      <c r="M63" s="116">
        <f>SUM(COUNTIFS(Tabla1[AÑO PARTO],B4,Tabla1[MES PARTO],M6,Tabla1[SALE DEL PROGRAMA POR],"PARTO",Tabla1[EDAD GESTACIONAL SALIDA PROGRAMA],"&gt;36",Tabla1[EDAD GESTACIONAL SALIDA PROGRAMA],"&lt;44",Tabla1[CURSO DE MATERNIDAD Y PATERNIDAD],"7"),COUNTIFS(Tabla1[AÑO PARTO],B4,Tabla1[MES PARTO],M6,Tabla1[SALE DEL PROGRAMA POR],"CESAREA",Tabla1[EDAD GESTACIONAL SALIDA PROGRAMA],"&gt;36",Tabla1[EDAD GESTACIONAL SALIDA PROGRAMA],"&lt;44",Tabla1[CURSO DE MATERNIDAD Y PATERNIDAD],"7"))</f>
        <v>0</v>
      </c>
      <c r="N63" s="125">
        <f>SUM(B63:M63)</f>
        <v>0</v>
      </c>
    </row>
    <row r="64" spans="1:14" ht="50.25" customHeight="1" thickBot="1" x14ac:dyDescent="0.3">
      <c r="A64" s="196" t="s">
        <v>839</v>
      </c>
      <c r="B64" s="117" t="str">
        <f>IF($B$60=0,"",SUM(B63/$B$60))</f>
        <v/>
      </c>
      <c r="C64" s="118" t="str">
        <f t="shared" ref="C64:N64" si="14">IF(C$60=0,"",SUM(C63/C$60))</f>
        <v/>
      </c>
      <c r="D64" s="118" t="str">
        <f t="shared" si="14"/>
        <v/>
      </c>
      <c r="E64" s="118" t="str">
        <f t="shared" si="14"/>
        <v/>
      </c>
      <c r="F64" s="118" t="str">
        <f t="shared" si="14"/>
        <v/>
      </c>
      <c r="G64" s="118" t="str">
        <f t="shared" si="14"/>
        <v/>
      </c>
      <c r="H64" s="118" t="str">
        <f t="shared" si="14"/>
        <v/>
      </c>
      <c r="I64" s="118" t="str">
        <f t="shared" si="14"/>
        <v/>
      </c>
      <c r="J64" s="118" t="str">
        <f t="shared" si="14"/>
        <v/>
      </c>
      <c r="K64" s="118" t="str">
        <f t="shared" si="14"/>
        <v/>
      </c>
      <c r="L64" s="118" t="str">
        <f t="shared" si="14"/>
        <v/>
      </c>
      <c r="M64" s="118" t="str">
        <f t="shared" si="14"/>
        <v/>
      </c>
      <c r="N64" s="119" t="str">
        <f t="shared" si="14"/>
        <v/>
      </c>
    </row>
    <row r="65" spans="1:16" ht="37.5" customHeight="1" thickBot="1" x14ac:dyDescent="0.3">
      <c r="A65" s="122" t="s">
        <v>744</v>
      </c>
      <c r="B65" s="116">
        <f>SUM(COUNTIFS(Tabla1[AÑO PARTO],B4,Tabla1[MES PARTO],B6,Tabla1[SALE DEL PROGRAMA POR],"PARTO",Tabla1[ALERTA DE PLAN DE PARTO],"&gt;36",Tabla1[ALERTA DE PLAN DE PARTO],"&lt;44"),COUNTIFS(Tabla1[AÑO PARTO],B4,Tabla1[MES PARTO],B6,Tabla1[SALE DEL PROGRAMA POR],"CESAREA",Tabla1[ALERTA DE PLAN DE PARTO],"&gt;36",Tabla1[ALERTA DE PLAN DE PARTO],"&lt;44"))</f>
        <v>0</v>
      </c>
      <c r="C65" s="116">
        <f>SUM(COUNTIFS(Tabla1[AÑO PARTO],B4,Tabla1[MES PARTO],C6,Tabla1[SALE DEL PROGRAMA POR],"PARTO",Tabla1[ALERTA DE PLAN DE PARTO],"&gt;36",Tabla1[ALERTA DE PLAN DE PARTO],"&lt;44"),COUNTIFS(Tabla1[AÑO PARTO],B4,Tabla1[MES PARTO],C6,Tabla1[SALE DEL PROGRAMA POR],"CESAREA",Tabla1[ALERTA DE PLAN DE PARTO],"&gt;36",Tabla1[ALERTA DE PLAN DE PARTO],"&lt;44"))</f>
        <v>0</v>
      </c>
      <c r="D65" s="116">
        <f>SUM(COUNTIFS(Tabla1[AÑO PARTO],B4,Tabla1[MES PARTO],D6,Tabla1[SALE DEL PROGRAMA POR],"PARTO",Tabla1[ALERTA DE PLAN DE PARTO],"&gt;36",Tabla1[ALERTA DE PLAN DE PARTO],"&lt;44"),COUNTIFS(Tabla1[AÑO PARTO],B4,Tabla1[MES PARTO],D6,Tabla1[SALE DEL PROGRAMA POR],"CESAREA",Tabla1[ALERTA DE PLAN DE PARTO],"&gt;36",Tabla1[ALERTA DE PLAN DE PARTO],"&lt;44"))</f>
        <v>0</v>
      </c>
      <c r="E65" s="116">
        <f>SUM(COUNTIFS(Tabla1[AÑO PARTO],B4,Tabla1[MES PARTO],E6,Tabla1[SALE DEL PROGRAMA POR],"PARTO",Tabla1[ALERTA DE PLAN DE PARTO],"&gt;36",Tabla1[ALERTA DE PLAN DE PARTO],"&lt;44"),COUNTIFS(Tabla1[AÑO PARTO],B4,Tabla1[MES PARTO],E6,Tabla1[SALE DEL PROGRAMA POR],"CESAREA",Tabla1[ALERTA DE PLAN DE PARTO],"&gt;36",Tabla1[ALERTA DE PLAN DE PARTO],"&lt;44"))</f>
        <v>0</v>
      </c>
      <c r="F65" s="116">
        <f>SUM(COUNTIFS(Tabla1[AÑO PARTO],B4,Tabla1[MES PARTO],F6,Tabla1[SALE DEL PROGRAMA POR],"PARTO",Tabla1[ALERTA DE PLAN DE PARTO],"&gt;36",Tabla1[ALERTA DE PLAN DE PARTO],"&lt;44"),COUNTIFS(Tabla1[AÑO PARTO],B4,Tabla1[MES PARTO],F6,Tabla1[SALE DEL PROGRAMA POR],"CESAREA",Tabla1[ALERTA DE PLAN DE PARTO],"&gt;36",Tabla1[ALERTA DE PLAN DE PARTO],"&lt;44"))</f>
        <v>0</v>
      </c>
      <c r="G65" s="116">
        <f>SUM(COUNTIFS(Tabla1[AÑO PARTO],B4,Tabla1[MES PARTO],G6,Tabla1[SALE DEL PROGRAMA POR],"PARTO",Tabla1[ALERTA DE PLAN DE PARTO],"&gt;36",Tabla1[ALERTA DE PLAN DE PARTO],"&lt;44"),COUNTIFS(Tabla1[AÑO PARTO],B4,Tabla1[MES PARTO],G6,Tabla1[SALE DEL PROGRAMA POR],"CESAREA",Tabla1[ALERTA DE PLAN DE PARTO],"&gt;36",Tabla1[ALERTA DE PLAN DE PARTO],"&lt;44"))</f>
        <v>0</v>
      </c>
      <c r="H65" s="116">
        <f>SUM(COUNTIFS(Tabla1[AÑO PARTO],B4,Tabla1[MES PARTO],H6,Tabla1[SALE DEL PROGRAMA POR],"PARTO",Tabla1[ALERTA DE PLAN DE PARTO],"&gt;36",Tabla1[ALERTA DE PLAN DE PARTO],"&lt;44"),COUNTIFS(Tabla1[AÑO PARTO],B4,Tabla1[MES PARTO],H6,Tabla1[SALE DEL PROGRAMA POR],"CESAREA",Tabla1[ALERTA DE PLAN DE PARTO],"&gt;36",Tabla1[ALERTA DE PLAN DE PARTO],"&lt;44"))</f>
        <v>0</v>
      </c>
      <c r="I65" s="116">
        <f>SUM(COUNTIFS(Tabla1[AÑO PARTO],B4,Tabla1[MES PARTO],I6,Tabla1[SALE DEL PROGRAMA POR],"PARTO",Tabla1[ALERTA DE PLAN DE PARTO],"&gt;36",Tabla1[ALERTA DE PLAN DE PARTO],"&lt;44"),COUNTIFS(Tabla1[AÑO PARTO],B4,Tabla1[MES PARTO],I6,Tabla1[SALE DEL PROGRAMA POR],"CESAREA",Tabla1[ALERTA DE PLAN DE PARTO],"&gt;36",Tabla1[ALERTA DE PLAN DE PARTO],"&lt;44"))</f>
        <v>0</v>
      </c>
      <c r="J65" s="116">
        <f>SUM(COUNTIFS(Tabla1[AÑO PARTO],B4,Tabla1[MES PARTO],J6,Tabla1[SALE DEL PROGRAMA POR],"PARTO",Tabla1[ALERTA DE PLAN DE PARTO],"&gt;36",Tabla1[ALERTA DE PLAN DE PARTO],"&lt;44"),COUNTIFS(Tabla1[AÑO PARTO],B4,Tabla1[MES PARTO],J6,Tabla1[SALE DEL PROGRAMA POR],"CESAREA",Tabla1[ALERTA DE PLAN DE PARTO],"&gt;36",Tabla1[ALERTA DE PLAN DE PARTO],"&lt;44"))</f>
        <v>0</v>
      </c>
      <c r="K65" s="116">
        <f>SUM(COUNTIFS(Tabla1[AÑO PARTO],B4,Tabla1[MES PARTO],K6,Tabla1[SALE DEL PROGRAMA POR],"PARTO",Tabla1[ALERTA DE PLAN DE PARTO],"&gt;36",Tabla1[ALERTA DE PLAN DE PARTO],"&lt;44"),COUNTIFS(Tabla1[AÑO PARTO],B4,Tabla1[MES PARTO],K6,Tabla1[SALE DEL PROGRAMA POR],"CESAREA",Tabla1[ALERTA DE PLAN DE PARTO],"&gt;36",Tabla1[ALERTA DE PLAN DE PARTO],"&lt;44"))</f>
        <v>0</v>
      </c>
      <c r="L65" s="116">
        <f>SUM(COUNTIFS(Tabla1[AÑO PARTO],B4,Tabla1[MES PARTO],L6,Tabla1[SALE DEL PROGRAMA POR],"PARTO",Tabla1[ALERTA DE PLAN DE PARTO],"&gt;36",Tabla1[ALERTA DE PLAN DE PARTO],"&lt;44"),COUNTIFS(Tabla1[AÑO PARTO],B4,Tabla1[MES PARTO],L6,Tabla1[SALE DEL PROGRAMA POR],"CESAREA",Tabla1[ALERTA DE PLAN DE PARTO],"&gt;36",Tabla1[ALERTA DE PLAN DE PARTO],"&lt;44"))</f>
        <v>0</v>
      </c>
      <c r="M65" s="116">
        <f>SUM(COUNTIFS(Tabla1[AÑO PARTO],B4,Tabla1[MES PARTO],M6,Tabla1[SALE DEL PROGRAMA POR],"PARTO",Tabla1[ALERTA DE PLAN DE PARTO],"&gt;36",Tabla1[ALERTA DE PLAN DE PARTO],"&lt;44"),COUNTIFS(Tabla1[AÑO PARTO],B4,Tabla1[MES PARTO],M6,Tabla1[SALE DEL PROGRAMA POR],"CESAREA",Tabla1[ALERTA DE PLAN DE PARTO],"&gt;36",Tabla1[ALERTA DE PLAN DE PARTO],"&lt;44"))</f>
        <v>0</v>
      </c>
      <c r="N65" s="125">
        <f>SUM(B65:M65)</f>
        <v>0</v>
      </c>
    </row>
    <row r="66" spans="1:16" ht="37.5" customHeight="1" thickBot="1" x14ac:dyDescent="0.3">
      <c r="A66" s="196" t="s">
        <v>838</v>
      </c>
      <c r="B66" s="117" t="str">
        <f t="shared" ref="B66:N66" si="15">IF(B$60=0,"",SUM(B65/B$60))</f>
        <v/>
      </c>
      <c r="C66" s="118" t="str">
        <f t="shared" si="15"/>
        <v/>
      </c>
      <c r="D66" s="118" t="str">
        <f t="shared" si="15"/>
        <v/>
      </c>
      <c r="E66" s="118" t="str">
        <f t="shared" si="15"/>
        <v/>
      </c>
      <c r="F66" s="118" t="str">
        <f t="shared" si="15"/>
        <v/>
      </c>
      <c r="G66" s="118" t="str">
        <f t="shared" si="15"/>
        <v/>
      </c>
      <c r="H66" s="118" t="str">
        <f t="shared" si="15"/>
        <v/>
      </c>
      <c r="I66" s="118" t="str">
        <f t="shared" si="15"/>
        <v/>
      </c>
      <c r="J66" s="118" t="str">
        <f t="shared" si="15"/>
        <v/>
      </c>
      <c r="K66" s="118" t="str">
        <f t="shared" si="15"/>
        <v/>
      </c>
      <c r="L66" s="118" t="str">
        <f t="shared" si="15"/>
        <v/>
      </c>
      <c r="M66" s="118" t="str">
        <f t="shared" si="15"/>
        <v/>
      </c>
      <c r="N66" s="119" t="str">
        <f t="shared" si="15"/>
        <v/>
      </c>
    </row>
    <row r="67" spans="1:16" ht="51" customHeight="1" thickBot="1" x14ac:dyDescent="0.3">
      <c r="A67" s="122" t="s">
        <v>843</v>
      </c>
      <c r="B67" s="116">
        <f>SUM(COUNTIFS(Tabla1[AÑO PARTO],$B$4,Tabla1[MES PARTO],B6,Tabla1[SALE DEL PROGRAMA POR],"PARTO",Tabla1[FECHA ASESORIA EN LACTANCIA MATERNA DURANTE CPN],"&lt;&gt;"),COUNTIFS(Tabla1[AÑO PARTO],$B$4,Tabla1[MES PARTO],B6,Tabla1[SALE DEL PROGRAMA POR],"CESAREA",Tabla1[FECHA ASESORIA EN LACTANCIA MATERNA DURANTE CPN],"&lt;&gt;"))</f>
        <v>0</v>
      </c>
      <c r="C67" s="116">
        <f>SUM(COUNTIFS(Tabla1[AÑO PARTO],$B$4,Tabla1[MES PARTO],C6,Tabla1[SALE DEL PROGRAMA POR],"PARTO",Tabla1[FECHA ASESORIA EN LACTANCIA MATERNA DURANTE CPN],"&lt;&gt;"),COUNTIFS(Tabla1[AÑO PARTO],$B$4,Tabla1[MES PARTO],C6,Tabla1[SALE DEL PROGRAMA POR],"CESAREA",Tabla1[FECHA ASESORIA EN LACTANCIA MATERNA DURANTE CPN],"&lt;&gt;"))</f>
        <v>0</v>
      </c>
      <c r="D67" s="116">
        <f>SUM(COUNTIFS(Tabla1[AÑO PARTO],$B$4,Tabla1[MES PARTO],D6,Tabla1[SALE DEL PROGRAMA POR],"PARTO",Tabla1[FECHA ASESORIA EN LACTANCIA MATERNA DURANTE CPN],"&lt;&gt;"),COUNTIFS(Tabla1[AÑO PARTO],$B$4,Tabla1[MES PARTO],D6,Tabla1[SALE DEL PROGRAMA POR],"CESAREA",Tabla1[FECHA ASESORIA EN LACTANCIA MATERNA DURANTE CPN],"&lt;&gt;"))</f>
        <v>0</v>
      </c>
      <c r="E67" s="116">
        <f>SUM(COUNTIFS(Tabla1[AÑO PARTO],$B$4,Tabla1[MES PARTO],E6,Tabla1[SALE DEL PROGRAMA POR],"PARTO",Tabla1[FECHA ASESORIA EN LACTANCIA MATERNA DURANTE CPN],"&lt;&gt;"),COUNTIFS(Tabla1[AÑO PARTO],$B$4,Tabla1[MES PARTO],E6,Tabla1[SALE DEL PROGRAMA POR],"CESAREA",Tabla1[FECHA ASESORIA EN LACTANCIA MATERNA DURANTE CPN],"&lt;&gt;"))</f>
        <v>0</v>
      </c>
      <c r="F67" s="116">
        <f>SUM(COUNTIFS(Tabla1[AÑO PARTO],$B$4,Tabla1[MES PARTO],F6,Tabla1[SALE DEL PROGRAMA POR],"PARTO",Tabla1[FECHA ASESORIA EN LACTANCIA MATERNA DURANTE CPN],"&lt;&gt;"),COUNTIFS(Tabla1[AÑO PARTO],$B$4,Tabla1[MES PARTO],F6,Tabla1[SALE DEL PROGRAMA POR],"CESAREA",Tabla1[FECHA ASESORIA EN LACTANCIA MATERNA DURANTE CPN],"&lt;&gt;"))</f>
        <v>0</v>
      </c>
      <c r="G67" s="116">
        <f>SUM(COUNTIFS(Tabla1[AÑO PARTO],$B$4,Tabla1[MES PARTO],G6,Tabla1[SALE DEL PROGRAMA POR],"PARTO",Tabla1[FECHA ASESORIA EN LACTANCIA MATERNA DURANTE CPN],"&lt;&gt;"),COUNTIFS(Tabla1[AÑO PARTO],$B$4,Tabla1[MES PARTO],G6,Tabla1[SALE DEL PROGRAMA POR],"CESAREA",Tabla1[FECHA ASESORIA EN LACTANCIA MATERNA DURANTE CPN],"&lt;&gt;"))</f>
        <v>0</v>
      </c>
      <c r="H67" s="116">
        <f>SUM(COUNTIFS(Tabla1[AÑO PARTO],$B$4,Tabla1[MES PARTO],H6,Tabla1[SALE DEL PROGRAMA POR],"PARTO",Tabla1[FECHA ASESORIA EN LACTANCIA MATERNA DURANTE CPN],"&lt;&gt;"),COUNTIFS(Tabla1[AÑO PARTO],$B$4,Tabla1[MES PARTO],H6,Tabla1[SALE DEL PROGRAMA POR],"CESAREA",Tabla1[FECHA ASESORIA EN LACTANCIA MATERNA DURANTE CPN],"&lt;&gt;"))</f>
        <v>0</v>
      </c>
      <c r="I67" s="116">
        <f>SUM(COUNTIFS(Tabla1[AÑO PARTO],$B$4,Tabla1[MES PARTO],I6,Tabla1[SALE DEL PROGRAMA POR],"PARTO",Tabla1[FECHA ASESORIA EN LACTANCIA MATERNA DURANTE CPN],"&lt;&gt;"),COUNTIFS(Tabla1[AÑO PARTO],$B$4,Tabla1[MES PARTO],I6,Tabla1[SALE DEL PROGRAMA POR],"CESAREA",Tabla1[FECHA ASESORIA EN LACTANCIA MATERNA DURANTE CPN],"&lt;&gt;"))</f>
        <v>0</v>
      </c>
      <c r="J67" s="116">
        <f>SUM(COUNTIFS(Tabla1[AÑO PARTO],$B$4,Tabla1[MES PARTO],J6,Tabla1[SALE DEL PROGRAMA POR],"PARTO",Tabla1[FECHA ASESORIA EN LACTANCIA MATERNA DURANTE CPN],"&lt;&gt;"),COUNTIFS(Tabla1[AÑO PARTO],$B$4,Tabla1[MES PARTO],J6,Tabla1[SALE DEL PROGRAMA POR],"CESAREA",Tabla1[FECHA ASESORIA EN LACTANCIA MATERNA DURANTE CPN],"&lt;&gt;"))</f>
        <v>0</v>
      </c>
      <c r="K67" s="116">
        <f>SUM(COUNTIFS(Tabla1[AÑO PARTO],$B$4,Tabla1[MES PARTO],K6,Tabla1[SALE DEL PROGRAMA POR],"PARTO",Tabla1[FECHA ASESORIA EN LACTANCIA MATERNA DURANTE CPN],"&lt;&gt;"),COUNTIFS(Tabla1[AÑO PARTO],$B$4,Tabla1[MES PARTO],K6,Tabla1[SALE DEL PROGRAMA POR],"CESAREA",Tabla1[FECHA ASESORIA EN LACTANCIA MATERNA DURANTE CPN],"&lt;&gt;"))</f>
        <v>0</v>
      </c>
      <c r="L67" s="116">
        <f>SUM(COUNTIFS(Tabla1[AÑO PARTO],$B$4,Tabla1[MES PARTO],L6,Tabla1[SALE DEL PROGRAMA POR],"PARTO",Tabla1[FECHA ASESORIA EN LACTANCIA MATERNA DURANTE CPN],"&lt;&gt;"),COUNTIFS(Tabla1[AÑO PARTO],$B$4,Tabla1[MES PARTO],L6,Tabla1[SALE DEL PROGRAMA POR],"CESAREA",Tabla1[FECHA ASESORIA EN LACTANCIA MATERNA DURANTE CPN],"&lt;&gt;"))</f>
        <v>0</v>
      </c>
      <c r="M67" s="116">
        <f>SUM(COUNTIFS(Tabla1[AÑO PARTO],$B$4,Tabla1[MES PARTO],M6,Tabla1[SALE DEL PROGRAMA POR],"PARTO",Tabla1[FECHA ASESORIA EN LACTANCIA MATERNA DURANTE CPN],"&lt;&gt;"),COUNTIFS(Tabla1[AÑO PARTO],$B$4,Tabla1[MES PARTO],M6,Tabla1[SALE DEL PROGRAMA POR],"CESAREA",Tabla1[FECHA ASESORIA EN LACTANCIA MATERNA DURANTE CPN],"&lt;&gt;"))</f>
        <v>0</v>
      </c>
      <c r="N67" s="125">
        <f>SUM(B67:M67)</f>
        <v>0</v>
      </c>
    </row>
    <row r="68" spans="1:16" ht="37.5" customHeight="1" thickBot="1" x14ac:dyDescent="0.3">
      <c r="A68" s="196" t="s">
        <v>844</v>
      </c>
      <c r="B68" s="117" t="str">
        <f t="shared" ref="B68:N68" si="16">IF(B$91=0,"",SUM(B67/B$91))</f>
        <v/>
      </c>
      <c r="C68" s="118" t="str">
        <f t="shared" si="16"/>
        <v/>
      </c>
      <c r="D68" s="118" t="str">
        <f t="shared" si="16"/>
        <v/>
      </c>
      <c r="E68" s="118" t="str">
        <f t="shared" si="16"/>
        <v/>
      </c>
      <c r="F68" s="118" t="str">
        <f t="shared" si="16"/>
        <v/>
      </c>
      <c r="G68" s="118" t="str">
        <f t="shared" si="16"/>
        <v/>
      </c>
      <c r="H68" s="118" t="str">
        <f t="shared" si="16"/>
        <v/>
      </c>
      <c r="I68" s="118" t="str">
        <f t="shared" si="16"/>
        <v/>
      </c>
      <c r="J68" s="118" t="str">
        <f t="shared" si="16"/>
        <v/>
      </c>
      <c r="K68" s="118" t="str">
        <f t="shared" si="16"/>
        <v/>
      </c>
      <c r="L68" s="118" t="str">
        <f t="shared" si="16"/>
        <v/>
      </c>
      <c r="M68" s="118" t="str">
        <f t="shared" si="16"/>
        <v/>
      </c>
      <c r="N68" s="118" t="str">
        <f t="shared" si="16"/>
        <v/>
      </c>
    </row>
    <row r="69" spans="1:16" ht="37.5" customHeight="1" thickBot="1" x14ac:dyDescent="0.3">
      <c r="A69" s="122" t="s">
        <v>842</v>
      </c>
      <c r="B69" s="116">
        <f>SUM(COUNTIFS(Tabla1[AÑO PARTO],$B$4,Tabla1[MES PARTO],B6,Tabla1[SALE DEL PROGRAMA POR],"PARTO",Tabla1[FECHA ASESORIA EN ANTICONCEPCION DURANTE CPN],"&lt;&gt;"),COUNTIFS(Tabla1[AÑO PARTO],$B$4,Tabla1[MES PARTO],B6,Tabla1[SALE DEL PROGRAMA POR],"CESAREA",Tabla1[FECHA ASESORIA EN ANTICONCEPCION DURANTE CPN],"&lt;&gt;"))</f>
        <v>0</v>
      </c>
      <c r="C69" s="116">
        <f>SUM(COUNTIFS(Tabla1[AÑO PARTO],$B$4,Tabla1[MES PARTO],C6,Tabla1[SALE DEL PROGRAMA POR],"PARTO",Tabla1[FECHA ASESORIA EN ANTICONCEPCION DURANTE CPN],"&lt;&gt;"),COUNTIFS(Tabla1[AÑO PARTO],$B$4,Tabla1[MES PARTO],C6,Tabla1[SALE DEL PROGRAMA POR],"CESAREA",Tabla1[FECHA ASESORIA EN ANTICONCEPCION DURANTE CPN],"&lt;&gt;"))</f>
        <v>0</v>
      </c>
      <c r="D69" s="116">
        <f>SUM(COUNTIFS(Tabla1[AÑO PARTO],$B$4,Tabla1[MES PARTO],D6,Tabla1[SALE DEL PROGRAMA POR],"PARTO",Tabla1[FECHA ASESORIA EN ANTICONCEPCION DURANTE CPN],"&lt;&gt;"),COUNTIFS(Tabla1[AÑO PARTO],$B$4,Tabla1[MES PARTO],D6,Tabla1[SALE DEL PROGRAMA POR],"CESAREA",Tabla1[FECHA ASESORIA EN ANTICONCEPCION DURANTE CPN],"&lt;&gt;"))</f>
        <v>0</v>
      </c>
      <c r="E69" s="116">
        <f>SUM(COUNTIFS(Tabla1[AÑO PARTO],$B$4,Tabla1[MES PARTO],E6,Tabla1[SALE DEL PROGRAMA POR],"PARTO",Tabla1[FECHA ASESORIA EN ANTICONCEPCION DURANTE CPN],"&lt;&gt;"),COUNTIFS(Tabla1[AÑO PARTO],$B$4,Tabla1[MES PARTO],E6,Tabla1[SALE DEL PROGRAMA POR],"CESAREA",Tabla1[FECHA ASESORIA EN ANTICONCEPCION DURANTE CPN],"&lt;&gt;"))</f>
        <v>0</v>
      </c>
      <c r="F69" s="116">
        <f>SUM(COUNTIFS(Tabla1[AÑO PARTO],$B$4,Tabla1[MES PARTO],F6,Tabla1[SALE DEL PROGRAMA POR],"PARTO",Tabla1[FECHA ASESORIA EN ANTICONCEPCION DURANTE CPN],"&lt;&gt;"),COUNTIFS(Tabla1[AÑO PARTO],$B$4,Tabla1[MES PARTO],F6,Tabla1[SALE DEL PROGRAMA POR],"CESAREA",Tabla1[FECHA ASESORIA EN ANTICONCEPCION DURANTE CPN],"&lt;&gt;"))</f>
        <v>0</v>
      </c>
      <c r="G69" s="116">
        <f>SUM(COUNTIFS(Tabla1[AÑO PARTO],$B$4,Tabla1[MES PARTO],G6,Tabla1[SALE DEL PROGRAMA POR],"PARTO",Tabla1[FECHA ASESORIA EN ANTICONCEPCION DURANTE CPN],"&lt;&gt;"),COUNTIFS(Tabla1[AÑO PARTO],$B$4,Tabla1[MES PARTO],G6,Tabla1[SALE DEL PROGRAMA POR],"CESAREA",Tabla1[FECHA ASESORIA EN ANTICONCEPCION DURANTE CPN],"&lt;&gt;"))</f>
        <v>0</v>
      </c>
      <c r="H69" s="116">
        <f>SUM(COUNTIFS(Tabla1[AÑO PARTO],$B$4,Tabla1[MES PARTO],H6,Tabla1[SALE DEL PROGRAMA POR],"PARTO",Tabla1[FECHA ASESORIA EN ANTICONCEPCION DURANTE CPN],"&lt;&gt;"),COUNTIFS(Tabla1[AÑO PARTO],$B$4,Tabla1[MES PARTO],H6,Tabla1[SALE DEL PROGRAMA POR],"CESAREA",Tabla1[FECHA ASESORIA EN ANTICONCEPCION DURANTE CPN],"&lt;&gt;"))</f>
        <v>0</v>
      </c>
      <c r="I69" s="116">
        <f>SUM(COUNTIFS(Tabla1[AÑO PARTO],$B$4,Tabla1[MES PARTO],I6,Tabla1[SALE DEL PROGRAMA POR],"PARTO",Tabla1[FECHA ASESORIA EN ANTICONCEPCION DURANTE CPN],"&lt;&gt;"),COUNTIFS(Tabla1[AÑO PARTO],$B$4,Tabla1[MES PARTO],I6,Tabla1[SALE DEL PROGRAMA POR],"CESAREA",Tabla1[FECHA ASESORIA EN ANTICONCEPCION DURANTE CPN],"&lt;&gt;"))</f>
        <v>0</v>
      </c>
      <c r="J69" s="116">
        <f>SUM(COUNTIFS(Tabla1[AÑO PARTO],$B$4,Tabla1[MES PARTO],J6,Tabla1[SALE DEL PROGRAMA POR],"PARTO",Tabla1[FECHA ASESORIA EN ANTICONCEPCION DURANTE CPN],"&lt;&gt;"),COUNTIFS(Tabla1[AÑO PARTO],$B$4,Tabla1[MES PARTO],J6,Tabla1[SALE DEL PROGRAMA POR],"CESAREA",Tabla1[FECHA ASESORIA EN ANTICONCEPCION DURANTE CPN],"&lt;&gt;"))</f>
        <v>0</v>
      </c>
      <c r="K69" s="116">
        <f>SUM(COUNTIFS(Tabla1[AÑO PARTO],$B$4,Tabla1[MES PARTO],K6,Tabla1[SALE DEL PROGRAMA POR],"PARTO",Tabla1[FECHA ASESORIA EN ANTICONCEPCION DURANTE CPN],"&lt;&gt;"),COUNTIFS(Tabla1[AÑO PARTO],$B$4,Tabla1[MES PARTO],K6,Tabla1[SALE DEL PROGRAMA POR],"CESAREA",Tabla1[FECHA ASESORIA EN ANTICONCEPCION DURANTE CPN],"&lt;&gt;"))</f>
        <v>0</v>
      </c>
      <c r="L69" s="116">
        <f>SUM(COUNTIFS(Tabla1[AÑO PARTO],$B$4,Tabla1[MES PARTO],L6,Tabla1[SALE DEL PROGRAMA POR],"PARTO",Tabla1[FECHA ASESORIA EN ANTICONCEPCION DURANTE CPN],"&lt;&gt;"),COUNTIFS(Tabla1[AÑO PARTO],$B$4,Tabla1[MES PARTO],L6,Tabla1[SALE DEL PROGRAMA POR],"CESAREA",Tabla1[FECHA ASESORIA EN ANTICONCEPCION DURANTE CPN],"&lt;&gt;"))</f>
        <v>0</v>
      </c>
      <c r="M69" s="116">
        <f>SUM(COUNTIFS(Tabla1[AÑO PARTO],$B$4,Tabla1[MES PARTO],M6,Tabla1[SALE DEL PROGRAMA POR],"PARTO",Tabla1[FECHA ASESORIA EN ANTICONCEPCION DURANTE CPN],"&lt;&gt;"),COUNTIFS(Tabla1[AÑO PARTO],$B$4,Tabla1[MES PARTO],M6,Tabla1[SALE DEL PROGRAMA POR],"CESAREA",Tabla1[FECHA ASESORIA EN ANTICONCEPCION DURANTE CPN],"&lt;&gt;"))</f>
        <v>0</v>
      </c>
      <c r="N69" s="116">
        <f>SUM(B69:M69)</f>
        <v>0</v>
      </c>
    </row>
    <row r="70" spans="1:16" ht="37.5" customHeight="1" thickBot="1" x14ac:dyDescent="0.3">
      <c r="A70" s="196" t="s">
        <v>806</v>
      </c>
      <c r="B70" s="117" t="str">
        <f t="shared" ref="B70:N70" si="17">IF(B$91=0,"",SUM(B69/B$91))</f>
        <v/>
      </c>
      <c r="C70" s="118" t="str">
        <f t="shared" si="17"/>
        <v/>
      </c>
      <c r="D70" s="118" t="str">
        <f t="shared" si="17"/>
        <v/>
      </c>
      <c r="E70" s="118" t="str">
        <f t="shared" si="17"/>
        <v/>
      </c>
      <c r="F70" s="118" t="str">
        <f t="shared" si="17"/>
        <v/>
      </c>
      <c r="G70" s="118" t="str">
        <f t="shared" si="17"/>
        <v/>
      </c>
      <c r="H70" s="118" t="str">
        <f t="shared" si="17"/>
        <v/>
      </c>
      <c r="I70" s="118" t="str">
        <f t="shared" si="17"/>
        <v/>
      </c>
      <c r="J70" s="118" t="str">
        <f t="shared" si="17"/>
        <v/>
      </c>
      <c r="K70" s="118" t="str">
        <f t="shared" si="17"/>
        <v/>
      </c>
      <c r="L70" s="118" t="str">
        <f t="shared" si="17"/>
        <v/>
      </c>
      <c r="M70" s="118" t="str">
        <f t="shared" si="17"/>
        <v/>
      </c>
      <c r="N70" s="118" t="str">
        <f t="shared" si="17"/>
        <v/>
      </c>
    </row>
    <row r="71" spans="1:16" ht="40.5" customHeight="1" thickBot="1" x14ac:dyDescent="0.3">
      <c r="A71" s="212" t="s">
        <v>810</v>
      </c>
      <c r="B71" s="203">
        <f>SUM(COUNTIFS(Tabla1[AÑO PARTO],$B$4,Tabla1[MES PARTO],B6,Tabla1[SALE DEL PROGRAMA POR],"PARTO",Tabla1['# DE MUJERES CON SUMINISTRO ADECUADO DE MICRONUTRIENTES],"COMPLETO"),COUNTIFS(Tabla1[AÑO PARTO],$B$4,Tabla1[MES PARTO],B6,Tabla1[SALE DEL PROGRAMA POR],"CESAREA",Tabla1['# DE MUJERES CON SUMINISTRO ADECUADO DE MICRONUTRIENTES],"COMPLETO"))</f>
        <v>0</v>
      </c>
      <c r="C71" s="203">
        <f>SUM(COUNTIFS(Tabla1[AÑO PARTO],$B$4,Tabla1[MES PARTO],C6,Tabla1[SALE DEL PROGRAMA POR],"PARTO",Tabla1['# DE MUJERES CON SUMINISTRO ADECUADO DE MICRONUTRIENTES],"COMPLETO"),COUNTIFS(Tabla1[AÑO PARTO],$B$4,Tabla1[MES PARTO],C6,Tabla1[SALE DEL PROGRAMA POR],"CESAREA",Tabla1['# DE MUJERES CON SUMINISTRO ADECUADO DE MICRONUTRIENTES],"COMPLETO"))</f>
        <v>0</v>
      </c>
      <c r="D71" s="203">
        <f>SUM(COUNTIFS(Tabla1[AÑO PARTO],$B$4,Tabla1[MES PARTO],D6,Tabla1[SALE DEL PROGRAMA POR],"PARTO",Tabla1['# DE MUJERES CON SUMINISTRO ADECUADO DE MICRONUTRIENTES],"COMPLETO"),COUNTIFS(Tabla1[AÑO PARTO],$B$4,Tabla1[MES PARTO],D6,Tabla1[SALE DEL PROGRAMA POR],"CESAREA",Tabla1['# DE MUJERES CON SUMINISTRO ADECUADO DE MICRONUTRIENTES],"COMPLETO"))</f>
        <v>0</v>
      </c>
      <c r="E71" s="203">
        <f>SUM(COUNTIFS(Tabla1[AÑO PARTO],$B$4,Tabla1[MES PARTO],E6,Tabla1[SALE DEL PROGRAMA POR],"PARTO",Tabla1['# DE MUJERES CON SUMINISTRO ADECUADO DE MICRONUTRIENTES],"COMPLETO"),COUNTIFS(Tabla1[AÑO PARTO],$B$4,Tabla1[MES PARTO],E6,Tabla1[SALE DEL PROGRAMA POR],"CESAREA",Tabla1['# DE MUJERES CON SUMINISTRO ADECUADO DE MICRONUTRIENTES],"COMPLETO"))</f>
        <v>0</v>
      </c>
      <c r="F71" s="203">
        <f>SUM(COUNTIFS(Tabla1[AÑO PARTO],$B$4,Tabla1[MES PARTO],F6,Tabla1[SALE DEL PROGRAMA POR],"PARTO",Tabla1['# DE MUJERES CON SUMINISTRO ADECUADO DE MICRONUTRIENTES],"COMPLETO"),COUNTIFS(Tabla1[AÑO PARTO],$B$4,Tabla1[MES PARTO],F6,Tabla1[SALE DEL PROGRAMA POR],"CESAREA",Tabla1['# DE MUJERES CON SUMINISTRO ADECUADO DE MICRONUTRIENTES],"COMPLETO"))</f>
        <v>0</v>
      </c>
      <c r="G71" s="203">
        <f>SUM(COUNTIFS(Tabla1[AÑO PARTO],$B$4,Tabla1[MES PARTO],G6,Tabla1[SALE DEL PROGRAMA POR],"PARTO",Tabla1['# DE MUJERES CON SUMINISTRO ADECUADO DE MICRONUTRIENTES],"COMPLETO"),COUNTIFS(Tabla1[AÑO PARTO],$B$4,Tabla1[MES PARTO],G6,Tabla1[SALE DEL PROGRAMA POR],"CESAREA",Tabla1['# DE MUJERES CON SUMINISTRO ADECUADO DE MICRONUTRIENTES],"COMPLETO"))</f>
        <v>0</v>
      </c>
      <c r="H71" s="203">
        <f>SUM(COUNTIFS(Tabla1[AÑO PARTO],$B$4,Tabla1[MES PARTO],H6,Tabla1[SALE DEL PROGRAMA POR],"PARTO",Tabla1['# DE MUJERES CON SUMINISTRO ADECUADO DE MICRONUTRIENTES],"COMPLETO"),COUNTIFS(Tabla1[AÑO PARTO],$B$4,Tabla1[MES PARTO],H6,Tabla1[SALE DEL PROGRAMA POR],"CESAREA",Tabla1['# DE MUJERES CON SUMINISTRO ADECUADO DE MICRONUTRIENTES],"COMPLETO"))</f>
        <v>0</v>
      </c>
      <c r="I71" s="203">
        <f>SUM(COUNTIFS(Tabla1[AÑO PARTO],$B$4,Tabla1[MES PARTO],I6,Tabla1[SALE DEL PROGRAMA POR],"PARTO",Tabla1['# DE MUJERES CON SUMINISTRO ADECUADO DE MICRONUTRIENTES],"COMPLETO"),COUNTIFS(Tabla1[AÑO PARTO],$B$4,Tabla1[MES PARTO],I6,Tabla1[SALE DEL PROGRAMA POR],"CESAREA",Tabla1['# DE MUJERES CON SUMINISTRO ADECUADO DE MICRONUTRIENTES],"COMPLETO"))</f>
        <v>0</v>
      </c>
      <c r="J71" s="203">
        <f>SUM(COUNTIFS(Tabla1[AÑO PARTO],$B$4,Tabla1[MES PARTO],J6,Tabla1[SALE DEL PROGRAMA POR],"PARTO",Tabla1['# DE MUJERES CON SUMINISTRO ADECUADO DE MICRONUTRIENTES],"COMPLETO"),COUNTIFS(Tabla1[AÑO PARTO],$B$4,Tabla1[MES PARTO],J6,Tabla1[SALE DEL PROGRAMA POR],"CESAREA",Tabla1['# DE MUJERES CON SUMINISTRO ADECUADO DE MICRONUTRIENTES],"COMPLETO"))</f>
        <v>0</v>
      </c>
      <c r="K71" s="203">
        <f>SUM(COUNTIFS(Tabla1[AÑO PARTO],$B$4,Tabla1[MES PARTO],K6,Tabla1[SALE DEL PROGRAMA POR],"PARTO",Tabla1['# DE MUJERES CON SUMINISTRO ADECUADO DE MICRONUTRIENTES],"COMPLETO"),COUNTIFS(Tabla1[AÑO PARTO],$B$4,Tabla1[MES PARTO],K6,Tabla1[SALE DEL PROGRAMA POR],"CESAREA",Tabla1['# DE MUJERES CON SUMINISTRO ADECUADO DE MICRONUTRIENTES],"COMPLETO"))</f>
        <v>0</v>
      </c>
      <c r="L71" s="203">
        <f>SUM(COUNTIFS(Tabla1[AÑO PARTO],$B$4,Tabla1[MES PARTO],L6,Tabla1[SALE DEL PROGRAMA POR],"PARTO",Tabla1['# DE MUJERES CON SUMINISTRO ADECUADO DE MICRONUTRIENTES],"COMPLETO"),COUNTIFS(Tabla1[AÑO PARTO],$B$4,Tabla1[MES PARTO],L6,Tabla1[SALE DEL PROGRAMA POR],"CESAREA",Tabla1['# DE MUJERES CON SUMINISTRO ADECUADO DE MICRONUTRIENTES],"COMPLETO"))</f>
        <v>0</v>
      </c>
      <c r="M71" s="203">
        <f>SUM(COUNTIFS(Tabla1[AÑO PARTO],$B$4,Tabla1[MES PARTO],M6,Tabla1[SALE DEL PROGRAMA POR],"PARTO",Tabla1['# DE MUJERES CON SUMINISTRO ADECUADO DE MICRONUTRIENTES],"COMPLETO"),COUNTIFS(Tabla1[AÑO PARTO],$B$4,Tabla1[MES PARTO],M6,Tabla1[SALE DEL PROGRAMA POR],"CESAREA",Tabla1['# DE MUJERES CON SUMINISTRO ADECUADO DE MICRONUTRIENTES],"COMPLETO"))</f>
        <v>0</v>
      </c>
      <c r="N71" s="116">
        <f>SUM(B71:M71)</f>
        <v>0</v>
      </c>
    </row>
    <row r="72" spans="1:16" ht="39.75" customHeight="1" thickBot="1" x14ac:dyDescent="0.3">
      <c r="A72" s="204" t="s">
        <v>809</v>
      </c>
      <c r="B72" s="117" t="str">
        <f t="shared" ref="B72:N72" si="18">IF(B$91=0,"",SUM(B71/B$91))</f>
        <v/>
      </c>
      <c r="C72" s="118" t="str">
        <f t="shared" si="18"/>
        <v/>
      </c>
      <c r="D72" s="118" t="str">
        <f t="shared" si="18"/>
        <v/>
      </c>
      <c r="E72" s="118" t="str">
        <f t="shared" si="18"/>
        <v/>
      </c>
      <c r="F72" s="118" t="str">
        <f t="shared" si="18"/>
        <v/>
      </c>
      <c r="G72" s="118" t="str">
        <f t="shared" si="18"/>
        <v/>
      </c>
      <c r="H72" s="118" t="str">
        <f t="shared" si="18"/>
        <v/>
      </c>
      <c r="I72" s="118" t="str">
        <f t="shared" si="18"/>
        <v/>
      </c>
      <c r="J72" s="118" t="str">
        <f t="shared" si="18"/>
        <v/>
      </c>
      <c r="K72" s="118" t="str">
        <f t="shared" si="18"/>
        <v/>
      </c>
      <c r="L72" s="118" t="str">
        <f t="shared" si="18"/>
        <v/>
      </c>
      <c r="M72" s="118" t="str">
        <f t="shared" si="18"/>
        <v/>
      </c>
      <c r="N72" s="119" t="str">
        <f t="shared" si="18"/>
        <v/>
      </c>
    </row>
    <row r="73" spans="1:16" ht="39" customHeight="1" thickBot="1" x14ac:dyDescent="0.3">
      <c r="A73" s="78" t="s">
        <v>814</v>
      </c>
      <c r="B73" s="203">
        <f>SUM(COUNTIFS(Tabla1[AÑO PARTO],$B$4,Tabla1[MES PARTO],B6,Tabla1[SALE DEL PROGRAMA POR],"PARTO",Tabla1[ALARMA CONTROL PUERPERIO],"&gt;2",Tabla1[ALARMA CONTROL PUERPERIO],"&lt;6"),COUNTIFS(Tabla1[AÑO PARTO],$B$4,Tabla1[MES PARTO],B6,Tabla1[SALE DEL PROGRAMA POR],"CESAREA",Tabla1[ALARMA CONTROL PUERPERIO],"&gt;2",Tabla1[ALARMA CONTROL PUERPERIO],"&lt;6"))</f>
        <v>0</v>
      </c>
      <c r="C73" s="203">
        <f>SUM(COUNTIFS(Tabla1[AÑO PARTO],$B$4,Tabla1[MES PARTO],C6,Tabla1[SALE DEL PROGRAMA POR],"PARTO",Tabla1[ALARMA CONTROL PUERPERIO],"&gt;2",Tabla1[ALARMA CONTROL PUERPERIO],"&lt;6"),COUNTIFS(Tabla1[AÑO PARTO],$B$4,Tabla1[MES PARTO],C6,Tabla1[SALE DEL PROGRAMA POR],"CESAREA",Tabla1[ALARMA CONTROL PUERPERIO],"&gt;2",Tabla1[ALARMA CONTROL PUERPERIO],"&lt;6"))</f>
        <v>0</v>
      </c>
      <c r="D73" s="203">
        <f>SUM(COUNTIFS(Tabla1[AÑO PARTO],$B$4,Tabla1[MES PARTO],D6,Tabla1[SALE DEL PROGRAMA POR],"PARTO",Tabla1[ALARMA CONTROL PUERPERIO],"&gt;2",Tabla1[ALARMA CONTROL PUERPERIO],"&lt;6"),COUNTIFS(Tabla1[AÑO PARTO],$B$4,Tabla1[MES PARTO],D6,Tabla1[SALE DEL PROGRAMA POR],"CESAREA",Tabla1[ALARMA CONTROL PUERPERIO],"&gt;2",Tabla1[ALARMA CONTROL PUERPERIO],"&lt;6"))</f>
        <v>0</v>
      </c>
      <c r="E73" s="203">
        <f>SUM(COUNTIFS(Tabla1[AÑO PARTO],$B$4,Tabla1[MES PARTO],E6,Tabla1[SALE DEL PROGRAMA POR],"PARTO",Tabla1[ALARMA CONTROL PUERPERIO],"&gt;2",Tabla1[ALARMA CONTROL PUERPERIO],"&lt;6"),COUNTIFS(Tabla1[AÑO PARTO],$B$4,Tabla1[MES PARTO],E6,Tabla1[SALE DEL PROGRAMA POR],"CESAREA",Tabla1[ALARMA CONTROL PUERPERIO],"&gt;2",Tabla1[ALARMA CONTROL PUERPERIO],"&lt;6"))</f>
        <v>0</v>
      </c>
      <c r="F73" s="203">
        <f>SUM(COUNTIFS(Tabla1[AÑO PARTO],$B$4,Tabla1[MES PARTO],F6,Tabla1[SALE DEL PROGRAMA POR],"PARTO",Tabla1[ALARMA CONTROL PUERPERIO],"&gt;2",Tabla1[ALARMA CONTROL PUERPERIO],"&lt;6"),COUNTIFS(Tabla1[AÑO PARTO],$B$4,Tabla1[MES PARTO],F6,Tabla1[SALE DEL PROGRAMA POR],"CESAREA",Tabla1[ALARMA CONTROL PUERPERIO],"&gt;2",Tabla1[ALARMA CONTROL PUERPERIO],"&lt;6"))</f>
        <v>0</v>
      </c>
      <c r="G73" s="203">
        <f>SUM(COUNTIFS(Tabla1[AÑO PARTO],$B$4,Tabla1[MES PARTO],G6,Tabla1[SALE DEL PROGRAMA POR],"PARTO",Tabla1[ALARMA CONTROL PUERPERIO],"&gt;2",Tabla1[ALARMA CONTROL PUERPERIO],"&lt;6"),COUNTIFS(Tabla1[AÑO PARTO],$B$4,Tabla1[MES PARTO],G6,Tabla1[SALE DEL PROGRAMA POR],"CESAREA",Tabla1[ALARMA CONTROL PUERPERIO],"&gt;2",Tabla1[ALARMA CONTROL PUERPERIO],"&lt;6"))</f>
        <v>0</v>
      </c>
      <c r="H73" s="203">
        <f>SUM(COUNTIFS(Tabla1[AÑO PARTO],$B$4,Tabla1[MES PARTO],H6,Tabla1[SALE DEL PROGRAMA POR],"PARTO",Tabla1[ALARMA CONTROL PUERPERIO],"&gt;2",Tabla1[ALARMA CONTROL PUERPERIO],"&lt;6"),COUNTIFS(Tabla1[AÑO PARTO],$B$4,Tabla1[MES PARTO],H6,Tabla1[SALE DEL PROGRAMA POR],"CESAREA",Tabla1[ALARMA CONTROL PUERPERIO],"&gt;2",Tabla1[ALARMA CONTROL PUERPERIO],"&lt;6"))</f>
        <v>0</v>
      </c>
      <c r="I73" s="203">
        <f>SUM(COUNTIFS(Tabla1[AÑO PARTO],$B$4,Tabla1[MES PARTO],I6,Tabla1[SALE DEL PROGRAMA POR],"PARTO",Tabla1[ALARMA CONTROL PUERPERIO],"&gt;2",Tabla1[ALARMA CONTROL PUERPERIO],"&lt;6"),COUNTIFS(Tabla1[AÑO PARTO],$B$4,Tabla1[MES PARTO],I6,Tabla1[SALE DEL PROGRAMA POR],"CESAREA",Tabla1[ALARMA CONTROL PUERPERIO],"&gt;2",Tabla1[ALARMA CONTROL PUERPERIO],"&lt;6"))</f>
        <v>0</v>
      </c>
      <c r="J73" s="203">
        <f>SUM(COUNTIFS(Tabla1[AÑO PARTO],$B$4,Tabla1[MES PARTO],J6,Tabla1[SALE DEL PROGRAMA POR],"PARTO",Tabla1[ALARMA CONTROL PUERPERIO],"&gt;2",Tabla1[ALARMA CONTROL PUERPERIO],"&lt;6"),COUNTIFS(Tabla1[AÑO PARTO],$B$4,Tabla1[MES PARTO],J6,Tabla1[SALE DEL PROGRAMA POR],"CESAREA",Tabla1[ALARMA CONTROL PUERPERIO],"&gt;2",Tabla1[ALARMA CONTROL PUERPERIO],"&lt;6"))</f>
        <v>0</v>
      </c>
      <c r="K73" s="203">
        <f>SUM(COUNTIFS(Tabla1[AÑO PARTO],$B$4,Tabla1[MES PARTO],K6,Tabla1[SALE DEL PROGRAMA POR],"PARTO",Tabla1[ALARMA CONTROL PUERPERIO],"&gt;2",Tabla1[ALARMA CONTROL PUERPERIO],"&lt;6"),COUNTIFS(Tabla1[AÑO PARTO],$B$4,Tabla1[MES PARTO],K6,Tabla1[SALE DEL PROGRAMA POR],"CESAREA",Tabla1[ALARMA CONTROL PUERPERIO],"&gt;2",Tabla1[ALARMA CONTROL PUERPERIO],"&lt;6"))</f>
        <v>0</v>
      </c>
      <c r="L73" s="203">
        <f>SUM(COUNTIFS(Tabla1[AÑO PARTO],$B$4,Tabla1[MES PARTO],L6,Tabla1[SALE DEL PROGRAMA POR],"PARTO",Tabla1[ALARMA CONTROL PUERPERIO],"&gt;2",Tabla1[ALARMA CONTROL PUERPERIO],"&lt;6"),COUNTIFS(Tabla1[AÑO PARTO],$B$4,Tabla1[MES PARTO],L6,Tabla1[SALE DEL PROGRAMA POR],"CESAREA",Tabla1[ALARMA CONTROL PUERPERIO],"&gt;2",Tabla1[ALARMA CONTROL PUERPERIO],"&lt;6"))</f>
        <v>0</v>
      </c>
      <c r="M73" s="203">
        <f>SUM(COUNTIFS(Tabla1[AÑO PARTO],$B$4,Tabla1[MES PARTO],M6,Tabla1[SALE DEL PROGRAMA POR],"PARTO",Tabla1[ALARMA CONTROL PUERPERIO],"&gt;2",Tabla1[ALARMA CONTROL PUERPERIO],"&lt;6"),COUNTIFS(Tabla1[AÑO PARTO],$B$4,Tabla1[MES PARTO],M6,Tabla1[SALE DEL PROGRAMA POR],"CESAREA",Tabla1[ALARMA CONTROL PUERPERIO],"&gt;2",Tabla1[ALARMA CONTROL PUERPERIO],"&lt;6"))</f>
        <v>0</v>
      </c>
      <c r="N73" s="116">
        <f>SUM(B73:M73)</f>
        <v>0</v>
      </c>
    </row>
    <row r="74" spans="1:16" ht="39" customHeight="1" thickBot="1" x14ac:dyDescent="0.3">
      <c r="A74" s="207" t="s">
        <v>813</v>
      </c>
      <c r="B74" s="117" t="str">
        <f t="shared" ref="B74:N74" si="19">IF(B$91=0,"",SUM(B73/B$91))</f>
        <v/>
      </c>
      <c r="C74" s="118" t="str">
        <f t="shared" si="19"/>
        <v/>
      </c>
      <c r="D74" s="118" t="str">
        <f t="shared" si="19"/>
        <v/>
      </c>
      <c r="E74" s="118" t="str">
        <f t="shared" si="19"/>
        <v/>
      </c>
      <c r="F74" s="118" t="str">
        <f t="shared" si="19"/>
        <v/>
      </c>
      <c r="G74" s="118" t="str">
        <f t="shared" si="19"/>
        <v/>
      </c>
      <c r="H74" s="118" t="str">
        <f t="shared" si="19"/>
        <v/>
      </c>
      <c r="I74" s="118" t="str">
        <f t="shared" si="19"/>
        <v/>
      </c>
      <c r="J74" s="118" t="str">
        <f t="shared" si="19"/>
        <v/>
      </c>
      <c r="K74" s="118" t="str">
        <f t="shared" si="19"/>
        <v/>
      </c>
      <c r="L74" s="118" t="str">
        <f t="shared" si="19"/>
        <v/>
      </c>
      <c r="M74" s="118" t="str">
        <f t="shared" si="19"/>
        <v/>
      </c>
      <c r="N74" s="208" t="str">
        <f t="shared" si="19"/>
        <v/>
      </c>
    </row>
    <row r="75" spans="1:16" ht="39" customHeight="1" thickBot="1" x14ac:dyDescent="0.3">
      <c r="A75" s="78" t="s">
        <v>816</v>
      </c>
      <c r="B75" s="203">
        <f>SUM(COUNTIFS(Tabla1[AÑO PARTO],$B$4,Tabla1[MES PARTO],B6,Tabla1[SALE DEL PROGRAMA POR],"PARTO",Tabla1[ALARMA 1 CONTROL RN],"&gt;2",Tabla1[ALARMA 1 CONTROL RN],"&lt;6"),COUNTIFS(Tabla1[AÑO PARTO],$B$4,Tabla1[MES PARTO],B6,Tabla1[SALE DEL PROGRAMA POR],"CESAREA",Tabla1[ALARMA 1 CONTROL RN],"&gt;2",Tabla1[ALARMA 1 CONTROL RN],"&lt;6"))</f>
        <v>0</v>
      </c>
      <c r="C75" s="203">
        <f>SUM(COUNTIFS(Tabla1[AÑO PARTO],$B$4,Tabla1[MES PARTO],C6,Tabla1[SALE DEL PROGRAMA POR],"PARTO",Tabla1[ALARMA 1 CONTROL RN],"&gt;2",Tabla1[ALARMA 1 CONTROL RN],"&lt;6"),COUNTIFS(Tabla1[AÑO PARTO],$B$4,Tabla1[MES PARTO],C6,Tabla1[SALE DEL PROGRAMA POR],"CESAREA",Tabla1[ALARMA 1 CONTROL RN],"&gt;2",Tabla1[ALARMA 1 CONTROL RN],"&lt;6"))</f>
        <v>0</v>
      </c>
      <c r="D75" s="203">
        <f>SUM(COUNTIFS(Tabla1[AÑO PARTO],$B$4,Tabla1[MES PARTO],D6,Tabla1[SALE DEL PROGRAMA POR],"PARTO",Tabla1[ALARMA 1 CONTROL RN],"&gt;2",Tabla1[ALARMA 1 CONTROL RN],"&lt;6"),COUNTIFS(Tabla1[AÑO PARTO],$B$4,Tabla1[MES PARTO],D6,Tabla1[SALE DEL PROGRAMA POR],"CESAREA",Tabla1[ALARMA 1 CONTROL RN],"&gt;2",Tabla1[ALARMA 1 CONTROL RN],"&lt;6"))</f>
        <v>0</v>
      </c>
      <c r="E75" s="203">
        <f>SUM(COUNTIFS(Tabla1[AÑO PARTO],$B$4,Tabla1[MES PARTO],E6,Tabla1[SALE DEL PROGRAMA POR],"PARTO",Tabla1[ALARMA 1 CONTROL RN],"&gt;2",Tabla1[ALARMA 1 CONTROL RN],"&lt;6"),COUNTIFS(Tabla1[AÑO PARTO],$B$4,Tabla1[MES PARTO],E6,Tabla1[SALE DEL PROGRAMA POR],"CESAREA",Tabla1[ALARMA 1 CONTROL RN],"&gt;2",Tabla1[ALARMA 1 CONTROL RN],"&lt;6"))</f>
        <v>0</v>
      </c>
      <c r="F75" s="203">
        <f>SUM(COUNTIFS(Tabla1[AÑO PARTO],$B$4,Tabla1[MES PARTO],F6,Tabla1[SALE DEL PROGRAMA POR],"PARTO",Tabla1[ALARMA 1 CONTROL RN],"&gt;2",Tabla1[ALARMA 1 CONTROL RN],"&lt;6"),COUNTIFS(Tabla1[AÑO PARTO],$B$4,Tabla1[MES PARTO],F6,Tabla1[SALE DEL PROGRAMA POR],"CESAREA",Tabla1[ALARMA 1 CONTROL RN],"&gt;2",Tabla1[ALARMA 1 CONTROL RN],"&lt;6"))</f>
        <v>0</v>
      </c>
      <c r="G75" s="203">
        <f>SUM(COUNTIFS(Tabla1[AÑO PARTO],$B$4,Tabla1[MES PARTO],G6,Tabla1[SALE DEL PROGRAMA POR],"PARTO",Tabla1[ALARMA 1 CONTROL RN],"&gt;2",Tabla1[ALARMA 1 CONTROL RN],"&lt;6"),COUNTIFS(Tabla1[AÑO PARTO],$B$4,Tabla1[MES PARTO],G6,Tabla1[SALE DEL PROGRAMA POR],"CESAREA",Tabla1[ALARMA 1 CONTROL RN],"&gt;2",Tabla1[ALARMA 1 CONTROL RN],"&lt;6"))</f>
        <v>0</v>
      </c>
      <c r="H75" s="203">
        <f>SUM(COUNTIFS(Tabla1[AÑO PARTO],$B$4,Tabla1[MES PARTO],H6,Tabla1[SALE DEL PROGRAMA POR],"PARTO",Tabla1[ALARMA 1 CONTROL RN],"&gt;2",Tabla1[ALARMA 1 CONTROL RN],"&lt;6"),COUNTIFS(Tabla1[AÑO PARTO],$B$4,Tabla1[MES PARTO],H6,Tabla1[SALE DEL PROGRAMA POR],"CESAREA",Tabla1[ALARMA 1 CONTROL RN],"&gt;2",Tabla1[ALARMA 1 CONTROL RN],"&lt;6"))</f>
        <v>0</v>
      </c>
      <c r="I75" s="203">
        <f>SUM(COUNTIFS(Tabla1[AÑO PARTO],$B$4,Tabla1[MES PARTO],I6,Tabla1[SALE DEL PROGRAMA POR],"PARTO",Tabla1[ALARMA 1 CONTROL RN],"&gt;2",Tabla1[ALARMA 1 CONTROL RN],"&lt;6"),COUNTIFS(Tabla1[AÑO PARTO],$B$4,Tabla1[MES PARTO],I6,Tabla1[SALE DEL PROGRAMA POR],"CESAREA",Tabla1[ALARMA 1 CONTROL RN],"&gt;2",Tabla1[ALARMA 1 CONTROL RN],"&lt;6"))</f>
        <v>0</v>
      </c>
      <c r="J75" s="203">
        <f>SUM(COUNTIFS(Tabla1[AÑO PARTO],$B$4,Tabla1[MES PARTO],J6,Tabla1[SALE DEL PROGRAMA POR],"PARTO",Tabla1[ALARMA 1 CONTROL RN],"&gt;2",Tabla1[ALARMA 1 CONTROL RN],"&lt;6"),COUNTIFS(Tabla1[AÑO PARTO],$B$4,Tabla1[MES PARTO],J6,Tabla1[SALE DEL PROGRAMA POR],"CESAREA",Tabla1[ALARMA 1 CONTROL RN],"&gt;2",Tabla1[ALARMA 1 CONTROL RN],"&lt;6"))</f>
        <v>0</v>
      </c>
      <c r="K75" s="203">
        <f>SUM(COUNTIFS(Tabla1[AÑO PARTO],$B$4,Tabla1[MES PARTO],K6,Tabla1[SALE DEL PROGRAMA POR],"PARTO",Tabla1[ALARMA 1 CONTROL RN],"&gt;2",Tabla1[ALARMA 1 CONTROL RN],"&lt;6"),COUNTIFS(Tabla1[AÑO PARTO],$B$4,Tabla1[MES PARTO],K6,Tabla1[SALE DEL PROGRAMA POR],"CESAREA",Tabla1[ALARMA 1 CONTROL RN],"&gt;2",Tabla1[ALARMA 1 CONTROL RN],"&lt;6"))</f>
        <v>0</v>
      </c>
      <c r="L75" s="203">
        <f>SUM(COUNTIFS(Tabla1[AÑO PARTO],$B$4,Tabla1[MES PARTO],L6,Tabla1[SALE DEL PROGRAMA POR],"PARTO",Tabla1[ALARMA 1 CONTROL RN],"&gt;2",Tabla1[ALARMA 1 CONTROL RN],"&lt;6"),COUNTIFS(Tabla1[AÑO PARTO],$B$4,Tabla1[MES PARTO],L6,Tabla1[SALE DEL PROGRAMA POR],"CESAREA",Tabla1[ALARMA 1 CONTROL RN],"&gt;2",Tabla1[ALARMA 1 CONTROL RN],"&lt;6"))</f>
        <v>0</v>
      </c>
      <c r="M75" s="203">
        <f>SUM(COUNTIFS(Tabla1[AÑO PARTO],$B$4,Tabla1[MES PARTO],M6,Tabla1[SALE DEL PROGRAMA POR],"PARTO",Tabla1[ALARMA 1 CONTROL RN],"&gt;2",Tabla1[ALARMA 1 CONTROL RN],"&lt;6"),COUNTIFS(Tabla1[AÑO PARTO],$B$4,Tabla1[MES PARTO],M6,Tabla1[SALE DEL PROGRAMA POR],"CESAREA",Tabla1[ALARMA 1 CONTROL RN],"&gt;2",Tabla1[ALARMA 1 CONTROL RN],"&lt;6"))</f>
        <v>0</v>
      </c>
      <c r="N75" s="116">
        <f>SUM(B75:M75)</f>
        <v>0</v>
      </c>
    </row>
    <row r="76" spans="1:16" ht="39" customHeight="1" thickBot="1" x14ac:dyDescent="0.3">
      <c r="A76" s="207" t="s">
        <v>815</v>
      </c>
      <c r="B76" s="117" t="str">
        <f t="shared" ref="B76:N76" si="20">IF(B$91=0,"",SUM(B75/B$91))</f>
        <v/>
      </c>
      <c r="C76" s="118" t="str">
        <f t="shared" si="20"/>
        <v/>
      </c>
      <c r="D76" s="118" t="str">
        <f t="shared" si="20"/>
        <v/>
      </c>
      <c r="E76" s="118" t="str">
        <f t="shared" si="20"/>
        <v/>
      </c>
      <c r="F76" s="118" t="str">
        <f t="shared" si="20"/>
        <v/>
      </c>
      <c r="G76" s="118" t="str">
        <f t="shared" si="20"/>
        <v/>
      </c>
      <c r="H76" s="118" t="str">
        <f t="shared" si="20"/>
        <v/>
      </c>
      <c r="I76" s="118" t="str">
        <f t="shared" si="20"/>
        <v/>
      </c>
      <c r="J76" s="118" t="str">
        <f t="shared" si="20"/>
        <v/>
      </c>
      <c r="K76" s="118" t="str">
        <f t="shared" si="20"/>
        <v/>
      </c>
      <c r="L76" s="118" t="str">
        <f t="shared" si="20"/>
        <v/>
      </c>
      <c r="M76" s="118" t="str">
        <f t="shared" si="20"/>
        <v/>
      </c>
      <c r="N76" s="208" t="str">
        <f t="shared" si="20"/>
        <v/>
      </c>
    </row>
    <row r="77" spans="1:16" ht="39" customHeight="1" thickBot="1" x14ac:dyDescent="0.3">
      <c r="A77" s="78" t="s">
        <v>818</v>
      </c>
      <c r="B77" s="203">
        <f>SUM(COUNTIFS(Tabla1[AÑO PARTO],$B$4,Tabla1[MES PARTO],B6,Tabla1[SALE DEL PROGRAMA POR],"PARTO",Tabla1[Alarma apoyo DPT Acelular vacunadas],"VACUNADA"),COUNTIFS(Tabla1[AÑO PARTO],$B$4,Tabla1[MES PARTO],B6,Tabla1[SALE DEL PROGRAMA POR],"CESAREA",Tabla1[Alarma apoyo DPT Acelular vacunadas],"VACUNADA"))</f>
        <v>0</v>
      </c>
      <c r="C77" s="203">
        <f>SUM(COUNTIFS(Tabla1[AÑO PARTO],$B$4,Tabla1[MES PARTO],C6,Tabla1[SALE DEL PROGRAMA POR],"PARTO",Tabla1[Alarma apoyo DPT Acelular vacunadas],"VACUNADA"),COUNTIFS(Tabla1[AÑO PARTO],$B$4,Tabla1[MES PARTO],C6,Tabla1[SALE DEL PROGRAMA POR],"CESAREA",Tabla1[Alarma apoyo DPT Acelular vacunadas],"VACUNADA"))</f>
        <v>0</v>
      </c>
      <c r="D77" s="203">
        <f>SUM(COUNTIFS(Tabla1[AÑO PARTO],$B$4,Tabla1[MES PARTO],D6,Tabla1[SALE DEL PROGRAMA POR],"PARTO",Tabla1[Alarma apoyo DPT Acelular vacunadas],"VACUNADA"),COUNTIFS(Tabla1[AÑO PARTO],$B$4,Tabla1[MES PARTO],D6,Tabla1[SALE DEL PROGRAMA POR],"CESAREA",Tabla1[Alarma apoyo DPT Acelular vacunadas],"VACUNADA"))</f>
        <v>0</v>
      </c>
      <c r="E77" s="203">
        <f>SUM(COUNTIFS(Tabla1[AÑO PARTO],$B$4,Tabla1[MES PARTO],E6,Tabla1[SALE DEL PROGRAMA POR],"PARTO",Tabla1[Alarma apoyo DPT Acelular vacunadas],"VACUNADA"),COUNTIFS(Tabla1[AÑO PARTO],$B$4,Tabla1[MES PARTO],E6,Tabla1[SALE DEL PROGRAMA POR],"CESAREA",Tabla1[Alarma apoyo DPT Acelular vacunadas],"VACUNADA"))</f>
        <v>0</v>
      </c>
      <c r="F77" s="203">
        <f>SUM(COUNTIFS(Tabla1[AÑO PARTO],$B$4,Tabla1[MES PARTO],F6,Tabla1[SALE DEL PROGRAMA POR],"PARTO",Tabla1[Alarma apoyo DPT Acelular vacunadas],"VACUNADA"),COUNTIFS(Tabla1[AÑO PARTO],$B$4,Tabla1[MES PARTO],F6,Tabla1[SALE DEL PROGRAMA POR],"CESAREA",Tabla1[Alarma apoyo DPT Acelular vacunadas],"VACUNADA"))</f>
        <v>0</v>
      </c>
      <c r="G77" s="203">
        <f>SUM(COUNTIFS(Tabla1[AÑO PARTO],$B$4,Tabla1[MES PARTO],G6,Tabla1[SALE DEL PROGRAMA POR],"PARTO",Tabla1[Alarma apoyo DPT Acelular vacunadas],"VACUNADA"),COUNTIFS(Tabla1[AÑO PARTO],$B$4,Tabla1[MES PARTO],G6,Tabla1[SALE DEL PROGRAMA POR],"CESAREA",Tabla1[Alarma apoyo DPT Acelular vacunadas],"VACUNADA"))</f>
        <v>0</v>
      </c>
      <c r="H77" s="203">
        <f>SUM(COUNTIFS(Tabla1[AÑO PARTO],$B$4,Tabla1[MES PARTO],H6,Tabla1[SALE DEL PROGRAMA POR],"PARTO",Tabla1[Alarma apoyo DPT Acelular vacunadas],"VACUNADA"),COUNTIFS(Tabla1[AÑO PARTO],$B$4,Tabla1[MES PARTO],H6,Tabla1[SALE DEL PROGRAMA POR],"CESAREA",Tabla1[Alarma apoyo DPT Acelular vacunadas],"VACUNADA"))</f>
        <v>0</v>
      </c>
      <c r="I77" s="203">
        <f>SUM(COUNTIFS(Tabla1[AÑO PARTO],$B$4,Tabla1[MES PARTO],I6,Tabla1[SALE DEL PROGRAMA POR],"PARTO",Tabla1[Alarma apoyo DPT Acelular vacunadas],"VACUNADA"),COUNTIFS(Tabla1[AÑO PARTO],$B$4,Tabla1[MES PARTO],I6,Tabla1[SALE DEL PROGRAMA POR],"CESAREA",Tabla1[Alarma apoyo DPT Acelular vacunadas],"VACUNADA"))</f>
        <v>0</v>
      </c>
      <c r="J77" s="203">
        <f>SUM(COUNTIFS(Tabla1[AÑO PARTO],$B$4,Tabla1[MES PARTO],J6,Tabla1[SALE DEL PROGRAMA POR],"PARTO",Tabla1[Alarma apoyo DPT Acelular vacunadas],"VACUNADA"),COUNTIFS(Tabla1[AÑO PARTO],$B$4,Tabla1[MES PARTO],J6,Tabla1[SALE DEL PROGRAMA POR],"CESAREA",Tabla1[Alarma apoyo DPT Acelular vacunadas],"VACUNADA"))</f>
        <v>0</v>
      </c>
      <c r="K77" s="203">
        <f>SUM(COUNTIFS(Tabla1[AÑO PARTO],$B$4,Tabla1[MES PARTO],K6,Tabla1[SALE DEL PROGRAMA POR],"PARTO",Tabla1[Alarma apoyo DPT Acelular vacunadas],"VACUNADA"),COUNTIFS(Tabla1[AÑO PARTO],$B$4,Tabla1[MES PARTO],K6,Tabla1[SALE DEL PROGRAMA POR],"CESAREA",Tabla1[Alarma apoyo DPT Acelular vacunadas],"VACUNADA"))</f>
        <v>0</v>
      </c>
      <c r="L77" s="203">
        <f>SUM(COUNTIFS(Tabla1[AÑO PARTO],$B$4,Tabla1[MES PARTO],L6,Tabla1[SALE DEL PROGRAMA POR],"PARTO",Tabla1[Alarma apoyo DPT Acelular vacunadas],"VACUNADA"),COUNTIFS(Tabla1[AÑO PARTO],$B$4,Tabla1[MES PARTO],L6,Tabla1[SALE DEL PROGRAMA POR],"CESAREA",Tabla1[Alarma apoyo DPT Acelular vacunadas],"VACUNADA"))</f>
        <v>0</v>
      </c>
      <c r="M77" s="203">
        <f>SUM(COUNTIFS(Tabla1[AÑO PARTO],$B$4,Tabla1[MES PARTO],M6,Tabla1[SALE DEL PROGRAMA POR],"PARTO",Tabla1[Alarma apoyo DPT Acelular vacunadas],"VACUNADA"),COUNTIFS(Tabla1[AÑO PARTO],$B$4,Tabla1[MES PARTO],M6,Tabla1[SALE DEL PROGRAMA POR],"CESAREA",Tabla1[Alarma apoyo DPT Acelular vacunadas],"VACUNADA"))</f>
        <v>0</v>
      </c>
      <c r="N77" s="116">
        <f>SUM(B77:M77)</f>
        <v>0</v>
      </c>
      <c r="P77" t="s">
        <v>819</v>
      </c>
    </row>
    <row r="78" spans="1:16" ht="39" customHeight="1" thickBot="1" x14ac:dyDescent="0.3">
      <c r="A78" s="207" t="s">
        <v>817</v>
      </c>
      <c r="B78" s="117" t="str">
        <f t="shared" ref="B78:N78" si="21">IF(B$91=0,"",SUM(B77/B$91))</f>
        <v/>
      </c>
      <c r="C78" s="118" t="str">
        <f t="shared" si="21"/>
        <v/>
      </c>
      <c r="D78" s="118" t="str">
        <f t="shared" si="21"/>
        <v/>
      </c>
      <c r="E78" s="118" t="str">
        <f t="shared" si="21"/>
        <v/>
      </c>
      <c r="F78" s="118" t="str">
        <f t="shared" si="21"/>
        <v/>
      </c>
      <c r="G78" s="118" t="str">
        <f t="shared" si="21"/>
        <v/>
      </c>
      <c r="H78" s="118" t="str">
        <f t="shared" si="21"/>
        <v/>
      </c>
      <c r="I78" s="118" t="str">
        <f t="shared" si="21"/>
        <v/>
      </c>
      <c r="J78" s="118" t="str">
        <f t="shared" si="21"/>
        <v/>
      </c>
      <c r="K78" s="118" t="str">
        <f t="shared" si="21"/>
        <v/>
      </c>
      <c r="L78" s="118" t="str">
        <f t="shared" si="21"/>
        <v/>
      </c>
      <c r="M78" s="118" t="str">
        <f t="shared" si="21"/>
        <v/>
      </c>
      <c r="N78" s="208" t="str">
        <f t="shared" si="21"/>
        <v/>
      </c>
      <c r="P78" t="s">
        <v>820</v>
      </c>
    </row>
    <row r="79" spans="1:16" ht="39" customHeight="1" thickBot="1" x14ac:dyDescent="0.3">
      <c r="A79" s="78" t="s">
        <v>822</v>
      </c>
      <c r="B79" s="203">
        <f>SUM(COUNTIFS(Tabla1[AÑO PARTO],$B$4,Tabla1[MES PARTO],B6,Tabla1[SALE DEL PROGRAMA POR],"PARTO",Tabla1[FECHA VACUNA ANTI INFLUENZA],"&lt;&gt;"),COUNTIFS(Tabla1[AÑO PARTO],$B$4,Tabla1[MES PARTO],B6,Tabla1[SALE DEL PROGRAMA POR],"CESAREA",Tabla1[FECHA VACUNA ANTI INFLUENZA],"&lt;&gt;"))</f>
        <v>0</v>
      </c>
      <c r="C79" s="203">
        <f>SUM(COUNTIFS(Tabla1[AÑO PARTO],$B$4,Tabla1[MES PARTO],C6,Tabla1[SALE DEL PROGRAMA POR],"PARTO",Tabla1[FECHA VACUNA ANTI INFLUENZA],"&lt;&gt;"),COUNTIFS(Tabla1[AÑO PARTO],$B$4,Tabla1[MES PARTO],C6,Tabla1[SALE DEL PROGRAMA POR],"CESAREA",Tabla1[FECHA VACUNA ANTI INFLUENZA],"&lt;&gt;"))</f>
        <v>0</v>
      </c>
      <c r="D79" s="203">
        <f>SUM(COUNTIFS(Tabla1[AÑO PARTO],$B$4,Tabla1[MES PARTO],D6,Tabla1[SALE DEL PROGRAMA POR],"PARTO",Tabla1[FECHA VACUNA ANTI INFLUENZA],"&lt;&gt;"),COUNTIFS(Tabla1[AÑO PARTO],$B$4,Tabla1[MES PARTO],D6,Tabla1[SALE DEL PROGRAMA POR],"CESAREA",Tabla1[FECHA VACUNA ANTI INFLUENZA],"&lt;&gt;"))</f>
        <v>0</v>
      </c>
      <c r="E79" s="203">
        <f>SUM(COUNTIFS(Tabla1[AÑO PARTO],$B$4,Tabla1[MES PARTO],E6,Tabla1[SALE DEL PROGRAMA POR],"PARTO",Tabla1[FECHA VACUNA ANTI INFLUENZA],"&lt;&gt;"),COUNTIFS(Tabla1[AÑO PARTO],$B$4,Tabla1[MES PARTO],E6,Tabla1[SALE DEL PROGRAMA POR],"CESAREA",Tabla1[FECHA VACUNA ANTI INFLUENZA],"&lt;&gt;"))</f>
        <v>0</v>
      </c>
      <c r="F79" s="203">
        <f>SUM(COUNTIFS(Tabla1[AÑO PARTO],$B$4,Tabla1[MES PARTO],F6,Tabla1[SALE DEL PROGRAMA POR],"PARTO",Tabla1[FECHA VACUNA ANTI INFLUENZA],"&lt;&gt;"),COUNTIFS(Tabla1[AÑO PARTO],$B$4,Tabla1[MES PARTO],F6,Tabla1[SALE DEL PROGRAMA POR],"CESAREA",Tabla1[FECHA VACUNA ANTI INFLUENZA],"&lt;&gt;"))</f>
        <v>0</v>
      </c>
      <c r="G79" s="203">
        <f>SUM(COUNTIFS(Tabla1[AÑO PARTO],$B$4,Tabla1[MES PARTO],G6,Tabla1[SALE DEL PROGRAMA POR],"PARTO",Tabla1[FECHA VACUNA ANTI INFLUENZA],"&lt;&gt;"),COUNTIFS(Tabla1[AÑO PARTO],$B$4,Tabla1[MES PARTO],G6,Tabla1[SALE DEL PROGRAMA POR],"CESAREA",Tabla1[FECHA VACUNA ANTI INFLUENZA],"&lt;&gt;"))</f>
        <v>0</v>
      </c>
      <c r="H79" s="203">
        <f>SUM(COUNTIFS(Tabla1[AÑO PARTO],$B$4,Tabla1[MES PARTO],H6,Tabla1[SALE DEL PROGRAMA POR],"PARTO",Tabla1[FECHA VACUNA ANTI INFLUENZA],"&lt;&gt;"),COUNTIFS(Tabla1[AÑO PARTO],$B$4,Tabla1[MES PARTO],H6,Tabla1[SALE DEL PROGRAMA POR],"CESAREA",Tabla1[FECHA VACUNA ANTI INFLUENZA],"&lt;&gt;"))</f>
        <v>0</v>
      </c>
      <c r="I79" s="203">
        <f>SUM(COUNTIFS(Tabla1[AÑO PARTO],$B$4,Tabla1[MES PARTO],I6,Tabla1[SALE DEL PROGRAMA POR],"PARTO",Tabla1[FECHA VACUNA ANTI INFLUENZA],"&lt;&gt;"),COUNTIFS(Tabla1[AÑO PARTO],$B$4,Tabla1[MES PARTO],I6,Tabla1[SALE DEL PROGRAMA POR],"CESAREA",Tabla1[FECHA VACUNA ANTI INFLUENZA],"&lt;&gt;"))</f>
        <v>0</v>
      </c>
      <c r="J79" s="203">
        <f>SUM(COUNTIFS(Tabla1[AÑO PARTO],$B$4,Tabla1[MES PARTO],J6,Tabla1[SALE DEL PROGRAMA POR],"PARTO",Tabla1[FECHA VACUNA ANTI INFLUENZA],"&lt;&gt;"),COUNTIFS(Tabla1[AÑO PARTO],$B$4,Tabla1[MES PARTO],J6,Tabla1[SALE DEL PROGRAMA POR],"CESAREA",Tabla1[FECHA VACUNA ANTI INFLUENZA],"&lt;&gt;"))</f>
        <v>0</v>
      </c>
      <c r="K79" s="203">
        <f>SUM(COUNTIFS(Tabla1[AÑO PARTO],$B$4,Tabla1[MES PARTO],K6,Tabla1[SALE DEL PROGRAMA POR],"PARTO",Tabla1[FECHA VACUNA ANTI INFLUENZA],"&lt;&gt;"),COUNTIFS(Tabla1[AÑO PARTO],$B$4,Tabla1[MES PARTO],K6,Tabla1[SALE DEL PROGRAMA POR],"CESAREA",Tabla1[FECHA VACUNA ANTI INFLUENZA],"&lt;&gt;"))</f>
        <v>0</v>
      </c>
      <c r="L79" s="203">
        <f>SUM(COUNTIFS(Tabla1[AÑO PARTO],$B$4,Tabla1[MES PARTO],L6,Tabla1[SALE DEL PROGRAMA POR],"PARTO",Tabla1[FECHA VACUNA ANTI INFLUENZA],"&lt;&gt;"),COUNTIFS(Tabla1[AÑO PARTO],$B$4,Tabla1[MES PARTO],L6,Tabla1[SALE DEL PROGRAMA POR],"CESAREA",Tabla1[FECHA VACUNA ANTI INFLUENZA],"&lt;&gt;"))</f>
        <v>0</v>
      </c>
      <c r="M79" s="203">
        <f>SUM(COUNTIFS(Tabla1[AÑO PARTO],$B$4,Tabla1[MES PARTO],M6,Tabla1[SALE DEL PROGRAMA POR],"PARTO",Tabla1[FECHA VACUNA ANTI INFLUENZA],"&lt;&gt;"),COUNTIFS(Tabla1[AÑO PARTO],$B$4,Tabla1[MES PARTO],M6,Tabla1[SALE DEL PROGRAMA POR],"CESAREA",Tabla1[FECHA VACUNA ANTI INFLUENZA],"&lt;&gt;"))</f>
        <v>0</v>
      </c>
      <c r="N79" s="116">
        <f>SUM(B79:M79)</f>
        <v>0</v>
      </c>
    </row>
    <row r="80" spans="1:16" ht="39" customHeight="1" thickBot="1" x14ac:dyDescent="0.3">
      <c r="A80" s="207" t="s">
        <v>823</v>
      </c>
      <c r="B80" s="117" t="str">
        <f t="shared" ref="B80:N80" si="22">IF(B$91=0,"",SUM(B79/B$91))</f>
        <v/>
      </c>
      <c r="C80" s="118" t="str">
        <f t="shared" si="22"/>
        <v/>
      </c>
      <c r="D80" s="118" t="str">
        <f t="shared" si="22"/>
        <v/>
      </c>
      <c r="E80" s="118" t="str">
        <f t="shared" si="22"/>
        <v/>
      </c>
      <c r="F80" s="118" t="str">
        <f t="shared" si="22"/>
        <v/>
      </c>
      <c r="G80" s="118" t="str">
        <f t="shared" si="22"/>
        <v/>
      </c>
      <c r="H80" s="118" t="str">
        <f t="shared" si="22"/>
        <v/>
      </c>
      <c r="I80" s="118" t="str">
        <f t="shared" si="22"/>
        <v/>
      </c>
      <c r="J80" s="118" t="str">
        <f t="shared" si="22"/>
        <v/>
      </c>
      <c r="K80" s="118" t="str">
        <f t="shared" si="22"/>
        <v/>
      </c>
      <c r="L80" s="118" t="str">
        <f t="shared" si="22"/>
        <v/>
      </c>
      <c r="M80" s="118" t="str">
        <f t="shared" si="22"/>
        <v/>
      </c>
      <c r="N80" s="208" t="str">
        <f t="shared" si="22"/>
        <v/>
      </c>
    </row>
    <row r="81" spans="1:14" ht="39" customHeight="1" thickBot="1" x14ac:dyDescent="0.3">
      <c r="A81" s="78" t="s">
        <v>824</v>
      </c>
      <c r="B81" s="203">
        <f>SUM(COUNTIFS(Tabla1[AÑO PARTO],$B$4,Tabla1[MES PARTO],B6,Tabla1[SALE DEL PROGRAMA POR],"PARTO",Tabla1[Alarma Vacunación Anti COVID-19],"PENDIENTE REFUERZO"),COUNTIFS(Tabla1[AÑO PARTO],$B$4,Tabla1[MES PARTO],B6,Tabla1[SALE DEL PROGRAMA POR],"CESAREA",Tabla1[Alarma Vacunación Anti COVID-19],"PENDIENTE REFUERZO"))</f>
        <v>0</v>
      </c>
      <c r="C81" s="203">
        <f>SUM(COUNTIFS(Tabla1[AÑO PARTO],$B$4,Tabla1[MES PARTO],C6,Tabla1[SALE DEL PROGRAMA POR],"PARTO",Tabla1[Alarma Vacunación Anti COVID-19],"PENDIENTE REFUERZO"),COUNTIFS(Tabla1[AÑO PARTO],$B$4,Tabla1[MES PARTO],C6,Tabla1[SALE DEL PROGRAMA POR],"CESAREA",Tabla1[Alarma Vacunación Anti COVID-19],"PENDIENTE REFUERZO"))</f>
        <v>0</v>
      </c>
      <c r="D81" s="203">
        <f>SUM(COUNTIFS(Tabla1[AÑO PARTO],$B$4,Tabla1[MES PARTO],D6,Tabla1[SALE DEL PROGRAMA POR],"PARTO",Tabla1[Alarma Vacunación Anti COVID-19],"PENDIENTE REFUERZO"),COUNTIFS(Tabla1[AÑO PARTO],$B$4,Tabla1[MES PARTO],D6,Tabla1[SALE DEL PROGRAMA POR],"CESAREA",Tabla1[Alarma Vacunación Anti COVID-19],"PENDIENTE REFUERZO"))</f>
        <v>0</v>
      </c>
      <c r="E81" s="203">
        <f>SUM(COUNTIFS(Tabla1[AÑO PARTO],$B$4,Tabla1[MES PARTO],E6,Tabla1[SALE DEL PROGRAMA POR],"PARTO",Tabla1[Alarma Vacunación Anti COVID-19],"PENDIENTE REFUERZO"),COUNTIFS(Tabla1[AÑO PARTO],$B$4,Tabla1[MES PARTO],E6,Tabla1[SALE DEL PROGRAMA POR],"CESAREA",Tabla1[Alarma Vacunación Anti COVID-19],"PENDIENTE REFUERZO"))</f>
        <v>0</v>
      </c>
      <c r="F81" s="203">
        <f>SUM(COUNTIFS(Tabla1[AÑO PARTO],$B$4,Tabla1[MES PARTO],F6,Tabla1[SALE DEL PROGRAMA POR],"PARTO",Tabla1[Alarma Vacunación Anti COVID-19],"PENDIENTE REFUERZO"),COUNTIFS(Tabla1[AÑO PARTO],$B$4,Tabla1[MES PARTO],F6,Tabla1[SALE DEL PROGRAMA POR],"CESAREA",Tabla1[Alarma Vacunación Anti COVID-19],"PENDIENTE REFUERZO"))</f>
        <v>0</v>
      </c>
      <c r="G81" s="203">
        <f>SUM(COUNTIFS(Tabla1[AÑO PARTO],$B$4,Tabla1[MES PARTO],G6,Tabla1[SALE DEL PROGRAMA POR],"PARTO",Tabla1[Alarma Vacunación Anti COVID-19],"PENDIENTE REFUERZO"),COUNTIFS(Tabla1[AÑO PARTO],$B$4,Tabla1[MES PARTO],G6,Tabla1[SALE DEL PROGRAMA POR],"CESAREA",Tabla1[Alarma Vacunación Anti COVID-19],"PENDIENTE REFUERZO"))</f>
        <v>0</v>
      </c>
      <c r="H81" s="203">
        <f>SUM(COUNTIFS(Tabla1[AÑO PARTO],$B$4,Tabla1[MES PARTO],H6,Tabla1[SALE DEL PROGRAMA POR],"PARTO",Tabla1[Alarma Vacunación Anti COVID-19],"PENDIENTE REFUERZO"),COUNTIFS(Tabla1[AÑO PARTO],$B$4,Tabla1[MES PARTO],H6,Tabla1[SALE DEL PROGRAMA POR],"CESAREA",Tabla1[Alarma Vacunación Anti COVID-19],"PENDIENTE REFUERZO"))</f>
        <v>0</v>
      </c>
      <c r="I81" s="203">
        <f>SUM(COUNTIFS(Tabla1[AÑO PARTO],$B$4,Tabla1[MES PARTO],I6,Tabla1[SALE DEL PROGRAMA POR],"PARTO",Tabla1[Alarma Vacunación Anti COVID-19],"PENDIENTE REFUERZO"),COUNTIFS(Tabla1[AÑO PARTO],$B$4,Tabla1[MES PARTO],I6,Tabla1[SALE DEL PROGRAMA POR],"CESAREA",Tabla1[Alarma Vacunación Anti COVID-19],"PENDIENTE REFUERZO"))</f>
        <v>0</v>
      </c>
      <c r="J81" s="203">
        <f>SUM(COUNTIFS(Tabla1[AÑO PARTO],$B$4,Tabla1[MES PARTO],J6,Tabla1[SALE DEL PROGRAMA POR],"PARTO",Tabla1[Alarma Vacunación Anti COVID-19],"PENDIENTE REFUERZO"),COUNTIFS(Tabla1[AÑO PARTO],$B$4,Tabla1[MES PARTO],J6,Tabla1[SALE DEL PROGRAMA POR],"CESAREA",Tabla1[Alarma Vacunación Anti COVID-19],"PENDIENTE REFUERZO"))</f>
        <v>0</v>
      </c>
      <c r="K81" s="203">
        <f>SUM(COUNTIFS(Tabla1[AÑO PARTO],$B$4,Tabla1[MES PARTO],K6,Tabla1[SALE DEL PROGRAMA POR],"PARTO",Tabla1[Alarma Vacunación Anti COVID-19],"PENDIENTE REFUERZO"),COUNTIFS(Tabla1[AÑO PARTO],$B$4,Tabla1[MES PARTO],K6,Tabla1[SALE DEL PROGRAMA POR],"CESAREA",Tabla1[Alarma Vacunación Anti COVID-19],"PENDIENTE REFUERZO"))</f>
        <v>0</v>
      </c>
      <c r="L81" s="203">
        <f>SUM(COUNTIFS(Tabla1[AÑO PARTO],$B$4,Tabla1[MES PARTO],L6,Tabla1[SALE DEL PROGRAMA POR],"PARTO",Tabla1[Alarma Vacunación Anti COVID-19],"PENDIENTE REFUERZO"),COUNTIFS(Tabla1[AÑO PARTO],$B$4,Tabla1[MES PARTO],L6,Tabla1[SALE DEL PROGRAMA POR],"CESAREA",Tabla1[Alarma Vacunación Anti COVID-19],"PENDIENTE REFUERZO"))</f>
        <v>0</v>
      </c>
      <c r="M81" s="203">
        <f>SUM(COUNTIFS(Tabla1[AÑO PARTO],$B$4,Tabla1[MES PARTO],M6,Tabla1[SALE DEL PROGRAMA POR],"PARTO",Tabla1[Alarma Vacunación Anti COVID-19],"PENDIENTE REFUERZO"),COUNTIFS(Tabla1[AÑO PARTO],$B$4,Tabla1[MES PARTO],M6,Tabla1[SALE DEL PROGRAMA POR],"CESAREA",Tabla1[Alarma Vacunación Anti COVID-19],"PENDIENTE REFUERZO"))</f>
        <v>0</v>
      </c>
      <c r="N81" s="116">
        <f>SUM(B81:M81)</f>
        <v>0</v>
      </c>
    </row>
    <row r="82" spans="1:14" ht="39" customHeight="1" thickBot="1" x14ac:dyDescent="0.3">
      <c r="A82" s="207" t="s">
        <v>825</v>
      </c>
      <c r="B82" s="117" t="str">
        <f t="shared" ref="B82:N82" si="23">IF(B$91=0,"",SUM(B81/B$91))</f>
        <v/>
      </c>
      <c r="C82" s="118" t="str">
        <f t="shared" si="23"/>
        <v/>
      </c>
      <c r="D82" s="118" t="str">
        <f t="shared" si="23"/>
        <v/>
      </c>
      <c r="E82" s="118" t="str">
        <f t="shared" si="23"/>
        <v/>
      </c>
      <c r="F82" s="118" t="str">
        <f t="shared" si="23"/>
        <v/>
      </c>
      <c r="G82" s="118" t="str">
        <f t="shared" si="23"/>
        <v/>
      </c>
      <c r="H82" s="118" t="str">
        <f t="shared" si="23"/>
        <v/>
      </c>
      <c r="I82" s="118" t="str">
        <f t="shared" si="23"/>
        <v/>
      </c>
      <c r="J82" s="118" t="str">
        <f t="shared" si="23"/>
        <v/>
      </c>
      <c r="K82" s="118" t="str">
        <f t="shared" si="23"/>
        <v/>
      </c>
      <c r="L82" s="118" t="str">
        <f t="shared" si="23"/>
        <v/>
      </c>
      <c r="M82" s="118" t="str">
        <f t="shared" si="23"/>
        <v/>
      </c>
      <c r="N82" s="208" t="str">
        <f t="shared" si="23"/>
        <v/>
      </c>
    </row>
    <row r="83" spans="1:14" ht="39" customHeight="1" thickBot="1" x14ac:dyDescent="0.3">
      <c r="A83" s="78" t="s">
        <v>826</v>
      </c>
      <c r="B83" s="203">
        <f>SUM(COUNTIFS(Tabla1[AÑO PARTO],$B$4,Tabla1[MES PARTO],B6,Tabla1[SALE DEL PROGRAMA POR],"PARTO",Tabla1[FECHA VACUNA TD],"&lt;&gt;"),COUNTIFS(Tabla1[AÑO PARTO],$B$4,Tabla1[MES PARTO],B6,Tabla1[SALE DEL PROGRAMA POR],"CESAREA",Tabla1[FECHA VACUNA TD],"&lt;&gt;"))</f>
        <v>0</v>
      </c>
      <c r="C83" s="203">
        <f>SUM(COUNTIFS(Tabla1[AÑO PARTO],$B$4,Tabla1[MES PARTO],C6,Tabla1[SALE DEL PROGRAMA POR],"PARTO",Tabla1[FECHA VACUNA TD],"&lt;&gt;"),COUNTIFS(Tabla1[AÑO PARTO],$B$4,Tabla1[MES PARTO],C6,Tabla1[SALE DEL PROGRAMA POR],"CESAREA",Tabla1[FECHA VACUNA TD],"&lt;&gt;"))</f>
        <v>0</v>
      </c>
      <c r="D83" s="203">
        <f>SUM(COUNTIFS(Tabla1[AÑO PARTO],$B$4,Tabla1[MES PARTO],D6,Tabla1[SALE DEL PROGRAMA POR],"PARTO",Tabla1[FECHA VACUNA TD],"&lt;&gt;"),COUNTIFS(Tabla1[AÑO PARTO],$B$4,Tabla1[MES PARTO],D6,Tabla1[SALE DEL PROGRAMA POR],"CESAREA",Tabla1[FECHA VACUNA TD],"&lt;&gt;"))</f>
        <v>0</v>
      </c>
      <c r="E83" s="203">
        <f>SUM(COUNTIFS(Tabla1[AÑO PARTO],$B$4,Tabla1[MES PARTO],E6,Tabla1[SALE DEL PROGRAMA POR],"PARTO",Tabla1[FECHA VACUNA TD],"&lt;&gt;"),COUNTIFS(Tabla1[AÑO PARTO],$B$4,Tabla1[MES PARTO],E6,Tabla1[SALE DEL PROGRAMA POR],"CESAREA",Tabla1[FECHA VACUNA TD],"&lt;&gt;"))</f>
        <v>0</v>
      </c>
      <c r="F83" s="203">
        <f>SUM(COUNTIFS(Tabla1[AÑO PARTO],$B$4,Tabla1[MES PARTO],F6,Tabla1[SALE DEL PROGRAMA POR],"PARTO",Tabla1[FECHA VACUNA TD],"&lt;&gt;"),COUNTIFS(Tabla1[AÑO PARTO],$B$4,Tabla1[MES PARTO],F6,Tabla1[SALE DEL PROGRAMA POR],"CESAREA",Tabla1[FECHA VACUNA TD],"&lt;&gt;"))</f>
        <v>0</v>
      </c>
      <c r="G83" s="203">
        <f>SUM(COUNTIFS(Tabla1[AÑO PARTO],$B$4,Tabla1[MES PARTO],G6,Tabla1[SALE DEL PROGRAMA POR],"PARTO",Tabla1[FECHA VACUNA TD],"&lt;&gt;"),COUNTIFS(Tabla1[AÑO PARTO],$B$4,Tabla1[MES PARTO],G6,Tabla1[SALE DEL PROGRAMA POR],"CESAREA",Tabla1[FECHA VACUNA TD],"&lt;&gt;"))</f>
        <v>0</v>
      </c>
      <c r="H83" s="203">
        <f>SUM(COUNTIFS(Tabla1[AÑO PARTO],$B$4,Tabla1[MES PARTO],H6,Tabla1[SALE DEL PROGRAMA POR],"PARTO",Tabla1[FECHA VACUNA TD],"&lt;&gt;"),COUNTIFS(Tabla1[AÑO PARTO],$B$4,Tabla1[MES PARTO],H6,Tabla1[SALE DEL PROGRAMA POR],"CESAREA",Tabla1[FECHA VACUNA TD],"&lt;&gt;"))</f>
        <v>0</v>
      </c>
      <c r="I83" s="203">
        <f>SUM(COUNTIFS(Tabla1[AÑO PARTO],$B$4,Tabla1[MES PARTO],I6,Tabla1[SALE DEL PROGRAMA POR],"PARTO",Tabla1[FECHA VACUNA TD],"&lt;&gt;"),COUNTIFS(Tabla1[AÑO PARTO],$B$4,Tabla1[MES PARTO],I6,Tabla1[SALE DEL PROGRAMA POR],"CESAREA",Tabla1[FECHA VACUNA TD],"&lt;&gt;"))</f>
        <v>0</v>
      </c>
      <c r="J83" s="203">
        <f>SUM(COUNTIFS(Tabla1[AÑO PARTO],$B$4,Tabla1[MES PARTO],J6,Tabla1[SALE DEL PROGRAMA POR],"PARTO",Tabla1[FECHA VACUNA TD],"&lt;&gt;"),COUNTIFS(Tabla1[AÑO PARTO],$B$4,Tabla1[MES PARTO],J6,Tabla1[SALE DEL PROGRAMA POR],"CESAREA",Tabla1[FECHA VACUNA TD],"&lt;&gt;"))</f>
        <v>0</v>
      </c>
      <c r="K83" s="203">
        <f>SUM(COUNTIFS(Tabla1[AÑO PARTO],$B$4,Tabla1[MES PARTO],K6,Tabla1[SALE DEL PROGRAMA POR],"PARTO",Tabla1[FECHA VACUNA TD],"&lt;&gt;"),COUNTIFS(Tabla1[AÑO PARTO],$B$4,Tabla1[MES PARTO],K6,Tabla1[SALE DEL PROGRAMA POR],"CESAREA",Tabla1[FECHA VACUNA TD],"&lt;&gt;"))</f>
        <v>0</v>
      </c>
      <c r="L83" s="203">
        <f>SUM(COUNTIFS(Tabla1[AÑO PARTO],$B$4,Tabla1[MES PARTO],L6,Tabla1[SALE DEL PROGRAMA POR],"PARTO",Tabla1[FECHA VACUNA TD],"&lt;&gt;"),COUNTIFS(Tabla1[AÑO PARTO],$B$4,Tabla1[MES PARTO],L6,Tabla1[SALE DEL PROGRAMA POR],"CESAREA",Tabla1[FECHA VACUNA TD],"&lt;&gt;"))</f>
        <v>0</v>
      </c>
      <c r="M83" s="203">
        <f>SUM(COUNTIFS(Tabla1[AÑO PARTO],$B$4,Tabla1[MES PARTO],M6,Tabla1[SALE DEL PROGRAMA POR],"PARTO",Tabla1[FECHA VACUNA TD],"&lt;&gt;"),COUNTIFS(Tabla1[AÑO PARTO],$B$4,Tabla1[MES PARTO],M6,Tabla1[SALE DEL PROGRAMA POR],"CESAREA",Tabla1[FECHA VACUNA TD],"&lt;&gt;"))</f>
        <v>0</v>
      </c>
      <c r="N83" s="116">
        <f>SUM(B83:M83)</f>
        <v>0</v>
      </c>
    </row>
    <row r="84" spans="1:14" ht="39" customHeight="1" thickBot="1" x14ac:dyDescent="0.3">
      <c r="A84" s="207" t="s">
        <v>827</v>
      </c>
      <c r="B84" s="117" t="str">
        <f t="shared" ref="B84:N84" si="24">IF(B$91=0,"",SUM(B83/B$91))</f>
        <v/>
      </c>
      <c r="C84" s="118" t="str">
        <f t="shared" si="24"/>
        <v/>
      </c>
      <c r="D84" s="118" t="str">
        <f t="shared" si="24"/>
        <v/>
      </c>
      <c r="E84" s="118" t="str">
        <f t="shared" si="24"/>
        <v/>
      </c>
      <c r="F84" s="118" t="str">
        <f t="shared" si="24"/>
        <v/>
      </c>
      <c r="G84" s="118" t="str">
        <f t="shared" si="24"/>
        <v/>
      </c>
      <c r="H84" s="118" t="str">
        <f t="shared" si="24"/>
        <v/>
      </c>
      <c r="I84" s="118" t="str">
        <f t="shared" si="24"/>
        <v/>
      </c>
      <c r="J84" s="118" t="str">
        <f t="shared" si="24"/>
        <v/>
      </c>
      <c r="K84" s="118" t="str">
        <f t="shared" si="24"/>
        <v/>
      </c>
      <c r="L84" s="118" t="str">
        <f t="shared" si="24"/>
        <v/>
      </c>
      <c r="M84" s="118" t="str">
        <f t="shared" si="24"/>
        <v/>
      </c>
      <c r="N84" s="208" t="str">
        <f t="shared" si="24"/>
        <v/>
      </c>
    </row>
    <row r="85" spans="1:14" ht="31.5" customHeight="1" thickBot="1" x14ac:dyDescent="0.3">
      <c r="A85" s="67" t="s">
        <v>412</v>
      </c>
      <c r="B85" s="102">
        <f>COUNTIFS(Tabla1[AÑO3 INGRESO CPN],B4,Tabla1[MES2 INGRESO CPN],B6,Tabla1[AÑOS AL INICIO5 CPN],"&gt;0",Tabla1[AÑOS AL INICIO5 CPN],"&lt;19")</f>
        <v>0</v>
      </c>
      <c r="C85" s="102">
        <f>COUNTIFS(Tabla1[AÑO3 INGRESO CPN],B4,Tabla1[MES2 INGRESO CPN],C6,Tabla1[AÑOS AL INICIO5 CPN],"&gt;0",Tabla1[AÑOS AL INICIO5 CPN],"&lt;19")</f>
        <v>0</v>
      </c>
      <c r="D85" s="102">
        <f>COUNTIFS(Tabla1[AÑO3 INGRESO CPN],B4,Tabla1[MES2 INGRESO CPN],D6,Tabla1[AÑOS AL INICIO5 CPN],"&gt;0",Tabla1[AÑOS AL INICIO5 CPN],"&lt;19")</f>
        <v>0</v>
      </c>
      <c r="E85" s="102">
        <f>COUNTIFS(Tabla1[AÑO3 INGRESO CPN],B4,Tabla1[MES2 INGRESO CPN],E6,Tabla1[AÑOS AL INICIO5 CPN],"&gt;0",Tabla1[AÑOS AL INICIO5 CPN],"&lt;19")</f>
        <v>0</v>
      </c>
      <c r="F85" s="102">
        <f>COUNTIFS(Tabla1[AÑO3 INGRESO CPN],B4,Tabla1[MES2 INGRESO CPN],F6,Tabla1[AÑOS AL INICIO5 CPN],"&gt;0",Tabla1[AÑOS AL INICIO5 CPN],"&lt;19")</f>
        <v>0</v>
      </c>
      <c r="G85" s="102">
        <f>COUNTIFS(Tabla1[AÑO3 INGRESO CPN],B4,Tabla1[MES2 INGRESO CPN],G6,Tabla1[AÑOS AL INICIO5 CPN],"&gt;0",Tabla1[AÑOS AL INICIO5 CPN],"&lt;19")</f>
        <v>2</v>
      </c>
      <c r="H85" s="102">
        <f>COUNTIFS(Tabla1[AÑO3 INGRESO CPN],B4,Tabla1[MES2 INGRESO CPN],H6,Tabla1[AÑOS AL INICIO5 CPN],"&gt;0",Tabla1[AÑOS AL INICIO5 CPN],"&lt;19")</f>
        <v>0</v>
      </c>
      <c r="I85" s="102">
        <f>COUNTIFS(Tabla1[AÑO3 INGRESO CPN],B4,Tabla1[MES2 INGRESO CPN],I6,Tabla1[AÑOS AL INICIO5 CPN],"&gt;0",Tabla1[AÑOS AL INICIO5 CPN],"&lt;19")</f>
        <v>0</v>
      </c>
      <c r="J85" s="102">
        <f>COUNTIFS(Tabla1[AÑO3 INGRESO CPN],B4,Tabla1[MES2 INGRESO CPN],J6,Tabla1[AÑOS AL INICIO5 CPN],"&gt;0",Tabla1[AÑOS AL INICIO5 CPN],"&lt;19")</f>
        <v>0</v>
      </c>
      <c r="K85" s="102">
        <f>COUNTIFS(Tabla1[AÑO3 INGRESO CPN],B4,Tabla1[MES2 INGRESO CPN],K6,Tabla1[AÑOS AL INICIO5 CPN],"&gt;0",Tabla1[AÑOS AL INICIO5 CPN],"&lt;19")</f>
        <v>0</v>
      </c>
      <c r="L85" s="102">
        <f>COUNTIFS(Tabla1[AÑO3 INGRESO CPN],B4,Tabla1[MES2 INGRESO CPN],L6,Tabla1[AÑOS AL INICIO5 CPN],"&gt;0",Tabla1[AÑOS AL INICIO5 CPN],"&lt;19")</f>
        <v>0</v>
      </c>
      <c r="M85" s="102">
        <f>COUNTIFS(Tabla1[AÑO3 INGRESO CPN],B4,Tabla1[MES2 INGRESO CPN],M6,Tabla1[AÑOS AL INICIO5 CPN],"&gt;0",Tabla1[AÑOS AL INICIO5 CPN],"&lt;19")</f>
        <v>0</v>
      </c>
      <c r="N85" s="126">
        <f>SUM(B85:M85)</f>
        <v>2</v>
      </c>
    </row>
    <row r="86" spans="1:14" ht="31.5" customHeight="1" thickBot="1" x14ac:dyDescent="0.3">
      <c r="A86" s="66" t="s">
        <v>413</v>
      </c>
      <c r="B86" s="117" t="str">
        <f>IF($B$40=0,"",SUM(B85/$B$40))</f>
        <v/>
      </c>
      <c r="C86" s="118" t="str">
        <f t="shared" ref="C86:N86" si="25">IF(C40=0,"",SUM(C85/C40))</f>
        <v/>
      </c>
      <c r="D86" s="118" t="str">
        <f t="shared" si="25"/>
        <v/>
      </c>
      <c r="E86" s="118">
        <f t="shared" si="25"/>
        <v>0</v>
      </c>
      <c r="F86" s="118" t="str">
        <f t="shared" si="25"/>
        <v/>
      </c>
      <c r="G86" s="118">
        <f t="shared" si="25"/>
        <v>1</v>
      </c>
      <c r="H86" s="118" t="str">
        <f t="shared" si="25"/>
        <v/>
      </c>
      <c r="I86" s="118" t="str">
        <f t="shared" si="25"/>
        <v/>
      </c>
      <c r="J86" s="118" t="str">
        <f t="shared" si="25"/>
        <v/>
      </c>
      <c r="K86" s="118" t="str">
        <f t="shared" si="25"/>
        <v/>
      </c>
      <c r="L86" s="118" t="str">
        <f t="shared" si="25"/>
        <v/>
      </c>
      <c r="M86" s="118" t="str">
        <f t="shared" si="25"/>
        <v/>
      </c>
      <c r="N86" s="119">
        <f t="shared" si="25"/>
        <v>0.66666666666666663</v>
      </c>
    </row>
    <row r="87" spans="1:14" ht="31.5" customHeight="1" thickBot="1" x14ac:dyDescent="0.3">
      <c r="A87" s="67" t="s">
        <v>414</v>
      </c>
      <c r="B87" s="102">
        <f>COUNTIFS(Tabla1[AÑO3 INGRESO CPN],B4,Tabla1[MES2 INGRESO CPN],B6,Tabla1[AÑOS AL INICIO5 CPN],"&gt;0",Tabla1[AÑOS AL INICIO5 CPN],"&lt;14")</f>
        <v>0</v>
      </c>
      <c r="C87" s="102">
        <f>COUNTIFS(Tabla1[AÑO3 INGRESO CPN],B4,Tabla1[MES2 INGRESO CPN],C6,Tabla1[AÑOS AL INICIO5 CPN],"&gt;0",Tabla1[AÑOS AL INICIO5 CPN],"&lt;14")</f>
        <v>0</v>
      </c>
      <c r="D87" s="102">
        <f>COUNTIFS(Tabla1[AÑO3 INGRESO CPN],B4,Tabla1[MES2 INGRESO CPN],D6,Tabla1[AÑOS AL INICIO5 CPN],"&gt;0",Tabla1[AÑOS AL INICIO5 CPN],"&lt;14")</f>
        <v>0</v>
      </c>
      <c r="E87" s="102">
        <f>COUNTIFS(Tabla1[AÑO3 INGRESO CPN],B4,Tabla1[MES2 INGRESO CPN],E6,Tabla1[AÑOS AL INICIO5 CPN],"&gt;0",Tabla1[AÑOS AL INICIO5 CPN],"&lt;14")</f>
        <v>0</v>
      </c>
      <c r="F87" s="102">
        <f>COUNTIFS(Tabla1[AÑO3 INGRESO CPN],B4,Tabla1[MES2 INGRESO CPN],F6,Tabla1[AÑOS AL INICIO5 CPN],"&gt;0",Tabla1[AÑOS AL INICIO5 CPN],"&lt;14")</f>
        <v>0</v>
      </c>
      <c r="G87" s="102">
        <f>COUNTIFS(Tabla1[AÑO3 INGRESO CPN],B4,Tabla1[MES2 INGRESO CPN],G6,Tabla1[AÑOS AL INICIO5 CPN],"&gt;0",Tabla1[AÑOS AL INICIO5 CPN],"&lt;14")</f>
        <v>0</v>
      </c>
      <c r="H87" s="102">
        <f>COUNTIFS(Tabla1[AÑO3 INGRESO CPN],B4,Tabla1[MES2 INGRESO CPN],H6,Tabla1[AÑOS AL INICIO5 CPN],"&gt;0",Tabla1[AÑOS AL INICIO5 CPN],"&lt;14")</f>
        <v>0</v>
      </c>
      <c r="I87" s="102">
        <f>COUNTIFS(Tabla1[AÑO3 INGRESO CPN],B4,Tabla1[MES2 INGRESO CPN],I6,Tabla1[AÑOS AL INICIO5 CPN],"&gt;0",Tabla1[AÑOS AL INICIO5 CPN],"&lt;14")</f>
        <v>0</v>
      </c>
      <c r="J87" s="102">
        <f>COUNTIFS(Tabla1[AÑO3 INGRESO CPN],B4,Tabla1[MES2 INGRESO CPN],J6,Tabla1[AÑOS AL INICIO5 CPN],"&gt;0",Tabla1[AÑOS AL INICIO5 CPN],"&lt;14")</f>
        <v>0</v>
      </c>
      <c r="K87" s="102">
        <f>COUNTIFS(Tabla1[AÑO3 INGRESO CPN],B4,Tabla1[MES2 INGRESO CPN],K6,Tabla1[AÑOS AL INICIO5 CPN],"&gt;0",Tabla1[AÑOS AL INICIO5 CPN],"&lt;14")</f>
        <v>0</v>
      </c>
      <c r="L87" s="102">
        <f>COUNTIFS(Tabla1[AÑO3 INGRESO CPN],B4,Tabla1[MES2 INGRESO CPN],L6,Tabla1[AÑOS AL INICIO5 CPN],"&gt;0",Tabla1[AÑOS AL INICIO5 CPN],"&lt;14")</f>
        <v>0</v>
      </c>
      <c r="M87" s="102">
        <f>COUNTIFS(Tabla1[AÑO3 INGRESO CPN],B4,Tabla1[MES2 INGRESO CPN],M6,Tabla1[AÑOS AL INICIO5 CPN],"&gt;0",Tabla1[AÑOS AL INICIO5 CPN],"&lt;14")</f>
        <v>0</v>
      </c>
      <c r="N87" s="126">
        <f>SUM(B87:M87)</f>
        <v>0</v>
      </c>
    </row>
    <row r="88" spans="1:14" ht="31.5" customHeight="1" thickBot="1" x14ac:dyDescent="0.3">
      <c r="A88" s="66" t="s">
        <v>415</v>
      </c>
      <c r="B88" s="117" t="str">
        <f>IF(B$40=0,"",SUM(B87/B$40))</f>
        <v/>
      </c>
      <c r="C88" s="118" t="str">
        <f>IF(C$40=0,"",SUM(C87/C$40))</f>
        <v/>
      </c>
      <c r="D88" s="118" t="str">
        <f t="shared" ref="D88:N88" si="26">IF(D$40=0,"",SUM(D87/D$40))</f>
        <v/>
      </c>
      <c r="E88" s="118">
        <f t="shared" si="26"/>
        <v>0</v>
      </c>
      <c r="F88" s="118" t="str">
        <f t="shared" si="26"/>
        <v/>
      </c>
      <c r="G88" s="118">
        <f t="shared" si="26"/>
        <v>0</v>
      </c>
      <c r="H88" s="118" t="str">
        <f t="shared" si="26"/>
        <v/>
      </c>
      <c r="I88" s="118" t="str">
        <f t="shared" si="26"/>
        <v/>
      </c>
      <c r="J88" s="118" t="str">
        <f>IF(J$40=0,"",SUM(J87/J$40))</f>
        <v/>
      </c>
      <c r="K88" s="118" t="str">
        <f t="shared" si="26"/>
        <v/>
      </c>
      <c r="L88" s="118" t="str">
        <f t="shared" si="26"/>
        <v/>
      </c>
      <c r="M88" s="118" t="str">
        <f t="shared" si="26"/>
        <v/>
      </c>
      <c r="N88" s="119">
        <f t="shared" si="26"/>
        <v>0</v>
      </c>
    </row>
    <row r="89" spans="1:14" ht="31.5" customHeight="1" x14ac:dyDescent="0.25">
      <c r="A89" s="127" t="s">
        <v>840</v>
      </c>
      <c r="B89" s="115">
        <f>COUNTIFS(Tabla1[AÑO PARTO],B4,Tabla1[MES PARTO],B6,Tabla1[SALE DEL PROGRAMA POR],"PARTO")</f>
        <v>0</v>
      </c>
      <c r="C89" s="115">
        <f>COUNTIFS(Tabla1[AÑO PARTO],B4,Tabla1[MES PARTO],C6,Tabla1[SALE DEL PROGRAMA POR],"PARTO")</f>
        <v>0</v>
      </c>
      <c r="D89" s="115">
        <f>COUNTIFS(Tabla1[AÑO PARTO],B4,Tabla1[MES PARTO],D6,Tabla1[SALE DEL PROGRAMA POR],"PARTO")</f>
        <v>0</v>
      </c>
      <c r="E89" s="115">
        <f>COUNTIFS(Tabla1[AÑO PARTO],B4,Tabla1[MES PARTO],E6,Tabla1[SALE DEL PROGRAMA POR],"PARTO")</f>
        <v>0</v>
      </c>
      <c r="F89" s="115">
        <f>COUNTIFS(Tabla1[AÑO PARTO],B4,Tabla1[MES PARTO],F6,Tabla1[SALE DEL PROGRAMA POR],"PARTO")</f>
        <v>0</v>
      </c>
      <c r="G89" s="115">
        <f>COUNTIFS(Tabla1[AÑO PARTO],B4,Tabla1[MES PARTO],G6,Tabla1[SALE DEL PROGRAMA POR],"PARTO")</f>
        <v>0</v>
      </c>
      <c r="H89" s="115">
        <f>COUNTIFS(Tabla1[AÑO PARTO],B4,Tabla1[MES PARTO],H6,Tabla1[SALE DEL PROGRAMA POR],"PARTO")</f>
        <v>0</v>
      </c>
      <c r="I89" s="115">
        <f>COUNTIFS(Tabla1[AÑO PARTO],B4,Tabla1[MES PARTO],I6,Tabla1[SALE DEL PROGRAMA POR],"PARTO")</f>
        <v>0</v>
      </c>
      <c r="J89" s="115">
        <f>COUNTIFS(Tabla1[AÑO PARTO],B4,Tabla1[MES PARTO],J6,Tabla1[SALE DEL PROGRAMA POR],"PARTO")</f>
        <v>0</v>
      </c>
      <c r="K89" s="115">
        <f>COUNTIFS(Tabla1[AÑO PARTO],B4,Tabla1[MES PARTO],K6,Tabla1[SALE DEL PROGRAMA POR],"PARTO")</f>
        <v>0</v>
      </c>
      <c r="L89" s="115">
        <f>COUNTIFS(Tabla1[AÑO PARTO],B4,Tabla1[MES PARTO],L6,Tabla1[SALE DEL PROGRAMA POR],"PARTO")</f>
        <v>0</v>
      </c>
      <c r="M89" s="115">
        <f>COUNTIFS(Tabla1[AÑO PARTO],B4,Tabla1[MES PARTO],M6,Tabla1[SALE DEL PROGRAMA POR],"PARTO")</f>
        <v>0</v>
      </c>
      <c r="N89" s="124">
        <f>SUM(B89:M89)</f>
        <v>0</v>
      </c>
    </row>
    <row r="90" spans="1:14" ht="31.5" customHeight="1" x14ac:dyDescent="0.25">
      <c r="A90" s="127" t="s">
        <v>841</v>
      </c>
      <c r="B90" s="68">
        <f>COUNTIFS(Tabla1[AÑO PARTO],B4,Tabla1[MES PARTO],B6,Tabla1[SALE DEL PROGRAMA POR],"CESAREA")</f>
        <v>0</v>
      </c>
      <c r="C90" s="68">
        <f>COUNTIFS(Tabla1[AÑO PARTO],B4,Tabla1[MES PARTO],C6,Tabla1[SALE DEL PROGRAMA POR],"CESAREA")</f>
        <v>0</v>
      </c>
      <c r="D90" s="68">
        <f>COUNTIFS(Tabla1[AÑO PARTO],B4,Tabla1[MES PARTO],D6,Tabla1[SALE DEL PROGRAMA POR],"CESAREA")</f>
        <v>0</v>
      </c>
      <c r="E90" s="68">
        <f>COUNTIFS(Tabla1[AÑO PARTO],B4,Tabla1[MES PARTO],E6,Tabla1[SALE DEL PROGRAMA POR],"CESAREA")</f>
        <v>0</v>
      </c>
      <c r="F90" s="68">
        <f>COUNTIFS(Tabla1[AÑO PARTO],B4,Tabla1[MES PARTO],F6,Tabla1[SALE DEL PROGRAMA POR],"CESAREA")</f>
        <v>0</v>
      </c>
      <c r="G90" s="68">
        <f>COUNTIFS(Tabla1[AÑO PARTO],B4,Tabla1[MES PARTO],G6,Tabla1[SALE DEL PROGRAMA POR],"CESAREA")</f>
        <v>0</v>
      </c>
      <c r="H90" s="68">
        <f>COUNTIFS(Tabla1[AÑO PARTO],B4,Tabla1[MES PARTO],H6,Tabla1[SALE DEL PROGRAMA POR],"CESAREA")</f>
        <v>0</v>
      </c>
      <c r="I90" s="68">
        <f>COUNTIFS(Tabla1[AÑO PARTO],B4,Tabla1[MES PARTO],I6,Tabla1[SALE DEL PROGRAMA POR],"CESAREA")</f>
        <v>0</v>
      </c>
      <c r="J90" s="68">
        <f>COUNTIFS(Tabla1[AÑO PARTO],B4,Tabla1[MES PARTO],J6,Tabla1[SALE DEL PROGRAMA POR],"CESAREA")</f>
        <v>0</v>
      </c>
      <c r="K90" s="68">
        <f>COUNTIFS(Tabla1[AÑO PARTO],B4,Tabla1[MES PARTO],K6,Tabla1[SALE DEL PROGRAMA POR],"CESAREA")</f>
        <v>0</v>
      </c>
      <c r="L90" s="68">
        <f>COUNTIFS(Tabla1[AÑO PARTO],B4,Tabla1[MES PARTO],L6,Tabla1[SALE DEL PROGRAMA POR],"CESAREA")</f>
        <v>0</v>
      </c>
      <c r="M90" s="68">
        <f>COUNTIFS(Tabla1[AÑO PARTO],B4,Tabla1[MES PARTO],M6,Tabla1[SALE DEL PROGRAMA POR],"CESAREA")</f>
        <v>0</v>
      </c>
      <c r="N90" s="128">
        <f>SUM(B90:M90)</f>
        <v>0</v>
      </c>
    </row>
    <row r="91" spans="1:14" ht="31.5" customHeight="1" thickBot="1" x14ac:dyDescent="0.3">
      <c r="A91" s="129" t="s">
        <v>416</v>
      </c>
      <c r="B91" s="68">
        <f>SUM(B89:B90)</f>
        <v>0</v>
      </c>
      <c r="C91" s="68">
        <f t="shared" ref="C91:M91" si="27">SUM(C89:C90)</f>
        <v>0</v>
      </c>
      <c r="D91" s="68">
        <f t="shared" si="27"/>
        <v>0</v>
      </c>
      <c r="E91" s="68">
        <f t="shared" si="27"/>
        <v>0</v>
      </c>
      <c r="F91" s="68">
        <f t="shared" si="27"/>
        <v>0</v>
      </c>
      <c r="G91" s="68">
        <f t="shared" si="27"/>
        <v>0</v>
      </c>
      <c r="H91" s="68">
        <f t="shared" si="27"/>
        <v>0</v>
      </c>
      <c r="I91" s="68">
        <f t="shared" si="27"/>
        <v>0</v>
      </c>
      <c r="J91" s="68">
        <f t="shared" si="27"/>
        <v>0</v>
      </c>
      <c r="K91" s="68">
        <f t="shared" si="27"/>
        <v>0</v>
      </c>
      <c r="L91" s="68">
        <f t="shared" si="27"/>
        <v>0</v>
      </c>
      <c r="M91" s="68">
        <f t="shared" si="27"/>
        <v>0</v>
      </c>
      <c r="N91" s="128">
        <f>SUM(B91:M91)</f>
        <v>0</v>
      </c>
    </row>
    <row r="92" spans="1:14" ht="31.5" customHeight="1" thickBot="1" x14ac:dyDescent="0.3">
      <c r="A92" s="66" t="s">
        <v>417</v>
      </c>
      <c r="B92" s="71" t="str">
        <f>IF(B91=0,"",SUM(B89/B91))</f>
        <v/>
      </c>
      <c r="C92" s="71" t="str">
        <f t="shared" ref="C92:N92" si="28">IF(C91=0,"",SUM(C89/C91))</f>
        <v/>
      </c>
      <c r="D92" s="71" t="str">
        <f t="shared" si="28"/>
        <v/>
      </c>
      <c r="E92" s="71" t="str">
        <f t="shared" si="28"/>
        <v/>
      </c>
      <c r="F92" s="71" t="str">
        <f t="shared" si="28"/>
        <v/>
      </c>
      <c r="G92" s="71" t="str">
        <f t="shared" si="28"/>
        <v/>
      </c>
      <c r="H92" s="71" t="str">
        <f t="shared" si="28"/>
        <v/>
      </c>
      <c r="I92" s="71" t="str">
        <f t="shared" si="28"/>
        <v/>
      </c>
      <c r="J92" s="71" t="str">
        <f t="shared" si="28"/>
        <v/>
      </c>
      <c r="K92" s="71" t="str">
        <f t="shared" si="28"/>
        <v/>
      </c>
      <c r="L92" s="71" t="str">
        <f t="shared" si="28"/>
        <v/>
      </c>
      <c r="M92" s="71" t="str">
        <f t="shared" si="28"/>
        <v/>
      </c>
      <c r="N92" s="130" t="str">
        <f t="shared" si="28"/>
        <v/>
      </c>
    </row>
    <row r="93" spans="1:14" ht="31.5" customHeight="1" x14ac:dyDescent="0.25">
      <c r="A93" s="66" t="s">
        <v>418</v>
      </c>
      <c r="B93" s="71" t="str">
        <f>IF(B91=0,"",SUM(B90/B91))</f>
        <v/>
      </c>
      <c r="C93" s="71" t="str">
        <f t="shared" ref="C93:N93" si="29">IF(C91=0,"",SUM(C90/C91))</f>
        <v/>
      </c>
      <c r="D93" s="71" t="str">
        <f t="shared" si="29"/>
        <v/>
      </c>
      <c r="E93" s="71" t="str">
        <f t="shared" si="29"/>
        <v/>
      </c>
      <c r="F93" s="71" t="str">
        <f t="shared" si="29"/>
        <v/>
      </c>
      <c r="G93" s="71" t="str">
        <f t="shared" si="29"/>
        <v/>
      </c>
      <c r="H93" s="71" t="str">
        <f t="shared" si="29"/>
        <v/>
      </c>
      <c r="I93" s="71" t="str">
        <f t="shared" si="29"/>
        <v/>
      </c>
      <c r="J93" s="71" t="str">
        <f t="shared" si="29"/>
        <v/>
      </c>
      <c r="K93" s="71" t="str">
        <f t="shared" si="29"/>
        <v/>
      </c>
      <c r="L93" s="71" t="str">
        <f t="shared" si="29"/>
        <v/>
      </c>
      <c r="M93" s="71" t="str">
        <f t="shared" si="29"/>
        <v/>
      </c>
      <c r="N93" s="130" t="str">
        <f t="shared" si="29"/>
        <v/>
      </c>
    </row>
    <row r="94" spans="1:14" ht="31.5" customHeight="1" thickBot="1" x14ac:dyDescent="0.3">
      <c r="A94" s="127" t="s">
        <v>419</v>
      </c>
      <c r="B94" s="116">
        <f>COUNTIFS(Tabla1[AÑO PARTO],B4,Tabla1[MES PARTO],B6,Tabla1[SALE DEL PROGRAMA POR],"IVE")</f>
        <v>0</v>
      </c>
      <c r="C94" s="116">
        <f>COUNTIFS(Tabla1[AÑO PARTO],B4,Tabla1[MES PARTO],C6,Tabla1[SALE DEL PROGRAMA POR],"IVE")</f>
        <v>0</v>
      </c>
      <c r="D94" s="116">
        <f>COUNTIFS(Tabla1[AÑO PARTO],B4,Tabla1[MES PARTO],D6,Tabla1[SALE DEL PROGRAMA POR],"IVE")</f>
        <v>0</v>
      </c>
      <c r="E94" s="116">
        <f>COUNTIFS(Tabla1[AÑO PARTO],B4,Tabla1[MES PARTO],E6,Tabla1[SALE DEL PROGRAMA POR],"IVE")</f>
        <v>0</v>
      </c>
      <c r="F94" s="116">
        <f>COUNTIFS(Tabla1[AÑO PARTO],B4,Tabla1[MES PARTO],F6,Tabla1[SALE DEL PROGRAMA POR],"IVE")</f>
        <v>0</v>
      </c>
      <c r="G94" s="116">
        <f>COUNTIFS(Tabla1[AÑO PARTO],B4,Tabla1[MES PARTO],G6,Tabla1[SALE DEL PROGRAMA POR],"IVE")</f>
        <v>0</v>
      </c>
      <c r="H94" s="116">
        <f>COUNTIFS(Tabla1[AÑO PARTO],B4,Tabla1[MES PARTO],H6,Tabla1[SALE DEL PROGRAMA POR],"IVE")</f>
        <v>0</v>
      </c>
      <c r="I94" s="116">
        <f>COUNTIFS(Tabla1[AÑO PARTO],B4,Tabla1[MES PARTO],I6,Tabla1[SALE DEL PROGRAMA POR],"IVE")</f>
        <v>0</v>
      </c>
      <c r="J94" s="116">
        <f>COUNTIFS(Tabla1[AÑO PARTO],B4,Tabla1[MES PARTO],J6,Tabla1[SALE DEL PROGRAMA POR],"IVE")</f>
        <v>0</v>
      </c>
      <c r="K94" s="116">
        <f>COUNTIFS(Tabla1[AÑO PARTO],B4,Tabla1[MES PARTO],K6,Tabla1[SALE DEL PROGRAMA POR],"IVE")</f>
        <v>0</v>
      </c>
      <c r="L94" s="116">
        <f>COUNTIFS(Tabla1[AÑO PARTO],B4,Tabla1[MES PARTO],L6,Tabla1[SALE DEL PROGRAMA POR],"IVE")</f>
        <v>0</v>
      </c>
      <c r="M94" s="116">
        <f>COUNTIFS(Tabla1[AÑO PARTO],B4,Tabla1[MES PARTO],M6,Tabla1[SALE DEL PROGRAMA POR],"IVE")</f>
        <v>0</v>
      </c>
      <c r="N94" s="125">
        <f t="shared" ref="N94:N136" si="30">SUM(B94:M94)</f>
        <v>0</v>
      </c>
    </row>
    <row r="95" spans="1:14" ht="31.5" customHeight="1" thickBot="1" x14ac:dyDescent="0.3">
      <c r="A95" s="66" t="s">
        <v>420</v>
      </c>
      <c r="B95" s="117" t="str">
        <f>IF(SUM(B91,B94)=0,"",SUM(B94/SUM(B94,B91)))</f>
        <v/>
      </c>
      <c r="C95" s="118" t="str">
        <f t="shared" ref="C95:N95" si="31">IF(SUM(C91,C94)=0,"",SUM(C94/SUM(C94,C91)))</f>
        <v/>
      </c>
      <c r="D95" s="118" t="str">
        <f t="shared" si="31"/>
        <v/>
      </c>
      <c r="E95" s="118" t="str">
        <f t="shared" si="31"/>
        <v/>
      </c>
      <c r="F95" s="118" t="str">
        <f t="shared" si="31"/>
        <v/>
      </c>
      <c r="G95" s="118" t="str">
        <f t="shared" si="31"/>
        <v/>
      </c>
      <c r="H95" s="118" t="str">
        <f t="shared" si="31"/>
        <v/>
      </c>
      <c r="I95" s="118" t="str">
        <f t="shared" si="31"/>
        <v/>
      </c>
      <c r="J95" s="118" t="str">
        <f t="shared" si="31"/>
        <v/>
      </c>
      <c r="K95" s="118" t="str">
        <f t="shared" si="31"/>
        <v/>
      </c>
      <c r="L95" s="118" t="str">
        <f t="shared" si="31"/>
        <v/>
      </c>
      <c r="M95" s="118" t="str">
        <f t="shared" si="31"/>
        <v/>
      </c>
      <c r="N95" s="119" t="str">
        <f t="shared" si="31"/>
        <v/>
      </c>
    </row>
    <row r="96" spans="1:14" ht="31.5" customHeight="1" thickBot="1" x14ac:dyDescent="0.3">
      <c r="A96" s="127" t="s">
        <v>421</v>
      </c>
      <c r="B96" s="102">
        <f>SUM(COUNTIFS(Tabla1[AÑO PARTO],B4,Tabla1[MES PARTO],B6,Tabla1[SALE DEL PROGRAMA POR],"PARTO",Tabla1[LUGAR DE ATENCION DEL PARTO],"INSTITUCIONAL"),COUNTIFS(Tabla1[AÑO PARTO],B4,Tabla1[MES PARTO],B6,Tabla1[SALE DEL PROGRAMA POR],"CESAREA",Tabla1[LUGAR DE ATENCION DEL PARTO],"INSTITUCIONAL"))</f>
        <v>0</v>
      </c>
      <c r="C96" s="102">
        <f>SUM(COUNTIFS(Tabla1[AÑO PARTO],B4,Tabla1[MES PARTO],C6,Tabla1[SALE DEL PROGRAMA POR],"PARTO",Tabla1[LUGAR DE ATENCION DEL PARTO],"INSTITUCIONAL"),COUNTIFS(Tabla1[AÑO PARTO],B4,Tabla1[MES PARTO],C6,Tabla1[SALE DEL PROGRAMA POR],"CESAREA",Tabla1[LUGAR DE ATENCION DEL PARTO],"INSTITUCIONAL"))</f>
        <v>0</v>
      </c>
      <c r="D96" s="102">
        <f>SUM(COUNTIFS(Tabla1[AÑO PARTO],B4,Tabla1[MES PARTO],D6,Tabla1[SALE DEL PROGRAMA POR],"PARTO",Tabla1[LUGAR DE ATENCION DEL PARTO],"INSTITUCIONAL"),COUNTIFS(Tabla1[AÑO PARTO],B4,Tabla1[MES PARTO],D6,Tabla1[SALE DEL PROGRAMA POR],"CESAREA",Tabla1[LUGAR DE ATENCION DEL PARTO],"INSTITUCIONAL"))</f>
        <v>0</v>
      </c>
      <c r="E96" s="102">
        <f>SUM(COUNTIFS(Tabla1[AÑO PARTO],B4,Tabla1[MES PARTO],E6,Tabla1[SALE DEL PROGRAMA POR],"PARTO",Tabla1[LUGAR DE ATENCION DEL PARTO],"INSTITUCIONAL"),COUNTIFS(Tabla1[AÑO PARTO],B4,Tabla1[MES PARTO],E6,Tabla1[SALE DEL PROGRAMA POR],"CESAREA",Tabla1[LUGAR DE ATENCION DEL PARTO],"INSTITUCIONAL"))</f>
        <v>0</v>
      </c>
      <c r="F96" s="102">
        <f>SUM(COUNTIFS(Tabla1[AÑO PARTO],B4,Tabla1[MES PARTO],F6,Tabla1[SALE DEL PROGRAMA POR],"PARTO",Tabla1[LUGAR DE ATENCION DEL PARTO],"INSTITUCIONAL"),COUNTIFS(Tabla1[AÑO PARTO],B4,Tabla1[MES PARTO],F6,Tabla1[SALE DEL PROGRAMA POR],"CESAREA",Tabla1[LUGAR DE ATENCION DEL PARTO],"INSTITUCIONAL"))</f>
        <v>0</v>
      </c>
      <c r="G96" s="102">
        <f>SUM(COUNTIFS(Tabla1[AÑO PARTO],B4,Tabla1[MES PARTO],G6,Tabla1[SALE DEL PROGRAMA POR],"PARTO",Tabla1[LUGAR DE ATENCION DEL PARTO],"INSTITUCIONAL"),COUNTIFS(Tabla1[AÑO PARTO],B4,Tabla1[MES PARTO],G6,Tabla1[SALE DEL PROGRAMA POR],"CESAREA",Tabla1[LUGAR DE ATENCION DEL PARTO],"INSTITUCIONAL"))</f>
        <v>0</v>
      </c>
      <c r="H96" s="102">
        <f>SUM(COUNTIFS(Tabla1[AÑO PARTO],B4,Tabla1[MES PARTO],H6,Tabla1[SALE DEL PROGRAMA POR],"PARTO",Tabla1[LUGAR DE ATENCION DEL PARTO],"INSTITUCIONAL"),COUNTIFS(Tabla1[AÑO PARTO],B4,Tabla1[MES PARTO],H6,Tabla1[SALE DEL PROGRAMA POR],"CESAREA",Tabla1[LUGAR DE ATENCION DEL PARTO],"INSTITUCIONAL"))</f>
        <v>0</v>
      </c>
      <c r="I96" s="102">
        <f>SUM(COUNTIFS(Tabla1[AÑO PARTO],B4,Tabla1[MES PARTO],I6,Tabla1[SALE DEL PROGRAMA POR],"PARTO",Tabla1[LUGAR DE ATENCION DEL PARTO],"INSTITUCIONAL"),COUNTIFS(Tabla1[AÑO PARTO],B4,Tabla1[MES PARTO],I6,Tabla1[SALE DEL PROGRAMA POR],"CESAREA",Tabla1[LUGAR DE ATENCION DEL PARTO],"INSTITUCIONAL"))</f>
        <v>0</v>
      </c>
      <c r="J96" s="102">
        <f>SUM(COUNTIFS(Tabla1[AÑO PARTO],B4,Tabla1[MES PARTO],J6,Tabla1[SALE DEL PROGRAMA POR],"PARTO",Tabla1[LUGAR DE ATENCION DEL PARTO],"INSTITUCIONAL"),COUNTIFS(Tabla1[AÑO PARTO],B4,Tabla1[MES PARTO],J6,Tabla1[SALE DEL PROGRAMA POR],"CESAREA",Tabla1[LUGAR DE ATENCION DEL PARTO],"INSTITUCIONAL"))</f>
        <v>0</v>
      </c>
      <c r="K96" s="102">
        <f>SUM(COUNTIFS(Tabla1[AÑO PARTO],B4,Tabla1[MES PARTO],K6,Tabla1[SALE DEL PROGRAMA POR],"PARTO",Tabla1[LUGAR DE ATENCION DEL PARTO],"INSTITUCIONAL"),COUNTIFS(Tabla1[AÑO PARTO],B4,Tabla1[MES PARTO],K6,Tabla1[SALE DEL PROGRAMA POR],"CESAREA",Tabla1[LUGAR DE ATENCION DEL PARTO],"INSTITUCIONAL"))</f>
        <v>0</v>
      </c>
      <c r="L96" s="102">
        <f>SUM(COUNTIFS(Tabla1[AÑO PARTO],B4,Tabla1[MES PARTO],L6,Tabla1[SALE DEL PROGRAMA POR],"PARTO",Tabla1[LUGAR DE ATENCION DEL PARTO],"INSTITUCIONAL"),COUNTIFS(Tabla1[AÑO PARTO],B4,Tabla1[MES PARTO],L6,Tabla1[SALE DEL PROGRAMA POR],"CESAREA",Tabla1[LUGAR DE ATENCION DEL PARTO],"INSTITUCIONAL"))</f>
        <v>0</v>
      </c>
      <c r="M96" s="102">
        <f>SUM(COUNTIFS(Tabla1[AÑO PARTO],B4,Tabla1[MES PARTO],M6,Tabla1[SALE DEL PROGRAMA POR],"PARTO",Tabla1[LUGAR DE ATENCION DEL PARTO],"INSTITUCIONAL"),COUNTIFS(Tabla1[AÑO PARTO],B4,Tabla1[MES PARTO],M6,Tabla1[SALE DEL PROGRAMA POR],"CESAREA",Tabla1[LUGAR DE ATENCION DEL PARTO],"INSTITUCIONAL"))</f>
        <v>0</v>
      </c>
      <c r="N96" s="126">
        <f t="shared" si="30"/>
        <v>0</v>
      </c>
    </row>
    <row r="97" spans="1:14 16384:16384" ht="31.5" customHeight="1" thickBot="1" x14ac:dyDescent="0.3">
      <c r="A97" s="66" t="s">
        <v>422</v>
      </c>
      <c r="B97" s="117" t="str">
        <f>IF(B91=0,"",SUM(B96/B91))</f>
        <v/>
      </c>
      <c r="C97" s="118" t="str">
        <f t="shared" ref="C97:N97" si="32">IF(C91=0,"",SUM(C96/C91))</f>
        <v/>
      </c>
      <c r="D97" s="118" t="str">
        <f t="shared" si="32"/>
        <v/>
      </c>
      <c r="E97" s="118" t="str">
        <f t="shared" si="32"/>
        <v/>
      </c>
      <c r="F97" s="118" t="str">
        <f t="shared" si="32"/>
        <v/>
      </c>
      <c r="G97" s="118" t="str">
        <f t="shared" si="32"/>
        <v/>
      </c>
      <c r="H97" s="118" t="str">
        <f t="shared" si="32"/>
        <v/>
      </c>
      <c r="I97" s="118" t="str">
        <f t="shared" si="32"/>
        <v/>
      </c>
      <c r="J97" s="118" t="str">
        <f t="shared" si="32"/>
        <v/>
      </c>
      <c r="K97" s="118" t="str">
        <f t="shared" si="32"/>
        <v/>
      </c>
      <c r="L97" s="118" t="str">
        <f t="shared" si="32"/>
        <v/>
      </c>
      <c r="M97" s="118" t="str">
        <f t="shared" si="32"/>
        <v/>
      </c>
      <c r="N97" s="119" t="str">
        <f t="shared" si="32"/>
        <v/>
      </c>
    </row>
    <row r="98" spans="1:14 16384:16384" ht="31.5" customHeight="1" thickBot="1" x14ac:dyDescent="0.3">
      <c r="A98" s="127" t="s">
        <v>423</v>
      </c>
      <c r="B98" s="102">
        <f>COUNTIFS(Tabla1[AÑO PARTO],B4,Tabla1[MES PARTO],B6,Tabla1[SALE DEL PROGRAMA POR],"PARTO",Tabla1[LUGAR DE ATENCION DEL PARTO],"DOMICILIO")</f>
        <v>0</v>
      </c>
      <c r="C98" s="102">
        <f>COUNTIFS(Tabla1[AÑO PARTO],B4,Tabla1[MES PARTO],C6,Tabla1[SALE DEL PROGRAMA POR],"PARTO",Tabla1[LUGAR DE ATENCION DEL PARTO],"DOMICILIO")</f>
        <v>0</v>
      </c>
      <c r="D98" s="102">
        <f>COUNTIFS(Tabla1[AÑO PARTO],B4,Tabla1[MES PARTO],D6,Tabla1[SALE DEL PROGRAMA POR],"PARTO",Tabla1[LUGAR DE ATENCION DEL PARTO],"DOMICILIO")</f>
        <v>0</v>
      </c>
      <c r="E98" s="102">
        <f>COUNTIFS(Tabla1[AÑO PARTO],B4,Tabla1[MES PARTO],E6,Tabla1[SALE DEL PROGRAMA POR],"PARTO",Tabla1[LUGAR DE ATENCION DEL PARTO],"DOMICILIO")</f>
        <v>0</v>
      </c>
      <c r="F98" s="102">
        <f>COUNTIFS(Tabla1[AÑO PARTO],B4,Tabla1[MES PARTO],F6,Tabla1[SALE DEL PROGRAMA POR],"PARTO",Tabla1[LUGAR DE ATENCION DEL PARTO],"DOMICILIO")</f>
        <v>0</v>
      </c>
      <c r="G98" s="102">
        <f>COUNTIFS(Tabla1[AÑO PARTO],B4,Tabla1[MES PARTO],G6,Tabla1[SALE DEL PROGRAMA POR],"PARTO",Tabla1[LUGAR DE ATENCION DEL PARTO],"DOMICILIO")</f>
        <v>0</v>
      </c>
      <c r="H98" s="102">
        <f>COUNTIFS(Tabla1[AÑO PARTO],B4,Tabla1[MES PARTO],H6,Tabla1[SALE DEL PROGRAMA POR],"PARTO",Tabla1[LUGAR DE ATENCION DEL PARTO],"DOMICILIO")</f>
        <v>0</v>
      </c>
      <c r="I98" s="102">
        <f>COUNTIFS(Tabla1[AÑO PARTO],B4,Tabla1[MES PARTO],I6,Tabla1[SALE DEL PROGRAMA POR],"PARTO",Tabla1[LUGAR DE ATENCION DEL PARTO],"DOMICILIO")</f>
        <v>0</v>
      </c>
      <c r="J98" s="102">
        <f>COUNTIFS(Tabla1[AÑO PARTO],B4,Tabla1[MES PARTO],J6,Tabla1[SALE DEL PROGRAMA POR],"PARTO",Tabla1[LUGAR DE ATENCION DEL PARTO],"DOMICILIO")</f>
        <v>0</v>
      </c>
      <c r="K98" s="102">
        <f>COUNTIFS(Tabla1[AÑO PARTO],B4,Tabla1[MES PARTO],K6,Tabla1[SALE DEL PROGRAMA POR],"PARTO",Tabla1[LUGAR DE ATENCION DEL PARTO],"DOMICILIO")</f>
        <v>0</v>
      </c>
      <c r="L98" s="102">
        <f>COUNTIFS(Tabla1[AÑO PARTO],B4,Tabla1[MES PARTO],L6,Tabla1[SALE DEL PROGRAMA POR],"PARTO",Tabla1[LUGAR DE ATENCION DEL PARTO],"DOMICILIO")</f>
        <v>0</v>
      </c>
      <c r="M98" s="102">
        <f>COUNTIFS(Tabla1[AÑO PARTO],B4,Tabla1[MES PARTO],M6,Tabla1[SALE DEL PROGRAMA POR],"PARTO",Tabla1[LUGAR DE ATENCION DEL PARTO],"DOMICILIO")</f>
        <v>0</v>
      </c>
      <c r="N98" s="126">
        <f t="shared" si="30"/>
        <v>0</v>
      </c>
    </row>
    <row r="99" spans="1:14 16384:16384" ht="31.5" customHeight="1" thickBot="1" x14ac:dyDescent="0.3">
      <c r="A99" s="105" t="s">
        <v>424</v>
      </c>
      <c r="B99" s="117" t="str">
        <f>IF(B$91=0,"",SUM(B98/B$91))</f>
        <v/>
      </c>
      <c r="C99" s="118" t="str">
        <f t="shared" ref="C99:N99" si="33">IF(C91=0,"",SUM(C98/C91))</f>
        <v/>
      </c>
      <c r="D99" s="118" t="str">
        <f t="shared" si="33"/>
        <v/>
      </c>
      <c r="E99" s="118" t="str">
        <f t="shared" si="33"/>
        <v/>
      </c>
      <c r="F99" s="118" t="str">
        <f t="shared" si="33"/>
        <v/>
      </c>
      <c r="G99" s="118" t="str">
        <f t="shared" si="33"/>
        <v/>
      </c>
      <c r="H99" s="118" t="str">
        <f t="shared" si="33"/>
        <v/>
      </c>
      <c r="I99" s="118" t="str">
        <f t="shared" si="33"/>
        <v/>
      </c>
      <c r="J99" s="118" t="str">
        <f t="shared" si="33"/>
        <v/>
      </c>
      <c r="K99" s="118" t="str">
        <f t="shared" si="33"/>
        <v/>
      </c>
      <c r="L99" s="118" t="str">
        <f t="shared" si="33"/>
        <v/>
      </c>
      <c r="M99" s="118" t="str">
        <f t="shared" si="33"/>
        <v/>
      </c>
      <c r="N99" s="119" t="str">
        <f t="shared" si="33"/>
        <v/>
      </c>
    </row>
    <row r="100" spans="1:14 16384:16384" ht="39.75" customHeight="1" thickBot="1" x14ac:dyDescent="0.3">
      <c r="A100" s="127" t="s">
        <v>425</v>
      </c>
      <c r="B100" s="102">
        <f>SUM(COUNTIFS(Tabla1[AÑO PARTO],B4,Tabla1[MES PARTO],B6,Tabla1[SALE DEL PROGRAMA POR],"PARTO",Tabla1[ADHERENCIA AL CPN],"SI"),COUNTIFS(Tabla1[AÑO PARTO],B4,Tabla1[MES PARTO],B6,Tabla1[SALE DEL PROGRAMA POR],"CESAREA",Tabla1[ADHERENCIA AL CPN],"SI"))</f>
        <v>0</v>
      </c>
      <c r="C100" s="102">
        <f>SUM(COUNTIFS(Tabla1[AÑO PARTO],B4,Tabla1[MES PARTO],C6,Tabla1[SALE DEL PROGRAMA POR],"PARTO",Tabla1[ADHERENCIA AL CPN],"SI"),COUNTIFS(Tabla1[AÑO PARTO],B4,Tabla1[MES PARTO],C6,Tabla1[SALE DEL PROGRAMA POR],"CESAREA",Tabla1[ADHERENCIA AL CPN],"SI"))</f>
        <v>0</v>
      </c>
      <c r="D100" s="102">
        <f>SUM(COUNTIFS(Tabla1[AÑO PARTO],B4,Tabla1[MES PARTO],D6,Tabla1[SALE DEL PROGRAMA POR],"PARTO",Tabla1[ADHERENCIA AL CPN],"SI"),COUNTIFS(Tabla1[AÑO PARTO],B4,Tabla1[MES PARTO],D6,Tabla1[SALE DEL PROGRAMA POR],"CESAREA",Tabla1[ADHERENCIA AL CPN],"SI"))</f>
        <v>0</v>
      </c>
      <c r="E100" s="102">
        <f>SUM(COUNTIFS(Tabla1[AÑO PARTO],B4,Tabla1[MES PARTO],E6,Tabla1[SALE DEL PROGRAMA POR],"PARTO",Tabla1[ADHERENCIA AL CPN],"SI"),COUNTIFS(Tabla1[AÑO PARTO],B4,Tabla1[MES PARTO],E6,Tabla1[SALE DEL PROGRAMA POR],"CESAREA",Tabla1[ADHERENCIA AL CPN],"SI"))</f>
        <v>0</v>
      </c>
      <c r="F100" s="102">
        <f>SUM(COUNTIFS(Tabla1[AÑO PARTO],B4,Tabla1[MES PARTO],F6,Tabla1[SALE DEL PROGRAMA POR],"PARTO",Tabla1[ADHERENCIA AL CPN],"SI"),COUNTIFS(Tabla1[AÑO PARTO],B4,Tabla1[MES PARTO],F6,Tabla1[SALE DEL PROGRAMA POR],"CESAREA",Tabla1[ADHERENCIA AL CPN],"SI"))</f>
        <v>0</v>
      </c>
      <c r="G100" s="102">
        <f>SUM(COUNTIFS(Tabla1[AÑO PARTO],B4,Tabla1[MES PARTO],G6,Tabla1[SALE DEL PROGRAMA POR],"PARTO",Tabla1[ADHERENCIA AL CPN],"SI"),COUNTIFS(Tabla1[AÑO PARTO],B4,Tabla1[MES PARTO],G6,Tabla1[SALE DEL PROGRAMA POR],"CESAREA",Tabla1[ADHERENCIA AL CPN],"SI"))</f>
        <v>0</v>
      </c>
      <c r="H100" s="102">
        <f>SUM(COUNTIFS(Tabla1[AÑO PARTO],B4,Tabla1[MES PARTO],H6,Tabla1[SALE DEL PROGRAMA POR],"PARTO",Tabla1[ADHERENCIA AL CPN],"SI"),COUNTIFS(Tabla1[AÑO PARTO],B4,Tabla1[MES PARTO],H6,Tabla1[SALE DEL PROGRAMA POR],"CESAREA",Tabla1[ADHERENCIA AL CPN],"SI"))</f>
        <v>0</v>
      </c>
      <c r="I100" s="102">
        <f>SUM(COUNTIFS(Tabla1[AÑO PARTO],B4,Tabla1[MES PARTO],I6,Tabla1[SALE DEL PROGRAMA POR],"PARTO",Tabla1[ADHERENCIA AL CPN],"SI"),COUNTIFS(Tabla1[AÑO PARTO],B4,Tabla1[MES PARTO],I6,Tabla1[SALE DEL PROGRAMA POR],"CESAREA",Tabla1[ADHERENCIA AL CPN],"SI"))</f>
        <v>0</v>
      </c>
      <c r="J100" s="102">
        <f>SUM(COUNTIFS(Tabla1[AÑO PARTO],B4,Tabla1[MES PARTO],J6,Tabla1[SALE DEL PROGRAMA POR],"PARTO",Tabla1[ADHERENCIA AL CPN],"SI"),COUNTIFS(Tabla1[AÑO PARTO],B4,Tabla1[MES PARTO],J6,Tabla1[SALE DEL PROGRAMA POR],"CESAREA",Tabla1[ADHERENCIA AL CPN],"SI"))</f>
        <v>0</v>
      </c>
      <c r="K100" s="102">
        <f>SUM(COUNTIFS(Tabla1[AÑO PARTO],B4,Tabla1[MES PARTO],K6,Tabla1[SALE DEL PROGRAMA POR],"PARTO",Tabla1[ADHERENCIA AL CPN],"SI"),COUNTIFS(Tabla1[AÑO PARTO],B4,Tabla1[MES PARTO],K6,Tabla1[SALE DEL PROGRAMA POR],"CESAREA",Tabla1[ADHERENCIA AL CPN],"SI"))</f>
        <v>0</v>
      </c>
      <c r="L100" s="102">
        <f>SUM(COUNTIFS(Tabla1[AÑO PARTO],B4,Tabla1[MES PARTO],L6,Tabla1[SALE DEL PROGRAMA POR],"PARTO",Tabla1[ADHERENCIA AL CPN],"SI"),COUNTIFS(Tabla1[AÑO PARTO],B4,Tabla1[MES PARTO],L6,Tabla1[SALE DEL PROGRAMA POR],"CESAREA",Tabla1[ADHERENCIA AL CPN],"SI"))</f>
        <v>0</v>
      </c>
      <c r="M100" s="102">
        <f>SUM(COUNTIFS(Tabla1[AÑO PARTO],B4,Tabla1[MES PARTO],M6,Tabla1[SALE DEL PROGRAMA POR],"PARTO",Tabla1[ADHERENCIA AL CPN],"SI"),COUNTIFS(Tabla1[AÑO PARTO],B4,Tabla1[MES PARTO],M6,Tabla1[SALE DEL PROGRAMA POR],"CESAREA",Tabla1[ADHERENCIA AL CPN],"SI"))</f>
        <v>0</v>
      </c>
      <c r="N100" s="126">
        <f t="shared" si="30"/>
        <v>0</v>
      </c>
    </row>
    <row r="101" spans="1:14 16384:16384" ht="31.5" customHeight="1" thickBot="1" x14ac:dyDescent="0.3">
      <c r="A101" s="66" t="s">
        <v>426</v>
      </c>
      <c r="B101" s="117" t="str">
        <f>IF(B$91=0,"",SUM(B100/B$91))</f>
        <v/>
      </c>
      <c r="C101" s="118" t="str">
        <f t="shared" ref="C101:N101" si="34">IF(C$91=0,"",SUM(C100/C$91))</f>
        <v/>
      </c>
      <c r="D101" s="118" t="str">
        <f t="shared" si="34"/>
        <v/>
      </c>
      <c r="E101" s="118" t="str">
        <f t="shared" si="34"/>
        <v/>
      </c>
      <c r="F101" s="118" t="str">
        <f t="shared" si="34"/>
        <v/>
      </c>
      <c r="G101" s="118" t="str">
        <f t="shared" si="34"/>
        <v/>
      </c>
      <c r="H101" s="118" t="str">
        <f t="shared" si="34"/>
        <v/>
      </c>
      <c r="I101" s="118" t="str">
        <f t="shared" si="34"/>
        <v/>
      </c>
      <c r="J101" s="118" t="str">
        <f t="shared" si="34"/>
        <v/>
      </c>
      <c r="K101" s="118" t="str">
        <f t="shared" si="34"/>
        <v/>
      </c>
      <c r="L101" s="118" t="str">
        <f t="shared" si="34"/>
        <v/>
      </c>
      <c r="M101" s="118" t="str">
        <f t="shared" si="34"/>
        <v/>
      </c>
      <c r="N101" s="119" t="str">
        <f t="shared" si="34"/>
        <v/>
      </c>
    </row>
    <row r="102" spans="1:14 16384:16384" ht="31.5" customHeight="1" thickBot="1" x14ac:dyDescent="0.3">
      <c r="A102" s="127" t="s">
        <v>772</v>
      </c>
      <c r="B102" s="102">
        <f>COUNTIFS(Tabla1[AÑO PARTO],B4,Tabla1[MES PARTO],B6,Tabla1[SALE DEL PROGRAMA POR],"PARTO",Tabla1[NIVEL DE COMPLEJIDAD DE LA ATENCION DE LA INSTITUCION DONDE SE ATENDIO EL PARTO],"BAJA")</f>
        <v>0</v>
      </c>
      <c r="C102" s="102">
        <f>COUNTIFS(Tabla1[AÑO PARTO],B4,Tabla1[MES PARTO],C6,Tabla1[SALE DEL PROGRAMA POR],"PARTO",Tabla1[NIVEL DE COMPLEJIDAD DE LA ATENCION DE LA INSTITUCION DONDE SE ATENDIO EL PARTO],"BAJA")</f>
        <v>0</v>
      </c>
      <c r="D102" s="102">
        <f>COUNTIFS(Tabla1[AÑO PARTO],B4,Tabla1[MES PARTO],D6,Tabla1[SALE DEL PROGRAMA POR],"PARTO",Tabla1[NIVEL DE COMPLEJIDAD DE LA ATENCION DE LA INSTITUCION DONDE SE ATENDIO EL PARTO],"BAJA")</f>
        <v>0</v>
      </c>
      <c r="E102" s="102">
        <f>COUNTIFS(Tabla1[AÑO PARTO],B4,Tabla1[MES PARTO],E6,Tabla1[SALE DEL PROGRAMA POR],"PARTO",Tabla1[NIVEL DE COMPLEJIDAD DE LA ATENCION DE LA INSTITUCION DONDE SE ATENDIO EL PARTO],"BAJA")</f>
        <v>0</v>
      </c>
      <c r="F102" s="102">
        <f>COUNTIFS(Tabla1[AÑO PARTO],B4,Tabla1[MES PARTO],F6,Tabla1[SALE DEL PROGRAMA POR],"PARTO",Tabla1[NIVEL DE COMPLEJIDAD DE LA ATENCION DE LA INSTITUCION DONDE SE ATENDIO EL PARTO],"BAJA")</f>
        <v>0</v>
      </c>
      <c r="G102" s="102">
        <f>COUNTIFS(Tabla1[AÑO PARTO],B4,Tabla1[MES PARTO],G6,Tabla1[SALE DEL PROGRAMA POR],"PARTO",Tabla1[NIVEL DE COMPLEJIDAD DE LA ATENCION DE LA INSTITUCION DONDE SE ATENDIO EL PARTO],"BAJA")</f>
        <v>0</v>
      </c>
      <c r="H102" s="102">
        <f>COUNTIFS(Tabla1[AÑO PARTO],B4,Tabla1[MES PARTO],H6,Tabla1[SALE DEL PROGRAMA POR],"PARTO",Tabla1[NIVEL DE COMPLEJIDAD DE LA ATENCION DE LA INSTITUCION DONDE SE ATENDIO EL PARTO],"BAJA")</f>
        <v>0</v>
      </c>
      <c r="I102" s="102">
        <f>COUNTIFS(Tabla1[AÑO PARTO],B4,Tabla1[MES PARTO],I6,Tabla1[SALE DEL PROGRAMA POR],"PARTO",Tabla1[NIVEL DE COMPLEJIDAD DE LA ATENCION DE LA INSTITUCION DONDE SE ATENDIO EL PARTO],"BAJA")</f>
        <v>0</v>
      </c>
      <c r="J102" s="102">
        <f>COUNTIFS(Tabla1[AÑO PARTO],B4,Tabla1[MES PARTO],J6,Tabla1[SALE DEL PROGRAMA POR],"PARTO",Tabla1[NIVEL DE COMPLEJIDAD DE LA ATENCION DE LA INSTITUCION DONDE SE ATENDIO EL PARTO],"BAJA")</f>
        <v>0</v>
      </c>
      <c r="K102" s="102">
        <f>COUNTIFS(Tabla1[AÑO PARTO],B4,Tabla1[MES PARTO],K6,Tabla1[SALE DEL PROGRAMA POR],"PARTO",Tabla1[NIVEL DE COMPLEJIDAD DE LA ATENCION DE LA INSTITUCION DONDE SE ATENDIO EL PARTO],"BAJA")</f>
        <v>0</v>
      </c>
      <c r="L102" s="102">
        <f>COUNTIFS(Tabla1[AÑO PARTO],B4,Tabla1[MES PARTO],L6,Tabla1[SALE DEL PROGRAMA POR],"PARTO",Tabla1[NIVEL DE COMPLEJIDAD DE LA ATENCION DE LA INSTITUCION DONDE SE ATENDIO EL PARTO],"BAJA")</f>
        <v>0</v>
      </c>
      <c r="M102" s="102">
        <f>COUNTIFS(Tabla1[AÑO PARTO],B4,Tabla1[MES PARTO],M6,Tabla1[SALE DEL PROGRAMA POR],"PARTO",Tabla1[NIVEL DE COMPLEJIDAD DE LA ATENCION DE LA INSTITUCION DONDE SE ATENDIO EL PARTO],"BAJA")</f>
        <v>0</v>
      </c>
      <c r="N102" s="126">
        <f t="shared" si="30"/>
        <v>0</v>
      </c>
    </row>
    <row r="103" spans="1:14 16384:16384" ht="42.75" customHeight="1" x14ac:dyDescent="0.25">
      <c r="A103" s="213" t="s">
        <v>773</v>
      </c>
      <c r="B103" s="188" t="str">
        <f>IF(B$91=0,"",SUM(B102/B$91))</f>
        <v/>
      </c>
      <c r="C103" s="189" t="str">
        <f t="shared" ref="C103:N103" si="35">IF(C$91=0,"",SUM(C102/C$91))</f>
        <v/>
      </c>
      <c r="D103" s="189" t="str">
        <f t="shared" si="35"/>
        <v/>
      </c>
      <c r="E103" s="189" t="str">
        <f t="shared" si="35"/>
        <v/>
      </c>
      <c r="F103" s="189" t="str">
        <f t="shared" si="35"/>
        <v/>
      </c>
      <c r="G103" s="189" t="str">
        <f t="shared" si="35"/>
        <v/>
      </c>
      <c r="H103" s="189" t="str">
        <f t="shared" si="35"/>
        <v/>
      </c>
      <c r="I103" s="189" t="str">
        <f t="shared" si="35"/>
        <v/>
      </c>
      <c r="J103" s="189" t="str">
        <f t="shared" si="35"/>
        <v/>
      </c>
      <c r="K103" s="189" t="str">
        <f t="shared" si="35"/>
        <v/>
      </c>
      <c r="L103" s="189" t="str">
        <f t="shared" si="35"/>
        <v/>
      </c>
      <c r="M103" s="189" t="str">
        <f t="shared" si="35"/>
        <v/>
      </c>
      <c r="N103" s="190" t="str">
        <f t="shared" si="35"/>
        <v/>
      </c>
    </row>
    <row r="104" spans="1:14 16384:16384" ht="44.25" customHeight="1" thickBot="1" x14ac:dyDescent="0.3">
      <c r="A104" s="122" t="s">
        <v>845</v>
      </c>
      <c r="B104" s="203">
        <f>COUNTIFS(Tabla1[AÑO PARTO],$B$4,Tabla1[MES PARTO],B6,Tabla1[SALE DEL PROGRAMA POR],"PARTO",Tabla1[INICIO DE LACTANCIA MATERNA DURANTE EL CONTACTO PIEL A PIEL O EN LA PRIMERA HORA DE VIDA],"SI",Tabla1[NIVEL DE COMPLEJIDAD DE LA ATENCION DE LA INSTITUCION DONDE SE ATENDIO EL PARTO],"BAJA")</f>
        <v>0</v>
      </c>
      <c r="C104" s="203">
        <f>COUNTIFS(Tabla1[AÑO PARTO],$B$4,Tabla1[MES PARTO],C6,Tabla1[SALE DEL PROGRAMA POR],"PARTO",Tabla1[INICIO DE LACTANCIA MATERNA DURANTE EL CONTACTO PIEL A PIEL O EN LA PRIMERA HORA DE VIDA],"SI",Tabla1[NIVEL DE COMPLEJIDAD DE LA ATENCION DE LA INSTITUCION DONDE SE ATENDIO EL PARTO],"BAJA")</f>
        <v>0</v>
      </c>
      <c r="D104" s="203">
        <f>COUNTIFS(Tabla1[AÑO PARTO],$B$4,Tabla1[MES PARTO],D6,Tabla1[SALE DEL PROGRAMA POR],"PARTO",Tabla1[INICIO DE LACTANCIA MATERNA DURANTE EL CONTACTO PIEL A PIEL O EN LA PRIMERA HORA DE VIDA],"SI",Tabla1[NIVEL DE COMPLEJIDAD DE LA ATENCION DE LA INSTITUCION DONDE SE ATENDIO EL PARTO],"BAJA")</f>
        <v>0</v>
      </c>
      <c r="E104" s="203">
        <f>COUNTIFS(Tabla1[AÑO PARTO],$B$4,Tabla1[MES PARTO],E6,Tabla1[SALE DEL PROGRAMA POR],"PARTO",Tabla1[INICIO DE LACTANCIA MATERNA DURANTE EL CONTACTO PIEL A PIEL O EN LA PRIMERA HORA DE VIDA],"SI",Tabla1[NIVEL DE COMPLEJIDAD DE LA ATENCION DE LA INSTITUCION DONDE SE ATENDIO EL PARTO],"BAJA")</f>
        <v>0</v>
      </c>
      <c r="F104" s="203">
        <f>COUNTIFS(Tabla1[AÑO PARTO],$B$4,Tabla1[MES PARTO],F6,Tabla1[SALE DEL PROGRAMA POR],"PARTO",Tabla1[INICIO DE LACTANCIA MATERNA DURANTE EL CONTACTO PIEL A PIEL O EN LA PRIMERA HORA DE VIDA],"SI",Tabla1[NIVEL DE COMPLEJIDAD DE LA ATENCION DE LA INSTITUCION DONDE SE ATENDIO EL PARTO],"BAJA")</f>
        <v>0</v>
      </c>
      <c r="G104" s="203">
        <f>COUNTIFS(Tabla1[AÑO PARTO],$B$4,Tabla1[MES PARTO],G6,Tabla1[SALE DEL PROGRAMA POR],"PARTO",Tabla1[INICIO DE LACTANCIA MATERNA DURANTE EL CONTACTO PIEL A PIEL O EN LA PRIMERA HORA DE VIDA],"SI",Tabla1[NIVEL DE COMPLEJIDAD DE LA ATENCION DE LA INSTITUCION DONDE SE ATENDIO EL PARTO],"BAJA")</f>
        <v>0</v>
      </c>
      <c r="H104" s="203">
        <f>COUNTIFS(Tabla1[AÑO PARTO],$B$4,Tabla1[MES PARTO],H6,Tabla1[SALE DEL PROGRAMA POR],"PARTO",Tabla1[INICIO DE LACTANCIA MATERNA DURANTE EL CONTACTO PIEL A PIEL O EN LA PRIMERA HORA DE VIDA],"SI",Tabla1[NIVEL DE COMPLEJIDAD DE LA ATENCION DE LA INSTITUCION DONDE SE ATENDIO EL PARTO],"BAJA")</f>
        <v>0</v>
      </c>
      <c r="I104" s="203">
        <f>COUNTIFS(Tabla1[AÑO PARTO],$B$4,Tabla1[MES PARTO],I6,Tabla1[SALE DEL PROGRAMA POR],"PARTO",Tabla1[INICIO DE LACTANCIA MATERNA DURANTE EL CONTACTO PIEL A PIEL O EN LA PRIMERA HORA DE VIDA],"SI",Tabla1[NIVEL DE COMPLEJIDAD DE LA ATENCION DE LA INSTITUCION DONDE SE ATENDIO EL PARTO],"BAJA")</f>
        <v>0</v>
      </c>
      <c r="J104" s="203">
        <f>COUNTIFS(Tabla1[AÑO PARTO],$B$4,Tabla1[MES PARTO],J6,Tabla1[SALE DEL PROGRAMA POR],"PARTO",Tabla1[INICIO DE LACTANCIA MATERNA DURANTE EL CONTACTO PIEL A PIEL O EN LA PRIMERA HORA DE VIDA],"SI",Tabla1[NIVEL DE COMPLEJIDAD DE LA ATENCION DE LA INSTITUCION DONDE SE ATENDIO EL PARTO],"BAJA")</f>
        <v>0</v>
      </c>
      <c r="K104" s="203">
        <f>COUNTIFS(Tabla1[AÑO PARTO],$B$4,Tabla1[MES PARTO],K6,Tabla1[SALE DEL PROGRAMA POR],"PARTO",Tabla1[INICIO DE LACTANCIA MATERNA DURANTE EL CONTACTO PIEL A PIEL O EN LA PRIMERA HORA DE VIDA],"SI",Tabla1[NIVEL DE COMPLEJIDAD DE LA ATENCION DE LA INSTITUCION DONDE SE ATENDIO EL PARTO],"BAJA")</f>
        <v>0</v>
      </c>
      <c r="L104" s="203">
        <f>COUNTIFS(Tabla1[AÑO PARTO],$B$4,Tabla1[MES PARTO],L6,Tabla1[SALE DEL PROGRAMA POR],"PARTO",Tabla1[INICIO DE LACTANCIA MATERNA DURANTE EL CONTACTO PIEL A PIEL O EN LA PRIMERA HORA DE VIDA],"SI",Tabla1[NIVEL DE COMPLEJIDAD DE LA ATENCION DE LA INSTITUCION DONDE SE ATENDIO EL PARTO],"BAJA")</f>
        <v>0</v>
      </c>
      <c r="M104" s="203">
        <f>COUNTIFS(Tabla1[AÑO PARTO],$B$4,Tabla1[MES PARTO],M6,Tabla1[SALE DEL PROGRAMA POR],"PARTO",Tabla1[INICIO DE LACTANCIA MATERNA DURANTE EL CONTACTO PIEL A PIEL O EN LA PRIMERA HORA DE VIDA],"SI",Tabla1[NIVEL DE COMPLEJIDAD DE LA ATENCION DE LA INSTITUCION DONDE SE ATENDIO EL PARTO],"BAJA")</f>
        <v>0</v>
      </c>
      <c r="N104" s="116">
        <f>SUM(B104:M104)</f>
        <v>0</v>
      </c>
    </row>
    <row r="105" spans="1:14 16384:16384" ht="48.75" customHeight="1" thickBot="1" x14ac:dyDescent="0.3">
      <c r="A105" s="196" t="s">
        <v>848</v>
      </c>
      <c r="B105" s="117" t="str">
        <f>IF(B$102=0,"",SUM(B104/B$102))</f>
        <v/>
      </c>
      <c r="C105" s="118" t="str">
        <f>IF(C$102=0,"",SUM(C104/C$102))</f>
        <v/>
      </c>
      <c r="D105" s="118" t="str">
        <f>IF(D$102=0,"",SUM(D104/D$102))</f>
        <v/>
      </c>
      <c r="E105" s="118" t="str">
        <f>IF(E$102=0,"",SUM(E104/E$102))</f>
        <v/>
      </c>
      <c r="F105" s="118" t="str">
        <f>IF(F$102=0,"",SUM(F104/F$102))</f>
        <v/>
      </c>
      <c r="G105" s="118" t="str">
        <f>IF(G$102=0,"",SUM(G104/G$102))</f>
        <v/>
      </c>
      <c r="H105" s="118" t="str">
        <f>IF(H$102=0,"",SUM(H104/H$102))</f>
        <v/>
      </c>
      <c r="I105" s="118" t="str">
        <f>IF(I$102=0,"",SUM(I104/I$102))</f>
        <v/>
      </c>
      <c r="J105" s="118" t="str">
        <f>IF(J$102=0,"",SUM(J104/J$102))</f>
        <v/>
      </c>
      <c r="K105" s="118" t="str">
        <f>IF(K$102=0,"",SUM(K104/K$102))</f>
        <v/>
      </c>
      <c r="L105" s="118" t="str">
        <f>IF(L$102=0,"",SUM(L104/L$102))</f>
        <v/>
      </c>
      <c r="M105" s="118" t="str">
        <f>IF(M$102=0,"",SUM(M104/M$102))</f>
        <v/>
      </c>
      <c r="N105" s="119" t="str">
        <f>IF(N$102=0,"",SUM(N104/N$102))</f>
        <v/>
      </c>
      <c r="XFD105" s="117" t="str">
        <f>IF(XFD$102=0,"",SUM(XFD104/XFD$102))</f>
        <v/>
      </c>
    </row>
    <row r="106" spans="1:14 16384:16384" ht="42.75" customHeight="1" x14ac:dyDescent="0.25">
      <c r="A106" s="78" t="s">
        <v>846</v>
      </c>
      <c r="B106" s="203">
        <f>SUM(COUNTIFS(Tabla1[AÑO PARTO],$B$4,Tabla1[MES PARTO],B6,Tabla1[NIVEL DE COMPLEJIDAD DE LA ATENCION DE LA INSTITUCION DONDE SE ATENDIO EL PARTO],"MEDIANA",Tabla1[SALE DEL PROGRAMA POR],"PARTO",Tabla1[INICIO DE LACTANCIA MATERNA DURANTE EL CONTACTO PIEL A PIEL O EN LA PRIMERA HORA DE VIDA],"SI"),COUNTIFS(Tabla1[AÑO PARTO],$B$4,Tabla1[MES PARTO],B6,Tabla1[NIVEL DE COMPLEJIDAD DE LA ATENCION DE LA INSTITUCION DONDE SE ATENDIO EL PARTO],"MEDIANA",Tabla1[SALE DEL PROGRAMA POR],"CESAREA",Tabla1[INICIO DE LACTANCIA MATERNA DURANTE EL CONTACTO PIEL A PIEL O EN LA PRIMERA HORA DE VIDA],"SI"),COUNTIFS(Tabla1[AÑO PARTO],$B$4,Tabla1[MES PARTO],B6,Tabla1[NIVEL DE COMPLEJIDAD DE LA ATENCION DE LA INSTITUCION DONDE SE ATENDIO EL PARTO],"ALTA",Tabla1[SALE DEL PROGRAMA POR],"PARTO",Tabla1[INICIO DE LACTANCIA MATERNA DURANTE EL CONTACTO PIEL A PIEL O EN LA PRIMERA HORA DE VIDA],"SI"),COUNTIFS(Tabla1[AÑO PARTO],$B$4,Tabla1[MES PARTO],B6,Tabla1[NIVEL DE COMPLEJIDAD DE LA ATENCION DE LA INSTITUCION DONDE SE ATENDIO EL PARTO],"ALTA",Tabla1[SALE DEL PROGRAMA POR],"CESAREA",Tabla1[INICIO DE LACTANCIA MATERNA DURANTE EL CONTACTO PIEL A PIEL O EN LA PRIMERA HORA DE VIDA],"SI"))</f>
        <v>0</v>
      </c>
      <c r="C106" s="203">
        <f>SUM(COUNTIFS(Tabla1[AÑO PARTO],$B$4,Tabla1[MES PARTO],C6,Tabla1[NIVEL DE COMPLEJIDAD DE LA ATENCION DE LA INSTITUCION DONDE SE ATENDIO EL PARTO],"MEDIANA",Tabla1[SALE DEL PROGRAMA POR],"PARTO",Tabla1[INICIO DE LACTANCIA MATERNA DURANTE EL CONTACTO PIEL A PIEL O EN LA PRIMERA HORA DE VIDA],"SI"),COUNTIFS(Tabla1[AÑO PARTO],$B$4,Tabla1[MES PARTO],C6,Tabla1[NIVEL DE COMPLEJIDAD DE LA ATENCION DE LA INSTITUCION DONDE SE ATENDIO EL PARTO],"MEDIANA",Tabla1[SALE DEL PROGRAMA POR],"CESAREA",Tabla1[INICIO DE LACTANCIA MATERNA DURANTE EL CONTACTO PIEL A PIEL O EN LA PRIMERA HORA DE VIDA],"SI"),COUNTIFS(Tabla1[AÑO PARTO],$B$4,Tabla1[MES PARTO],C6,Tabla1[NIVEL DE COMPLEJIDAD DE LA ATENCION DE LA INSTITUCION DONDE SE ATENDIO EL PARTO],"ALTA",Tabla1[SALE DEL PROGRAMA POR],"PARTO",Tabla1[INICIO DE LACTANCIA MATERNA DURANTE EL CONTACTO PIEL A PIEL O EN LA PRIMERA HORA DE VIDA],"SI"),COUNTIFS(Tabla1[AÑO PARTO],$B$4,Tabla1[MES PARTO],C6,Tabla1[NIVEL DE COMPLEJIDAD DE LA ATENCION DE LA INSTITUCION DONDE SE ATENDIO EL PARTO],"ALTA",Tabla1[SALE DEL PROGRAMA POR],"CESAREA",Tabla1[INICIO DE LACTANCIA MATERNA DURANTE EL CONTACTO PIEL A PIEL O EN LA PRIMERA HORA DE VIDA],"SI"))</f>
        <v>0</v>
      </c>
      <c r="D106" s="203">
        <f>SUM(COUNTIFS(Tabla1[AÑO PARTO],$B$4,Tabla1[MES PARTO],D6,Tabla1[NIVEL DE COMPLEJIDAD DE LA ATENCION DE LA INSTITUCION DONDE SE ATENDIO EL PARTO],"MEDIANA",Tabla1[SALE DEL PROGRAMA POR],"PARTO",Tabla1[INICIO DE LACTANCIA MATERNA DURANTE EL CONTACTO PIEL A PIEL O EN LA PRIMERA HORA DE VIDA],"SI"),COUNTIFS(Tabla1[AÑO PARTO],$B$4,Tabla1[MES PARTO],D6,Tabla1[NIVEL DE COMPLEJIDAD DE LA ATENCION DE LA INSTITUCION DONDE SE ATENDIO EL PARTO],"MEDIANA",Tabla1[SALE DEL PROGRAMA POR],"CESAREA",Tabla1[INICIO DE LACTANCIA MATERNA DURANTE EL CONTACTO PIEL A PIEL O EN LA PRIMERA HORA DE VIDA],"SI"),COUNTIFS(Tabla1[AÑO PARTO],$B$4,Tabla1[MES PARTO],D6,Tabla1[NIVEL DE COMPLEJIDAD DE LA ATENCION DE LA INSTITUCION DONDE SE ATENDIO EL PARTO],"ALTA",Tabla1[SALE DEL PROGRAMA POR],"PARTO",Tabla1[INICIO DE LACTANCIA MATERNA DURANTE EL CONTACTO PIEL A PIEL O EN LA PRIMERA HORA DE VIDA],"SI"),COUNTIFS(Tabla1[AÑO PARTO],$B$4,Tabla1[MES PARTO],D6,Tabla1[NIVEL DE COMPLEJIDAD DE LA ATENCION DE LA INSTITUCION DONDE SE ATENDIO EL PARTO],"ALTA",Tabla1[SALE DEL PROGRAMA POR],"CESAREA",Tabla1[INICIO DE LACTANCIA MATERNA DURANTE EL CONTACTO PIEL A PIEL O EN LA PRIMERA HORA DE VIDA],"SI"))</f>
        <v>0</v>
      </c>
      <c r="E106" s="203">
        <f>SUM(COUNTIFS(Tabla1[AÑO PARTO],$B$4,Tabla1[MES PARTO],E6,Tabla1[NIVEL DE COMPLEJIDAD DE LA ATENCION DE LA INSTITUCION DONDE SE ATENDIO EL PARTO],"MEDIANA",Tabla1[SALE DEL PROGRAMA POR],"PARTO",Tabla1[INICIO DE LACTANCIA MATERNA DURANTE EL CONTACTO PIEL A PIEL O EN LA PRIMERA HORA DE VIDA],"SI"),COUNTIFS(Tabla1[AÑO PARTO],$B$4,Tabla1[MES PARTO],E6,Tabla1[NIVEL DE COMPLEJIDAD DE LA ATENCION DE LA INSTITUCION DONDE SE ATENDIO EL PARTO],"MEDIANA",Tabla1[SALE DEL PROGRAMA POR],"CESAREA",Tabla1[INICIO DE LACTANCIA MATERNA DURANTE EL CONTACTO PIEL A PIEL O EN LA PRIMERA HORA DE VIDA],"SI"),COUNTIFS(Tabla1[AÑO PARTO],$B$4,Tabla1[MES PARTO],E6,Tabla1[NIVEL DE COMPLEJIDAD DE LA ATENCION DE LA INSTITUCION DONDE SE ATENDIO EL PARTO],"ALTA",Tabla1[SALE DEL PROGRAMA POR],"PARTO",Tabla1[INICIO DE LACTANCIA MATERNA DURANTE EL CONTACTO PIEL A PIEL O EN LA PRIMERA HORA DE VIDA],"SI"),COUNTIFS(Tabla1[AÑO PARTO],$B$4,Tabla1[MES PARTO],E6,Tabla1[NIVEL DE COMPLEJIDAD DE LA ATENCION DE LA INSTITUCION DONDE SE ATENDIO EL PARTO],"ALTA",Tabla1[SALE DEL PROGRAMA POR],"CESAREA",Tabla1[INICIO DE LACTANCIA MATERNA DURANTE EL CONTACTO PIEL A PIEL O EN LA PRIMERA HORA DE VIDA],"SI"))</f>
        <v>0</v>
      </c>
      <c r="F106" s="203">
        <f>SUM(COUNTIFS(Tabla1[AÑO PARTO],$B$4,Tabla1[MES PARTO],F6,Tabla1[NIVEL DE COMPLEJIDAD DE LA ATENCION DE LA INSTITUCION DONDE SE ATENDIO EL PARTO],"MEDIANA",Tabla1[SALE DEL PROGRAMA POR],"PARTO",Tabla1[INICIO DE LACTANCIA MATERNA DURANTE EL CONTACTO PIEL A PIEL O EN LA PRIMERA HORA DE VIDA],"SI"),COUNTIFS(Tabla1[AÑO PARTO],$B$4,Tabla1[MES PARTO],F6,Tabla1[NIVEL DE COMPLEJIDAD DE LA ATENCION DE LA INSTITUCION DONDE SE ATENDIO EL PARTO],"MEDIANA",Tabla1[SALE DEL PROGRAMA POR],"CESAREA",Tabla1[INICIO DE LACTANCIA MATERNA DURANTE EL CONTACTO PIEL A PIEL O EN LA PRIMERA HORA DE VIDA],"SI"),COUNTIFS(Tabla1[AÑO PARTO],$B$4,Tabla1[MES PARTO],F6,Tabla1[NIVEL DE COMPLEJIDAD DE LA ATENCION DE LA INSTITUCION DONDE SE ATENDIO EL PARTO],"ALTA",Tabla1[SALE DEL PROGRAMA POR],"PARTO",Tabla1[INICIO DE LACTANCIA MATERNA DURANTE EL CONTACTO PIEL A PIEL O EN LA PRIMERA HORA DE VIDA],"SI"),COUNTIFS(Tabla1[AÑO PARTO],$B$4,Tabla1[MES PARTO],F6,Tabla1[NIVEL DE COMPLEJIDAD DE LA ATENCION DE LA INSTITUCION DONDE SE ATENDIO EL PARTO],"ALTA",Tabla1[SALE DEL PROGRAMA POR],"CESAREA",Tabla1[INICIO DE LACTANCIA MATERNA DURANTE EL CONTACTO PIEL A PIEL O EN LA PRIMERA HORA DE VIDA],"SI"))</f>
        <v>0</v>
      </c>
      <c r="G106" s="203">
        <f>SUM(COUNTIFS(Tabla1[AÑO PARTO],$B$4,Tabla1[MES PARTO],G6,Tabla1[NIVEL DE COMPLEJIDAD DE LA ATENCION DE LA INSTITUCION DONDE SE ATENDIO EL PARTO],"MEDIANA",Tabla1[SALE DEL PROGRAMA POR],"PARTO",Tabla1[INICIO DE LACTANCIA MATERNA DURANTE EL CONTACTO PIEL A PIEL O EN LA PRIMERA HORA DE VIDA],"SI"),COUNTIFS(Tabla1[AÑO PARTO],$B$4,Tabla1[MES PARTO],G6,Tabla1[NIVEL DE COMPLEJIDAD DE LA ATENCION DE LA INSTITUCION DONDE SE ATENDIO EL PARTO],"MEDIANA",Tabla1[SALE DEL PROGRAMA POR],"CESAREA",Tabla1[INICIO DE LACTANCIA MATERNA DURANTE EL CONTACTO PIEL A PIEL O EN LA PRIMERA HORA DE VIDA],"SI"),COUNTIFS(Tabla1[AÑO PARTO],$B$4,Tabla1[MES PARTO],G6,Tabla1[NIVEL DE COMPLEJIDAD DE LA ATENCION DE LA INSTITUCION DONDE SE ATENDIO EL PARTO],"ALTA",Tabla1[SALE DEL PROGRAMA POR],"PARTO",Tabla1[INICIO DE LACTANCIA MATERNA DURANTE EL CONTACTO PIEL A PIEL O EN LA PRIMERA HORA DE VIDA],"SI"),COUNTIFS(Tabla1[AÑO PARTO],$B$4,Tabla1[MES PARTO],G6,Tabla1[NIVEL DE COMPLEJIDAD DE LA ATENCION DE LA INSTITUCION DONDE SE ATENDIO EL PARTO],"ALTA",Tabla1[SALE DEL PROGRAMA POR],"CESAREA",Tabla1[INICIO DE LACTANCIA MATERNA DURANTE EL CONTACTO PIEL A PIEL O EN LA PRIMERA HORA DE VIDA],"SI"))</f>
        <v>0</v>
      </c>
      <c r="H106" s="203">
        <f>SUM(COUNTIFS(Tabla1[AÑO PARTO],$B$4,Tabla1[MES PARTO],H6,Tabla1[NIVEL DE COMPLEJIDAD DE LA ATENCION DE LA INSTITUCION DONDE SE ATENDIO EL PARTO],"MEDIANA",Tabla1[SALE DEL PROGRAMA POR],"PARTO",Tabla1[INICIO DE LACTANCIA MATERNA DURANTE EL CONTACTO PIEL A PIEL O EN LA PRIMERA HORA DE VIDA],"SI"),COUNTIFS(Tabla1[AÑO PARTO],$B$4,Tabla1[MES PARTO],H6,Tabla1[NIVEL DE COMPLEJIDAD DE LA ATENCION DE LA INSTITUCION DONDE SE ATENDIO EL PARTO],"MEDIANA",Tabla1[SALE DEL PROGRAMA POR],"CESAREA",Tabla1[INICIO DE LACTANCIA MATERNA DURANTE EL CONTACTO PIEL A PIEL O EN LA PRIMERA HORA DE VIDA],"SI"),COUNTIFS(Tabla1[AÑO PARTO],$B$4,Tabla1[MES PARTO],H6,Tabla1[NIVEL DE COMPLEJIDAD DE LA ATENCION DE LA INSTITUCION DONDE SE ATENDIO EL PARTO],"ALTA",Tabla1[SALE DEL PROGRAMA POR],"PARTO",Tabla1[INICIO DE LACTANCIA MATERNA DURANTE EL CONTACTO PIEL A PIEL O EN LA PRIMERA HORA DE VIDA],"SI"),COUNTIFS(Tabla1[AÑO PARTO],$B$4,Tabla1[MES PARTO],H6,Tabla1[NIVEL DE COMPLEJIDAD DE LA ATENCION DE LA INSTITUCION DONDE SE ATENDIO EL PARTO],"ALTA",Tabla1[SALE DEL PROGRAMA POR],"CESAREA",Tabla1[INICIO DE LACTANCIA MATERNA DURANTE EL CONTACTO PIEL A PIEL O EN LA PRIMERA HORA DE VIDA],"SI"))</f>
        <v>0</v>
      </c>
      <c r="I106" s="203">
        <f>SUM(COUNTIFS(Tabla1[AÑO PARTO],$B$4,Tabla1[MES PARTO],I6,Tabla1[NIVEL DE COMPLEJIDAD DE LA ATENCION DE LA INSTITUCION DONDE SE ATENDIO EL PARTO],"MEDIANA",Tabla1[SALE DEL PROGRAMA POR],"PARTO",Tabla1[INICIO DE LACTANCIA MATERNA DURANTE EL CONTACTO PIEL A PIEL O EN LA PRIMERA HORA DE VIDA],"SI"),COUNTIFS(Tabla1[AÑO PARTO],$B$4,Tabla1[MES PARTO],I6,Tabla1[NIVEL DE COMPLEJIDAD DE LA ATENCION DE LA INSTITUCION DONDE SE ATENDIO EL PARTO],"MEDIANA",Tabla1[SALE DEL PROGRAMA POR],"CESAREA",Tabla1[INICIO DE LACTANCIA MATERNA DURANTE EL CONTACTO PIEL A PIEL O EN LA PRIMERA HORA DE VIDA],"SI"),COUNTIFS(Tabla1[AÑO PARTO],$B$4,Tabla1[MES PARTO],I6,Tabla1[NIVEL DE COMPLEJIDAD DE LA ATENCION DE LA INSTITUCION DONDE SE ATENDIO EL PARTO],"ALTA",Tabla1[SALE DEL PROGRAMA POR],"PARTO",Tabla1[INICIO DE LACTANCIA MATERNA DURANTE EL CONTACTO PIEL A PIEL O EN LA PRIMERA HORA DE VIDA],"SI"),COUNTIFS(Tabla1[AÑO PARTO],$B$4,Tabla1[MES PARTO],I6,Tabla1[NIVEL DE COMPLEJIDAD DE LA ATENCION DE LA INSTITUCION DONDE SE ATENDIO EL PARTO],"ALTA",Tabla1[SALE DEL PROGRAMA POR],"CESAREA",Tabla1[INICIO DE LACTANCIA MATERNA DURANTE EL CONTACTO PIEL A PIEL O EN LA PRIMERA HORA DE VIDA],"SI"))</f>
        <v>0</v>
      </c>
      <c r="J106" s="203">
        <f>SUM(COUNTIFS(Tabla1[AÑO PARTO],$B$4,Tabla1[MES PARTO],J6,Tabla1[NIVEL DE COMPLEJIDAD DE LA ATENCION DE LA INSTITUCION DONDE SE ATENDIO EL PARTO],"MEDIANA",Tabla1[SALE DEL PROGRAMA POR],"PARTO",Tabla1[INICIO DE LACTANCIA MATERNA DURANTE EL CONTACTO PIEL A PIEL O EN LA PRIMERA HORA DE VIDA],"SI"),COUNTIFS(Tabla1[AÑO PARTO],$B$4,Tabla1[MES PARTO],J6,Tabla1[NIVEL DE COMPLEJIDAD DE LA ATENCION DE LA INSTITUCION DONDE SE ATENDIO EL PARTO],"MEDIANA",Tabla1[SALE DEL PROGRAMA POR],"CESAREA",Tabla1[INICIO DE LACTANCIA MATERNA DURANTE EL CONTACTO PIEL A PIEL O EN LA PRIMERA HORA DE VIDA],"SI"),COUNTIFS(Tabla1[AÑO PARTO],$B$4,Tabla1[MES PARTO],J6,Tabla1[NIVEL DE COMPLEJIDAD DE LA ATENCION DE LA INSTITUCION DONDE SE ATENDIO EL PARTO],"ALTA",Tabla1[SALE DEL PROGRAMA POR],"PARTO",Tabla1[INICIO DE LACTANCIA MATERNA DURANTE EL CONTACTO PIEL A PIEL O EN LA PRIMERA HORA DE VIDA],"SI"),COUNTIFS(Tabla1[AÑO PARTO],$B$4,Tabla1[MES PARTO],J6,Tabla1[NIVEL DE COMPLEJIDAD DE LA ATENCION DE LA INSTITUCION DONDE SE ATENDIO EL PARTO],"ALTA",Tabla1[SALE DEL PROGRAMA POR],"CESAREA",Tabla1[INICIO DE LACTANCIA MATERNA DURANTE EL CONTACTO PIEL A PIEL O EN LA PRIMERA HORA DE VIDA],"SI"))</f>
        <v>0</v>
      </c>
      <c r="K106" s="203">
        <f>SUM(COUNTIFS(Tabla1[AÑO PARTO],$B$4,Tabla1[MES PARTO],K6,Tabla1[NIVEL DE COMPLEJIDAD DE LA ATENCION DE LA INSTITUCION DONDE SE ATENDIO EL PARTO],"MEDIANA",Tabla1[SALE DEL PROGRAMA POR],"PARTO",Tabla1[INICIO DE LACTANCIA MATERNA DURANTE EL CONTACTO PIEL A PIEL O EN LA PRIMERA HORA DE VIDA],"SI"),COUNTIFS(Tabla1[AÑO PARTO],$B$4,Tabla1[MES PARTO],K6,Tabla1[NIVEL DE COMPLEJIDAD DE LA ATENCION DE LA INSTITUCION DONDE SE ATENDIO EL PARTO],"MEDIANA",Tabla1[SALE DEL PROGRAMA POR],"CESAREA",Tabla1[INICIO DE LACTANCIA MATERNA DURANTE EL CONTACTO PIEL A PIEL O EN LA PRIMERA HORA DE VIDA],"SI"),COUNTIFS(Tabla1[AÑO PARTO],$B$4,Tabla1[MES PARTO],K6,Tabla1[NIVEL DE COMPLEJIDAD DE LA ATENCION DE LA INSTITUCION DONDE SE ATENDIO EL PARTO],"ALTA",Tabla1[SALE DEL PROGRAMA POR],"PARTO",Tabla1[INICIO DE LACTANCIA MATERNA DURANTE EL CONTACTO PIEL A PIEL O EN LA PRIMERA HORA DE VIDA],"SI"),COUNTIFS(Tabla1[AÑO PARTO],$B$4,Tabla1[MES PARTO],K6,Tabla1[NIVEL DE COMPLEJIDAD DE LA ATENCION DE LA INSTITUCION DONDE SE ATENDIO EL PARTO],"ALTA",Tabla1[SALE DEL PROGRAMA POR],"CESAREA",Tabla1[INICIO DE LACTANCIA MATERNA DURANTE EL CONTACTO PIEL A PIEL O EN LA PRIMERA HORA DE VIDA],"SI"))</f>
        <v>0</v>
      </c>
      <c r="L106" s="203">
        <f>SUM(COUNTIFS(Tabla1[AÑO PARTO],$B$4,Tabla1[MES PARTO],L6,Tabla1[NIVEL DE COMPLEJIDAD DE LA ATENCION DE LA INSTITUCION DONDE SE ATENDIO EL PARTO],"MEDIANA",Tabla1[SALE DEL PROGRAMA POR],"PARTO",Tabla1[INICIO DE LACTANCIA MATERNA DURANTE EL CONTACTO PIEL A PIEL O EN LA PRIMERA HORA DE VIDA],"SI"),COUNTIFS(Tabla1[AÑO PARTO],$B$4,Tabla1[MES PARTO],L6,Tabla1[NIVEL DE COMPLEJIDAD DE LA ATENCION DE LA INSTITUCION DONDE SE ATENDIO EL PARTO],"MEDIANA",Tabla1[SALE DEL PROGRAMA POR],"CESAREA",Tabla1[INICIO DE LACTANCIA MATERNA DURANTE EL CONTACTO PIEL A PIEL O EN LA PRIMERA HORA DE VIDA],"SI"),COUNTIFS(Tabla1[AÑO PARTO],$B$4,Tabla1[MES PARTO],L6,Tabla1[NIVEL DE COMPLEJIDAD DE LA ATENCION DE LA INSTITUCION DONDE SE ATENDIO EL PARTO],"ALTA",Tabla1[SALE DEL PROGRAMA POR],"PARTO",Tabla1[INICIO DE LACTANCIA MATERNA DURANTE EL CONTACTO PIEL A PIEL O EN LA PRIMERA HORA DE VIDA],"SI"),COUNTIFS(Tabla1[AÑO PARTO],$B$4,Tabla1[MES PARTO],L6,Tabla1[NIVEL DE COMPLEJIDAD DE LA ATENCION DE LA INSTITUCION DONDE SE ATENDIO EL PARTO],"ALTA",Tabla1[SALE DEL PROGRAMA POR],"CESAREA",Tabla1[INICIO DE LACTANCIA MATERNA DURANTE EL CONTACTO PIEL A PIEL O EN LA PRIMERA HORA DE VIDA],"SI"))</f>
        <v>0</v>
      </c>
      <c r="M106" s="203">
        <f>SUM(COUNTIFS(Tabla1[AÑO PARTO],$B$4,Tabla1[MES PARTO],M6,Tabla1[NIVEL DE COMPLEJIDAD DE LA ATENCION DE LA INSTITUCION DONDE SE ATENDIO EL PARTO],"MEDIANA",Tabla1[SALE DEL PROGRAMA POR],"PARTO",Tabla1[INICIO DE LACTANCIA MATERNA DURANTE EL CONTACTO PIEL A PIEL O EN LA PRIMERA HORA DE VIDA],"SI"),COUNTIFS(Tabla1[AÑO PARTO],$B$4,Tabla1[MES PARTO],M6,Tabla1[NIVEL DE COMPLEJIDAD DE LA ATENCION DE LA INSTITUCION DONDE SE ATENDIO EL PARTO],"MEDIANA",Tabla1[SALE DEL PROGRAMA POR],"CESAREA",Tabla1[INICIO DE LACTANCIA MATERNA DURANTE EL CONTACTO PIEL A PIEL O EN LA PRIMERA HORA DE VIDA],"SI"),COUNTIFS(Tabla1[AÑO PARTO],$B$4,Tabla1[MES PARTO],M6,Tabla1[NIVEL DE COMPLEJIDAD DE LA ATENCION DE LA INSTITUCION DONDE SE ATENDIO EL PARTO],"ALTA",Tabla1[SALE DEL PROGRAMA POR],"PARTO",Tabla1[INICIO DE LACTANCIA MATERNA DURANTE EL CONTACTO PIEL A PIEL O EN LA PRIMERA HORA DE VIDA],"SI"),COUNTIFS(Tabla1[AÑO PARTO],$B$4,Tabla1[MES PARTO],M6,Tabla1[NIVEL DE COMPLEJIDAD DE LA ATENCION DE LA INSTITUCION DONDE SE ATENDIO EL PARTO],"ALTA",Tabla1[SALE DEL PROGRAMA POR],"CESAREA",Tabla1[INICIO DE LACTANCIA MATERNA DURANTE EL CONTACTO PIEL A PIEL O EN LA PRIMERA HORA DE VIDA],"SI"))</f>
        <v>0</v>
      </c>
      <c r="N106" s="116">
        <f t="shared" ref="N106:N110" si="36">SUM(B106:M106)</f>
        <v>0</v>
      </c>
    </row>
    <row r="107" spans="1:14 16384:16384" ht="42.75" customHeight="1" thickBot="1" x14ac:dyDescent="0.3">
      <c r="A107" s="229" t="s">
        <v>805</v>
      </c>
      <c r="B107" s="203">
        <f>SUM(COUNTIFS(Tabla1[AÑO PARTO],$B$4,Tabla1[MES PARTO],B6,Tabla1[NIVEL DE COMPLEJIDAD DE LA ATENCION DE LA INSTITUCION DONDE SE ATENDIO EL PARTO],"MEDIANA",Tabla1[SALE DEL PROGRAMA POR],"PARTO"),COUNTIFS(Tabla1[AÑO PARTO],$B$4,Tabla1[MES PARTO],B6,Tabla1[NIVEL DE COMPLEJIDAD DE LA ATENCION DE LA INSTITUCION DONDE SE ATENDIO EL PARTO],"MEDIANA",Tabla1[SALE DEL PROGRAMA POR],"CESAREA"),COUNTIFS(Tabla1[AÑO PARTO],$B$4,Tabla1[MES PARTO],B6,Tabla1[NIVEL DE COMPLEJIDAD DE LA ATENCION DE LA INSTITUCION DONDE SE ATENDIO EL PARTO],"ALTA",Tabla1[SALE DEL PROGRAMA POR],"PARTO"),COUNTIFS(Tabla1[AÑO PARTO],$B$4,Tabla1[MES PARTO],B6,Tabla1[NIVEL DE COMPLEJIDAD DE LA ATENCION DE LA INSTITUCION DONDE SE ATENDIO EL PARTO],"ALTA",Tabla1[SALE DEL PROGRAMA POR],"CESAREA"))</f>
        <v>0</v>
      </c>
      <c r="C107" s="203">
        <f>SUM(COUNTIFS(Tabla1[AÑO PARTO],$B$4,Tabla1[MES PARTO],C6,Tabla1[NIVEL DE COMPLEJIDAD DE LA ATENCION DE LA INSTITUCION DONDE SE ATENDIO EL PARTO],"MEDIANA",Tabla1[SALE DEL PROGRAMA POR],"PARTO"),COUNTIFS(Tabla1[AÑO PARTO],$B$4,Tabla1[MES PARTO],C6,Tabla1[NIVEL DE COMPLEJIDAD DE LA ATENCION DE LA INSTITUCION DONDE SE ATENDIO EL PARTO],"MEDIANA",Tabla1[SALE DEL PROGRAMA POR],"CESAREA"),COUNTIFS(Tabla1[AÑO PARTO],$B$4,Tabla1[MES PARTO],C6,Tabla1[NIVEL DE COMPLEJIDAD DE LA ATENCION DE LA INSTITUCION DONDE SE ATENDIO EL PARTO],"ALTA",Tabla1[SALE DEL PROGRAMA POR],"PARTO"),COUNTIFS(Tabla1[AÑO PARTO],$B$4,Tabla1[MES PARTO],C6,Tabla1[NIVEL DE COMPLEJIDAD DE LA ATENCION DE LA INSTITUCION DONDE SE ATENDIO EL PARTO],"ALTA",Tabla1[SALE DEL PROGRAMA POR],"CESAREA"))</f>
        <v>0</v>
      </c>
      <c r="D107" s="203">
        <f>SUM(COUNTIFS(Tabla1[AÑO PARTO],$B$4,Tabla1[MES PARTO],D6,Tabla1[NIVEL DE COMPLEJIDAD DE LA ATENCION DE LA INSTITUCION DONDE SE ATENDIO EL PARTO],"MEDIANA",Tabla1[SALE DEL PROGRAMA POR],"PARTO"),COUNTIFS(Tabla1[AÑO PARTO],$B$4,Tabla1[MES PARTO],D6,Tabla1[NIVEL DE COMPLEJIDAD DE LA ATENCION DE LA INSTITUCION DONDE SE ATENDIO EL PARTO],"MEDIANA",Tabla1[SALE DEL PROGRAMA POR],"CESAREA"),COUNTIFS(Tabla1[AÑO PARTO],$B$4,Tabla1[MES PARTO],D6,Tabla1[NIVEL DE COMPLEJIDAD DE LA ATENCION DE LA INSTITUCION DONDE SE ATENDIO EL PARTO],"ALTA",Tabla1[SALE DEL PROGRAMA POR],"PARTO"),COUNTIFS(Tabla1[AÑO PARTO],$B$4,Tabla1[MES PARTO],D6,Tabla1[NIVEL DE COMPLEJIDAD DE LA ATENCION DE LA INSTITUCION DONDE SE ATENDIO EL PARTO],"ALTA",Tabla1[SALE DEL PROGRAMA POR],"CESAREA"))</f>
        <v>0</v>
      </c>
      <c r="E107" s="203">
        <f>SUM(COUNTIFS(Tabla1[AÑO PARTO],$B$4,Tabla1[MES PARTO],E6,Tabla1[NIVEL DE COMPLEJIDAD DE LA ATENCION DE LA INSTITUCION DONDE SE ATENDIO EL PARTO],"MEDIANA",Tabla1[SALE DEL PROGRAMA POR],"PARTO"),COUNTIFS(Tabla1[AÑO PARTO],$B$4,Tabla1[MES PARTO],E6,Tabla1[NIVEL DE COMPLEJIDAD DE LA ATENCION DE LA INSTITUCION DONDE SE ATENDIO EL PARTO],"MEDIANA",Tabla1[SALE DEL PROGRAMA POR],"CESAREA"),COUNTIFS(Tabla1[AÑO PARTO],$B$4,Tabla1[MES PARTO],E6,Tabla1[NIVEL DE COMPLEJIDAD DE LA ATENCION DE LA INSTITUCION DONDE SE ATENDIO EL PARTO],"ALTA",Tabla1[SALE DEL PROGRAMA POR],"PARTO"),COUNTIFS(Tabla1[AÑO PARTO],$B$4,Tabla1[MES PARTO],E6,Tabla1[NIVEL DE COMPLEJIDAD DE LA ATENCION DE LA INSTITUCION DONDE SE ATENDIO EL PARTO],"ALTA",Tabla1[SALE DEL PROGRAMA POR],"CESAREA"))</f>
        <v>0</v>
      </c>
      <c r="F107" s="203">
        <f>SUM(COUNTIFS(Tabla1[AÑO PARTO],$B$4,Tabla1[MES PARTO],F6,Tabla1[NIVEL DE COMPLEJIDAD DE LA ATENCION DE LA INSTITUCION DONDE SE ATENDIO EL PARTO],"MEDIANA",Tabla1[SALE DEL PROGRAMA POR],"PARTO"),COUNTIFS(Tabla1[AÑO PARTO],$B$4,Tabla1[MES PARTO],F6,Tabla1[NIVEL DE COMPLEJIDAD DE LA ATENCION DE LA INSTITUCION DONDE SE ATENDIO EL PARTO],"MEDIANA",Tabla1[SALE DEL PROGRAMA POR],"CESAREA"),COUNTIFS(Tabla1[AÑO PARTO],$B$4,Tabla1[MES PARTO],F6,Tabla1[NIVEL DE COMPLEJIDAD DE LA ATENCION DE LA INSTITUCION DONDE SE ATENDIO EL PARTO],"ALTA",Tabla1[SALE DEL PROGRAMA POR],"PARTO"),COUNTIFS(Tabla1[AÑO PARTO],$B$4,Tabla1[MES PARTO],F6,Tabla1[NIVEL DE COMPLEJIDAD DE LA ATENCION DE LA INSTITUCION DONDE SE ATENDIO EL PARTO],"ALTA",Tabla1[SALE DEL PROGRAMA POR],"CESAREA"))</f>
        <v>0</v>
      </c>
      <c r="G107" s="203">
        <f>SUM(COUNTIFS(Tabla1[AÑO PARTO],$B$4,Tabla1[MES PARTO],G6,Tabla1[NIVEL DE COMPLEJIDAD DE LA ATENCION DE LA INSTITUCION DONDE SE ATENDIO EL PARTO],"MEDIANA",Tabla1[SALE DEL PROGRAMA POR],"PARTO"),COUNTIFS(Tabla1[AÑO PARTO],$B$4,Tabla1[MES PARTO],G6,Tabla1[NIVEL DE COMPLEJIDAD DE LA ATENCION DE LA INSTITUCION DONDE SE ATENDIO EL PARTO],"MEDIANA",Tabla1[SALE DEL PROGRAMA POR],"CESAREA"),COUNTIFS(Tabla1[AÑO PARTO],$B$4,Tabla1[MES PARTO],G6,Tabla1[NIVEL DE COMPLEJIDAD DE LA ATENCION DE LA INSTITUCION DONDE SE ATENDIO EL PARTO],"ALTA",Tabla1[SALE DEL PROGRAMA POR],"PARTO"),COUNTIFS(Tabla1[AÑO PARTO],$B$4,Tabla1[MES PARTO],G6,Tabla1[NIVEL DE COMPLEJIDAD DE LA ATENCION DE LA INSTITUCION DONDE SE ATENDIO EL PARTO],"ALTA",Tabla1[SALE DEL PROGRAMA POR],"CESAREA"))</f>
        <v>0</v>
      </c>
      <c r="H107" s="203">
        <f>SUM(COUNTIFS(Tabla1[AÑO PARTO],$B$4,Tabla1[MES PARTO],H6,Tabla1[NIVEL DE COMPLEJIDAD DE LA ATENCION DE LA INSTITUCION DONDE SE ATENDIO EL PARTO],"MEDIANA",Tabla1[SALE DEL PROGRAMA POR],"PARTO"),COUNTIFS(Tabla1[AÑO PARTO],$B$4,Tabla1[MES PARTO],H6,Tabla1[NIVEL DE COMPLEJIDAD DE LA ATENCION DE LA INSTITUCION DONDE SE ATENDIO EL PARTO],"MEDIANA",Tabla1[SALE DEL PROGRAMA POR],"CESAREA"),COUNTIFS(Tabla1[AÑO PARTO],$B$4,Tabla1[MES PARTO],H6,Tabla1[NIVEL DE COMPLEJIDAD DE LA ATENCION DE LA INSTITUCION DONDE SE ATENDIO EL PARTO],"ALTA",Tabla1[SALE DEL PROGRAMA POR],"PARTO"),COUNTIFS(Tabla1[AÑO PARTO],$B$4,Tabla1[MES PARTO],H6,Tabla1[NIVEL DE COMPLEJIDAD DE LA ATENCION DE LA INSTITUCION DONDE SE ATENDIO EL PARTO],"ALTA",Tabla1[SALE DEL PROGRAMA POR],"CESAREA"))</f>
        <v>0</v>
      </c>
      <c r="I107" s="203">
        <f>SUM(COUNTIFS(Tabla1[AÑO PARTO],$B$4,Tabla1[MES PARTO],I6,Tabla1[NIVEL DE COMPLEJIDAD DE LA ATENCION DE LA INSTITUCION DONDE SE ATENDIO EL PARTO],"MEDIANA",Tabla1[SALE DEL PROGRAMA POR],"PARTO"),COUNTIFS(Tabla1[AÑO PARTO],$B$4,Tabla1[MES PARTO],I6,Tabla1[NIVEL DE COMPLEJIDAD DE LA ATENCION DE LA INSTITUCION DONDE SE ATENDIO EL PARTO],"MEDIANA",Tabla1[SALE DEL PROGRAMA POR],"CESAREA"),COUNTIFS(Tabla1[AÑO PARTO],$B$4,Tabla1[MES PARTO],I6,Tabla1[NIVEL DE COMPLEJIDAD DE LA ATENCION DE LA INSTITUCION DONDE SE ATENDIO EL PARTO],"ALTA",Tabla1[SALE DEL PROGRAMA POR],"PARTO"),COUNTIFS(Tabla1[AÑO PARTO],$B$4,Tabla1[MES PARTO],I6,Tabla1[NIVEL DE COMPLEJIDAD DE LA ATENCION DE LA INSTITUCION DONDE SE ATENDIO EL PARTO],"ALTA",Tabla1[SALE DEL PROGRAMA POR],"CESAREA"))</f>
        <v>0</v>
      </c>
      <c r="J107" s="203">
        <f>SUM(COUNTIFS(Tabla1[AÑO PARTO],$B$4,Tabla1[MES PARTO],J6,Tabla1[NIVEL DE COMPLEJIDAD DE LA ATENCION DE LA INSTITUCION DONDE SE ATENDIO EL PARTO],"MEDIANA",Tabla1[SALE DEL PROGRAMA POR],"PARTO"),COUNTIFS(Tabla1[AÑO PARTO],$B$4,Tabla1[MES PARTO],J6,Tabla1[NIVEL DE COMPLEJIDAD DE LA ATENCION DE LA INSTITUCION DONDE SE ATENDIO EL PARTO],"MEDIANA",Tabla1[SALE DEL PROGRAMA POR],"CESAREA"),COUNTIFS(Tabla1[AÑO PARTO],$B$4,Tabla1[MES PARTO],J6,Tabla1[NIVEL DE COMPLEJIDAD DE LA ATENCION DE LA INSTITUCION DONDE SE ATENDIO EL PARTO],"ALTA",Tabla1[SALE DEL PROGRAMA POR],"PARTO"),COUNTIFS(Tabla1[AÑO PARTO],$B$4,Tabla1[MES PARTO],J6,Tabla1[NIVEL DE COMPLEJIDAD DE LA ATENCION DE LA INSTITUCION DONDE SE ATENDIO EL PARTO],"ALTA",Tabla1[SALE DEL PROGRAMA POR],"CESAREA"))</f>
        <v>0</v>
      </c>
      <c r="K107" s="203">
        <f>SUM(COUNTIFS(Tabla1[AÑO PARTO],$B$4,Tabla1[MES PARTO],K6,Tabla1[NIVEL DE COMPLEJIDAD DE LA ATENCION DE LA INSTITUCION DONDE SE ATENDIO EL PARTO],"MEDIANA",Tabla1[SALE DEL PROGRAMA POR],"PARTO"),COUNTIFS(Tabla1[AÑO PARTO],$B$4,Tabla1[MES PARTO],K6,Tabla1[NIVEL DE COMPLEJIDAD DE LA ATENCION DE LA INSTITUCION DONDE SE ATENDIO EL PARTO],"MEDIANA",Tabla1[SALE DEL PROGRAMA POR],"CESAREA"),COUNTIFS(Tabla1[AÑO PARTO],$B$4,Tabla1[MES PARTO],K6,Tabla1[NIVEL DE COMPLEJIDAD DE LA ATENCION DE LA INSTITUCION DONDE SE ATENDIO EL PARTO],"ALTA",Tabla1[SALE DEL PROGRAMA POR],"PARTO"),COUNTIFS(Tabla1[AÑO PARTO],$B$4,Tabla1[MES PARTO],K6,Tabla1[NIVEL DE COMPLEJIDAD DE LA ATENCION DE LA INSTITUCION DONDE SE ATENDIO EL PARTO],"ALTA",Tabla1[SALE DEL PROGRAMA POR],"CESAREA"))</f>
        <v>0</v>
      </c>
      <c r="L107" s="203">
        <f>SUM(COUNTIFS(Tabla1[AÑO PARTO],$B$4,Tabla1[MES PARTO],L6,Tabla1[NIVEL DE COMPLEJIDAD DE LA ATENCION DE LA INSTITUCION DONDE SE ATENDIO EL PARTO],"MEDIANA",Tabla1[SALE DEL PROGRAMA POR],"PARTO"),COUNTIFS(Tabla1[AÑO PARTO],$B$4,Tabla1[MES PARTO],L6,Tabla1[NIVEL DE COMPLEJIDAD DE LA ATENCION DE LA INSTITUCION DONDE SE ATENDIO EL PARTO],"MEDIANA",Tabla1[SALE DEL PROGRAMA POR],"CESAREA"),COUNTIFS(Tabla1[AÑO PARTO],$B$4,Tabla1[MES PARTO],L6,Tabla1[NIVEL DE COMPLEJIDAD DE LA ATENCION DE LA INSTITUCION DONDE SE ATENDIO EL PARTO],"ALTA",Tabla1[SALE DEL PROGRAMA POR],"PARTO"),COUNTIFS(Tabla1[AÑO PARTO],$B$4,Tabla1[MES PARTO],L6,Tabla1[NIVEL DE COMPLEJIDAD DE LA ATENCION DE LA INSTITUCION DONDE SE ATENDIO EL PARTO],"ALTA",Tabla1[SALE DEL PROGRAMA POR],"CESAREA"))</f>
        <v>0</v>
      </c>
      <c r="M107" s="203">
        <f>SUM(COUNTIFS(Tabla1[AÑO PARTO],$B$4,Tabla1[MES PARTO],M6,Tabla1[NIVEL DE COMPLEJIDAD DE LA ATENCION DE LA INSTITUCION DONDE SE ATENDIO EL PARTO],"MEDIANA",Tabla1[SALE DEL PROGRAMA POR],"PARTO"),COUNTIFS(Tabla1[AÑO PARTO],$B$4,Tabla1[MES PARTO],M6,Tabla1[NIVEL DE COMPLEJIDAD DE LA ATENCION DE LA INSTITUCION DONDE SE ATENDIO EL PARTO],"MEDIANA",Tabla1[SALE DEL PROGRAMA POR],"CESAREA"),COUNTIFS(Tabla1[AÑO PARTO],$B$4,Tabla1[MES PARTO],M6,Tabla1[NIVEL DE COMPLEJIDAD DE LA ATENCION DE LA INSTITUCION DONDE SE ATENDIO EL PARTO],"ALTA",Tabla1[SALE DEL PROGRAMA POR],"PARTO"),COUNTIFS(Tabla1[AÑO PARTO],$B$4,Tabla1[MES PARTO],M6,Tabla1[NIVEL DE COMPLEJIDAD DE LA ATENCION DE LA INSTITUCION DONDE SE ATENDIO EL PARTO],"ALTA",Tabla1[SALE DEL PROGRAMA POR],"CESAREA"))</f>
        <v>0</v>
      </c>
      <c r="N107" s="116">
        <f t="shared" si="36"/>
        <v>0</v>
      </c>
    </row>
    <row r="108" spans="1:14 16384:16384" ht="54" customHeight="1" thickBot="1" x14ac:dyDescent="0.3">
      <c r="A108" s="219" t="s">
        <v>847</v>
      </c>
      <c r="B108" s="117" t="str">
        <f>IF(B107=0,"",SUM(B106/B107))</f>
        <v/>
      </c>
      <c r="C108" s="118" t="str">
        <f>IF(C$107=0,"",SUM(C106/C$107))</f>
        <v/>
      </c>
      <c r="D108" s="118" t="str">
        <f>IF(D$107=0,"",SUM(D106/D$107))</f>
        <v/>
      </c>
      <c r="E108" s="118" t="str">
        <f>IF(E$107=0,"",SUM(E106/E$107))</f>
        <v/>
      </c>
      <c r="F108" s="118" t="str">
        <f>IF(F$107=0,"",SUM(F106/F$107))</f>
        <v/>
      </c>
      <c r="G108" s="118" t="str">
        <f>IF(G$107=0,"",SUM(G106/G$107))</f>
        <v/>
      </c>
      <c r="H108" s="118" t="str">
        <f>IF(H$107=0,"",SUM(H106/H$107))</f>
        <v/>
      </c>
      <c r="I108" s="118" t="str">
        <f>IF(I$107=0,"",SUM(I106/I$107))</f>
        <v/>
      </c>
      <c r="J108" s="118" t="str">
        <f>IF(J$107=0,"",SUM(J106/J$107))</f>
        <v/>
      </c>
      <c r="K108" s="118" t="str">
        <f>IF(K$107=0,"",SUM(K106/K$107))</f>
        <v/>
      </c>
      <c r="L108" s="118" t="str">
        <f>IF(L$107=0,"",SUM(L106/L$107))</f>
        <v/>
      </c>
      <c r="M108" s="118" t="str">
        <f>IF(M$107=0,"",SUM(M106/M$107))</f>
        <v/>
      </c>
      <c r="N108" s="119" t="str">
        <f>IF(N$107=0,"",SUM(N106/N$107))</f>
        <v/>
      </c>
      <c r="XFD108" s="117"/>
    </row>
    <row r="109" spans="1:14 16384:16384" ht="30" customHeight="1" x14ac:dyDescent="0.25">
      <c r="A109" s="78" t="s">
        <v>793</v>
      </c>
      <c r="B109" s="203">
        <f>COUNTIFS(Tabla1[AÑO PARTO],$B$4,Tabla1[MES PARTO],B6,Tabla1[SALE DEL PROGRAMA POR],"PARTO",Tabla1[DILIGENCIAMIENTO DE PARTOGRAMA (NO APLICA EN EXPULSIVO)],"SI",Tabla1[NIVEL DE COMPLEJIDAD DE LA ATENCION DE LA INSTITUCION DONDE SE ATENDIO EL PARTO],"BAJA")</f>
        <v>0</v>
      </c>
      <c r="C109" s="203">
        <f>COUNTIFS(Tabla1[AÑO PARTO],$B$4,Tabla1[MES PARTO],C6,Tabla1[SALE DEL PROGRAMA POR],"PARTO",Tabla1[DILIGENCIAMIENTO DE PARTOGRAMA (NO APLICA EN EXPULSIVO)],"SI",Tabla1[NIVEL DE COMPLEJIDAD DE LA ATENCION DE LA INSTITUCION DONDE SE ATENDIO EL PARTO],"BAJA")</f>
        <v>0</v>
      </c>
      <c r="D109" s="203">
        <f>COUNTIFS(Tabla1[AÑO PARTO],$B$4,Tabla1[MES PARTO],D6,Tabla1[SALE DEL PROGRAMA POR],"PARTO",Tabla1[DILIGENCIAMIENTO DE PARTOGRAMA (NO APLICA EN EXPULSIVO)],"SI",Tabla1[NIVEL DE COMPLEJIDAD DE LA ATENCION DE LA INSTITUCION DONDE SE ATENDIO EL PARTO],"BAJA")</f>
        <v>0</v>
      </c>
      <c r="E109" s="203">
        <f>COUNTIFS(Tabla1[AÑO PARTO],$B$4,Tabla1[MES PARTO],E6,Tabla1[SALE DEL PROGRAMA POR],"PARTO",Tabla1[DILIGENCIAMIENTO DE PARTOGRAMA (NO APLICA EN EXPULSIVO)],"SI",Tabla1[NIVEL DE COMPLEJIDAD DE LA ATENCION DE LA INSTITUCION DONDE SE ATENDIO EL PARTO],"BAJA")</f>
        <v>0</v>
      </c>
      <c r="F109" s="203">
        <f>COUNTIFS(Tabla1[AÑO PARTO],$B$4,Tabla1[MES PARTO],F6,Tabla1[SALE DEL PROGRAMA POR],"PARTO",Tabla1[DILIGENCIAMIENTO DE PARTOGRAMA (NO APLICA EN EXPULSIVO)],"SI",Tabla1[NIVEL DE COMPLEJIDAD DE LA ATENCION DE LA INSTITUCION DONDE SE ATENDIO EL PARTO],"BAJA")</f>
        <v>0</v>
      </c>
      <c r="G109" s="203">
        <f>COUNTIFS(Tabla1[AÑO PARTO],$B$4,Tabla1[MES PARTO],G6,Tabla1[SALE DEL PROGRAMA POR],"PARTO",Tabla1[DILIGENCIAMIENTO DE PARTOGRAMA (NO APLICA EN EXPULSIVO)],"SI",Tabla1[NIVEL DE COMPLEJIDAD DE LA ATENCION DE LA INSTITUCION DONDE SE ATENDIO EL PARTO],"BAJA")</f>
        <v>0</v>
      </c>
      <c r="H109" s="203">
        <f>COUNTIFS(Tabla1[AÑO PARTO],$B$4,Tabla1[MES PARTO],H6,Tabla1[SALE DEL PROGRAMA POR],"PARTO",Tabla1[DILIGENCIAMIENTO DE PARTOGRAMA (NO APLICA EN EXPULSIVO)],"SI",Tabla1[NIVEL DE COMPLEJIDAD DE LA ATENCION DE LA INSTITUCION DONDE SE ATENDIO EL PARTO],"BAJA")</f>
        <v>0</v>
      </c>
      <c r="I109" s="203">
        <f>COUNTIFS(Tabla1[AÑO PARTO],$B$4,Tabla1[MES PARTO],I6,Tabla1[SALE DEL PROGRAMA POR],"PARTO",Tabla1[DILIGENCIAMIENTO DE PARTOGRAMA (NO APLICA EN EXPULSIVO)],"SI",Tabla1[NIVEL DE COMPLEJIDAD DE LA ATENCION DE LA INSTITUCION DONDE SE ATENDIO EL PARTO],"BAJA")</f>
        <v>0</v>
      </c>
      <c r="J109" s="203">
        <f>COUNTIFS(Tabla1[AÑO PARTO],$B$4,Tabla1[MES PARTO],J6,Tabla1[SALE DEL PROGRAMA POR],"PARTO",Tabla1[DILIGENCIAMIENTO DE PARTOGRAMA (NO APLICA EN EXPULSIVO)],"SI",Tabla1[NIVEL DE COMPLEJIDAD DE LA ATENCION DE LA INSTITUCION DONDE SE ATENDIO EL PARTO],"BAJA")</f>
        <v>0</v>
      </c>
      <c r="K109" s="203">
        <f>COUNTIFS(Tabla1[AÑO PARTO],$B$4,Tabla1[MES PARTO],K6,Tabla1[SALE DEL PROGRAMA POR],"PARTO",Tabla1[DILIGENCIAMIENTO DE PARTOGRAMA (NO APLICA EN EXPULSIVO)],"SI",Tabla1[NIVEL DE COMPLEJIDAD DE LA ATENCION DE LA INSTITUCION DONDE SE ATENDIO EL PARTO],"BAJA")</f>
        <v>0</v>
      </c>
      <c r="L109" s="203">
        <f>COUNTIFS(Tabla1[AÑO PARTO],$B$4,Tabla1[MES PARTO],L6,Tabla1[SALE DEL PROGRAMA POR],"PARTO",Tabla1[DILIGENCIAMIENTO DE PARTOGRAMA (NO APLICA EN EXPULSIVO)],"SI",Tabla1[NIVEL DE COMPLEJIDAD DE LA ATENCION DE LA INSTITUCION DONDE SE ATENDIO EL PARTO],"BAJA")</f>
        <v>0</v>
      </c>
      <c r="M109" s="203">
        <f>COUNTIFS(Tabla1[AÑO PARTO],$B$4,Tabla1[MES PARTO],M6,Tabla1[SALE DEL PROGRAMA POR],"PARTO",Tabla1[DILIGENCIAMIENTO DE PARTOGRAMA (NO APLICA EN EXPULSIVO)],"SI",Tabla1[NIVEL DE COMPLEJIDAD DE LA ATENCION DE LA INSTITUCION DONDE SE ATENDIO EL PARTO],"BAJA")</f>
        <v>0</v>
      </c>
      <c r="N109" s="116">
        <f t="shared" si="36"/>
        <v>0</v>
      </c>
    </row>
    <row r="110" spans="1:14 16384:16384" ht="48" customHeight="1" thickBot="1" x14ac:dyDescent="0.3">
      <c r="A110" s="229" t="s">
        <v>794</v>
      </c>
      <c r="B110" s="203">
        <f>SUM(COUNTIFS(Tabla1[AÑO PARTO],$B$4,Tabla1[MES PARTO],B6,Tabla1[SALE DEL PROGRAMA POR],"PARTO",Tabla1[NIVEL DE COMPLEJIDAD DE LA ATENCION DE LA INSTITUCION DONDE SE ATENDIO EL PARTO],"BAJA")-COUNTIFS(Tabla1[AÑO PARTO],$B$4,Tabla1[MES PARTO],B6,Tabla1[SALE DEL PROGRAMA POR],"PARTO",Tabla1[DILIGENCIAMIENTO DE PARTOGRAMA (NO APLICA EN EXPULSIVO)],"NO APLICA",Tabla1[NIVEL DE COMPLEJIDAD DE LA ATENCION DE LA INSTITUCION DONDE SE ATENDIO EL PARTO],"BAJA"))</f>
        <v>0</v>
      </c>
      <c r="C110" s="203">
        <f>SUM(COUNTIFS(Tabla1[AÑO PARTO],$B$4,Tabla1[MES PARTO],C6,Tabla1[SALE DEL PROGRAMA POR],"PARTO",Tabla1[NIVEL DE COMPLEJIDAD DE LA ATENCION DE LA INSTITUCION DONDE SE ATENDIO EL PARTO],"BAJA")-COUNTIFS(Tabla1[AÑO PARTO],$B$4,Tabla1[MES PARTO],C6,Tabla1[SALE DEL PROGRAMA POR],"PARTO",Tabla1[DILIGENCIAMIENTO DE PARTOGRAMA (NO APLICA EN EXPULSIVO)],"NO APLICA",Tabla1[NIVEL DE COMPLEJIDAD DE LA ATENCION DE LA INSTITUCION DONDE SE ATENDIO EL PARTO],"BAJA"))</f>
        <v>0</v>
      </c>
      <c r="D110" s="203">
        <f>SUM(COUNTIFS(Tabla1[AÑO PARTO],$B$4,Tabla1[MES PARTO],D6,Tabla1[SALE DEL PROGRAMA POR],"PARTO",Tabla1[NIVEL DE COMPLEJIDAD DE LA ATENCION DE LA INSTITUCION DONDE SE ATENDIO EL PARTO],"BAJA")-COUNTIFS(Tabla1[AÑO PARTO],$B$4,Tabla1[MES PARTO],D6,Tabla1[SALE DEL PROGRAMA POR],"PARTO",Tabla1[DILIGENCIAMIENTO DE PARTOGRAMA (NO APLICA EN EXPULSIVO)],"NO APLICA",Tabla1[NIVEL DE COMPLEJIDAD DE LA ATENCION DE LA INSTITUCION DONDE SE ATENDIO EL PARTO],"BAJA"))</f>
        <v>0</v>
      </c>
      <c r="E110" s="203">
        <f>SUM(COUNTIFS(Tabla1[AÑO PARTO],$B$4,Tabla1[MES PARTO],E6,Tabla1[SALE DEL PROGRAMA POR],"PARTO",Tabla1[NIVEL DE COMPLEJIDAD DE LA ATENCION DE LA INSTITUCION DONDE SE ATENDIO EL PARTO],"BAJA")-COUNTIFS(Tabla1[AÑO PARTO],$B$4,Tabla1[MES PARTO],E6,Tabla1[SALE DEL PROGRAMA POR],"PARTO",Tabla1[DILIGENCIAMIENTO DE PARTOGRAMA (NO APLICA EN EXPULSIVO)],"NO APLICA",Tabla1[NIVEL DE COMPLEJIDAD DE LA ATENCION DE LA INSTITUCION DONDE SE ATENDIO EL PARTO],"BAJA"))</f>
        <v>0</v>
      </c>
      <c r="F110" s="203">
        <f>SUM(COUNTIFS(Tabla1[AÑO PARTO],$B$4,Tabla1[MES PARTO],F6,Tabla1[SALE DEL PROGRAMA POR],"PARTO",Tabla1[NIVEL DE COMPLEJIDAD DE LA ATENCION DE LA INSTITUCION DONDE SE ATENDIO EL PARTO],"BAJA")-COUNTIFS(Tabla1[AÑO PARTO],$B$4,Tabla1[MES PARTO],F6,Tabla1[SALE DEL PROGRAMA POR],"PARTO",Tabla1[DILIGENCIAMIENTO DE PARTOGRAMA (NO APLICA EN EXPULSIVO)],"NO APLICA",Tabla1[NIVEL DE COMPLEJIDAD DE LA ATENCION DE LA INSTITUCION DONDE SE ATENDIO EL PARTO],"BAJA"))</f>
        <v>0</v>
      </c>
      <c r="G110" s="203">
        <f>SUM(COUNTIFS(Tabla1[AÑO PARTO],$B$4,Tabla1[MES PARTO],G6,Tabla1[SALE DEL PROGRAMA POR],"PARTO",Tabla1[NIVEL DE COMPLEJIDAD DE LA ATENCION DE LA INSTITUCION DONDE SE ATENDIO EL PARTO],"BAJA")-COUNTIFS(Tabla1[AÑO PARTO],$B$4,Tabla1[MES PARTO],G6,Tabla1[SALE DEL PROGRAMA POR],"PARTO",Tabla1[DILIGENCIAMIENTO DE PARTOGRAMA (NO APLICA EN EXPULSIVO)],"NO APLICA",Tabla1[NIVEL DE COMPLEJIDAD DE LA ATENCION DE LA INSTITUCION DONDE SE ATENDIO EL PARTO],"BAJA"))</f>
        <v>0</v>
      </c>
      <c r="H110" s="203">
        <f>SUM(COUNTIFS(Tabla1[AÑO PARTO],$B$4,Tabla1[MES PARTO],H6,Tabla1[SALE DEL PROGRAMA POR],"PARTO",Tabla1[NIVEL DE COMPLEJIDAD DE LA ATENCION DE LA INSTITUCION DONDE SE ATENDIO EL PARTO],"BAJA")-COUNTIFS(Tabla1[AÑO PARTO],$B$4,Tabla1[MES PARTO],H6,Tabla1[SALE DEL PROGRAMA POR],"PARTO",Tabla1[DILIGENCIAMIENTO DE PARTOGRAMA (NO APLICA EN EXPULSIVO)],"NO APLICA",Tabla1[NIVEL DE COMPLEJIDAD DE LA ATENCION DE LA INSTITUCION DONDE SE ATENDIO EL PARTO],"BAJA"))</f>
        <v>0</v>
      </c>
      <c r="I110" s="203">
        <f>SUM(COUNTIFS(Tabla1[AÑO PARTO],$B$4,Tabla1[MES PARTO],I6,Tabla1[SALE DEL PROGRAMA POR],"PARTO",Tabla1[NIVEL DE COMPLEJIDAD DE LA ATENCION DE LA INSTITUCION DONDE SE ATENDIO EL PARTO],"BAJA")-COUNTIFS(Tabla1[AÑO PARTO],$B$4,Tabla1[MES PARTO],I6,Tabla1[SALE DEL PROGRAMA POR],"PARTO",Tabla1[DILIGENCIAMIENTO DE PARTOGRAMA (NO APLICA EN EXPULSIVO)],"NO APLICA",Tabla1[NIVEL DE COMPLEJIDAD DE LA ATENCION DE LA INSTITUCION DONDE SE ATENDIO EL PARTO],"BAJA"))</f>
        <v>0</v>
      </c>
      <c r="J110" s="203">
        <f>SUM(COUNTIFS(Tabla1[AÑO PARTO],$B$4,Tabla1[MES PARTO],J6,Tabla1[SALE DEL PROGRAMA POR],"PARTO",Tabla1[NIVEL DE COMPLEJIDAD DE LA ATENCION DE LA INSTITUCION DONDE SE ATENDIO EL PARTO],"BAJA")-COUNTIFS(Tabla1[AÑO PARTO],$B$4,Tabla1[MES PARTO],J6,Tabla1[SALE DEL PROGRAMA POR],"PARTO",Tabla1[DILIGENCIAMIENTO DE PARTOGRAMA (NO APLICA EN EXPULSIVO)],"NO APLICA",Tabla1[NIVEL DE COMPLEJIDAD DE LA ATENCION DE LA INSTITUCION DONDE SE ATENDIO EL PARTO],"BAJA"))</f>
        <v>0</v>
      </c>
      <c r="K110" s="203">
        <f>SUM(COUNTIFS(Tabla1[AÑO PARTO],$B$4,Tabla1[MES PARTO],K6,Tabla1[SALE DEL PROGRAMA POR],"PARTO",Tabla1[NIVEL DE COMPLEJIDAD DE LA ATENCION DE LA INSTITUCION DONDE SE ATENDIO EL PARTO],"BAJA")-COUNTIFS(Tabla1[AÑO PARTO],$B$4,Tabla1[MES PARTO],K6,Tabla1[SALE DEL PROGRAMA POR],"PARTO",Tabla1[DILIGENCIAMIENTO DE PARTOGRAMA (NO APLICA EN EXPULSIVO)],"NO APLICA",Tabla1[NIVEL DE COMPLEJIDAD DE LA ATENCION DE LA INSTITUCION DONDE SE ATENDIO EL PARTO],"BAJA"))</f>
        <v>0</v>
      </c>
      <c r="L110" s="203">
        <f>SUM(COUNTIFS(Tabla1[AÑO PARTO],$B$4,Tabla1[MES PARTO],L6,Tabla1[SALE DEL PROGRAMA POR],"PARTO",Tabla1[NIVEL DE COMPLEJIDAD DE LA ATENCION DE LA INSTITUCION DONDE SE ATENDIO EL PARTO],"BAJA")-COUNTIFS(Tabla1[AÑO PARTO],$B$4,Tabla1[MES PARTO],L6,Tabla1[SALE DEL PROGRAMA POR],"PARTO",Tabla1[DILIGENCIAMIENTO DE PARTOGRAMA (NO APLICA EN EXPULSIVO)],"NO APLICA",Tabla1[NIVEL DE COMPLEJIDAD DE LA ATENCION DE LA INSTITUCION DONDE SE ATENDIO EL PARTO],"BAJA"))</f>
        <v>0</v>
      </c>
      <c r="M110" s="203">
        <f>SUM(COUNTIFS(Tabla1[AÑO PARTO],$B$4,Tabla1[MES PARTO],M6,Tabla1[SALE DEL PROGRAMA POR],"PARTO",Tabla1[NIVEL DE COMPLEJIDAD DE LA ATENCION DE LA INSTITUCION DONDE SE ATENDIO EL PARTO],"BAJA")-COUNTIFS(Tabla1[AÑO PARTO],$B$4,Tabla1[MES PARTO],M6,Tabla1[SALE DEL PROGRAMA POR],"PARTO",Tabla1[DILIGENCIAMIENTO DE PARTOGRAMA (NO APLICA EN EXPULSIVO)],"NO APLICA",Tabla1[NIVEL DE COMPLEJIDAD DE LA ATENCION DE LA INSTITUCION DONDE SE ATENDIO EL PARTO],"BAJA"))</f>
        <v>0</v>
      </c>
      <c r="N110" s="116">
        <f t="shared" si="36"/>
        <v>0</v>
      </c>
    </row>
    <row r="111" spans="1:14 16384:16384" ht="42.75" customHeight="1" thickBot="1" x14ac:dyDescent="0.3">
      <c r="A111" s="220" t="s">
        <v>795</v>
      </c>
      <c r="B111" s="117" t="str">
        <f>IF(B$110=0,"",SUM(B109/B$110))</f>
        <v/>
      </c>
      <c r="C111" s="118" t="str">
        <f>IF(C$110=0,"",SUM(C109/C$110))</f>
        <v/>
      </c>
      <c r="D111" s="118" t="str">
        <f>IF(D$110=0,"",SUM(D109/D$110))</f>
        <v/>
      </c>
      <c r="E111" s="118" t="str">
        <f>IF(E$110=0,"",SUM(E109/E$110))</f>
        <v/>
      </c>
      <c r="F111" s="118" t="str">
        <f>IF(F$110=0,"",SUM(F109/F$110))</f>
        <v/>
      </c>
      <c r="G111" s="118" t="str">
        <f>IF(G$110=0,"",SUM(G109/G$110))</f>
        <v/>
      </c>
      <c r="H111" s="118" t="str">
        <f>IF(H$110=0,"",SUM(H109/H$110))</f>
        <v/>
      </c>
      <c r="I111" s="118" t="str">
        <f>IF(I$110=0,"",SUM(I109/I$110))</f>
        <v/>
      </c>
      <c r="J111" s="118" t="str">
        <f>IF(J$110=0,"",SUM(J109/J$110))</f>
        <v/>
      </c>
      <c r="K111" s="118" t="str">
        <f>IF(K$110=0,"",SUM(K109/K$110))</f>
        <v/>
      </c>
      <c r="L111" s="118" t="str">
        <f>IF(L$110=0,"",SUM(L109/L$110))</f>
        <v/>
      </c>
      <c r="M111" s="118" t="str">
        <f>IF(M$110=0,"",SUM(M109/M$110))</f>
        <v/>
      </c>
      <c r="N111" s="119" t="str">
        <f>IF(N$110=0,"",SUM(N109/N$110))</f>
        <v/>
      </c>
    </row>
    <row r="112" spans="1:14 16384:16384" ht="33.75" customHeight="1" x14ac:dyDescent="0.25">
      <c r="A112" s="78" t="s">
        <v>796</v>
      </c>
      <c r="B112" s="203">
        <f>SUM(COUNTIFS(Tabla1[AÑO PARTO],$B$4,Tabla1[MES PARTO],B6,Tabla1[SALE DEL PROGRAMA POR],"PARTO",Tabla1[DILIGENCIAMIENTO DE PARTOGRAMA (NO APLICA EN EXPULSIVO)],"SI",Tabla1[NIVEL DE COMPLEJIDAD DE LA ATENCION DE LA INSTITUCION DONDE SE ATENDIO EL PARTO],"MEDIANA"),COUNTIFS(Tabla1[AÑO PARTO],$B$4,Tabla1[MES PARTO],B6,Tabla1[SALE DEL PROGRAMA POR],"PARTO",Tabla1[DILIGENCIAMIENTO DE PARTOGRAMA (NO APLICA EN EXPULSIVO)],"SI",Tabla1[NIVEL DE COMPLEJIDAD DE LA ATENCION DE LA INSTITUCION DONDE SE ATENDIO EL PARTO],"ALTA"),COUNTIFS(Tabla1[AÑO PARTO],$B$4,Tabla1[MES PARTO],B6,Tabla1[SALE DEL PROGRAMA POR],"CESAREA",Tabla1[DILIGENCIAMIENTO DE PARTOGRAMA (NO APLICA EN EXPULSIVO)],"SI",Tabla1[NIVEL DE COMPLEJIDAD DE LA ATENCION DE LA INSTITUCION DONDE SE ATENDIO EL PARTO],"MEDIANA"),COUNTIFS(Tabla1[AÑO PARTO],$B$4,Tabla1[MES PARTO],B6,Tabla1[SALE DEL PROGRAMA POR],"CESAREA",Tabla1[DILIGENCIAMIENTO DE PARTOGRAMA (NO APLICA EN EXPULSIVO)],"SI",Tabla1[NIVEL DE COMPLEJIDAD DE LA ATENCION DE LA INSTITUCION DONDE SE ATENDIO EL PARTO],"ALTA"))</f>
        <v>0</v>
      </c>
      <c r="C112" s="203">
        <f>SUM(COUNTIFS(Tabla1[AÑO PARTO],$B$4,Tabla1[MES PARTO],C6,Tabla1[SALE DEL PROGRAMA POR],"PARTO",Tabla1[DILIGENCIAMIENTO DE PARTOGRAMA (NO APLICA EN EXPULSIVO)],"SI",Tabla1[NIVEL DE COMPLEJIDAD DE LA ATENCION DE LA INSTITUCION DONDE SE ATENDIO EL PARTO],"MEDIANA"),COUNTIFS(Tabla1[AÑO PARTO],$B$4,Tabla1[MES PARTO],C6,Tabla1[SALE DEL PROGRAMA POR],"PARTO",Tabla1[DILIGENCIAMIENTO DE PARTOGRAMA (NO APLICA EN EXPULSIVO)],"SI",Tabla1[NIVEL DE COMPLEJIDAD DE LA ATENCION DE LA INSTITUCION DONDE SE ATENDIO EL PARTO],"ALTA"),COUNTIFS(Tabla1[AÑO PARTO],$B$4,Tabla1[MES PARTO],C6,Tabla1[SALE DEL PROGRAMA POR],"CESAREA",Tabla1[DILIGENCIAMIENTO DE PARTOGRAMA (NO APLICA EN EXPULSIVO)],"SI",Tabla1[NIVEL DE COMPLEJIDAD DE LA ATENCION DE LA INSTITUCION DONDE SE ATENDIO EL PARTO],"MEDIANA"),COUNTIFS(Tabla1[AÑO PARTO],$B$4,Tabla1[MES PARTO],C6,Tabla1[SALE DEL PROGRAMA POR],"CESAREA",Tabla1[DILIGENCIAMIENTO DE PARTOGRAMA (NO APLICA EN EXPULSIVO)],"SI",Tabla1[NIVEL DE COMPLEJIDAD DE LA ATENCION DE LA INSTITUCION DONDE SE ATENDIO EL PARTO],"ALTA"))</f>
        <v>0</v>
      </c>
      <c r="D112" s="203">
        <f>SUM(COUNTIFS(Tabla1[AÑO PARTO],$B$4,Tabla1[MES PARTO],D6,Tabla1[SALE DEL PROGRAMA POR],"PARTO",Tabla1[DILIGENCIAMIENTO DE PARTOGRAMA (NO APLICA EN EXPULSIVO)],"SI",Tabla1[NIVEL DE COMPLEJIDAD DE LA ATENCION DE LA INSTITUCION DONDE SE ATENDIO EL PARTO],"MEDIANA"),COUNTIFS(Tabla1[AÑO PARTO],$B$4,Tabla1[MES PARTO],D6,Tabla1[SALE DEL PROGRAMA POR],"PARTO",Tabla1[DILIGENCIAMIENTO DE PARTOGRAMA (NO APLICA EN EXPULSIVO)],"SI",Tabla1[NIVEL DE COMPLEJIDAD DE LA ATENCION DE LA INSTITUCION DONDE SE ATENDIO EL PARTO],"ALTA"),COUNTIFS(Tabla1[AÑO PARTO],$B$4,Tabla1[MES PARTO],D6,Tabla1[SALE DEL PROGRAMA POR],"CESAREA",Tabla1[DILIGENCIAMIENTO DE PARTOGRAMA (NO APLICA EN EXPULSIVO)],"SI",Tabla1[NIVEL DE COMPLEJIDAD DE LA ATENCION DE LA INSTITUCION DONDE SE ATENDIO EL PARTO],"MEDIANA"),COUNTIFS(Tabla1[AÑO PARTO],$B$4,Tabla1[MES PARTO],D6,Tabla1[SALE DEL PROGRAMA POR],"CESAREA",Tabla1[DILIGENCIAMIENTO DE PARTOGRAMA (NO APLICA EN EXPULSIVO)],"SI",Tabla1[NIVEL DE COMPLEJIDAD DE LA ATENCION DE LA INSTITUCION DONDE SE ATENDIO EL PARTO],"ALTA"))</f>
        <v>0</v>
      </c>
      <c r="E112" s="203">
        <f>SUM(COUNTIFS(Tabla1[AÑO PARTO],$B$4,Tabla1[MES PARTO],E6,Tabla1[SALE DEL PROGRAMA POR],"PARTO",Tabla1[DILIGENCIAMIENTO DE PARTOGRAMA (NO APLICA EN EXPULSIVO)],"SI",Tabla1[NIVEL DE COMPLEJIDAD DE LA ATENCION DE LA INSTITUCION DONDE SE ATENDIO EL PARTO],"MEDIANA"),COUNTIFS(Tabla1[AÑO PARTO],$B$4,Tabla1[MES PARTO],E6,Tabla1[SALE DEL PROGRAMA POR],"PARTO",Tabla1[DILIGENCIAMIENTO DE PARTOGRAMA (NO APLICA EN EXPULSIVO)],"SI",Tabla1[NIVEL DE COMPLEJIDAD DE LA ATENCION DE LA INSTITUCION DONDE SE ATENDIO EL PARTO],"ALTA"),COUNTIFS(Tabla1[AÑO PARTO],$B$4,Tabla1[MES PARTO],E6,Tabla1[SALE DEL PROGRAMA POR],"CESAREA",Tabla1[DILIGENCIAMIENTO DE PARTOGRAMA (NO APLICA EN EXPULSIVO)],"SI",Tabla1[NIVEL DE COMPLEJIDAD DE LA ATENCION DE LA INSTITUCION DONDE SE ATENDIO EL PARTO],"MEDIANA"),COUNTIFS(Tabla1[AÑO PARTO],$B$4,Tabla1[MES PARTO],E6,Tabla1[SALE DEL PROGRAMA POR],"CESAREA",Tabla1[DILIGENCIAMIENTO DE PARTOGRAMA (NO APLICA EN EXPULSIVO)],"SI",Tabla1[NIVEL DE COMPLEJIDAD DE LA ATENCION DE LA INSTITUCION DONDE SE ATENDIO EL PARTO],"ALTA"))</f>
        <v>0</v>
      </c>
      <c r="F112" s="203">
        <f>SUM(COUNTIFS(Tabla1[AÑO PARTO],$B$4,Tabla1[MES PARTO],F6,Tabla1[SALE DEL PROGRAMA POR],"PARTO",Tabla1[DILIGENCIAMIENTO DE PARTOGRAMA (NO APLICA EN EXPULSIVO)],"SI",Tabla1[NIVEL DE COMPLEJIDAD DE LA ATENCION DE LA INSTITUCION DONDE SE ATENDIO EL PARTO],"MEDIANA"),COUNTIFS(Tabla1[AÑO PARTO],$B$4,Tabla1[MES PARTO],F6,Tabla1[SALE DEL PROGRAMA POR],"PARTO",Tabla1[DILIGENCIAMIENTO DE PARTOGRAMA (NO APLICA EN EXPULSIVO)],"SI",Tabla1[NIVEL DE COMPLEJIDAD DE LA ATENCION DE LA INSTITUCION DONDE SE ATENDIO EL PARTO],"ALTA"),COUNTIFS(Tabla1[AÑO PARTO],$B$4,Tabla1[MES PARTO],F6,Tabla1[SALE DEL PROGRAMA POR],"CESAREA",Tabla1[DILIGENCIAMIENTO DE PARTOGRAMA (NO APLICA EN EXPULSIVO)],"SI",Tabla1[NIVEL DE COMPLEJIDAD DE LA ATENCION DE LA INSTITUCION DONDE SE ATENDIO EL PARTO],"MEDIANA"),COUNTIFS(Tabla1[AÑO PARTO],$B$4,Tabla1[MES PARTO],F6,Tabla1[SALE DEL PROGRAMA POR],"CESAREA",Tabla1[DILIGENCIAMIENTO DE PARTOGRAMA (NO APLICA EN EXPULSIVO)],"SI",Tabla1[NIVEL DE COMPLEJIDAD DE LA ATENCION DE LA INSTITUCION DONDE SE ATENDIO EL PARTO],"ALTA"))</f>
        <v>0</v>
      </c>
      <c r="G112" s="203">
        <f>SUM(COUNTIFS(Tabla1[AÑO PARTO],$B$4,Tabla1[MES PARTO],G6,Tabla1[SALE DEL PROGRAMA POR],"PARTO",Tabla1[DILIGENCIAMIENTO DE PARTOGRAMA (NO APLICA EN EXPULSIVO)],"SI",Tabla1[NIVEL DE COMPLEJIDAD DE LA ATENCION DE LA INSTITUCION DONDE SE ATENDIO EL PARTO],"MEDIANA"),COUNTIFS(Tabla1[AÑO PARTO],$B$4,Tabla1[MES PARTO],G6,Tabla1[SALE DEL PROGRAMA POR],"PARTO",Tabla1[DILIGENCIAMIENTO DE PARTOGRAMA (NO APLICA EN EXPULSIVO)],"SI",Tabla1[NIVEL DE COMPLEJIDAD DE LA ATENCION DE LA INSTITUCION DONDE SE ATENDIO EL PARTO],"ALTA"),COUNTIFS(Tabla1[AÑO PARTO],$B$4,Tabla1[MES PARTO],G6,Tabla1[SALE DEL PROGRAMA POR],"CESAREA",Tabla1[DILIGENCIAMIENTO DE PARTOGRAMA (NO APLICA EN EXPULSIVO)],"SI",Tabla1[NIVEL DE COMPLEJIDAD DE LA ATENCION DE LA INSTITUCION DONDE SE ATENDIO EL PARTO],"MEDIANA"),COUNTIFS(Tabla1[AÑO PARTO],$B$4,Tabla1[MES PARTO],G6,Tabla1[SALE DEL PROGRAMA POR],"CESAREA",Tabla1[DILIGENCIAMIENTO DE PARTOGRAMA (NO APLICA EN EXPULSIVO)],"SI",Tabla1[NIVEL DE COMPLEJIDAD DE LA ATENCION DE LA INSTITUCION DONDE SE ATENDIO EL PARTO],"ALTA"))</f>
        <v>0</v>
      </c>
      <c r="H112" s="203">
        <f>SUM(COUNTIFS(Tabla1[AÑO PARTO],$B$4,Tabla1[MES PARTO],H6,Tabla1[SALE DEL PROGRAMA POR],"PARTO",Tabla1[DILIGENCIAMIENTO DE PARTOGRAMA (NO APLICA EN EXPULSIVO)],"SI",Tabla1[NIVEL DE COMPLEJIDAD DE LA ATENCION DE LA INSTITUCION DONDE SE ATENDIO EL PARTO],"MEDIANA"),COUNTIFS(Tabla1[AÑO PARTO],$B$4,Tabla1[MES PARTO],H6,Tabla1[SALE DEL PROGRAMA POR],"PARTO",Tabla1[DILIGENCIAMIENTO DE PARTOGRAMA (NO APLICA EN EXPULSIVO)],"SI",Tabla1[NIVEL DE COMPLEJIDAD DE LA ATENCION DE LA INSTITUCION DONDE SE ATENDIO EL PARTO],"ALTA"),COUNTIFS(Tabla1[AÑO PARTO],$B$4,Tabla1[MES PARTO],H6,Tabla1[SALE DEL PROGRAMA POR],"CESAREA",Tabla1[DILIGENCIAMIENTO DE PARTOGRAMA (NO APLICA EN EXPULSIVO)],"SI",Tabla1[NIVEL DE COMPLEJIDAD DE LA ATENCION DE LA INSTITUCION DONDE SE ATENDIO EL PARTO],"MEDIANA"),COUNTIFS(Tabla1[AÑO PARTO],$B$4,Tabla1[MES PARTO],H6,Tabla1[SALE DEL PROGRAMA POR],"CESAREA",Tabla1[DILIGENCIAMIENTO DE PARTOGRAMA (NO APLICA EN EXPULSIVO)],"SI",Tabla1[NIVEL DE COMPLEJIDAD DE LA ATENCION DE LA INSTITUCION DONDE SE ATENDIO EL PARTO],"ALTA"))</f>
        <v>0</v>
      </c>
      <c r="I112" s="203">
        <f>SUM(COUNTIFS(Tabla1[AÑO PARTO],$B$4,Tabla1[MES PARTO],I6,Tabla1[SALE DEL PROGRAMA POR],"PARTO",Tabla1[DILIGENCIAMIENTO DE PARTOGRAMA (NO APLICA EN EXPULSIVO)],"SI",Tabla1[NIVEL DE COMPLEJIDAD DE LA ATENCION DE LA INSTITUCION DONDE SE ATENDIO EL PARTO],"MEDIANA"),COUNTIFS(Tabla1[AÑO PARTO],$B$4,Tabla1[MES PARTO],I6,Tabla1[SALE DEL PROGRAMA POR],"PARTO",Tabla1[DILIGENCIAMIENTO DE PARTOGRAMA (NO APLICA EN EXPULSIVO)],"SI",Tabla1[NIVEL DE COMPLEJIDAD DE LA ATENCION DE LA INSTITUCION DONDE SE ATENDIO EL PARTO],"ALTA"),COUNTIFS(Tabla1[AÑO PARTO],$B$4,Tabla1[MES PARTO],I6,Tabla1[SALE DEL PROGRAMA POR],"CESAREA",Tabla1[DILIGENCIAMIENTO DE PARTOGRAMA (NO APLICA EN EXPULSIVO)],"SI",Tabla1[NIVEL DE COMPLEJIDAD DE LA ATENCION DE LA INSTITUCION DONDE SE ATENDIO EL PARTO],"MEDIANA"),COUNTIFS(Tabla1[AÑO PARTO],$B$4,Tabla1[MES PARTO],I6,Tabla1[SALE DEL PROGRAMA POR],"CESAREA",Tabla1[DILIGENCIAMIENTO DE PARTOGRAMA (NO APLICA EN EXPULSIVO)],"SI",Tabla1[NIVEL DE COMPLEJIDAD DE LA ATENCION DE LA INSTITUCION DONDE SE ATENDIO EL PARTO],"ALTA"))</f>
        <v>0</v>
      </c>
      <c r="J112" s="203">
        <f>SUM(COUNTIFS(Tabla1[AÑO PARTO],$B$4,Tabla1[MES PARTO],J6,Tabla1[SALE DEL PROGRAMA POR],"PARTO",Tabla1[DILIGENCIAMIENTO DE PARTOGRAMA (NO APLICA EN EXPULSIVO)],"SI",Tabla1[NIVEL DE COMPLEJIDAD DE LA ATENCION DE LA INSTITUCION DONDE SE ATENDIO EL PARTO],"MEDIANA"),COUNTIFS(Tabla1[AÑO PARTO],$B$4,Tabla1[MES PARTO],J6,Tabla1[SALE DEL PROGRAMA POR],"PARTO",Tabla1[DILIGENCIAMIENTO DE PARTOGRAMA (NO APLICA EN EXPULSIVO)],"SI",Tabla1[NIVEL DE COMPLEJIDAD DE LA ATENCION DE LA INSTITUCION DONDE SE ATENDIO EL PARTO],"ALTA"),COUNTIFS(Tabla1[AÑO PARTO],$B$4,Tabla1[MES PARTO],J6,Tabla1[SALE DEL PROGRAMA POR],"CESAREA",Tabla1[DILIGENCIAMIENTO DE PARTOGRAMA (NO APLICA EN EXPULSIVO)],"SI",Tabla1[NIVEL DE COMPLEJIDAD DE LA ATENCION DE LA INSTITUCION DONDE SE ATENDIO EL PARTO],"MEDIANA"),COUNTIFS(Tabla1[AÑO PARTO],$B$4,Tabla1[MES PARTO],J6,Tabla1[SALE DEL PROGRAMA POR],"CESAREA",Tabla1[DILIGENCIAMIENTO DE PARTOGRAMA (NO APLICA EN EXPULSIVO)],"SI",Tabla1[NIVEL DE COMPLEJIDAD DE LA ATENCION DE LA INSTITUCION DONDE SE ATENDIO EL PARTO],"ALTA"))</f>
        <v>0</v>
      </c>
      <c r="K112" s="203">
        <f>SUM(COUNTIFS(Tabla1[AÑO PARTO],$B$4,Tabla1[MES PARTO],K6,Tabla1[SALE DEL PROGRAMA POR],"PARTO",Tabla1[DILIGENCIAMIENTO DE PARTOGRAMA (NO APLICA EN EXPULSIVO)],"SI",Tabla1[NIVEL DE COMPLEJIDAD DE LA ATENCION DE LA INSTITUCION DONDE SE ATENDIO EL PARTO],"MEDIANA"),COUNTIFS(Tabla1[AÑO PARTO],$B$4,Tabla1[MES PARTO],K6,Tabla1[SALE DEL PROGRAMA POR],"PARTO",Tabla1[DILIGENCIAMIENTO DE PARTOGRAMA (NO APLICA EN EXPULSIVO)],"SI",Tabla1[NIVEL DE COMPLEJIDAD DE LA ATENCION DE LA INSTITUCION DONDE SE ATENDIO EL PARTO],"ALTA"),COUNTIFS(Tabla1[AÑO PARTO],$B$4,Tabla1[MES PARTO],K6,Tabla1[SALE DEL PROGRAMA POR],"CESAREA",Tabla1[DILIGENCIAMIENTO DE PARTOGRAMA (NO APLICA EN EXPULSIVO)],"SI",Tabla1[NIVEL DE COMPLEJIDAD DE LA ATENCION DE LA INSTITUCION DONDE SE ATENDIO EL PARTO],"MEDIANA"),COUNTIFS(Tabla1[AÑO PARTO],$B$4,Tabla1[MES PARTO],K6,Tabla1[SALE DEL PROGRAMA POR],"CESAREA",Tabla1[DILIGENCIAMIENTO DE PARTOGRAMA (NO APLICA EN EXPULSIVO)],"SI",Tabla1[NIVEL DE COMPLEJIDAD DE LA ATENCION DE LA INSTITUCION DONDE SE ATENDIO EL PARTO],"ALTA"))</f>
        <v>0</v>
      </c>
      <c r="L112" s="203">
        <f>SUM(COUNTIFS(Tabla1[AÑO PARTO],$B$4,Tabla1[MES PARTO],L6,Tabla1[SALE DEL PROGRAMA POR],"PARTO",Tabla1[DILIGENCIAMIENTO DE PARTOGRAMA (NO APLICA EN EXPULSIVO)],"SI",Tabla1[NIVEL DE COMPLEJIDAD DE LA ATENCION DE LA INSTITUCION DONDE SE ATENDIO EL PARTO],"MEDIANA"),COUNTIFS(Tabla1[AÑO PARTO],$B$4,Tabla1[MES PARTO],L6,Tabla1[SALE DEL PROGRAMA POR],"PARTO",Tabla1[DILIGENCIAMIENTO DE PARTOGRAMA (NO APLICA EN EXPULSIVO)],"SI",Tabla1[NIVEL DE COMPLEJIDAD DE LA ATENCION DE LA INSTITUCION DONDE SE ATENDIO EL PARTO],"ALTA"),COUNTIFS(Tabla1[AÑO PARTO],$B$4,Tabla1[MES PARTO],L6,Tabla1[SALE DEL PROGRAMA POR],"CESAREA",Tabla1[DILIGENCIAMIENTO DE PARTOGRAMA (NO APLICA EN EXPULSIVO)],"SI",Tabla1[NIVEL DE COMPLEJIDAD DE LA ATENCION DE LA INSTITUCION DONDE SE ATENDIO EL PARTO],"MEDIANA"),COUNTIFS(Tabla1[AÑO PARTO],$B$4,Tabla1[MES PARTO],L6,Tabla1[SALE DEL PROGRAMA POR],"CESAREA",Tabla1[DILIGENCIAMIENTO DE PARTOGRAMA (NO APLICA EN EXPULSIVO)],"SI",Tabla1[NIVEL DE COMPLEJIDAD DE LA ATENCION DE LA INSTITUCION DONDE SE ATENDIO EL PARTO],"ALTA"))</f>
        <v>0</v>
      </c>
      <c r="M112" s="203">
        <f>SUM(COUNTIFS(Tabla1[AÑO PARTO],$B$4,Tabla1[MES PARTO],M6,Tabla1[SALE DEL PROGRAMA POR],"PARTO",Tabla1[DILIGENCIAMIENTO DE PARTOGRAMA (NO APLICA EN EXPULSIVO)],"SI",Tabla1[NIVEL DE COMPLEJIDAD DE LA ATENCION DE LA INSTITUCION DONDE SE ATENDIO EL PARTO],"MEDIANA"),COUNTIFS(Tabla1[AÑO PARTO],$B$4,Tabla1[MES PARTO],M6,Tabla1[SALE DEL PROGRAMA POR],"PARTO",Tabla1[DILIGENCIAMIENTO DE PARTOGRAMA (NO APLICA EN EXPULSIVO)],"SI",Tabla1[NIVEL DE COMPLEJIDAD DE LA ATENCION DE LA INSTITUCION DONDE SE ATENDIO EL PARTO],"ALTA"),COUNTIFS(Tabla1[AÑO PARTO],$B$4,Tabla1[MES PARTO],M6,Tabla1[SALE DEL PROGRAMA POR],"CESAREA",Tabla1[DILIGENCIAMIENTO DE PARTOGRAMA (NO APLICA EN EXPULSIVO)],"SI",Tabla1[NIVEL DE COMPLEJIDAD DE LA ATENCION DE LA INSTITUCION DONDE SE ATENDIO EL PARTO],"MEDIANA"),COUNTIFS(Tabla1[AÑO PARTO],$B$4,Tabla1[MES PARTO],M6,Tabla1[SALE DEL PROGRAMA POR],"CESAREA",Tabla1[DILIGENCIAMIENTO DE PARTOGRAMA (NO APLICA EN EXPULSIVO)],"SI",Tabla1[NIVEL DE COMPLEJIDAD DE LA ATENCION DE LA INSTITUCION DONDE SE ATENDIO EL PARTO],"ALTA"))</f>
        <v>0</v>
      </c>
      <c r="N112" s="116">
        <f>SUM(B112:M112)</f>
        <v>0</v>
      </c>
    </row>
    <row r="113" spans="1:14" ht="40.5" customHeight="1" thickBot="1" x14ac:dyDescent="0.3">
      <c r="A113" s="229" t="s">
        <v>797</v>
      </c>
      <c r="B113" s="203">
        <f>SUM(SUM(COUNTIFS(Tabla1[AÑO PARTO],$B$4,Tabla1[MES PARTO],B6,Tabla1[SALE DEL PROGRAMA POR],"PARTO",Tabla1[NIVEL DE COMPLEJIDAD DE LA ATENCION DE LA INSTITUCION DONDE SE ATENDIO EL PARTO],"MEDIANA"),COUNTIFS(Tabla1[AÑO PARTO],$B$4,Tabla1[MES PARTO],B6,Tabla1[SALE DEL PROGRAMA POR],"PARTO",Tabla1[NIVEL DE COMPLEJIDAD DE LA ATENCION DE LA INSTITUCION DONDE SE ATENDIO EL PARTO],"ALTA"),COUNTIFS(Tabla1[AÑO PARTO],$B$4,Tabla1[MES PARTO],B6,Tabla1[SALE DEL PROGRAMA POR],"CESAREA",Tabla1[NIVEL DE COMPLEJIDAD DE LA ATENCION DE LA INSTITUCION DONDE SE ATENDIO EL PARTO],"MEDIANA"),COUNTIFS(Tabla1[AÑO PARTO],$B$4,Tabla1[MES PARTO],B6,Tabla1[SALE DEL PROGRAMA POR],"CESAREA",Tabla1[NIVEL DE COMPLEJIDAD DE LA ATENCION DE LA INSTITUCION DONDE SE ATENDIO EL PARTO],"ALTA"))-SUM(COUNTIFS(Tabla1[AÑO PARTO],$B$4,Tabla1[MES PARTO],B6,Tabla1[SALE DEL PROGRAMA POR],"PARTO",Tabla1[DILIGENCIAMIENTO DE PARTOGRAMA (NO APLICA EN EXPULSIVO)],"NO APLICA",Tabla1[NIVEL DE COMPLEJIDAD DE LA ATENCION DE LA INSTITUCION DONDE SE ATENDIO EL PARTO],"MEDIANA"),COUNTIFS(Tabla1[AÑO PARTO],$B$4,Tabla1[MES PARTO],B6,Tabla1[SALE DEL PROGRAMA POR],"PARTO",Tabla1[DILIGENCIAMIENTO DE PARTOGRAMA (NO APLICA EN EXPULSIVO)],"NO APLICA",Tabla1[NIVEL DE COMPLEJIDAD DE LA ATENCION DE LA INSTITUCION DONDE SE ATENDIO EL PARTO],"ALTA"),COUNTIFS(Tabla1[AÑO PARTO],$B$4,Tabla1[MES PARTO],B6,Tabla1[SALE DEL PROGRAMA POR],"CESAREA",Tabla1[DILIGENCIAMIENTO DE PARTOGRAMA (NO APLICA EN EXPULSIVO)],"NO APLICA",Tabla1[NIVEL DE COMPLEJIDAD DE LA ATENCION DE LA INSTITUCION DONDE SE ATENDIO EL PARTO],"MEDIANA"),COUNTIFS(Tabla1[AÑO PARTO],$B$4,Tabla1[MES PARTO],B6,Tabla1[SALE DEL PROGRAMA POR],"CESAREA",Tabla1[DILIGENCIAMIENTO DE PARTOGRAMA (NO APLICA EN EXPULSIVO)],"NO APLICA",Tabla1[NIVEL DE COMPLEJIDAD DE LA ATENCION DE LA INSTITUCION DONDE SE ATENDIO EL PARTO],"ALTA")))</f>
        <v>0</v>
      </c>
      <c r="C113" s="203">
        <f>SUM(SUM(COUNTIFS(Tabla1[AÑO PARTO],$B$4,Tabla1[MES PARTO],C6,Tabla1[SALE DEL PROGRAMA POR],"PARTO",Tabla1[NIVEL DE COMPLEJIDAD DE LA ATENCION DE LA INSTITUCION DONDE SE ATENDIO EL PARTO],"MEDIANA"),COUNTIFS(Tabla1[AÑO PARTO],$B$4,Tabla1[MES PARTO],C6,Tabla1[SALE DEL PROGRAMA POR],"PARTO",Tabla1[NIVEL DE COMPLEJIDAD DE LA ATENCION DE LA INSTITUCION DONDE SE ATENDIO EL PARTO],"ALTA"),COUNTIFS(Tabla1[AÑO PARTO],$B$4,Tabla1[MES PARTO],C6,Tabla1[SALE DEL PROGRAMA POR],"CESAREA",Tabla1[NIVEL DE COMPLEJIDAD DE LA ATENCION DE LA INSTITUCION DONDE SE ATENDIO EL PARTO],"MEDIANA"),COUNTIFS(Tabla1[AÑO PARTO],$B$4,Tabla1[MES PARTO],C6,Tabla1[SALE DEL PROGRAMA POR],"CESAREA",Tabla1[NIVEL DE COMPLEJIDAD DE LA ATENCION DE LA INSTITUCION DONDE SE ATENDIO EL PARTO],"ALTA"))-SUM(COUNTIFS(Tabla1[AÑO PARTO],$B$4,Tabla1[MES PARTO],C6,Tabla1[SALE DEL PROGRAMA POR],"PARTO",Tabla1[DILIGENCIAMIENTO DE PARTOGRAMA (NO APLICA EN EXPULSIVO)],"NO APLICA",Tabla1[NIVEL DE COMPLEJIDAD DE LA ATENCION DE LA INSTITUCION DONDE SE ATENDIO EL PARTO],"MEDIANA"),COUNTIFS(Tabla1[AÑO PARTO],$B$4,Tabla1[MES PARTO],C6,Tabla1[SALE DEL PROGRAMA POR],"PARTO",Tabla1[DILIGENCIAMIENTO DE PARTOGRAMA (NO APLICA EN EXPULSIVO)],"NO APLICA",Tabla1[NIVEL DE COMPLEJIDAD DE LA ATENCION DE LA INSTITUCION DONDE SE ATENDIO EL PARTO],"ALTA"),COUNTIFS(Tabla1[AÑO PARTO],$B$4,Tabla1[MES PARTO],C6,Tabla1[SALE DEL PROGRAMA POR],"CESAREA",Tabla1[DILIGENCIAMIENTO DE PARTOGRAMA (NO APLICA EN EXPULSIVO)],"NO APLICA",Tabla1[NIVEL DE COMPLEJIDAD DE LA ATENCION DE LA INSTITUCION DONDE SE ATENDIO EL PARTO],"MEDIANA"),COUNTIFS(Tabla1[AÑO PARTO],$B$4,Tabla1[MES PARTO],C6,Tabla1[SALE DEL PROGRAMA POR],"CESAREA",Tabla1[DILIGENCIAMIENTO DE PARTOGRAMA (NO APLICA EN EXPULSIVO)],"NO APLICA",Tabla1[NIVEL DE COMPLEJIDAD DE LA ATENCION DE LA INSTITUCION DONDE SE ATENDIO EL PARTO],"ALTA")))</f>
        <v>0</v>
      </c>
      <c r="D113" s="203">
        <f>SUM(SUM(COUNTIFS(Tabla1[AÑO PARTO],$B$4,Tabla1[MES PARTO],D6,Tabla1[SALE DEL PROGRAMA POR],"PARTO",Tabla1[NIVEL DE COMPLEJIDAD DE LA ATENCION DE LA INSTITUCION DONDE SE ATENDIO EL PARTO],"MEDIANA"),COUNTIFS(Tabla1[AÑO PARTO],$B$4,Tabla1[MES PARTO],D6,Tabla1[SALE DEL PROGRAMA POR],"PARTO",Tabla1[NIVEL DE COMPLEJIDAD DE LA ATENCION DE LA INSTITUCION DONDE SE ATENDIO EL PARTO],"ALTA"),COUNTIFS(Tabla1[AÑO PARTO],$B$4,Tabla1[MES PARTO],D6,Tabla1[SALE DEL PROGRAMA POR],"CESAREA",Tabla1[NIVEL DE COMPLEJIDAD DE LA ATENCION DE LA INSTITUCION DONDE SE ATENDIO EL PARTO],"MEDIANA"),COUNTIFS(Tabla1[AÑO PARTO],$B$4,Tabla1[MES PARTO],D6,Tabla1[SALE DEL PROGRAMA POR],"CESAREA",Tabla1[NIVEL DE COMPLEJIDAD DE LA ATENCION DE LA INSTITUCION DONDE SE ATENDIO EL PARTO],"ALTA"))-SUM(COUNTIFS(Tabla1[AÑO PARTO],$B$4,Tabla1[MES PARTO],D6,Tabla1[SALE DEL PROGRAMA POR],"PARTO",Tabla1[DILIGENCIAMIENTO DE PARTOGRAMA (NO APLICA EN EXPULSIVO)],"NO APLICA",Tabla1[NIVEL DE COMPLEJIDAD DE LA ATENCION DE LA INSTITUCION DONDE SE ATENDIO EL PARTO],"MEDIANA"),COUNTIFS(Tabla1[AÑO PARTO],$B$4,Tabla1[MES PARTO],D6,Tabla1[SALE DEL PROGRAMA POR],"PARTO",Tabla1[DILIGENCIAMIENTO DE PARTOGRAMA (NO APLICA EN EXPULSIVO)],"NO APLICA",Tabla1[NIVEL DE COMPLEJIDAD DE LA ATENCION DE LA INSTITUCION DONDE SE ATENDIO EL PARTO],"ALTA"),COUNTIFS(Tabla1[AÑO PARTO],$B$4,Tabla1[MES PARTO],D6,Tabla1[SALE DEL PROGRAMA POR],"CESAREA",Tabla1[DILIGENCIAMIENTO DE PARTOGRAMA (NO APLICA EN EXPULSIVO)],"NO APLICA",Tabla1[NIVEL DE COMPLEJIDAD DE LA ATENCION DE LA INSTITUCION DONDE SE ATENDIO EL PARTO],"MEDIANA"),COUNTIFS(Tabla1[AÑO PARTO],$B$4,Tabla1[MES PARTO],D6,Tabla1[SALE DEL PROGRAMA POR],"CESAREA",Tabla1[DILIGENCIAMIENTO DE PARTOGRAMA (NO APLICA EN EXPULSIVO)],"NO APLICA",Tabla1[NIVEL DE COMPLEJIDAD DE LA ATENCION DE LA INSTITUCION DONDE SE ATENDIO EL PARTO],"ALTA")))</f>
        <v>0</v>
      </c>
      <c r="E113" s="203">
        <f>SUM(SUM(COUNTIFS(Tabla1[AÑO PARTO],$B$4,Tabla1[MES PARTO],E6,Tabla1[SALE DEL PROGRAMA POR],"PARTO",Tabla1[NIVEL DE COMPLEJIDAD DE LA ATENCION DE LA INSTITUCION DONDE SE ATENDIO EL PARTO],"MEDIANA"),COUNTIFS(Tabla1[AÑO PARTO],$B$4,Tabla1[MES PARTO],E6,Tabla1[SALE DEL PROGRAMA POR],"PARTO",Tabla1[NIVEL DE COMPLEJIDAD DE LA ATENCION DE LA INSTITUCION DONDE SE ATENDIO EL PARTO],"ALTA"),COUNTIFS(Tabla1[AÑO PARTO],$B$4,Tabla1[MES PARTO],E6,Tabla1[SALE DEL PROGRAMA POR],"CESAREA",Tabla1[NIVEL DE COMPLEJIDAD DE LA ATENCION DE LA INSTITUCION DONDE SE ATENDIO EL PARTO],"MEDIANA"),COUNTIFS(Tabla1[AÑO PARTO],$B$4,Tabla1[MES PARTO],E6,Tabla1[SALE DEL PROGRAMA POR],"CESAREA",Tabla1[NIVEL DE COMPLEJIDAD DE LA ATENCION DE LA INSTITUCION DONDE SE ATENDIO EL PARTO],"ALTA"))-SUM(COUNTIFS(Tabla1[AÑO PARTO],$B$4,Tabla1[MES PARTO],E6,Tabla1[SALE DEL PROGRAMA POR],"PARTO",Tabla1[DILIGENCIAMIENTO DE PARTOGRAMA (NO APLICA EN EXPULSIVO)],"NO APLICA",Tabla1[NIVEL DE COMPLEJIDAD DE LA ATENCION DE LA INSTITUCION DONDE SE ATENDIO EL PARTO],"MEDIANA"),COUNTIFS(Tabla1[AÑO PARTO],$B$4,Tabla1[MES PARTO],E6,Tabla1[SALE DEL PROGRAMA POR],"PARTO",Tabla1[DILIGENCIAMIENTO DE PARTOGRAMA (NO APLICA EN EXPULSIVO)],"NO APLICA",Tabla1[NIVEL DE COMPLEJIDAD DE LA ATENCION DE LA INSTITUCION DONDE SE ATENDIO EL PARTO],"ALTA"),COUNTIFS(Tabla1[AÑO PARTO],$B$4,Tabla1[MES PARTO],E6,Tabla1[SALE DEL PROGRAMA POR],"CESAREA",Tabla1[DILIGENCIAMIENTO DE PARTOGRAMA (NO APLICA EN EXPULSIVO)],"NO APLICA",Tabla1[NIVEL DE COMPLEJIDAD DE LA ATENCION DE LA INSTITUCION DONDE SE ATENDIO EL PARTO],"MEDIANA"),COUNTIFS(Tabla1[AÑO PARTO],$B$4,Tabla1[MES PARTO],E6,Tabla1[SALE DEL PROGRAMA POR],"CESAREA",Tabla1[DILIGENCIAMIENTO DE PARTOGRAMA (NO APLICA EN EXPULSIVO)],"NO APLICA",Tabla1[NIVEL DE COMPLEJIDAD DE LA ATENCION DE LA INSTITUCION DONDE SE ATENDIO EL PARTO],"ALTA")))</f>
        <v>0</v>
      </c>
      <c r="F113" s="203">
        <f>SUM(SUM(COUNTIFS(Tabla1[AÑO PARTO],$B$4,Tabla1[MES PARTO],F6,Tabla1[SALE DEL PROGRAMA POR],"PARTO",Tabla1[NIVEL DE COMPLEJIDAD DE LA ATENCION DE LA INSTITUCION DONDE SE ATENDIO EL PARTO],"MEDIANA"),COUNTIFS(Tabla1[AÑO PARTO],$B$4,Tabla1[MES PARTO],F6,Tabla1[SALE DEL PROGRAMA POR],"PARTO",Tabla1[NIVEL DE COMPLEJIDAD DE LA ATENCION DE LA INSTITUCION DONDE SE ATENDIO EL PARTO],"ALTA"),COUNTIFS(Tabla1[AÑO PARTO],$B$4,Tabla1[MES PARTO],F6,Tabla1[SALE DEL PROGRAMA POR],"CESAREA",Tabla1[NIVEL DE COMPLEJIDAD DE LA ATENCION DE LA INSTITUCION DONDE SE ATENDIO EL PARTO],"MEDIANA"),COUNTIFS(Tabla1[AÑO PARTO],$B$4,Tabla1[MES PARTO],F6,Tabla1[SALE DEL PROGRAMA POR],"CESAREA",Tabla1[NIVEL DE COMPLEJIDAD DE LA ATENCION DE LA INSTITUCION DONDE SE ATENDIO EL PARTO],"ALTA"))-SUM(COUNTIFS(Tabla1[AÑO PARTO],$B$4,Tabla1[MES PARTO],F6,Tabla1[SALE DEL PROGRAMA POR],"PARTO",Tabla1[DILIGENCIAMIENTO DE PARTOGRAMA (NO APLICA EN EXPULSIVO)],"NO APLICA",Tabla1[NIVEL DE COMPLEJIDAD DE LA ATENCION DE LA INSTITUCION DONDE SE ATENDIO EL PARTO],"MEDIANA"),COUNTIFS(Tabla1[AÑO PARTO],$B$4,Tabla1[MES PARTO],F6,Tabla1[SALE DEL PROGRAMA POR],"PARTO",Tabla1[DILIGENCIAMIENTO DE PARTOGRAMA (NO APLICA EN EXPULSIVO)],"NO APLICA",Tabla1[NIVEL DE COMPLEJIDAD DE LA ATENCION DE LA INSTITUCION DONDE SE ATENDIO EL PARTO],"ALTA"),COUNTIFS(Tabla1[AÑO PARTO],$B$4,Tabla1[MES PARTO],F6,Tabla1[SALE DEL PROGRAMA POR],"CESAREA",Tabla1[DILIGENCIAMIENTO DE PARTOGRAMA (NO APLICA EN EXPULSIVO)],"NO APLICA",Tabla1[NIVEL DE COMPLEJIDAD DE LA ATENCION DE LA INSTITUCION DONDE SE ATENDIO EL PARTO],"MEDIANA"),COUNTIFS(Tabla1[AÑO PARTO],$B$4,Tabla1[MES PARTO],F6,Tabla1[SALE DEL PROGRAMA POR],"CESAREA",Tabla1[DILIGENCIAMIENTO DE PARTOGRAMA (NO APLICA EN EXPULSIVO)],"NO APLICA",Tabla1[NIVEL DE COMPLEJIDAD DE LA ATENCION DE LA INSTITUCION DONDE SE ATENDIO EL PARTO],"ALTA")))</f>
        <v>0</v>
      </c>
      <c r="G113" s="203">
        <f>SUM(SUM(COUNTIFS(Tabla1[AÑO PARTO],$B$4,Tabla1[MES PARTO],G6,Tabla1[SALE DEL PROGRAMA POR],"PARTO",Tabla1[NIVEL DE COMPLEJIDAD DE LA ATENCION DE LA INSTITUCION DONDE SE ATENDIO EL PARTO],"MEDIANA"),COUNTIFS(Tabla1[AÑO PARTO],$B$4,Tabla1[MES PARTO],G6,Tabla1[SALE DEL PROGRAMA POR],"PARTO",Tabla1[NIVEL DE COMPLEJIDAD DE LA ATENCION DE LA INSTITUCION DONDE SE ATENDIO EL PARTO],"ALTA"),COUNTIFS(Tabla1[AÑO PARTO],$B$4,Tabla1[MES PARTO],G6,Tabla1[SALE DEL PROGRAMA POR],"CESAREA",Tabla1[NIVEL DE COMPLEJIDAD DE LA ATENCION DE LA INSTITUCION DONDE SE ATENDIO EL PARTO],"MEDIANA"),COUNTIFS(Tabla1[AÑO PARTO],$B$4,Tabla1[MES PARTO],G6,Tabla1[SALE DEL PROGRAMA POR],"CESAREA",Tabla1[NIVEL DE COMPLEJIDAD DE LA ATENCION DE LA INSTITUCION DONDE SE ATENDIO EL PARTO],"ALTA"))-SUM(COUNTIFS(Tabla1[AÑO PARTO],$B$4,Tabla1[MES PARTO],G6,Tabla1[SALE DEL PROGRAMA POR],"PARTO",Tabla1[DILIGENCIAMIENTO DE PARTOGRAMA (NO APLICA EN EXPULSIVO)],"NO APLICA",Tabla1[NIVEL DE COMPLEJIDAD DE LA ATENCION DE LA INSTITUCION DONDE SE ATENDIO EL PARTO],"MEDIANA"),COUNTIFS(Tabla1[AÑO PARTO],$B$4,Tabla1[MES PARTO],G6,Tabla1[SALE DEL PROGRAMA POR],"PARTO",Tabla1[DILIGENCIAMIENTO DE PARTOGRAMA (NO APLICA EN EXPULSIVO)],"NO APLICA",Tabla1[NIVEL DE COMPLEJIDAD DE LA ATENCION DE LA INSTITUCION DONDE SE ATENDIO EL PARTO],"ALTA"),COUNTIFS(Tabla1[AÑO PARTO],$B$4,Tabla1[MES PARTO],G6,Tabla1[SALE DEL PROGRAMA POR],"CESAREA",Tabla1[DILIGENCIAMIENTO DE PARTOGRAMA (NO APLICA EN EXPULSIVO)],"NO APLICA",Tabla1[NIVEL DE COMPLEJIDAD DE LA ATENCION DE LA INSTITUCION DONDE SE ATENDIO EL PARTO],"MEDIANA"),COUNTIFS(Tabla1[AÑO PARTO],$B$4,Tabla1[MES PARTO],G6,Tabla1[SALE DEL PROGRAMA POR],"CESAREA",Tabla1[DILIGENCIAMIENTO DE PARTOGRAMA (NO APLICA EN EXPULSIVO)],"NO APLICA",Tabla1[NIVEL DE COMPLEJIDAD DE LA ATENCION DE LA INSTITUCION DONDE SE ATENDIO EL PARTO],"ALTA")))</f>
        <v>0</v>
      </c>
      <c r="H113" s="203">
        <f>SUM(SUM(COUNTIFS(Tabla1[AÑO PARTO],$B$4,Tabla1[MES PARTO],H6,Tabla1[SALE DEL PROGRAMA POR],"PARTO",Tabla1[NIVEL DE COMPLEJIDAD DE LA ATENCION DE LA INSTITUCION DONDE SE ATENDIO EL PARTO],"MEDIANA"),COUNTIFS(Tabla1[AÑO PARTO],$B$4,Tabla1[MES PARTO],H6,Tabla1[SALE DEL PROGRAMA POR],"PARTO",Tabla1[NIVEL DE COMPLEJIDAD DE LA ATENCION DE LA INSTITUCION DONDE SE ATENDIO EL PARTO],"ALTA"),COUNTIFS(Tabla1[AÑO PARTO],$B$4,Tabla1[MES PARTO],H6,Tabla1[SALE DEL PROGRAMA POR],"CESAREA",Tabla1[NIVEL DE COMPLEJIDAD DE LA ATENCION DE LA INSTITUCION DONDE SE ATENDIO EL PARTO],"MEDIANA"),COUNTIFS(Tabla1[AÑO PARTO],$B$4,Tabla1[MES PARTO],H6,Tabla1[SALE DEL PROGRAMA POR],"CESAREA",Tabla1[NIVEL DE COMPLEJIDAD DE LA ATENCION DE LA INSTITUCION DONDE SE ATENDIO EL PARTO],"ALTA"))-SUM(COUNTIFS(Tabla1[AÑO PARTO],$B$4,Tabla1[MES PARTO],H6,Tabla1[SALE DEL PROGRAMA POR],"PARTO",Tabla1[DILIGENCIAMIENTO DE PARTOGRAMA (NO APLICA EN EXPULSIVO)],"NO APLICA",Tabla1[NIVEL DE COMPLEJIDAD DE LA ATENCION DE LA INSTITUCION DONDE SE ATENDIO EL PARTO],"MEDIANA"),COUNTIFS(Tabla1[AÑO PARTO],$B$4,Tabla1[MES PARTO],H6,Tabla1[SALE DEL PROGRAMA POR],"PARTO",Tabla1[DILIGENCIAMIENTO DE PARTOGRAMA (NO APLICA EN EXPULSIVO)],"NO APLICA",Tabla1[NIVEL DE COMPLEJIDAD DE LA ATENCION DE LA INSTITUCION DONDE SE ATENDIO EL PARTO],"ALTA"),COUNTIFS(Tabla1[AÑO PARTO],$B$4,Tabla1[MES PARTO],H6,Tabla1[SALE DEL PROGRAMA POR],"CESAREA",Tabla1[DILIGENCIAMIENTO DE PARTOGRAMA (NO APLICA EN EXPULSIVO)],"NO APLICA",Tabla1[NIVEL DE COMPLEJIDAD DE LA ATENCION DE LA INSTITUCION DONDE SE ATENDIO EL PARTO],"MEDIANA"),COUNTIFS(Tabla1[AÑO PARTO],$B$4,Tabla1[MES PARTO],H6,Tabla1[SALE DEL PROGRAMA POR],"CESAREA",Tabla1[DILIGENCIAMIENTO DE PARTOGRAMA (NO APLICA EN EXPULSIVO)],"NO APLICA",Tabla1[NIVEL DE COMPLEJIDAD DE LA ATENCION DE LA INSTITUCION DONDE SE ATENDIO EL PARTO],"ALTA")))</f>
        <v>0</v>
      </c>
      <c r="I113" s="203">
        <f>SUM(SUM(COUNTIFS(Tabla1[AÑO PARTO],$B$4,Tabla1[MES PARTO],I6,Tabla1[SALE DEL PROGRAMA POR],"PARTO",Tabla1[NIVEL DE COMPLEJIDAD DE LA ATENCION DE LA INSTITUCION DONDE SE ATENDIO EL PARTO],"MEDIANA"),COUNTIFS(Tabla1[AÑO PARTO],$B$4,Tabla1[MES PARTO],I6,Tabla1[SALE DEL PROGRAMA POR],"PARTO",Tabla1[NIVEL DE COMPLEJIDAD DE LA ATENCION DE LA INSTITUCION DONDE SE ATENDIO EL PARTO],"ALTA"),COUNTIFS(Tabla1[AÑO PARTO],$B$4,Tabla1[MES PARTO],I6,Tabla1[SALE DEL PROGRAMA POR],"CESAREA",Tabla1[NIVEL DE COMPLEJIDAD DE LA ATENCION DE LA INSTITUCION DONDE SE ATENDIO EL PARTO],"MEDIANA"),COUNTIFS(Tabla1[AÑO PARTO],$B$4,Tabla1[MES PARTO],I6,Tabla1[SALE DEL PROGRAMA POR],"CESAREA",Tabla1[NIVEL DE COMPLEJIDAD DE LA ATENCION DE LA INSTITUCION DONDE SE ATENDIO EL PARTO],"ALTA"))-SUM(COUNTIFS(Tabla1[AÑO PARTO],$B$4,Tabla1[MES PARTO],I6,Tabla1[SALE DEL PROGRAMA POR],"PARTO",Tabla1[DILIGENCIAMIENTO DE PARTOGRAMA (NO APLICA EN EXPULSIVO)],"NO APLICA",Tabla1[NIVEL DE COMPLEJIDAD DE LA ATENCION DE LA INSTITUCION DONDE SE ATENDIO EL PARTO],"MEDIANA"),COUNTIFS(Tabla1[AÑO PARTO],$B$4,Tabla1[MES PARTO],I6,Tabla1[SALE DEL PROGRAMA POR],"PARTO",Tabla1[DILIGENCIAMIENTO DE PARTOGRAMA (NO APLICA EN EXPULSIVO)],"NO APLICA",Tabla1[NIVEL DE COMPLEJIDAD DE LA ATENCION DE LA INSTITUCION DONDE SE ATENDIO EL PARTO],"ALTA"),COUNTIFS(Tabla1[AÑO PARTO],$B$4,Tabla1[MES PARTO],I6,Tabla1[SALE DEL PROGRAMA POR],"CESAREA",Tabla1[DILIGENCIAMIENTO DE PARTOGRAMA (NO APLICA EN EXPULSIVO)],"NO APLICA",Tabla1[NIVEL DE COMPLEJIDAD DE LA ATENCION DE LA INSTITUCION DONDE SE ATENDIO EL PARTO],"MEDIANA"),COUNTIFS(Tabla1[AÑO PARTO],$B$4,Tabla1[MES PARTO],I6,Tabla1[SALE DEL PROGRAMA POR],"CESAREA",Tabla1[DILIGENCIAMIENTO DE PARTOGRAMA (NO APLICA EN EXPULSIVO)],"NO APLICA",Tabla1[NIVEL DE COMPLEJIDAD DE LA ATENCION DE LA INSTITUCION DONDE SE ATENDIO EL PARTO],"ALTA")))</f>
        <v>0</v>
      </c>
      <c r="J113" s="203">
        <f>SUM(SUM(COUNTIFS(Tabla1[AÑO PARTO],$B$4,Tabla1[MES PARTO],J6,Tabla1[SALE DEL PROGRAMA POR],"PARTO",Tabla1[NIVEL DE COMPLEJIDAD DE LA ATENCION DE LA INSTITUCION DONDE SE ATENDIO EL PARTO],"MEDIANA"),COUNTIFS(Tabla1[AÑO PARTO],$B$4,Tabla1[MES PARTO],J6,Tabla1[SALE DEL PROGRAMA POR],"PARTO",Tabla1[NIVEL DE COMPLEJIDAD DE LA ATENCION DE LA INSTITUCION DONDE SE ATENDIO EL PARTO],"ALTA"),COUNTIFS(Tabla1[AÑO PARTO],$B$4,Tabla1[MES PARTO],J6,Tabla1[SALE DEL PROGRAMA POR],"CESAREA",Tabla1[NIVEL DE COMPLEJIDAD DE LA ATENCION DE LA INSTITUCION DONDE SE ATENDIO EL PARTO],"MEDIANA"),COUNTIFS(Tabla1[AÑO PARTO],$B$4,Tabla1[MES PARTO],J6,Tabla1[SALE DEL PROGRAMA POR],"CESAREA",Tabla1[NIVEL DE COMPLEJIDAD DE LA ATENCION DE LA INSTITUCION DONDE SE ATENDIO EL PARTO],"ALTA"))-SUM(COUNTIFS(Tabla1[AÑO PARTO],$B$4,Tabla1[MES PARTO],J6,Tabla1[SALE DEL PROGRAMA POR],"PARTO",Tabla1[DILIGENCIAMIENTO DE PARTOGRAMA (NO APLICA EN EXPULSIVO)],"NO APLICA",Tabla1[NIVEL DE COMPLEJIDAD DE LA ATENCION DE LA INSTITUCION DONDE SE ATENDIO EL PARTO],"MEDIANA"),COUNTIFS(Tabla1[AÑO PARTO],$B$4,Tabla1[MES PARTO],J6,Tabla1[SALE DEL PROGRAMA POR],"PARTO",Tabla1[DILIGENCIAMIENTO DE PARTOGRAMA (NO APLICA EN EXPULSIVO)],"NO APLICA",Tabla1[NIVEL DE COMPLEJIDAD DE LA ATENCION DE LA INSTITUCION DONDE SE ATENDIO EL PARTO],"ALTA"),COUNTIFS(Tabla1[AÑO PARTO],$B$4,Tabla1[MES PARTO],J6,Tabla1[SALE DEL PROGRAMA POR],"CESAREA",Tabla1[DILIGENCIAMIENTO DE PARTOGRAMA (NO APLICA EN EXPULSIVO)],"NO APLICA",Tabla1[NIVEL DE COMPLEJIDAD DE LA ATENCION DE LA INSTITUCION DONDE SE ATENDIO EL PARTO],"MEDIANA"),COUNTIFS(Tabla1[AÑO PARTO],$B$4,Tabla1[MES PARTO],J6,Tabla1[SALE DEL PROGRAMA POR],"CESAREA",Tabla1[DILIGENCIAMIENTO DE PARTOGRAMA (NO APLICA EN EXPULSIVO)],"NO APLICA",Tabla1[NIVEL DE COMPLEJIDAD DE LA ATENCION DE LA INSTITUCION DONDE SE ATENDIO EL PARTO],"ALTA")))</f>
        <v>0</v>
      </c>
      <c r="K113" s="203">
        <f>SUM(SUM(COUNTIFS(Tabla1[AÑO PARTO],$B$4,Tabla1[MES PARTO],K6,Tabla1[SALE DEL PROGRAMA POR],"PARTO",Tabla1[NIVEL DE COMPLEJIDAD DE LA ATENCION DE LA INSTITUCION DONDE SE ATENDIO EL PARTO],"MEDIANA"),COUNTIFS(Tabla1[AÑO PARTO],$B$4,Tabla1[MES PARTO],K6,Tabla1[SALE DEL PROGRAMA POR],"PARTO",Tabla1[NIVEL DE COMPLEJIDAD DE LA ATENCION DE LA INSTITUCION DONDE SE ATENDIO EL PARTO],"ALTA"),COUNTIFS(Tabla1[AÑO PARTO],$B$4,Tabla1[MES PARTO],K6,Tabla1[SALE DEL PROGRAMA POR],"CESAREA",Tabla1[NIVEL DE COMPLEJIDAD DE LA ATENCION DE LA INSTITUCION DONDE SE ATENDIO EL PARTO],"MEDIANA"),COUNTIFS(Tabla1[AÑO PARTO],$B$4,Tabla1[MES PARTO],K6,Tabla1[SALE DEL PROGRAMA POR],"CESAREA",Tabla1[NIVEL DE COMPLEJIDAD DE LA ATENCION DE LA INSTITUCION DONDE SE ATENDIO EL PARTO],"ALTA"))-SUM(COUNTIFS(Tabla1[AÑO PARTO],$B$4,Tabla1[MES PARTO],K6,Tabla1[SALE DEL PROGRAMA POR],"PARTO",Tabla1[DILIGENCIAMIENTO DE PARTOGRAMA (NO APLICA EN EXPULSIVO)],"NO APLICA",Tabla1[NIVEL DE COMPLEJIDAD DE LA ATENCION DE LA INSTITUCION DONDE SE ATENDIO EL PARTO],"MEDIANA"),COUNTIFS(Tabla1[AÑO PARTO],$B$4,Tabla1[MES PARTO],K6,Tabla1[SALE DEL PROGRAMA POR],"PARTO",Tabla1[DILIGENCIAMIENTO DE PARTOGRAMA (NO APLICA EN EXPULSIVO)],"NO APLICA",Tabla1[NIVEL DE COMPLEJIDAD DE LA ATENCION DE LA INSTITUCION DONDE SE ATENDIO EL PARTO],"ALTA"),COUNTIFS(Tabla1[AÑO PARTO],$B$4,Tabla1[MES PARTO],K6,Tabla1[SALE DEL PROGRAMA POR],"CESAREA",Tabla1[DILIGENCIAMIENTO DE PARTOGRAMA (NO APLICA EN EXPULSIVO)],"NO APLICA",Tabla1[NIVEL DE COMPLEJIDAD DE LA ATENCION DE LA INSTITUCION DONDE SE ATENDIO EL PARTO],"MEDIANA"),COUNTIFS(Tabla1[AÑO PARTO],$B$4,Tabla1[MES PARTO],K6,Tabla1[SALE DEL PROGRAMA POR],"CESAREA",Tabla1[DILIGENCIAMIENTO DE PARTOGRAMA (NO APLICA EN EXPULSIVO)],"NO APLICA",Tabla1[NIVEL DE COMPLEJIDAD DE LA ATENCION DE LA INSTITUCION DONDE SE ATENDIO EL PARTO],"ALTA")))</f>
        <v>0</v>
      </c>
      <c r="L113" s="203">
        <f>SUM(SUM(COUNTIFS(Tabla1[AÑO PARTO],$B$4,Tabla1[MES PARTO],L6,Tabla1[SALE DEL PROGRAMA POR],"PARTO",Tabla1[NIVEL DE COMPLEJIDAD DE LA ATENCION DE LA INSTITUCION DONDE SE ATENDIO EL PARTO],"MEDIANA"),COUNTIFS(Tabla1[AÑO PARTO],$B$4,Tabla1[MES PARTO],L6,Tabla1[SALE DEL PROGRAMA POR],"PARTO",Tabla1[NIVEL DE COMPLEJIDAD DE LA ATENCION DE LA INSTITUCION DONDE SE ATENDIO EL PARTO],"ALTA"),COUNTIFS(Tabla1[AÑO PARTO],$B$4,Tabla1[MES PARTO],L6,Tabla1[SALE DEL PROGRAMA POR],"CESAREA",Tabla1[NIVEL DE COMPLEJIDAD DE LA ATENCION DE LA INSTITUCION DONDE SE ATENDIO EL PARTO],"MEDIANA"),COUNTIFS(Tabla1[AÑO PARTO],$B$4,Tabla1[MES PARTO],L6,Tabla1[SALE DEL PROGRAMA POR],"CESAREA",Tabla1[NIVEL DE COMPLEJIDAD DE LA ATENCION DE LA INSTITUCION DONDE SE ATENDIO EL PARTO],"ALTA"))-SUM(COUNTIFS(Tabla1[AÑO PARTO],$B$4,Tabla1[MES PARTO],L6,Tabla1[SALE DEL PROGRAMA POR],"PARTO",Tabla1[DILIGENCIAMIENTO DE PARTOGRAMA (NO APLICA EN EXPULSIVO)],"NO APLICA",Tabla1[NIVEL DE COMPLEJIDAD DE LA ATENCION DE LA INSTITUCION DONDE SE ATENDIO EL PARTO],"MEDIANA"),COUNTIFS(Tabla1[AÑO PARTO],$B$4,Tabla1[MES PARTO],L6,Tabla1[SALE DEL PROGRAMA POR],"PARTO",Tabla1[DILIGENCIAMIENTO DE PARTOGRAMA (NO APLICA EN EXPULSIVO)],"NO APLICA",Tabla1[NIVEL DE COMPLEJIDAD DE LA ATENCION DE LA INSTITUCION DONDE SE ATENDIO EL PARTO],"ALTA"),COUNTIFS(Tabla1[AÑO PARTO],$B$4,Tabla1[MES PARTO],L6,Tabla1[SALE DEL PROGRAMA POR],"CESAREA",Tabla1[DILIGENCIAMIENTO DE PARTOGRAMA (NO APLICA EN EXPULSIVO)],"NO APLICA",Tabla1[NIVEL DE COMPLEJIDAD DE LA ATENCION DE LA INSTITUCION DONDE SE ATENDIO EL PARTO],"MEDIANA"),COUNTIFS(Tabla1[AÑO PARTO],$B$4,Tabla1[MES PARTO],L6,Tabla1[SALE DEL PROGRAMA POR],"CESAREA",Tabla1[DILIGENCIAMIENTO DE PARTOGRAMA (NO APLICA EN EXPULSIVO)],"NO APLICA",Tabla1[NIVEL DE COMPLEJIDAD DE LA ATENCION DE LA INSTITUCION DONDE SE ATENDIO EL PARTO],"ALTA")))</f>
        <v>0</v>
      </c>
      <c r="M113" s="203">
        <f>SUM(SUM(COUNTIFS(Tabla1[AÑO PARTO],$B$4,Tabla1[MES PARTO],M6,Tabla1[SALE DEL PROGRAMA POR],"PARTO",Tabla1[NIVEL DE COMPLEJIDAD DE LA ATENCION DE LA INSTITUCION DONDE SE ATENDIO EL PARTO],"MEDIANA"),COUNTIFS(Tabla1[AÑO PARTO],$B$4,Tabla1[MES PARTO],M6,Tabla1[SALE DEL PROGRAMA POR],"PARTO",Tabla1[NIVEL DE COMPLEJIDAD DE LA ATENCION DE LA INSTITUCION DONDE SE ATENDIO EL PARTO],"ALTA"),COUNTIFS(Tabla1[AÑO PARTO],$B$4,Tabla1[MES PARTO],M6,Tabla1[SALE DEL PROGRAMA POR],"CESAREA",Tabla1[NIVEL DE COMPLEJIDAD DE LA ATENCION DE LA INSTITUCION DONDE SE ATENDIO EL PARTO],"MEDIANA"),COUNTIFS(Tabla1[AÑO PARTO],$B$4,Tabla1[MES PARTO],M6,Tabla1[SALE DEL PROGRAMA POR],"CESAREA",Tabla1[NIVEL DE COMPLEJIDAD DE LA ATENCION DE LA INSTITUCION DONDE SE ATENDIO EL PARTO],"ALTA"))-SUM(COUNTIFS(Tabla1[AÑO PARTO],$B$4,Tabla1[MES PARTO],M6,Tabla1[SALE DEL PROGRAMA POR],"PARTO",Tabla1[DILIGENCIAMIENTO DE PARTOGRAMA (NO APLICA EN EXPULSIVO)],"NO APLICA",Tabla1[NIVEL DE COMPLEJIDAD DE LA ATENCION DE LA INSTITUCION DONDE SE ATENDIO EL PARTO],"MEDIANA"),COUNTIFS(Tabla1[AÑO PARTO],$B$4,Tabla1[MES PARTO],M6,Tabla1[SALE DEL PROGRAMA POR],"PARTO",Tabla1[DILIGENCIAMIENTO DE PARTOGRAMA (NO APLICA EN EXPULSIVO)],"NO APLICA",Tabla1[NIVEL DE COMPLEJIDAD DE LA ATENCION DE LA INSTITUCION DONDE SE ATENDIO EL PARTO],"ALTA"),COUNTIFS(Tabla1[AÑO PARTO],$B$4,Tabla1[MES PARTO],M6,Tabla1[SALE DEL PROGRAMA POR],"CESAREA",Tabla1[DILIGENCIAMIENTO DE PARTOGRAMA (NO APLICA EN EXPULSIVO)],"NO APLICA",Tabla1[NIVEL DE COMPLEJIDAD DE LA ATENCION DE LA INSTITUCION DONDE SE ATENDIO EL PARTO],"MEDIANA"),COUNTIFS(Tabla1[AÑO PARTO],$B$4,Tabla1[MES PARTO],M6,Tabla1[SALE DEL PROGRAMA POR],"CESAREA",Tabla1[DILIGENCIAMIENTO DE PARTOGRAMA (NO APLICA EN EXPULSIVO)],"NO APLICA",Tabla1[NIVEL DE COMPLEJIDAD DE LA ATENCION DE LA INSTITUCION DONDE SE ATENDIO EL PARTO],"ALTA")))</f>
        <v>0</v>
      </c>
      <c r="N113" s="116">
        <f>SUM(B113:M113)</f>
        <v>0</v>
      </c>
    </row>
    <row r="114" spans="1:14" ht="39" customHeight="1" thickBot="1" x14ac:dyDescent="0.3">
      <c r="A114" s="207" t="s">
        <v>798</v>
      </c>
      <c r="B114" s="117" t="str">
        <f t="shared" ref="B114:N114" si="37">IF(B$113=0,"",SUM(B112/B$113))</f>
        <v/>
      </c>
      <c r="C114" s="118" t="str">
        <f t="shared" si="37"/>
        <v/>
      </c>
      <c r="D114" s="118" t="str">
        <f t="shared" si="37"/>
        <v/>
      </c>
      <c r="E114" s="118" t="str">
        <f t="shared" si="37"/>
        <v/>
      </c>
      <c r="F114" s="118" t="str">
        <f t="shared" si="37"/>
        <v/>
      </c>
      <c r="G114" s="118" t="str">
        <f t="shared" si="37"/>
        <v/>
      </c>
      <c r="H114" s="118" t="str">
        <f t="shared" si="37"/>
        <v/>
      </c>
      <c r="I114" s="118" t="str">
        <f t="shared" si="37"/>
        <v/>
      </c>
      <c r="J114" s="118" t="str">
        <f t="shared" si="37"/>
        <v/>
      </c>
      <c r="K114" s="118" t="str">
        <f t="shared" si="37"/>
        <v/>
      </c>
      <c r="L114" s="118" t="str">
        <f t="shared" si="37"/>
        <v/>
      </c>
      <c r="M114" s="118" t="str">
        <f t="shared" si="37"/>
        <v/>
      </c>
      <c r="N114" s="208" t="str">
        <f t="shared" si="37"/>
        <v/>
      </c>
    </row>
    <row r="115" spans="1:14" ht="42.75" customHeight="1" thickBot="1" x14ac:dyDescent="0.3">
      <c r="A115" s="191" t="s">
        <v>753</v>
      </c>
      <c r="B115" s="205">
        <f>COUNTIFS(Tabla1[AÑO PARTO],$B$4,Tabla1[MES PARTO],B6,Tabla1[SALE DEL PROGRAMA POR],"PARTO",Tabla1[NIVEL DE COMPLEJIDAD DE LA ATENCION DE LA INSTITUCION DONDE SE ATENDIO EL PARTO],"BAJA",Tabla1[MANEJO ACTIVO DEL TERCER PERIODO DEL PARTO (USO OXITOCINA,MASAJE UTERINO Y TRACCIÓN SOSTENIDA DE CORDÓN)2],"SI")</f>
        <v>0</v>
      </c>
      <c r="C115" s="192">
        <f>COUNTIFS(Tabla1[AÑO PARTO],$B$4,Tabla1[MES PARTO],C6,Tabla1[SALE DEL PROGRAMA POR],"PARTO",Tabla1[NIVEL DE COMPLEJIDAD DE LA ATENCION DE LA INSTITUCION DONDE SE ATENDIO EL PARTO],"BAJA",Tabla1[MANEJO ACTIVO DEL TERCER PERIODO DEL PARTO (USO OXITOCINA,MASAJE UTERINO Y TRACCIÓN SOSTENIDA DE CORDÓN)2],"SI")</f>
        <v>0</v>
      </c>
      <c r="D115" s="192">
        <f>COUNTIFS(Tabla1[AÑO PARTO],$B$4,Tabla1[MES PARTO],D6,Tabla1[SALE DEL PROGRAMA POR],"PARTO",Tabla1[NIVEL DE COMPLEJIDAD DE LA ATENCION DE LA INSTITUCION DONDE SE ATENDIO EL PARTO],"BAJA",Tabla1[MANEJO ACTIVO DEL TERCER PERIODO DEL PARTO (USO OXITOCINA,MASAJE UTERINO Y TRACCIÓN SOSTENIDA DE CORDÓN)2],"SI")</f>
        <v>0</v>
      </c>
      <c r="E115" s="192">
        <f>COUNTIFS(Tabla1[AÑO PARTO],$B$4,Tabla1[MES PARTO],E6,Tabla1[SALE DEL PROGRAMA POR],"PARTO",Tabla1[NIVEL DE COMPLEJIDAD DE LA ATENCION DE LA INSTITUCION DONDE SE ATENDIO EL PARTO],"BAJA",Tabla1[MANEJO ACTIVO DEL TERCER PERIODO DEL PARTO (USO OXITOCINA,MASAJE UTERINO Y TRACCIÓN SOSTENIDA DE CORDÓN)2],"SI")</f>
        <v>0</v>
      </c>
      <c r="F115" s="192">
        <f>COUNTIFS(Tabla1[AÑO PARTO],$B$4,Tabla1[MES PARTO],F6,Tabla1[SALE DEL PROGRAMA POR],"PARTO",Tabla1[NIVEL DE COMPLEJIDAD DE LA ATENCION DE LA INSTITUCION DONDE SE ATENDIO EL PARTO],"BAJA",Tabla1[MANEJO ACTIVO DEL TERCER PERIODO DEL PARTO (USO OXITOCINA,MASAJE UTERINO Y TRACCIÓN SOSTENIDA DE CORDÓN)2],"SI")</f>
        <v>0</v>
      </c>
      <c r="G115" s="192">
        <f>COUNTIFS(Tabla1[AÑO PARTO],$B$4,Tabla1[MES PARTO],G6,Tabla1[SALE DEL PROGRAMA POR],"PARTO",Tabla1[NIVEL DE COMPLEJIDAD DE LA ATENCION DE LA INSTITUCION DONDE SE ATENDIO EL PARTO],"BAJA",Tabla1[MANEJO ACTIVO DEL TERCER PERIODO DEL PARTO (USO OXITOCINA,MASAJE UTERINO Y TRACCIÓN SOSTENIDA DE CORDÓN)2],"SI")</f>
        <v>0</v>
      </c>
      <c r="H115" s="192">
        <f>COUNTIFS(Tabla1[AÑO PARTO],$B$4,Tabla1[MES PARTO],H6,Tabla1[SALE DEL PROGRAMA POR],"PARTO",Tabla1[NIVEL DE COMPLEJIDAD DE LA ATENCION DE LA INSTITUCION DONDE SE ATENDIO EL PARTO],"BAJA",Tabla1[MANEJO ACTIVO DEL TERCER PERIODO DEL PARTO (USO OXITOCINA,MASAJE UTERINO Y TRACCIÓN SOSTENIDA DE CORDÓN)2],"SI")</f>
        <v>0</v>
      </c>
      <c r="I115" s="192">
        <f>COUNTIFS(Tabla1[AÑO PARTO],$B$4,Tabla1[MES PARTO],I6,Tabla1[SALE DEL PROGRAMA POR],"PARTO",Tabla1[NIVEL DE COMPLEJIDAD DE LA ATENCION DE LA INSTITUCION DONDE SE ATENDIO EL PARTO],"BAJA",Tabla1[MANEJO ACTIVO DEL TERCER PERIODO DEL PARTO (USO OXITOCINA,MASAJE UTERINO Y TRACCIÓN SOSTENIDA DE CORDÓN)2],"SI")</f>
        <v>0</v>
      </c>
      <c r="J115" s="192">
        <f>COUNTIFS(Tabla1[AÑO PARTO],$B$4,Tabla1[MES PARTO],J6,Tabla1[SALE DEL PROGRAMA POR],"PARTO",Tabla1[NIVEL DE COMPLEJIDAD DE LA ATENCION DE LA INSTITUCION DONDE SE ATENDIO EL PARTO],"BAJA",Tabla1[MANEJO ACTIVO DEL TERCER PERIODO DEL PARTO (USO OXITOCINA,MASAJE UTERINO Y TRACCIÓN SOSTENIDA DE CORDÓN)2],"SI")</f>
        <v>0</v>
      </c>
      <c r="K115" s="192">
        <f>COUNTIFS(Tabla1[AÑO PARTO],$B$4,Tabla1[MES PARTO],K6,Tabla1[SALE DEL PROGRAMA POR],"PARTO",Tabla1[NIVEL DE COMPLEJIDAD DE LA ATENCION DE LA INSTITUCION DONDE SE ATENDIO EL PARTO],"BAJA",Tabla1[MANEJO ACTIVO DEL TERCER PERIODO DEL PARTO (USO OXITOCINA,MASAJE UTERINO Y TRACCIÓN SOSTENIDA DE CORDÓN)2],"SI")</f>
        <v>0</v>
      </c>
      <c r="L115" s="192">
        <f>COUNTIFS(Tabla1[AÑO PARTO],$B$4,Tabla1[MES PARTO],L6,Tabla1[SALE DEL PROGRAMA POR],"PARTO",Tabla1[NIVEL DE COMPLEJIDAD DE LA ATENCION DE LA INSTITUCION DONDE SE ATENDIO EL PARTO],"BAJA",Tabla1[MANEJO ACTIVO DEL TERCER PERIODO DEL PARTO (USO OXITOCINA,MASAJE UTERINO Y TRACCIÓN SOSTENIDA DE CORDÓN)2],"SI")</f>
        <v>0</v>
      </c>
      <c r="M115" s="192">
        <f>COUNTIFS(Tabla1[AÑO PARTO],$B$4,Tabla1[MES PARTO],M6,Tabla1[SALE DEL PROGRAMA POR],"PARTO",Tabla1[NIVEL DE COMPLEJIDAD DE LA ATENCION DE LA INSTITUCION DONDE SE ATENDIO EL PARTO],"BAJA",Tabla1[MANEJO ACTIVO DEL TERCER PERIODO DEL PARTO (USO OXITOCINA,MASAJE UTERINO Y TRACCIÓN SOSTENIDA DE CORDÓN)2],"SI")</f>
        <v>0</v>
      </c>
      <c r="N115" s="206">
        <f>SUM(B115:M115)</f>
        <v>0</v>
      </c>
    </row>
    <row r="116" spans="1:14" ht="42.75" customHeight="1" thickBot="1" x14ac:dyDescent="0.3">
      <c r="A116" s="214" t="s">
        <v>771</v>
      </c>
      <c r="B116" s="205" t="str">
        <f>IF(B$102=0,"",SUM(B115/B$102))</f>
        <v/>
      </c>
      <c r="C116" s="192" t="str">
        <f t="shared" ref="C116:N116" si="38">IF(C$102=0,"",SUM(C115/C$102))</f>
        <v/>
      </c>
      <c r="D116" s="192" t="str">
        <f t="shared" si="38"/>
        <v/>
      </c>
      <c r="E116" s="192" t="str">
        <f t="shared" si="38"/>
        <v/>
      </c>
      <c r="F116" s="192" t="str">
        <f t="shared" si="38"/>
        <v/>
      </c>
      <c r="G116" s="192" t="str">
        <f t="shared" si="38"/>
        <v/>
      </c>
      <c r="H116" s="192" t="str">
        <f t="shared" si="38"/>
        <v/>
      </c>
      <c r="I116" s="192" t="str">
        <f t="shared" si="38"/>
        <v/>
      </c>
      <c r="J116" s="192" t="str">
        <f t="shared" si="38"/>
        <v/>
      </c>
      <c r="K116" s="192" t="str">
        <f t="shared" si="38"/>
        <v/>
      </c>
      <c r="L116" s="192" t="str">
        <f t="shared" si="38"/>
        <v/>
      </c>
      <c r="M116" s="192" t="str">
        <f t="shared" si="38"/>
        <v/>
      </c>
      <c r="N116" s="206" t="str">
        <f t="shared" si="38"/>
        <v/>
      </c>
    </row>
    <row r="117" spans="1:14" ht="42.75" customHeight="1" thickBot="1" x14ac:dyDescent="0.3">
      <c r="A117" s="191" t="s">
        <v>754</v>
      </c>
      <c r="B117" s="205">
        <f>SUM(COUNTIFS(Tabla1[AÑO PARTO],$B$4,Tabla1[MES PARTO],B6,Tabla1[NIVEL DE COMPLEJIDAD DE LA ATENCION DE LA INSTITUCION DONDE SE ATENDIO EL PARTO],"MEDIANA",Tabla1[MANEJO ACTIVO DEL TERCER PERIODO DEL PARTO (USO OXITOCINA,MASAJE UTERINO Y TRACCIÓN SOSTENIDA DE CORDÓN)2],"SI" ),COUNTIFS(Tabla1[AÑO PARTO],$B$4,Tabla1[MES PARTO],B6,Tabla1[NIVEL DE COMPLEJIDAD DE LA ATENCION DE LA INSTITUCION DONDE SE ATENDIO EL PARTO],"ALTA",Tabla1[MANEJO ACTIVO DEL TERCER PERIODO DEL PARTO (USO OXITOCINA,MASAJE UTERINO Y TRACCIÓN SOSTENIDA DE CORDÓN)2],"SI"))</f>
        <v>0</v>
      </c>
      <c r="C117" s="209">
        <f>SUM(COUNTIFS(Tabla1[AÑO PARTO],$B$4,Tabla1[MES PARTO],C6,Tabla1[NIVEL DE COMPLEJIDAD DE LA ATENCION DE LA INSTITUCION DONDE SE ATENDIO EL PARTO],"MEDIANA",Tabla1[MANEJO ACTIVO DEL TERCER PERIODO DEL PARTO (USO OXITOCINA,MASAJE UTERINO Y TRACCIÓN SOSTENIDA DE CORDÓN)2],"SI" ),COUNTIFS(Tabla1[AÑO PARTO],$B$4,Tabla1[MES PARTO],C6,Tabla1[NIVEL DE COMPLEJIDAD DE LA ATENCION DE LA INSTITUCION DONDE SE ATENDIO EL PARTO],"ALTA",Tabla1[MANEJO ACTIVO DEL TERCER PERIODO DEL PARTO (USO OXITOCINA,MASAJE UTERINO Y TRACCIÓN SOSTENIDA DE CORDÓN)2],"SI"))</f>
        <v>0</v>
      </c>
      <c r="D117" s="209">
        <f>SUM(COUNTIFS(Tabla1[AÑO PARTO],$B$4,Tabla1[MES PARTO],D6,Tabla1[NIVEL DE COMPLEJIDAD DE LA ATENCION DE LA INSTITUCION DONDE SE ATENDIO EL PARTO],"MEDIANA",Tabla1[MANEJO ACTIVO DEL TERCER PERIODO DEL PARTO (USO OXITOCINA,MASAJE UTERINO Y TRACCIÓN SOSTENIDA DE CORDÓN)2],"SI" ),COUNTIFS(Tabla1[AÑO PARTO],$B$4,Tabla1[MES PARTO],D6,Tabla1[NIVEL DE COMPLEJIDAD DE LA ATENCION DE LA INSTITUCION DONDE SE ATENDIO EL PARTO],"ALTA",Tabla1[MANEJO ACTIVO DEL TERCER PERIODO DEL PARTO (USO OXITOCINA,MASAJE UTERINO Y TRACCIÓN SOSTENIDA DE CORDÓN)2],"SI"))</f>
        <v>0</v>
      </c>
      <c r="E117" s="209">
        <f>SUM(COUNTIFS(Tabla1[AÑO PARTO],$B$4,Tabla1[MES PARTO],E6,Tabla1[NIVEL DE COMPLEJIDAD DE LA ATENCION DE LA INSTITUCION DONDE SE ATENDIO EL PARTO],"MEDIANA",Tabla1[MANEJO ACTIVO DEL TERCER PERIODO DEL PARTO (USO OXITOCINA,MASAJE UTERINO Y TRACCIÓN SOSTENIDA DE CORDÓN)2],"SI" ),COUNTIFS(Tabla1[AÑO PARTO],$B$4,Tabla1[MES PARTO],E6,Tabla1[NIVEL DE COMPLEJIDAD DE LA ATENCION DE LA INSTITUCION DONDE SE ATENDIO EL PARTO],"ALTA",Tabla1[MANEJO ACTIVO DEL TERCER PERIODO DEL PARTO (USO OXITOCINA,MASAJE UTERINO Y TRACCIÓN SOSTENIDA DE CORDÓN)2],"SI"))</f>
        <v>0</v>
      </c>
      <c r="F117" s="209">
        <f>SUM(COUNTIFS(Tabla1[AÑO PARTO],$B$4,Tabla1[MES PARTO],F6,Tabla1[NIVEL DE COMPLEJIDAD DE LA ATENCION DE LA INSTITUCION DONDE SE ATENDIO EL PARTO],"MEDIANA",Tabla1[MANEJO ACTIVO DEL TERCER PERIODO DEL PARTO (USO OXITOCINA,MASAJE UTERINO Y TRACCIÓN SOSTENIDA DE CORDÓN)2],"SI" ),COUNTIFS(Tabla1[AÑO PARTO],$B$4,Tabla1[MES PARTO],F6,Tabla1[NIVEL DE COMPLEJIDAD DE LA ATENCION DE LA INSTITUCION DONDE SE ATENDIO EL PARTO],"ALTA",Tabla1[MANEJO ACTIVO DEL TERCER PERIODO DEL PARTO (USO OXITOCINA,MASAJE UTERINO Y TRACCIÓN SOSTENIDA DE CORDÓN)2],"SI"))</f>
        <v>0</v>
      </c>
      <c r="G117" s="209">
        <f>SUM(COUNTIFS(Tabla1[AÑO PARTO],$B$4,Tabla1[MES PARTO],G6,Tabla1[NIVEL DE COMPLEJIDAD DE LA ATENCION DE LA INSTITUCION DONDE SE ATENDIO EL PARTO],"MEDIANA",Tabla1[MANEJO ACTIVO DEL TERCER PERIODO DEL PARTO (USO OXITOCINA,MASAJE UTERINO Y TRACCIÓN SOSTENIDA DE CORDÓN)2],"SI" ),COUNTIFS(Tabla1[AÑO PARTO],$B$4,Tabla1[MES PARTO],G6,Tabla1[NIVEL DE COMPLEJIDAD DE LA ATENCION DE LA INSTITUCION DONDE SE ATENDIO EL PARTO],"ALTA",Tabla1[MANEJO ACTIVO DEL TERCER PERIODO DEL PARTO (USO OXITOCINA,MASAJE UTERINO Y TRACCIÓN SOSTENIDA DE CORDÓN)2],"SI"))</f>
        <v>0</v>
      </c>
      <c r="H117" s="209">
        <f>SUM(COUNTIFS(Tabla1[AÑO PARTO],$B$4,Tabla1[MES PARTO],H6,Tabla1[NIVEL DE COMPLEJIDAD DE LA ATENCION DE LA INSTITUCION DONDE SE ATENDIO EL PARTO],"MEDIANA",Tabla1[MANEJO ACTIVO DEL TERCER PERIODO DEL PARTO (USO OXITOCINA,MASAJE UTERINO Y TRACCIÓN SOSTENIDA DE CORDÓN)2],"SI" ),COUNTIFS(Tabla1[AÑO PARTO],$B$4,Tabla1[MES PARTO],H6,Tabla1[NIVEL DE COMPLEJIDAD DE LA ATENCION DE LA INSTITUCION DONDE SE ATENDIO EL PARTO],"ALTA",Tabla1[MANEJO ACTIVO DEL TERCER PERIODO DEL PARTO (USO OXITOCINA,MASAJE UTERINO Y TRACCIÓN SOSTENIDA DE CORDÓN)2],"SI"))</f>
        <v>0</v>
      </c>
      <c r="I117" s="209">
        <f>SUM(COUNTIFS(Tabla1[AÑO PARTO],$B$4,Tabla1[MES PARTO],I6,Tabla1[NIVEL DE COMPLEJIDAD DE LA ATENCION DE LA INSTITUCION DONDE SE ATENDIO EL PARTO],"MEDIANA",Tabla1[MANEJO ACTIVO DEL TERCER PERIODO DEL PARTO (USO OXITOCINA,MASAJE UTERINO Y TRACCIÓN SOSTENIDA DE CORDÓN)2],"SI" ),COUNTIFS(Tabla1[AÑO PARTO],$B$4,Tabla1[MES PARTO],I6,Tabla1[NIVEL DE COMPLEJIDAD DE LA ATENCION DE LA INSTITUCION DONDE SE ATENDIO EL PARTO],"ALTA",Tabla1[MANEJO ACTIVO DEL TERCER PERIODO DEL PARTO (USO OXITOCINA,MASAJE UTERINO Y TRACCIÓN SOSTENIDA DE CORDÓN)2],"SI"))</f>
        <v>0</v>
      </c>
      <c r="J117" s="209">
        <f>SUM(COUNTIFS(Tabla1[AÑO PARTO],$B$4,Tabla1[MES PARTO],J6,Tabla1[NIVEL DE COMPLEJIDAD DE LA ATENCION DE LA INSTITUCION DONDE SE ATENDIO EL PARTO],"MEDIANA",Tabla1[MANEJO ACTIVO DEL TERCER PERIODO DEL PARTO (USO OXITOCINA,MASAJE UTERINO Y TRACCIÓN SOSTENIDA DE CORDÓN)2],"SI" ),COUNTIFS(Tabla1[AÑO PARTO],$B$4,Tabla1[MES PARTO],J6,Tabla1[NIVEL DE COMPLEJIDAD DE LA ATENCION DE LA INSTITUCION DONDE SE ATENDIO EL PARTO],"ALTA",Tabla1[MANEJO ACTIVO DEL TERCER PERIODO DEL PARTO (USO OXITOCINA,MASAJE UTERINO Y TRACCIÓN SOSTENIDA DE CORDÓN)2],"SI"))</f>
        <v>0</v>
      </c>
      <c r="K117" s="209">
        <f>SUM(COUNTIFS(Tabla1[AÑO PARTO],$B$4,Tabla1[MES PARTO],K6,Tabla1[NIVEL DE COMPLEJIDAD DE LA ATENCION DE LA INSTITUCION DONDE SE ATENDIO EL PARTO],"MEDIANA",Tabla1[MANEJO ACTIVO DEL TERCER PERIODO DEL PARTO (USO OXITOCINA,MASAJE UTERINO Y TRACCIÓN SOSTENIDA DE CORDÓN)2],"SI" ),COUNTIFS(Tabla1[AÑO PARTO],$B$4,Tabla1[MES PARTO],K6,Tabla1[NIVEL DE COMPLEJIDAD DE LA ATENCION DE LA INSTITUCION DONDE SE ATENDIO EL PARTO],"ALTA",Tabla1[MANEJO ACTIVO DEL TERCER PERIODO DEL PARTO (USO OXITOCINA,MASAJE UTERINO Y TRACCIÓN SOSTENIDA DE CORDÓN)2],"SI"))</f>
        <v>0</v>
      </c>
      <c r="L117" s="209">
        <f>SUM(COUNTIFS(Tabla1[AÑO PARTO],$B$4,Tabla1[MES PARTO],L6,Tabla1[NIVEL DE COMPLEJIDAD DE LA ATENCION DE LA INSTITUCION DONDE SE ATENDIO EL PARTO],"MEDIANA",Tabla1[MANEJO ACTIVO DEL TERCER PERIODO DEL PARTO (USO OXITOCINA,MASAJE UTERINO Y TRACCIÓN SOSTENIDA DE CORDÓN)2],"SI" ),COUNTIFS(Tabla1[AÑO PARTO],$B$4,Tabla1[MES PARTO],L6,Tabla1[NIVEL DE COMPLEJIDAD DE LA ATENCION DE LA INSTITUCION DONDE SE ATENDIO EL PARTO],"ALTA",Tabla1[MANEJO ACTIVO DEL TERCER PERIODO DEL PARTO (USO OXITOCINA,MASAJE UTERINO Y TRACCIÓN SOSTENIDA DE CORDÓN)2],"SI"))</f>
        <v>0</v>
      </c>
      <c r="M117" s="209">
        <f>SUM(COUNTIFS(Tabla1[AÑO PARTO],$B$4,Tabla1[MES PARTO],M6,Tabla1[NIVEL DE COMPLEJIDAD DE LA ATENCION DE LA INSTITUCION DONDE SE ATENDIO EL PARTO],"MEDIANA",Tabla1[MANEJO ACTIVO DEL TERCER PERIODO DEL PARTO (USO OXITOCINA,MASAJE UTERINO Y TRACCIÓN SOSTENIDA DE CORDÓN)2],"SI" ),COUNTIFS(Tabla1[AÑO PARTO],$B$4,Tabla1[MES PARTO],M6,Tabla1[NIVEL DE COMPLEJIDAD DE LA ATENCION DE LA INSTITUCION DONDE SE ATENDIO EL PARTO],"ALTA",Tabla1[MANEJO ACTIVO DEL TERCER PERIODO DEL PARTO (USO OXITOCINA,MASAJE UTERINO Y TRACCIÓN SOSTENIDA DE CORDÓN)2],"SI"))</f>
        <v>0</v>
      </c>
      <c r="N117" s="206">
        <f>SUM(B117:M117)</f>
        <v>0</v>
      </c>
    </row>
    <row r="118" spans="1:14" ht="42.75" customHeight="1" thickBot="1" x14ac:dyDescent="0.3">
      <c r="A118" s="207" t="s">
        <v>755</v>
      </c>
      <c r="B118" s="205" t="str">
        <f t="shared" ref="B118:N118" si="39">IF(B$107=0,"",SUM(B117/B$107))</f>
        <v/>
      </c>
      <c r="C118" s="192" t="str">
        <f t="shared" si="39"/>
        <v/>
      </c>
      <c r="D118" s="192" t="str">
        <f t="shared" si="39"/>
        <v/>
      </c>
      <c r="E118" s="192" t="str">
        <f t="shared" si="39"/>
        <v/>
      </c>
      <c r="F118" s="192" t="str">
        <f t="shared" si="39"/>
        <v/>
      </c>
      <c r="G118" s="192" t="str">
        <f t="shared" si="39"/>
        <v/>
      </c>
      <c r="H118" s="192" t="str">
        <f t="shared" si="39"/>
        <v/>
      </c>
      <c r="I118" s="192" t="str">
        <f t="shared" si="39"/>
        <v/>
      </c>
      <c r="J118" s="192" t="str">
        <f t="shared" si="39"/>
        <v/>
      </c>
      <c r="K118" s="192" t="str">
        <f t="shared" si="39"/>
        <v/>
      </c>
      <c r="L118" s="192" t="str">
        <f t="shared" si="39"/>
        <v/>
      </c>
      <c r="M118" s="192" t="str">
        <f t="shared" si="39"/>
        <v/>
      </c>
      <c r="N118" s="206" t="str">
        <f t="shared" si="39"/>
        <v/>
      </c>
    </row>
    <row r="119" spans="1:14" ht="42.75" customHeight="1" thickBot="1" x14ac:dyDescent="0.3">
      <c r="A119" s="191" t="s">
        <v>830</v>
      </c>
      <c r="B119" s="205">
        <f>COUNTIFS(Tabla1[AÑO PARTO],$B$4,Tabla1[MES PARTO],B6,Tabla1[SALE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C119" s="209">
        <f>COUNTIFS(Tabla1[AÑO PARTO],$B$4,Tabla1[MES PARTO],C6,Tabla1[SALE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D119" s="209">
        <f>COUNTIFS(Tabla1[AÑO PARTO],$B$4,Tabla1[MES PARTO],D6,Tabla1[SALE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E119" s="209">
        <f>COUNTIFS(Tabla1[AÑO PARTO],$B$4,Tabla1[MES PARTO],E6,Tabla1[SALE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F119" s="209">
        <f>COUNTIFS(Tabla1[AÑO PARTO],$B$4,Tabla1[MES PARTO],F6,Tabla1[SALE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G119" s="209">
        <f>COUNTIFS(Tabla1[AÑO PARTO],$B$4,Tabla1[MES PARTO],G6,Tabla1[SALE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H119" s="209">
        <f>COUNTIFS(Tabla1[AÑO PARTO],$B$4,Tabla1[MES PARTO],H6,Tabla1[SALE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I119" s="209">
        <f>COUNTIFS(Tabla1[AÑO PARTO],$B$4,Tabla1[MES PARTO],I6,Tabla1[SALE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J119" s="209">
        <f>COUNTIFS(Tabla1[AÑO PARTO],$B$4,Tabla1[MES PARTO],J6,Tabla1[SALE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K119" s="209">
        <f>COUNTIFS(Tabla1[AÑO PARTO],$B$4,Tabla1[MES PARTO],K6,Tabla1[SALE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L119" s="209">
        <f>COUNTIFS(Tabla1[AÑO PARTO],$B$4,Tabla1[MES PARTO],L6,Tabla1[SALE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M119" s="209">
        <f>COUNTIFS(Tabla1[AÑO PARTO],$B$4,Tabla1[MES PARTO],M6,Tabla1[SALE DEL PROGRAMA POR],"PARTO",Tabla1[NIVEL DE COMPLEJIDAD DE LA ATENCION DE LA INSTITUCION DONDE SE ATENDIO EL PARTO],"BAJA",Tabla1[MONITORIA CADA 15 MINUTOS DE SIGNOS VITALES DURANTES LAS PRIMERAS DOS HORAS POSTPARTO (SOPORTE EN HC - 8 VALORACIONES EN LAS PRIMERAS 2 HORAS)],"SI")</f>
        <v>0</v>
      </c>
      <c r="N119" s="206">
        <f>SUM(B119:M119)</f>
        <v>0</v>
      </c>
    </row>
    <row r="120" spans="1:14" ht="42.75" customHeight="1" thickBot="1" x14ac:dyDescent="0.3">
      <c r="A120" s="214" t="s">
        <v>828</v>
      </c>
      <c r="B120" s="205" t="str">
        <f t="shared" ref="B120:N120" si="40">IF(B$102=0,"",SUM(B119/B$102))</f>
        <v/>
      </c>
      <c r="C120" s="192" t="str">
        <f t="shared" si="40"/>
        <v/>
      </c>
      <c r="D120" s="192" t="str">
        <f t="shared" si="40"/>
        <v/>
      </c>
      <c r="E120" s="192" t="str">
        <f t="shared" si="40"/>
        <v/>
      </c>
      <c r="F120" s="192" t="str">
        <f t="shared" si="40"/>
        <v/>
      </c>
      <c r="G120" s="192" t="str">
        <f t="shared" si="40"/>
        <v/>
      </c>
      <c r="H120" s="192" t="str">
        <f t="shared" si="40"/>
        <v/>
      </c>
      <c r="I120" s="192" t="str">
        <f t="shared" si="40"/>
        <v/>
      </c>
      <c r="J120" s="192" t="str">
        <f t="shared" si="40"/>
        <v/>
      </c>
      <c r="K120" s="192" t="str">
        <f t="shared" si="40"/>
        <v/>
      </c>
      <c r="L120" s="192" t="str">
        <f t="shared" si="40"/>
        <v/>
      </c>
      <c r="M120" s="192" t="str">
        <f t="shared" si="40"/>
        <v/>
      </c>
      <c r="N120" s="206" t="str">
        <f t="shared" si="40"/>
        <v/>
      </c>
    </row>
    <row r="121" spans="1:14" ht="42.75" customHeight="1" thickBot="1" x14ac:dyDescent="0.3">
      <c r="A121" s="191" t="s">
        <v>831</v>
      </c>
      <c r="B121" s="205">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C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D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E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F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G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H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I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J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K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L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M121" s="193">
        <f>SUM(COUNTIFS(Tabla1[AÑO PARTO],$B$4,Tabla1[MES PARTO],B6,Tabla1[NIVEL DE COMPLEJIDAD DE LA ATENCION DE LA INSTITUCION DONDE SE ATENDIO EL PARTO],"MEDIANA",Tabla1[MONITORIA CADA 15 MINUTOS DE SIGNOS VITALES DURANTES LAS PRIMERAS DOS HORAS POSTPARTO (SOPORTE EN HC - 8 VALORACIONES EN LAS PRIMERAS 2 HORAS)],"SI" ),COUNTIFS(Tabla1[AÑO PARTO],$B$4,Tabla1[MES PARTO],B6,Tabla1[NIVEL DE COMPLEJIDAD DE LA ATENCION DE LA INSTITUCION DONDE SE ATENDIO EL PARTO],"ALTA",Tabla1[MONITORIA CADA 15 MINUTOS DE SIGNOS VITALES DURANTES LAS PRIMERAS DOS HORAS POSTPARTO (SOPORTE EN HC - 8 VALORACIONES EN LAS PRIMERAS 2 HORAS)],"SI"))</f>
        <v>0</v>
      </c>
      <c r="N121" s="206">
        <f>SUM(B121:M121)</f>
        <v>0</v>
      </c>
    </row>
    <row r="122" spans="1:14" ht="42.75" customHeight="1" thickBot="1" x14ac:dyDescent="0.3">
      <c r="A122" s="207" t="s">
        <v>829</v>
      </c>
      <c r="B122" s="205" t="str">
        <f t="shared" ref="B122:N122" si="41">IF(B$107=0,"",SUM(B121/B$107))</f>
        <v/>
      </c>
      <c r="C122" s="192" t="str">
        <f t="shared" si="41"/>
        <v/>
      </c>
      <c r="D122" s="192" t="str">
        <f t="shared" si="41"/>
        <v/>
      </c>
      <c r="E122" s="192" t="str">
        <f t="shared" si="41"/>
        <v/>
      </c>
      <c r="F122" s="192" t="str">
        <f t="shared" si="41"/>
        <v/>
      </c>
      <c r="G122" s="192" t="str">
        <f t="shared" si="41"/>
        <v/>
      </c>
      <c r="H122" s="192" t="str">
        <f t="shared" si="41"/>
        <v/>
      </c>
      <c r="I122" s="192" t="str">
        <f t="shared" si="41"/>
        <v/>
      </c>
      <c r="J122" s="192" t="str">
        <f t="shared" si="41"/>
        <v/>
      </c>
      <c r="K122" s="192" t="str">
        <f t="shared" si="41"/>
        <v/>
      </c>
      <c r="L122" s="192" t="str">
        <f t="shared" si="41"/>
        <v/>
      </c>
      <c r="M122" s="192" t="str">
        <f t="shared" si="41"/>
        <v/>
      </c>
      <c r="N122" s="206" t="str">
        <f t="shared" si="41"/>
        <v/>
      </c>
    </row>
    <row r="123" spans="1:14" ht="49.5" customHeight="1" thickBot="1" x14ac:dyDescent="0.3">
      <c r="A123" s="191" t="s">
        <v>738</v>
      </c>
      <c r="B123" s="193">
        <f>COUNTIFS(Tabla1[AÑO PARTO],B4,Tabla1[MES PARTO],B6,Tabla1[SALE DEL PROGRAMA POR],"PARTO",Tabla1[NIVEL DE COMPLEJIDAD DE LA ATENCION DE LA INSTITUCION DONDE SE ATENDIO EL PARTO],"BAJA",Tabla1[[PUERPERA SALE CON PLANIFICACIÓN FAMILIAR POST EVENTO OBSTETRICO ]],"SI")</f>
        <v>0</v>
      </c>
      <c r="C123" s="193">
        <f>COUNTIFS(Tabla1[AÑO PARTO],B4,Tabla1[MES PARTO],C6,Tabla1[SALE DEL PROGRAMA POR],"PARTO",Tabla1[NIVEL DE COMPLEJIDAD DE LA ATENCION DE LA INSTITUCION DONDE SE ATENDIO EL PARTO],"BAJA",Tabla1[[PUERPERA SALE CON PLANIFICACIÓN FAMILIAR POST EVENTO OBSTETRICO ]],"SI")</f>
        <v>0</v>
      </c>
      <c r="D123" s="193">
        <f>COUNTIFS(Tabla1[AÑO PARTO],B4,Tabla1[MES PARTO],D6,Tabla1[SALE DEL PROGRAMA POR],"PARTO",Tabla1[NIVEL DE COMPLEJIDAD DE LA ATENCION DE LA INSTITUCION DONDE SE ATENDIO EL PARTO],"BAJA",Tabla1[[PUERPERA SALE CON PLANIFICACIÓN FAMILIAR POST EVENTO OBSTETRICO ]],"SI")</f>
        <v>0</v>
      </c>
      <c r="E123" s="193">
        <f>COUNTIFS(Tabla1[AÑO PARTO],B4,Tabla1[MES PARTO],E6,Tabla1[SALE DEL PROGRAMA POR],"PARTO",Tabla1[NIVEL DE COMPLEJIDAD DE LA ATENCION DE LA INSTITUCION DONDE SE ATENDIO EL PARTO],"BAJA",Tabla1[[PUERPERA SALE CON PLANIFICACIÓN FAMILIAR POST EVENTO OBSTETRICO ]],"SI")</f>
        <v>0</v>
      </c>
      <c r="F123" s="193">
        <f>COUNTIFS(Tabla1[AÑO PARTO],B4,Tabla1[MES PARTO],F6,Tabla1[SALE DEL PROGRAMA POR],"PARTO",Tabla1[NIVEL DE COMPLEJIDAD DE LA ATENCION DE LA INSTITUCION DONDE SE ATENDIO EL PARTO],"BAJA",Tabla1[[PUERPERA SALE CON PLANIFICACIÓN FAMILIAR POST EVENTO OBSTETRICO ]],"SI")</f>
        <v>0</v>
      </c>
      <c r="G123" s="193">
        <f>COUNTIFS(Tabla1[AÑO PARTO],B4,Tabla1[MES PARTO],G6,Tabla1[SALE DEL PROGRAMA POR],"PARTO",Tabla1[NIVEL DE COMPLEJIDAD DE LA ATENCION DE LA INSTITUCION DONDE SE ATENDIO EL PARTO],"BAJA",Tabla1[[PUERPERA SALE CON PLANIFICACIÓN FAMILIAR POST EVENTO OBSTETRICO ]],"SI")</f>
        <v>0</v>
      </c>
      <c r="H123" s="193">
        <f>COUNTIFS(Tabla1[AÑO PARTO],B4,Tabla1[MES PARTO],H6,Tabla1[SALE DEL PROGRAMA POR],"PARTO",Tabla1[NIVEL DE COMPLEJIDAD DE LA ATENCION DE LA INSTITUCION DONDE SE ATENDIO EL PARTO],"BAJA",Tabla1[[PUERPERA SALE CON PLANIFICACIÓN FAMILIAR POST EVENTO OBSTETRICO ]],"SI")</f>
        <v>0</v>
      </c>
      <c r="I123" s="193">
        <f>COUNTIFS(Tabla1[AÑO PARTO],B4,Tabla1[MES PARTO],I6,Tabla1[SALE DEL PROGRAMA POR],"PARTO",Tabla1[NIVEL DE COMPLEJIDAD DE LA ATENCION DE LA INSTITUCION DONDE SE ATENDIO EL PARTO],"BAJA",Tabla1[[PUERPERA SALE CON PLANIFICACIÓN FAMILIAR POST EVENTO OBSTETRICO ]],"SI")</f>
        <v>0</v>
      </c>
      <c r="J123" s="193">
        <f>COUNTIFS(Tabla1[AÑO PARTO],B4,Tabla1[MES PARTO],J6,Tabla1[SALE DEL PROGRAMA POR],"PARTO",Tabla1[NIVEL DE COMPLEJIDAD DE LA ATENCION DE LA INSTITUCION DONDE SE ATENDIO EL PARTO],"BAJA",Tabla1[[PUERPERA SALE CON PLANIFICACIÓN FAMILIAR POST EVENTO OBSTETRICO ]],"SI")</f>
        <v>0</v>
      </c>
      <c r="K123" s="193">
        <f>COUNTIFS(Tabla1[AÑO PARTO],B4,Tabla1[MES PARTO],K6,Tabla1[SALE DEL PROGRAMA POR],"PARTO",Tabla1[NIVEL DE COMPLEJIDAD DE LA ATENCION DE LA INSTITUCION DONDE SE ATENDIO EL PARTO],"BAJA",Tabla1[[PUERPERA SALE CON PLANIFICACIÓN FAMILIAR POST EVENTO OBSTETRICO ]],"SI")</f>
        <v>0</v>
      </c>
      <c r="L123" s="193">
        <f>COUNTIFS(Tabla1[AÑO PARTO],B4,Tabla1[MES PARTO],L6,Tabla1[SALE DEL PROGRAMA POR],"PARTO",Tabla1[NIVEL DE COMPLEJIDAD DE LA ATENCION DE LA INSTITUCION DONDE SE ATENDIO EL PARTO],"BAJA",Tabla1[[PUERPERA SALE CON PLANIFICACIÓN FAMILIAR POST EVENTO OBSTETRICO ]],"SI")</f>
        <v>0</v>
      </c>
      <c r="M123" s="193">
        <f>COUNTIFS(Tabla1[AÑO PARTO],B4,Tabla1[MES PARTO],M6,Tabla1[SALE DEL PROGRAMA POR],"PARTO",Tabla1[NIVEL DE COMPLEJIDAD DE LA ATENCION DE LA INSTITUCION DONDE SE ATENDIO EL PARTO],"BAJA",Tabla1[[PUERPERA SALE CON PLANIFICACIÓN FAMILIAR POST EVENTO OBSTETRICO ]],"SI")</f>
        <v>0</v>
      </c>
      <c r="N123" s="194">
        <f>SUM(B123:M123)</f>
        <v>0</v>
      </c>
    </row>
    <row r="124" spans="1:14" ht="42.75" customHeight="1" thickBot="1" x14ac:dyDescent="0.3">
      <c r="A124" s="214" t="s">
        <v>774</v>
      </c>
      <c r="B124" s="117" t="str">
        <f>IF(B$102=0,"",SUM(B123/B$102))</f>
        <v/>
      </c>
      <c r="C124" s="118" t="str">
        <f>IF(C$102=0,"",SUM(C123/C$102))</f>
        <v/>
      </c>
      <c r="D124" s="118" t="str">
        <f t="shared" ref="D124:L124" si="42">IF(D$102=0,"",SUM(D123/D$102))</f>
        <v/>
      </c>
      <c r="E124" s="118" t="str">
        <f t="shared" si="42"/>
        <v/>
      </c>
      <c r="F124" s="118" t="str">
        <f t="shared" si="42"/>
        <v/>
      </c>
      <c r="G124" s="118" t="str">
        <f t="shared" si="42"/>
        <v/>
      </c>
      <c r="H124" s="118" t="str">
        <f t="shared" si="42"/>
        <v/>
      </c>
      <c r="I124" s="118" t="str">
        <f t="shared" si="42"/>
        <v/>
      </c>
      <c r="J124" s="118" t="str">
        <f t="shared" si="42"/>
        <v/>
      </c>
      <c r="K124" s="118" t="str">
        <f t="shared" si="42"/>
        <v/>
      </c>
      <c r="L124" s="118" t="str">
        <f t="shared" si="42"/>
        <v/>
      </c>
      <c r="M124" s="118" t="str">
        <f>IF(M$102=0,"",SUM(M123/M$102))</f>
        <v/>
      </c>
      <c r="N124" s="119" t="str">
        <f>IF(N$102=0,"",SUM(N123/N$102))</f>
        <v/>
      </c>
    </row>
    <row r="125" spans="1:14" ht="42.75" customHeight="1" thickBot="1" x14ac:dyDescent="0.3">
      <c r="A125" s="186" t="s">
        <v>776</v>
      </c>
      <c r="B125" s="195">
        <f>SUM(COUNTIFS(Tabla1[AÑO PARTO],B4,Tabla1[MES PARTO],B6,Tabla1[NIVEL DE COMPLEJIDAD DE LA ATENCION DE LA INSTITUCION DONDE SE ATENDIO EL PARTO],"MEDIANA",Tabla1[[PUERPERA SALE CON PLANIFICACIÓN FAMILIAR POST EVENTO OBSTETRICO ]],"SI" ),COUNTIFS(Tabla1[AÑO PARTO],B4,Tabla1[MES PARTO],B6,Tabla1[NIVEL DE COMPLEJIDAD DE LA ATENCION DE LA INSTITUCION DONDE SE ATENDIO EL PARTO],"ALTA",Tabla1[[PUERPERA SALE CON PLANIFICACIÓN FAMILIAR POST EVENTO OBSTETRICO ]],"SI"))</f>
        <v>0</v>
      </c>
      <c r="C125" s="195">
        <f>SUM(COUNTIFS(Tabla1[AÑO PARTO],B4,Tabla1[MES PARTO],C6,Tabla1[NIVEL DE COMPLEJIDAD DE LA ATENCION DE LA INSTITUCION DONDE SE ATENDIO EL PARTO],"MEDIANA",Tabla1[[PUERPERA SALE CON PLANIFICACIÓN FAMILIAR POST EVENTO OBSTETRICO ]],"SI" ),COUNTIFS(Tabla1[AÑO PARTO],B4,Tabla1[MES PARTO],C6,Tabla1[NIVEL DE COMPLEJIDAD DE LA ATENCION DE LA INSTITUCION DONDE SE ATENDIO EL PARTO],"ALTA",Tabla1[[PUERPERA SALE CON PLANIFICACIÓN FAMILIAR POST EVENTO OBSTETRICO ]],"SI"))</f>
        <v>0</v>
      </c>
      <c r="D125" s="195">
        <f>SUM(COUNTIFS(Tabla1[AÑO PARTO],B4,Tabla1[MES PARTO],D6,Tabla1[NIVEL DE COMPLEJIDAD DE LA ATENCION DE LA INSTITUCION DONDE SE ATENDIO EL PARTO],"MEDIANA",Tabla1[[PUERPERA SALE CON PLANIFICACIÓN FAMILIAR POST EVENTO OBSTETRICO ]],"SI" ),COUNTIFS(Tabla1[AÑO PARTO],B4,Tabla1[MES PARTO],D6,Tabla1[NIVEL DE COMPLEJIDAD DE LA ATENCION DE LA INSTITUCION DONDE SE ATENDIO EL PARTO],"ALTA",Tabla1[[PUERPERA SALE CON PLANIFICACIÓN FAMILIAR POST EVENTO OBSTETRICO ]],"SI"))</f>
        <v>0</v>
      </c>
      <c r="E125" s="195">
        <f>SUM(COUNTIFS(Tabla1[AÑO PARTO],B4,Tabla1[MES PARTO],E6,Tabla1[NIVEL DE COMPLEJIDAD DE LA ATENCION DE LA INSTITUCION DONDE SE ATENDIO EL PARTO],"MEDIANA",Tabla1[[PUERPERA SALE CON PLANIFICACIÓN FAMILIAR POST EVENTO OBSTETRICO ]],"SI" ),COUNTIFS(Tabla1[AÑO PARTO],B4,Tabla1[MES PARTO],E6,Tabla1[NIVEL DE COMPLEJIDAD DE LA ATENCION DE LA INSTITUCION DONDE SE ATENDIO EL PARTO],"ALTA",Tabla1[[PUERPERA SALE CON PLANIFICACIÓN FAMILIAR POST EVENTO OBSTETRICO ]],"SI"))</f>
        <v>0</v>
      </c>
      <c r="F125" s="195">
        <f>SUM(COUNTIFS(Tabla1[AÑO PARTO],B4,Tabla1[MES PARTO],F6,Tabla1[NIVEL DE COMPLEJIDAD DE LA ATENCION DE LA INSTITUCION DONDE SE ATENDIO EL PARTO],"MEDIANA",Tabla1[[PUERPERA SALE CON PLANIFICACIÓN FAMILIAR POST EVENTO OBSTETRICO ]],"SI" ),COUNTIFS(Tabla1[AÑO PARTO],B4,Tabla1[MES PARTO],F6,Tabla1[NIVEL DE COMPLEJIDAD DE LA ATENCION DE LA INSTITUCION DONDE SE ATENDIO EL PARTO],"ALTA",Tabla1[[PUERPERA SALE CON PLANIFICACIÓN FAMILIAR POST EVENTO OBSTETRICO ]],"SI"))</f>
        <v>0</v>
      </c>
      <c r="G125" s="195">
        <f>SUM(COUNTIFS(Tabla1[AÑO PARTO],B4,Tabla1[MES PARTO],G6,Tabla1[NIVEL DE COMPLEJIDAD DE LA ATENCION DE LA INSTITUCION DONDE SE ATENDIO EL PARTO],"MEDIANA",Tabla1[[PUERPERA SALE CON PLANIFICACIÓN FAMILIAR POST EVENTO OBSTETRICO ]],"SI" ),COUNTIFS(Tabla1[AÑO PARTO],B4,Tabla1[MES PARTO],G6,Tabla1[NIVEL DE COMPLEJIDAD DE LA ATENCION DE LA INSTITUCION DONDE SE ATENDIO EL PARTO],"ALTA",Tabla1[[PUERPERA SALE CON PLANIFICACIÓN FAMILIAR POST EVENTO OBSTETRICO ]],"SI"))</f>
        <v>0</v>
      </c>
      <c r="H125" s="195">
        <f>SUM(COUNTIFS(Tabla1[AÑO PARTO],B4,Tabla1[MES PARTO],H6,Tabla1[NIVEL DE COMPLEJIDAD DE LA ATENCION DE LA INSTITUCION DONDE SE ATENDIO EL PARTO],"MEDIANA",Tabla1[[PUERPERA SALE CON PLANIFICACIÓN FAMILIAR POST EVENTO OBSTETRICO ]],"SI" ),COUNTIFS(Tabla1[AÑO PARTO],B4,Tabla1[MES PARTO],H6,Tabla1[NIVEL DE COMPLEJIDAD DE LA ATENCION DE LA INSTITUCION DONDE SE ATENDIO EL PARTO],"ALTA",Tabla1[[PUERPERA SALE CON PLANIFICACIÓN FAMILIAR POST EVENTO OBSTETRICO ]],"SI"))</f>
        <v>0</v>
      </c>
      <c r="I125" s="195">
        <f>SUM(COUNTIFS(Tabla1[AÑO PARTO],B4,Tabla1[MES PARTO],I6,Tabla1[NIVEL DE COMPLEJIDAD DE LA ATENCION DE LA INSTITUCION DONDE SE ATENDIO EL PARTO],"MEDIANA",Tabla1[[PUERPERA SALE CON PLANIFICACIÓN FAMILIAR POST EVENTO OBSTETRICO ]],"SI" ),COUNTIFS(Tabla1[AÑO PARTO],B4,Tabla1[MES PARTO],I6,Tabla1[NIVEL DE COMPLEJIDAD DE LA ATENCION DE LA INSTITUCION DONDE SE ATENDIO EL PARTO],"ALTA",Tabla1[[PUERPERA SALE CON PLANIFICACIÓN FAMILIAR POST EVENTO OBSTETRICO ]],"SI"))</f>
        <v>0</v>
      </c>
      <c r="J125" s="195">
        <f>SUM(COUNTIFS(Tabla1[AÑO PARTO],B4,Tabla1[MES PARTO],J6,Tabla1[NIVEL DE COMPLEJIDAD DE LA ATENCION DE LA INSTITUCION DONDE SE ATENDIO EL PARTO],"MEDIANA",Tabla1[[PUERPERA SALE CON PLANIFICACIÓN FAMILIAR POST EVENTO OBSTETRICO ]],"SI" ),COUNTIFS(Tabla1[AÑO PARTO],B4,Tabla1[MES PARTO],J6,Tabla1[NIVEL DE COMPLEJIDAD DE LA ATENCION DE LA INSTITUCION DONDE SE ATENDIO EL PARTO],"ALTA",Tabla1[[PUERPERA SALE CON PLANIFICACIÓN FAMILIAR POST EVENTO OBSTETRICO ]],"SI"))</f>
        <v>0</v>
      </c>
      <c r="K125" s="195">
        <f>SUM(COUNTIFS(Tabla1[AÑO PARTO],B4,Tabla1[MES PARTO],K6,Tabla1[NIVEL DE COMPLEJIDAD DE LA ATENCION DE LA INSTITUCION DONDE SE ATENDIO EL PARTO],"MEDIANA",Tabla1[[PUERPERA SALE CON PLANIFICACIÓN FAMILIAR POST EVENTO OBSTETRICO ]],"SI" ),COUNTIFS(Tabla1[AÑO PARTO],B4,Tabla1[MES PARTO],K6,Tabla1[NIVEL DE COMPLEJIDAD DE LA ATENCION DE LA INSTITUCION DONDE SE ATENDIO EL PARTO],"ALTA",Tabla1[[PUERPERA SALE CON PLANIFICACIÓN FAMILIAR POST EVENTO OBSTETRICO ]],"SI"))</f>
        <v>0</v>
      </c>
      <c r="L125" s="195">
        <f>SUM(COUNTIFS(Tabla1[AÑO PARTO],B4,Tabla1[MES PARTO],L6,Tabla1[NIVEL DE COMPLEJIDAD DE LA ATENCION DE LA INSTITUCION DONDE SE ATENDIO EL PARTO],"MEDIANA",Tabla1[[PUERPERA SALE CON PLANIFICACIÓN FAMILIAR POST EVENTO OBSTETRICO ]],"SI" ),COUNTIFS(Tabla1[AÑO PARTO],B4,Tabla1[MES PARTO],L6,Tabla1[NIVEL DE COMPLEJIDAD DE LA ATENCION DE LA INSTITUCION DONDE SE ATENDIO EL PARTO],"ALTA",Tabla1[[PUERPERA SALE CON PLANIFICACIÓN FAMILIAR POST EVENTO OBSTETRICO ]],"SI"))</f>
        <v>0</v>
      </c>
      <c r="M125" s="195">
        <f>SUM(COUNTIFS(Tabla1[AÑO PARTO],B4,Tabla1[MES PARTO],M6,Tabla1[NIVEL DE COMPLEJIDAD DE LA ATENCION DE LA INSTITUCION DONDE SE ATENDIO EL PARTO],"MEDIANA",Tabla1[[PUERPERA SALE CON PLANIFICACIÓN FAMILIAR POST EVENTO OBSTETRICO ]],"SI" ),COUNTIFS(Tabla1[AÑO PARTO],B4,Tabla1[MES PARTO],M6,Tabla1[NIVEL DE COMPLEJIDAD DE LA ATENCION DE LA INSTITUCION DONDE SE ATENDIO EL PARTO],"ALTA",Tabla1[[PUERPERA SALE CON PLANIFICACIÓN FAMILIAR POST EVENTO OBSTETRICO ]],"SI"))</f>
        <v>0</v>
      </c>
      <c r="N125" s="194">
        <f>SUM(B125:M125)</f>
        <v>0</v>
      </c>
    </row>
    <row r="126" spans="1:14" ht="42.75" customHeight="1" thickBot="1" x14ac:dyDescent="0.3">
      <c r="A126" s="187" t="s">
        <v>804</v>
      </c>
      <c r="B126" s="192">
        <f>SUM(COUNTIFS(Tabla1[AÑO PARTO],B4,Tabla1[MES PARTO],B6,Tabla1[NIVEL DE COMPLEJIDAD DE LA ATENCION DE LA INSTITUCION DONDE SE ATENDIO EL PARTO],"MEDIANA"),COUNTIFS(Tabla1[AÑO PARTO],B4,Tabla1[MES PARTO],B6,Tabla1[NIVEL DE COMPLEJIDAD DE LA ATENCION DE LA INSTITUCION DONDE SE ATENDIO EL PARTO],"ALTA"))</f>
        <v>0</v>
      </c>
      <c r="C126" s="192">
        <f>SUM(COUNTIFS(Tabla1[AÑO PARTO],B4,Tabla1[MES PARTO],C6,Tabla1[NIVEL DE COMPLEJIDAD DE LA ATENCION DE LA INSTITUCION DONDE SE ATENDIO EL PARTO],"MEDIANA"),COUNTIFS(Tabla1[AÑO PARTO],B4,Tabla1[MES PARTO],C6,Tabla1[NIVEL DE COMPLEJIDAD DE LA ATENCION DE LA INSTITUCION DONDE SE ATENDIO EL PARTO],"ALTA"))</f>
        <v>0</v>
      </c>
      <c r="D126" s="192">
        <f>SUM(COUNTIFS(Tabla1[AÑO PARTO],B4,Tabla1[MES PARTO],D6,Tabla1[NIVEL DE COMPLEJIDAD DE LA ATENCION DE LA INSTITUCION DONDE SE ATENDIO EL PARTO],"MEDIANA"),COUNTIFS(Tabla1[AÑO PARTO],B4,Tabla1[MES PARTO],D6,Tabla1[NIVEL DE COMPLEJIDAD DE LA ATENCION DE LA INSTITUCION DONDE SE ATENDIO EL PARTO],"ALTA"))</f>
        <v>0</v>
      </c>
      <c r="E126" s="192">
        <f>SUM(COUNTIFS(Tabla1[AÑO PARTO],B4,Tabla1[MES PARTO],E6,Tabla1[NIVEL DE COMPLEJIDAD DE LA ATENCION DE LA INSTITUCION DONDE SE ATENDIO EL PARTO],"MEDIANA"),COUNTIFS(Tabla1[AÑO PARTO],B4,Tabla1[MES PARTO],E6,Tabla1[NIVEL DE COMPLEJIDAD DE LA ATENCION DE LA INSTITUCION DONDE SE ATENDIO EL PARTO],"ALTA"))</f>
        <v>0</v>
      </c>
      <c r="F126" s="192">
        <f>SUM(COUNTIFS(Tabla1[AÑO PARTO],B4,Tabla1[MES PARTO],F6,Tabla1[NIVEL DE COMPLEJIDAD DE LA ATENCION DE LA INSTITUCION DONDE SE ATENDIO EL PARTO],"MEDIANA"),COUNTIFS(Tabla1[AÑO PARTO],B4,Tabla1[MES PARTO],F6,Tabla1[NIVEL DE COMPLEJIDAD DE LA ATENCION DE LA INSTITUCION DONDE SE ATENDIO EL PARTO],"ALTA"))</f>
        <v>0</v>
      </c>
      <c r="G126" s="192">
        <f>SUM(COUNTIFS(Tabla1[AÑO PARTO],B4,Tabla1[MES PARTO],G6,Tabla1[NIVEL DE COMPLEJIDAD DE LA ATENCION DE LA INSTITUCION DONDE SE ATENDIO EL PARTO],"MEDIANA"),COUNTIFS(Tabla1[AÑO PARTO],B4,Tabla1[MES PARTO],G6,Tabla1[NIVEL DE COMPLEJIDAD DE LA ATENCION DE LA INSTITUCION DONDE SE ATENDIO EL PARTO],"ALTA"))</f>
        <v>0</v>
      </c>
      <c r="H126" s="192">
        <f>SUM(COUNTIFS(Tabla1[AÑO PARTO],B4,Tabla1[MES PARTO],H6,Tabla1[NIVEL DE COMPLEJIDAD DE LA ATENCION DE LA INSTITUCION DONDE SE ATENDIO EL PARTO],"MEDIANA"),COUNTIFS(Tabla1[AÑO PARTO],B4,Tabla1[MES PARTO],H6,Tabla1[NIVEL DE COMPLEJIDAD DE LA ATENCION DE LA INSTITUCION DONDE SE ATENDIO EL PARTO],"ALTA"))</f>
        <v>0</v>
      </c>
      <c r="I126" s="192">
        <f>SUM(COUNTIFS(Tabla1[AÑO PARTO],B4,Tabla1[MES PARTO],I6,Tabla1[NIVEL DE COMPLEJIDAD DE LA ATENCION DE LA INSTITUCION DONDE SE ATENDIO EL PARTO],"MEDIANA"),COUNTIFS(Tabla1[AÑO PARTO],B4,Tabla1[MES PARTO],I6,Tabla1[NIVEL DE COMPLEJIDAD DE LA ATENCION DE LA INSTITUCION DONDE SE ATENDIO EL PARTO],"ALTA"))</f>
        <v>0</v>
      </c>
      <c r="J126" s="192">
        <f>SUM(COUNTIFS(Tabla1[AÑO PARTO],B4,Tabla1[MES PARTO],J6,Tabla1[NIVEL DE COMPLEJIDAD DE LA ATENCION DE LA INSTITUCION DONDE SE ATENDIO EL PARTO],"MEDIANA"),COUNTIFS(Tabla1[AÑO PARTO],B4,Tabla1[MES PARTO],J6,Tabla1[NIVEL DE COMPLEJIDAD DE LA ATENCION DE LA INSTITUCION DONDE SE ATENDIO EL PARTO],"ALTA"))</f>
        <v>0</v>
      </c>
      <c r="K126" s="192">
        <f>SUM(COUNTIFS(Tabla1[AÑO PARTO],B4,Tabla1[MES PARTO],K6,Tabla1[NIVEL DE COMPLEJIDAD DE LA ATENCION DE LA INSTITUCION DONDE SE ATENDIO EL PARTO],"MEDIANA"),COUNTIFS(Tabla1[AÑO PARTO],B4,Tabla1[MES PARTO],K6,Tabla1[NIVEL DE COMPLEJIDAD DE LA ATENCION DE LA INSTITUCION DONDE SE ATENDIO EL PARTO],"ALTA"))</f>
        <v>0</v>
      </c>
      <c r="L126" s="192">
        <f>SUM(COUNTIFS(Tabla1[AÑO PARTO],B4,Tabla1[MES PARTO],L6,Tabla1[NIVEL DE COMPLEJIDAD DE LA ATENCION DE LA INSTITUCION DONDE SE ATENDIO EL PARTO],"MEDIANA"),COUNTIFS(Tabla1[AÑO PARTO],B4,Tabla1[MES PARTO],L6,Tabla1[NIVEL DE COMPLEJIDAD DE LA ATENCION DE LA INSTITUCION DONDE SE ATENDIO EL PARTO],"ALTA"))</f>
        <v>0</v>
      </c>
      <c r="M126" s="192">
        <f>SUM(COUNTIFS(Tabla1[AÑO PARTO],B4,Tabla1[MES PARTO],M6,Tabla1[NIVEL DE COMPLEJIDAD DE LA ATENCION DE LA INSTITUCION DONDE SE ATENDIO EL PARTO],"MEDIANA"),COUNTIFS(Tabla1[AÑO PARTO],B4,Tabla1[MES PARTO],M6,Tabla1[NIVEL DE COMPLEJIDAD DE LA ATENCION DE LA INSTITUCION DONDE SE ATENDIO EL PARTO],"ALTA"))</f>
        <v>0</v>
      </c>
      <c r="N126" s="194">
        <f>SUM(B126:M126)</f>
        <v>0</v>
      </c>
    </row>
    <row r="127" spans="1:14" ht="42.75" customHeight="1" thickBot="1" x14ac:dyDescent="0.3">
      <c r="A127" s="204" t="s">
        <v>775</v>
      </c>
      <c r="B127" s="117" t="str">
        <f>IF(B$126=0,"",SUM(B125/B$126))</f>
        <v/>
      </c>
      <c r="C127" s="118" t="str">
        <f t="shared" ref="C127:L127" si="43">IF(C$126=0,"",SUM(C125/C$126))</f>
        <v/>
      </c>
      <c r="D127" s="118" t="str">
        <f t="shared" si="43"/>
        <v/>
      </c>
      <c r="E127" s="118" t="str">
        <f t="shared" si="43"/>
        <v/>
      </c>
      <c r="F127" s="118" t="str">
        <f t="shared" si="43"/>
        <v/>
      </c>
      <c r="G127" s="118" t="str">
        <f t="shared" si="43"/>
        <v/>
      </c>
      <c r="H127" s="118" t="str">
        <f t="shared" si="43"/>
        <v/>
      </c>
      <c r="I127" s="118" t="str">
        <f t="shared" si="43"/>
        <v/>
      </c>
      <c r="J127" s="118" t="str">
        <f t="shared" si="43"/>
        <v/>
      </c>
      <c r="K127" s="118" t="str">
        <f t="shared" si="43"/>
        <v/>
      </c>
      <c r="L127" s="118" t="str">
        <f t="shared" si="43"/>
        <v/>
      </c>
      <c r="M127" s="118" t="str">
        <f>IF(M$126=0,"",SUM(M125/M$126))</f>
        <v/>
      </c>
      <c r="N127" s="119" t="str">
        <f>IF(N$126=0,"",SUM(N125/N$126))</f>
        <v/>
      </c>
    </row>
    <row r="128" spans="1:14" x14ac:dyDescent="0.25">
      <c r="A128" s="185" t="s">
        <v>427</v>
      </c>
      <c r="B128" s="115">
        <f>SUM(COUNTIFS(Tabla1[AÑO PARTO],B4,Tabla1[MES PARTO],B6,Tabla1[NUMERO NACIDOS VIVOS],"&gt;0"),COUNTIFS(Tabla1[AÑO PARTO],B4,Tabla1[MES PARTO],B6,Tabla1[NUMERO NACIDOS VIVOS],"&gt;1"),COUNTIFS(Tabla1[AÑO PARTO],B4,Tabla1[MES PARTO],B6,Tabla1[NUMERO NACIDOS VIVOS],"&gt;2"))</f>
        <v>0</v>
      </c>
      <c r="C128" s="115">
        <f>SUM(COUNTIFS(Tabla1[AÑO PARTO],B4,Tabla1[MES PARTO],C6,Tabla1[NUMERO NACIDOS VIVOS],"&gt;0"),COUNTIFS(Tabla1[AÑO PARTO],B4,Tabla1[MES PARTO],C6,Tabla1[NUMERO NACIDOS VIVOS],"&gt;1"),COUNTIFS(Tabla1[AÑO PARTO],B4,Tabla1[MES PARTO],C6,Tabla1[NUMERO NACIDOS VIVOS],"&gt;2"))</f>
        <v>0</v>
      </c>
      <c r="D128" s="115">
        <f>SUM(COUNTIFS(Tabla1[AÑO PARTO],B4,Tabla1[MES PARTO],D6,Tabla1[NUMERO NACIDOS VIVOS],"&gt;0"),COUNTIFS(Tabla1[AÑO PARTO],B4,Tabla1[MES PARTO],D6,Tabla1[NUMERO NACIDOS VIVOS],"&gt;1"),COUNTIFS(Tabla1[AÑO PARTO],B4,Tabla1[MES PARTO],D6,Tabla1[NUMERO NACIDOS VIVOS],"&gt;2"))</f>
        <v>0</v>
      </c>
      <c r="E128" s="115">
        <f>SUM(COUNTIFS(Tabla1[AÑO PARTO],B4,Tabla1[MES PARTO],E6,Tabla1[NUMERO NACIDOS VIVOS],"&gt;0"),COUNTIFS(Tabla1[AÑO PARTO],B4,Tabla1[MES PARTO],E6,Tabla1[NUMERO NACIDOS VIVOS],"&gt;1"),COUNTIFS(Tabla1[AÑO PARTO],B4,Tabla1[MES PARTO],E6,Tabla1[NUMERO NACIDOS VIVOS],"&gt;2"))</f>
        <v>0</v>
      </c>
      <c r="F128" s="115">
        <f>SUM(COUNTIFS(Tabla1[AÑO PARTO],B4,Tabla1[MES PARTO],F6,Tabla1[NUMERO NACIDOS VIVOS],"&gt;0"),COUNTIFS(Tabla1[AÑO PARTO],B4,Tabla1[MES PARTO],F6,Tabla1[NUMERO NACIDOS VIVOS],"&gt;1"),COUNTIFS(Tabla1[AÑO PARTO],B4,Tabla1[MES PARTO],F6,Tabla1[NUMERO NACIDOS VIVOS],"&gt;2"))</f>
        <v>0</v>
      </c>
      <c r="G128" s="115">
        <f>SUM(COUNTIFS(Tabla1[AÑO PARTO],B4,Tabla1[MES PARTO],G6,Tabla1[NUMERO NACIDOS VIVOS],"&gt;0"),COUNTIFS(Tabla1[AÑO PARTO],B4,Tabla1[MES PARTO],G6,Tabla1[NUMERO NACIDOS VIVOS],"&gt;1"),COUNTIFS(Tabla1[AÑO PARTO],B4,Tabla1[MES PARTO],G6,Tabla1[NUMERO NACIDOS VIVOS],"&gt;2"))</f>
        <v>0</v>
      </c>
      <c r="H128" s="115">
        <f>SUM(COUNTIFS(Tabla1[AÑO PARTO],B4,Tabla1[MES PARTO],H6,Tabla1[NUMERO NACIDOS VIVOS],"&gt;0"),COUNTIFS(Tabla1[AÑO PARTO],B4,Tabla1[MES PARTO],H6,Tabla1[NUMERO NACIDOS VIVOS],"&gt;1"),COUNTIFS(Tabla1[AÑO PARTO],B4,Tabla1[MES PARTO],H6,Tabla1[NUMERO NACIDOS VIVOS],"&gt;2"))</f>
        <v>0</v>
      </c>
      <c r="I128" s="115">
        <f>SUM(COUNTIFS(Tabla1[AÑO PARTO],B4,Tabla1[MES PARTO],I6,Tabla1[NUMERO NACIDOS VIVOS],"&gt;0"),COUNTIFS(Tabla1[AÑO PARTO],B4,Tabla1[MES PARTO],I6,Tabla1[NUMERO NACIDOS VIVOS],"&gt;1"),COUNTIFS(Tabla1[AÑO PARTO],B4,Tabla1[MES PARTO],I6,Tabla1[NUMERO NACIDOS VIVOS],"&gt;2"))</f>
        <v>0</v>
      </c>
      <c r="J128" s="115">
        <f>SUM(COUNTIFS(Tabla1[AÑO PARTO],B4,Tabla1[MES PARTO],J6,Tabla1[NUMERO NACIDOS VIVOS],"&gt;0"),COUNTIFS(Tabla1[AÑO PARTO],B4,Tabla1[MES PARTO],J6,Tabla1[NUMERO NACIDOS VIVOS],"&gt;1"),COUNTIFS(Tabla1[AÑO PARTO],B4,Tabla1[MES PARTO],J6,Tabla1[NUMERO NACIDOS VIVOS],"&gt;2"))</f>
        <v>0</v>
      </c>
      <c r="K128" s="115">
        <f>SUM(COUNTIFS(Tabla1[AÑO PARTO],B4,Tabla1[MES PARTO],K6,Tabla1[NUMERO NACIDOS VIVOS],"&gt;0"),COUNTIFS(Tabla1[AÑO PARTO],B4,Tabla1[MES PARTO],K6,Tabla1[NUMERO NACIDOS VIVOS],"&gt;1"),COUNTIFS(Tabla1[AÑO PARTO],B4,Tabla1[MES PARTO],K6,Tabla1[NUMERO NACIDOS VIVOS],"&gt;2"))</f>
        <v>0</v>
      </c>
      <c r="L128" s="115">
        <f>SUM(COUNTIFS(Tabla1[AÑO PARTO],B4,Tabla1[MES PARTO],L6,Tabla1[NUMERO NACIDOS VIVOS],"&gt;0"),COUNTIFS(Tabla1[AÑO PARTO],B4,Tabla1[MES PARTO],L6,Tabla1[NUMERO NACIDOS VIVOS],"&gt;1"),COUNTIFS(Tabla1[AÑO PARTO],B4,Tabla1[MES PARTO],L6,Tabla1[NUMERO NACIDOS VIVOS],"&gt;2"))</f>
        <v>0</v>
      </c>
      <c r="M128" s="115">
        <f>SUM(COUNTIFS(Tabla1[AÑO PARTO],B4,Tabla1[MES PARTO],M6,Tabla1[NUMERO NACIDOS VIVOS],"&gt;0"),COUNTIFS(Tabla1[AÑO PARTO],B4,Tabla1[MES PARTO],M6,Tabla1[NUMERO NACIDOS VIVOS],"&gt;1"),COUNTIFS(Tabla1[AÑO PARTO],B4,Tabla1[MES PARTO],M6,Tabla1[NUMERO NACIDOS VIVOS],"&gt;2"))</f>
        <v>0</v>
      </c>
      <c r="N128" s="124">
        <f t="shared" si="30"/>
        <v>0</v>
      </c>
    </row>
    <row r="129" spans="1:14" x14ac:dyDescent="0.25">
      <c r="A129" s="131" t="s">
        <v>428</v>
      </c>
      <c r="B129" s="68">
        <f>SUM(COUNTIFS(Tabla1[AÑO PARTO],B4,Tabla1[MES PARTO],B6,Tabla1[NUMERO NACIDOS VIVOS],"&gt;0",Tabla1[EDAD GESTACIONAL SALIDA PROGRAMA],"&gt;=37"),COUNTIFS(Tabla1[AÑO PARTO],B4,Tabla1[MES PARTO],B6,Tabla1[NUMERO NACIDOS VIVOS],"&gt;1",Tabla1[EDAD GESTACIONAL SALIDA PROGRAMA],"&gt;=37"),COUNTIFS(Tabla1[AÑO PARTO],B4,Tabla1[MES PARTO],B6,Tabla1[NUMERO NACIDOS VIVOS],"&gt;2",Tabla1[EDAD GESTACIONAL SALIDA PROGRAMA],"&gt;=37"))</f>
        <v>0</v>
      </c>
      <c r="C129" s="68">
        <f>SUM(COUNTIFS(Tabla1[AÑO PARTO],B4,Tabla1[MES PARTO],C6,Tabla1[NUMERO NACIDOS VIVOS],"&gt;0",Tabla1[EDAD GESTACIONAL SALIDA PROGRAMA],"&gt;=37"),COUNTIFS(Tabla1[AÑO PARTO],B4,Tabla1[MES PARTO],C6,Tabla1[NUMERO NACIDOS VIVOS],"&gt;1",Tabla1[EDAD GESTACIONAL SALIDA PROGRAMA],"&gt;=37"),COUNTIFS(Tabla1[AÑO PARTO],B4,Tabla1[MES PARTO],C6,Tabla1[NUMERO NACIDOS VIVOS],"&gt;2",Tabla1[EDAD GESTACIONAL SALIDA PROGRAMA],"&gt;=37"))</f>
        <v>0</v>
      </c>
      <c r="D129" s="68">
        <f>SUM(COUNTIFS(Tabla1[AÑO PARTO],B4,Tabla1[MES PARTO],D6,Tabla1[NUMERO NACIDOS VIVOS],"&gt;0",Tabla1[EDAD GESTACIONAL SALIDA PROGRAMA],"&gt;=37"),COUNTIFS(Tabla1[AÑO PARTO],B4,Tabla1[MES PARTO],D6,Tabla1[NUMERO NACIDOS VIVOS],"&gt;1",Tabla1[EDAD GESTACIONAL SALIDA PROGRAMA],"&gt;=37"),COUNTIFS(Tabla1[AÑO PARTO],B4,Tabla1[MES PARTO],D6,Tabla1[NUMERO NACIDOS VIVOS],"&gt;2",Tabla1[EDAD GESTACIONAL SALIDA PROGRAMA],"&gt;=37"))</f>
        <v>0</v>
      </c>
      <c r="E129" s="68">
        <f>SUM(COUNTIFS(Tabla1[AÑO PARTO],B4,Tabla1[MES PARTO],E6,Tabla1[NUMERO NACIDOS VIVOS],"&gt;0",Tabla1[EDAD GESTACIONAL SALIDA PROGRAMA],"&gt;=37"),COUNTIFS(Tabla1[AÑO PARTO],B4,Tabla1[MES PARTO],E6,Tabla1[NUMERO NACIDOS VIVOS],"&gt;1",Tabla1[EDAD GESTACIONAL SALIDA PROGRAMA],"&gt;=37"),COUNTIFS(Tabla1[AÑO PARTO],B4,Tabla1[MES PARTO],E6,Tabla1[NUMERO NACIDOS VIVOS],"&gt;2",Tabla1[EDAD GESTACIONAL SALIDA PROGRAMA],"&gt;=37"))</f>
        <v>0</v>
      </c>
      <c r="F129" s="68">
        <f>SUM(COUNTIFS(Tabla1[AÑO PARTO],B4,Tabla1[MES PARTO],F6,Tabla1[NUMERO NACIDOS VIVOS],"&gt;0",Tabla1[EDAD GESTACIONAL SALIDA PROGRAMA],"&gt;=37"),COUNTIFS(Tabla1[AÑO PARTO],B4,Tabla1[MES PARTO],F6,Tabla1[NUMERO NACIDOS VIVOS],"&gt;1",Tabla1[EDAD GESTACIONAL SALIDA PROGRAMA],"&gt;=37"),COUNTIFS(Tabla1[AÑO PARTO],B4,Tabla1[MES PARTO],F6,Tabla1[NUMERO NACIDOS VIVOS],"&gt;2",Tabla1[EDAD GESTACIONAL SALIDA PROGRAMA],"&gt;=37"))</f>
        <v>0</v>
      </c>
      <c r="G129" s="68">
        <f>SUM(COUNTIFS(Tabla1[AÑO PARTO],B4,Tabla1[MES PARTO],G6,Tabla1[NUMERO NACIDOS VIVOS],"&gt;0",Tabla1[EDAD GESTACIONAL SALIDA PROGRAMA],"&gt;=37"),COUNTIFS(Tabla1[AÑO PARTO],B4,Tabla1[MES PARTO],G6,Tabla1[NUMERO NACIDOS VIVOS],"&gt;1",Tabla1[EDAD GESTACIONAL SALIDA PROGRAMA],"&gt;=37"),COUNTIFS(Tabla1[AÑO PARTO],B4,Tabla1[MES PARTO],G6,Tabla1[NUMERO NACIDOS VIVOS],"&gt;2",Tabla1[EDAD GESTACIONAL SALIDA PROGRAMA],"&gt;=37"))</f>
        <v>0</v>
      </c>
      <c r="H129" s="68">
        <f>SUM(COUNTIFS(Tabla1[AÑO PARTO],B4,Tabla1[MES PARTO],H6,Tabla1[NUMERO NACIDOS VIVOS],"&gt;0",Tabla1[EDAD GESTACIONAL SALIDA PROGRAMA],"&gt;=37"),COUNTIFS(Tabla1[AÑO PARTO],B4,Tabla1[MES PARTO],H6,Tabla1[NUMERO NACIDOS VIVOS],"&gt;1",Tabla1[EDAD GESTACIONAL SALIDA PROGRAMA],"&gt;=37"),COUNTIFS(Tabla1[AÑO PARTO],B4,Tabla1[MES PARTO],H6,Tabla1[NUMERO NACIDOS VIVOS],"&gt;2",Tabla1[EDAD GESTACIONAL SALIDA PROGRAMA],"&gt;=37"))</f>
        <v>0</v>
      </c>
      <c r="I129" s="68">
        <f>SUM(COUNTIFS(Tabla1[AÑO PARTO],B4,Tabla1[MES PARTO],I6,Tabla1[NUMERO NACIDOS VIVOS],"&gt;0",Tabla1[EDAD GESTACIONAL SALIDA PROGRAMA],"&gt;=37"),COUNTIFS(Tabla1[AÑO PARTO],B4,Tabla1[MES PARTO],I6,Tabla1[NUMERO NACIDOS VIVOS],"&gt;1",Tabla1[EDAD GESTACIONAL SALIDA PROGRAMA],"&gt;=37"),COUNTIFS(Tabla1[AÑO PARTO],B4,Tabla1[MES PARTO],I6,Tabla1[NUMERO NACIDOS VIVOS],"&gt;2",Tabla1[EDAD GESTACIONAL SALIDA PROGRAMA],"&gt;=37"))</f>
        <v>0</v>
      </c>
      <c r="J129" s="68">
        <f>SUM(COUNTIFS(Tabla1[AÑO PARTO],B4,Tabla1[MES PARTO],J6,Tabla1[NUMERO NACIDOS VIVOS],"&gt;0",Tabla1[EDAD GESTACIONAL SALIDA PROGRAMA],"&gt;=37"),COUNTIFS(Tabla1[AÑO PARTO],B4,Tabla1[MES PARTO],J6,Tabla1[NUMERO NACIDOS VIVOS],"&gt;1",Tabla1[EDAD GESTACIONAL SALIDA PROGRAMA],"&gt;=37"),COUNTIFS(Tabla1[AÑO PARTO],B4,Tabla1[MES PARTO],J6,Tabla1[NUMERO NACIDOS VIVOS],"&gt;2",Tabla1[EDAD GESTACIONAL SALIDA PROGRAMA],"&gt;=37"))</f>
        <v>0</v>
      </c>
      <c r="K129" s="68">
        <f>SUM(COUNTIFS(Tabla1[AÑO PARTO],B4,Tabla1[MES PARTO],K6,Tabla1[NUMERO NACIDOS VIVOS],"&gt;0",Tabla1[EDAD GESTACIONAL SALIDA PROGRAMA],"&gt;=37"),COUNTIFS(Tabla1[AÑO PARTO],B4,Tabla1[MES PARTO],K6,Tabla1[NUMERO NACIDOS VIVOS],"&gt;1",Tabla1[EDAD GESTACIONAL SALIDA PROGRAMA],"&gt;=37"),COUNTIFS(Tabla1[AÑO PARTO],B4,Tabla1[MES PARTO],K6,Tabla1[NUMERO NACIDOS VIVOS],"&gt;2",Tabla1[EDAD GESTACIONAL SALIDA PROGRAMA],"&gt;=37"))</f>
        <v>0</v>
      </c>
      <c r="L129" s="68">
        <f>SUM(COUNTIFS(Tabla1[AÑO PARTO],B4,Tabla1[MES PARTO],L6,Tabla1[NUMERO NACIDOS VIVOS],"&gt;0",Tabla1[EDAD GESTACIONAL SALIDA PROGRAMA],"&gt;=37"),COUNTIFS(Tabla1[AÑO PARTO],B4,Tabla1[MES PARTO],L6,Tabla1[NUMERO NACIDOS VIVOS],"&gt;1",Tabla1[EDAD GESTACIONAL SALIDA PROGRAMA],"&gt;=37"),COUNTIFS(Tabla1[AÑO PARTO],B4,Tabla1[MES PARTO],L6,Tabla1[NUMERO NACIDOS VIVOS],"&gt;2",Tabla1[EDAD GESTACIONAL SALIDA PROGRAMA],"&gt;=37"))</f>
        <v>0</v>
      </c>
      <c r="M129" s="68">
        <f>SUM(COUNTIFS(Tabla1[AÑO PARTO],B4,Tabla1[MES PARTO],M6,Tabla1[NUMERO NACIDOS VIVOS],"&gt;0",Tabla1[EDAD GESTACIONAL SALIDA PROGRAMA],"&gt;=37"),COUNTIFS(Tabla1[AÑO PARTO],B4,Tabla1[MES PARTO],M6,Tabla1[NUMERO NACIDOS VIVOS],"&gt;1",Tabla1[EDAD GESTACIONAL SALIDA PROGRAMA],"&gt;=37"),COUNTIFS(Tabla1[AÑO PARTO],B4,Tabla1[MES PARTO],M6,Tabla1[NUMERO NACIDOS VIVOS],"&gt;2",Tabla1[EDAD GESTACIONAL SALIDA PROGRAMA],"&gt;=37"))</f>
        <v>0</v>
      </c>
      <c r="N129" s="128">
        <f t="shared" si="30"/>
        <v>0</v>
      </c>
    </row>
    <row r="130" spans="1:14" ht="26.25" thickBot="1" x14ac:dyDescent="0.3">
      <c r="A130" s="141" t="s">
        <v>429</v>
      </c>
      <c r="B130" s="142">
        <f>SUM(COUNTIFS(Tabla1[AÑO PARTO],B4,Tabla1[MES PARTO],B6,Tabla1[PESO RN  EN GRAMOS],"&lt;2500",Tabla1[EDAD GESTACIONAL SALIDA PROGRAMA],"&gt;=37"),COUNTIFS(Tabla1[AÑO PARTO],B4,Tabla1[MES PARTO],B6,Tabla1[PESO RN 2 EN GRAMOS2],"&lt;2500",Tabla1[EDAD GESTACIONAL SALIDA PROGRAMA],"&gt;=37"))</f>
        <v>0</v>
      </c>
      <c r="C130" s="142">
        <f>SUM(COUNTIFS(Tabla1[AÑO PARTO],B4,Tabla1[MES PARTO],C6,Tabla1[PESO RN  EN GRAMOS],"&lt;2500",Tabla1[EDAD GESTACIONAL SALIDA PROGRAMA],"&gt;=37"),COUNTIFS(Tabla1[AÑO PARTO],B4,Tabla1[MES PARTO],C6,Tabla1[PESO RN 2 EN GRAMOS2],"&lt;2500",Tabla1[EDAD GESTACIONAL SALIDA PROGRAMA],"&gt;=37"))</f>
        <v>0</v>
      </c>
      <c r="D130" s="142">
        <f>SUM(COUNTIFS(Tabla1[AÑO PARTO],B4,Tabla1[MES PARTO],D6,Tabla1[PESO RN  EN GRAMOS],"&lt;2500",Tabla1[EDAD GESTACIONAL SALIDA PROGRAMA],"&gt;=37"),COUNTIFS(Tabla1[AÑO PARTO],B4,Tabla1[MES PARTO],D6,Tabla1[PESO RN 2 EN GRAMOS2],"&lt;2500",Tabla1[EDAD GESTACIONAL SALIDA PROGRAMA],"&gt;=37"))</f>
        <v>0</v>
      </c>
      <c r="E130" s="142">
        <f>SUM(COUNTIFS(Tabla1[AÑO PARTO],B4,Tabla1[MES PARTO],E6,Tabla1[PESO RN  EN GRAMOS],"&lt;2500",Tabla1[EDAD GESTACIONAL SALIDA PROGRAMA],"&gt;=37"),COUNTIFS(Tabla1[AÑO PARTO],B4,Tabla1[MES PARTO],E6,Tabla1[PESO RN 2 EN GRAMOS2],"&lt;2500",Tabla1[EDAD GESTACIONAL SALIDA PROGRAMA],"&gt;=37"))</f>
        <v>0</v>
      </c>
      <c r="F130" s="142">
        <f>SUM(COUNTIFS(Tabla1[AÑO PARTO],B4,Tabla1[MES PARTO],F6,Tabla1[PESO RN  EN GRAMOS],"&lt;2500",Tabla1[EDAD GESTACIONAL SALIDA PROGRAMA],"&gt;=37"),COUNTIFS(Tabla1[AÑO PARTO],B4,Tabla1[MES PARTO],F6,Tabla1[PESO RN 2 EN GRAMOS2],"&lt;2500",Tabla1[EDAD GESTACIONAL SALIDA PROGRAMA],"&gt;=37"))</f>
        <v>0</v>
      </c>
      <c r="G130" s="142">
        <f>SUM(COUNTIFS(Tabla1[AÑO PARTO],B4,Tabla1[MES PARTO],G6,Tabla1[PESO RN  EN GRAMOS],"&lt;2500",Tabla1[EDAD GESTACIONAL SALIDA PROGRAMA],"&gt;=37"),COUNTIFS(Tabla1[AÑO PARTO],B4,Tabla1[MES PARTO],G6,Tabla1[PESO RN 2 EN GRAMOS2],"&lt;2500",Tabla1[EDAD GESTACIONAL SALIDA PROGRAMA],"&gt;=37"))</f>
        <v>0</v>
      </c>
      <c r="H130" s="142">
        <f>SUM(COUNTIFS(Tabla1[AÑO PARTO],B4,Tabla1[MES PARTO],H6,Tabla1[PESO RN  EN GRAMOS],"&lt;2500",Tabla1[EDAD GESTACIONAL SALIDA PROGRAMA],"&gt;=37"),COUNTIFS(Tabla1[AÑO PARTO],B4,Tabla1[MES PARTO],H6,Tabla1[PESO RN 2 EN GRAMOS2],"&lt;2500",Tabla1[EDAD GESTACIONAL SALIDA PROGRAMA],"&gt;=37"))</f>
        <v>0</v>
      </c>
      <c r="I130" s="142">
        <f>SUM(COUNTIFS(Tabla1[AÑO PARTO],B4,Tabla1[MES PARTO],I6,Tabla1[PESO RN  EN GRAMOS],"&lt;2500",Tabla1[EDAD GESTACIONAL SALIDA PROGRAMA],"&gt;=37"),COUNTIFS(Tabla1[AÑO PARTO],B4,Tabla1[MES PARTO],I6,Tabla1[PESO RN 2 EN GRAMOS2],"&lt;2500",Tabla1[EDAD GESTACIONAL SALIDA PROGRAMA],"&gt;=37"))</f>
        <v>0</v>
      </c>
      <c r="J130" s="142">
        <f>SUM(COUNTIFS(Tabla1[AÑO PARTO],B4,Tabla1[MES PARTO],J6,Tabla1[PESO RN  EN GRAMOS],"&lt;2500",Tabla1[EDAD GESTACIONAL SALIDA PROGRAMA],"&gt;=37"),COUNTIFS(Tabla1[AÑO PARTO],B4,Tabla1[MES PARTO],J6,Tabla1[PESO RN 2 EN GRAMOS2],"&lt;2500",Tabla1[EDAD GESTACIONAL SALIDA PROGRAMA],"&gt;=37"))</f>
        <v>0</v>
      </c>
      <c r="K130" s="142">
        <f>SUM(COUNTIFS(Tabla1[AÑO PARTO],B4,Tabla1[MES PARTO],K6,Tabla1[PESO RN  EN GRAMOS],"&lt;2500",Tabla1[EDAD GESTACIONAL SALIDA PROGRAMA],"&gt;=37"),COUNTIFS(Tabla1[AÑO PARTO],B4,Tabla1[MES PARTO],K6,Tabla1[PESO RN 2 EN GRAMOS2],"&lt;2500",Tabla1[EDAD GESTACIONAL SALIDA PROGRAMA],"&gt;=37"))</f>
        <v>0</v>
      </c>
      <c r="L130" s="142">
        <f>SUM(COUNTIFS(Tabla1[AÑO PARTO],B4,Tabla1[MES PARTO],L6,Tabla1[PESO RN  EN GRAMOS],"&lt;2500",Tabla1[EDAD GESTACIONAL SALIDA PROGRAMA],"&gt;=37"),COUNTIFS(Tabla1[AÑO PARTO],B4,Tabla1[MES PARTO],L6,Tabla1[PESO RN 2 EN GRAMOS2],"&lt;2500",Tabla1[EDAD GESTACIONAL SALIDA PROGRAMA],"&gt;=37"))</f>
        <v>0</v>
      </c>
      <c r="M130" s="142">
        <f>SUM(COUNTIFS(Tabla1[AÑO PARTO],B4,Tabla1[MES PARTO],M6,Tabla1[PESO RN  EN GRAMOS],"&lt;2500",Tabla1[EDAD GESTACIONAL SALIDA PROGRAMA],"&gt;=37"),COUNTIFS(Tabla1[AÑO PARTO],B4,Tabla1[MES PARTO],M6,Tabla1[PESO RN 2 EN GRAMOS2],"&lt;2500",Tabla1[EDAD GESTACIONAL SALIDA PROGRAMA],"&gt;=37"))</f>
        <v>0</v>
      </c>
      <c r="N130" s="135">
        <f t="shared" si="30"/>
        <v>0</v>
      </c>
    </row>
    <row r="131" spans="1:14" ht="15.75" thickBot="1" x14ac:dyDescent="0.3">
      <c r="A131" s="66" t="s">
        <v>430</v>
      </c>
      <c r="B131" s="117" t="str">
        <f>IF(B129=0,"",SUM(B130/B129))</f>
        <v/>
      </c>
      <c r="C131" s="118" t="str">
        <f t="shared" ref="C131:N131" si="44">IF(C129=0,"",SUM(C130/C129))</f>
        <v/>
      </c>
      <c r="D131" s="118" t="str">
        <f t="shared" si="44"/>
        <v/>
      </c>
      <c r="E131" s="118" t="str">
        <f t="shared" si="44"/>
        <v/>
      </c>
      <c r="F131" s="118" t="str">
        <f t="shared" si="44"/>
        <v/>
      </c>
      <c r="G131" s="118" t="str">
        <f t="shared" si="44"/>
        <v/>
      </c>
      <c r="H131" s="118" t="str">
        <f t="shared" si="44"/>
        <v/>
      </c>
      <c r="I131" s="118" t="str">
        <f t="shared" si="44"/>
        <v/>
      </c>
      <c r="J131" s="118" t="str">
        <f t="shared" si="44"/>
        <v/>
      </c>
      <c r="K131" s="118" t="str">
        <f t="shared" si="44"/>
        <v/>
      </c>
      <c r="L131" s="118" t="str">
        <f t="shared" si="44"/>
        <v/>
      </c>
      <c r="M131" s="118" t="str">
        <f t="shared" si="44"/>
        <v/>
      </c>
      <c r="N131" s="119" t="str">
        <f t="shared" si="44"/>
        <v/>
      </c>
    </row>
    <row r="132" spans="1:14" ht="26.25" thickBot="1" x14ac:dyDescent="0.3">
      <c r="A132" s="132" t="s">
        <v>741</v>
      </c>
      <c r="B132" s="115">
        <f>SUM(COUNTIFS(Tabla1[AÑO PARTO],B4,Tabla1[MES PARTO],B6,Tabla1[[ EVENTO DE INTERES EN SALUD PÚBLICA DEL RECIÉN NACIDO2]],"MUERTE PERINATAL O NEONATAL TEMPRANA"),COUNTIFS(Tabla1[AÑO PARTO],B4,Tabla1[MES PARTO],B6,Tabla1[[ EVENTO DE INTERES EN SALUD PÚBLICA DEL RECIÉN NACIDO2]],"MUERTE NEONATAL TARDÍA"))</f>
        <v>0</v>
      </c>
      <c r="C132" s="115">
        <f>SUM(COUNTIFS(Tabla1[AÑO PARTO],B4,Tabla1[MES PARTO],C6,Tabla1[[ EVENTO DE INTERES EN SALUD PÚBLICA DEL RECIÉN NACIDO2]],"MUERTE PERINATAL O NEONATAL TEMPRANA"),COUNTIFS(Tabla1[AÑO PARTO],B4,Tabla1[MES PARTO],C6,Tabla1[[ EVENTO DE INTERES EN SALUD PÚBLICA DEL RECIÉN NACIDO2]],"MUERTE NEONATAL TARDÍA"))</f>
        <v>0</v>
      </c>
      <c r="D132" s="115">
        <f>SUM(COUNTIFS(Tabla1[AÑO PARTO],B4,Tabla1[MES PARTO],D6,Tabla1[[ EVENTO DE INTERES EN SALUD PÚBLICA DEL RECIÉN NACIDO2]],"MUERTE PERINATAL O NEONATAL TEMPRANA"),COUNTIFS(Tabla1[AÑO PARTO],B4,Tabla1[MES PARTO],D6,Tabla1[[ EVENTO DE INTERES EN SALUD PÚBLICA DEL RECIÉN NACIDO2]],"MUERTE NEONATAL TARDÍA"))</f>
        <v>0</v>
      </c>
      <c r="E132" s="115">
        <f>SUM(COUNTIFS(Tabla1[AÑO PARTO],B4,Tabla1[MES PARTO],E6,Tabla1[[ EVENTO DE INTERES EN SALUD PÚBLICA DEL RECIÉN NACIDO2]],"MUERTE PERINATAL O NEONATAL TEMPRANA"),COUNTIFS(Tabla1[AÑO PARTO],B4,Tabla1[MES PARTO],E6,Tabla1[[ EVENTO DE INTERES EN SALUD PÚBLICA DEL RECIÉN NACIDO2]],"MUERTE NEONATAL TARDÍA"))</f>
        <v>0</v>
      </c>
      <c r="F132" s="115">
        <f>SUM(COUNTIFS(Tabla1[AÑO PARTO],B4,Tabla1[MES PARTO],F6,Tabla1[[ EVENTO DE INTERES EN SALUD PÚBLICA DEL RECIÉN NACIDO2]],"MUERTE PERINATAL O NEONATAL TEMPRANA"),COUNTIFS(Tabla1[AÑO PARTO],B4,Tabla1[MES PARTO],F6,Tabla1[[ EVENTO DE INTERES EN SALUD PÚBLICA DEL RECIÉN NACIDO2]],"MUERTE NEONATAL TARDÍA"))</f>
        <v>0</v>
      </c>
      <c r="G132" s="115">
        <f>SUM(COUNTIFS(Tabla1[AÑO PARTO],B4,Tabla1[MES PARTO],G6,Tabla1[[ EVENTO DE INTERES EN SALUD PÚBLICA DEL RECIÉN NACIDO2]],"MUERTE PERINATAL O NEONATAL TEMPRANA"),COUNTIFS(Tabla1[AÑO PARTO],B4,Tabla1[MES PARTO],G6,Tabla1[[ EVENTO DE INTERES EN SALUD PÚBLICA DEL RECIÉN NACIDO2]],"MUERTE NEONATAL TARDÍA"))</f>
        <v>0</v>
      </c>
      <c r="H132" s="115">
        <f>SUM(COUNTIFS(Tabla1[AÑO PARTO],B4,Tabla1[MES PARTO],H6,Tabla1[[ EVENTO DE INTERES EN SALUD PÚBLICA DEL RECIÉN NACIDO2]],"MUERTE PERINATAL O NEONATAL TEMPRANA"),COUNTIFS(Tabla1[AÑO PARTO],B4,Tabla1[MES PARTO],H6,Tabla1[[ EVENTO DE INTERES EN SALUD PÚBLICA DEL RECIÉN NACIDO2]],"MUERTE NEONATAL TARDÍA"))</f>
        <v>0</v>
      </c>
      <c r="I132" s="115">
        <f>SUM(COUNTIFS(Tabla1[AÑO PARTO],B4,Tabla1[MES PARTO],I6,Tabla1[[ EVENTO DE INTERES EN SALUD PÚBLICA DEL RECIÉN NACIDO2]],"MUERTE PERINATAL O NEONATAL TEMPRANA"),COUNTIFS(Tabla1[AÑO PARTO],B4,Tabla1[MES PARTO],I6,Tabla1[[ EVENTO DE INTERES EN SALUD PÚBLICA DEL RECIÉN NACIDO2]],"MUERTE NEONATAL TARDÍA"))</f>
        <v>0</v>
      </c>
      <c r="J132" s="115">
        <f>SUM(COUNTIFS(Tabla1[AÑO PARTO],B4,Tabla1[MES PARTO],J6,Tabla1[[ EVENTO DE INTERES EN SALUD PÚBLICA DEL RECIÉN NACIDO2]],"MUERTE PERINATAL O NEONATAL TEMPRANA"),COUNTIFS(Tabla1[AÑO PARTO],B4,Tabla1[MES PARTO],J6,Tabla1[[ EVENTO DE INTERES EN SALUD PÚBLICA DEL RECIÉN NACIDO2]],"MUERTE NEONATAL TARDÍA"))</f>
        <v>0</v>
      </c>
      <c r="K132" s="115">
        <f>SUM(COUNTIFS(Tabla1[AÑO PARTO],B4,Tabla1[MES PARTO],K6,Tabla1[[ EVENTO DE INTERES EN SALUD PÚBLICA DEL RECIÉN NACIDO2]],"MUERTE PERINATAL O NEONATAL TEMPRANA"),COUNTIFS(Tabla1[AÑO PARTO],B4,Tabla1[MES PARTO],K6,Tabla1[[ EVENTO DE INTERES EN SALUD PÚBLICA DEL RECIÉN NACIDO2]],"MUERTE NEONATAL TARDÍA"))</f>
        <v>0</v>
      </c>
      <c r="L132" s="115">
        <f>SUM(COUNTIFS(Tabla1[AÑO PARTO],B4,Tabla1[MES PARTO],L6,Tabla1[[ EVENTO DE INTERES EN SALUD PÚBLICA DEL RECIÉN NACIDO2]],"MUERTE PERINATAL O NEONATAL TEMPRANA"),COUNTIFS(Tabla1[AÑO PARTO],B4,Tabla1[MES PARTO],L6,Tabla1[[ EVENTO DE INTERES EN SALUD PÚBLICA DEL RECIÉN NACIDO2]],"MUERTE NEONATAL TARDÍA"))</f>
        <v>0</v>
      </c>
      <c r="M132" s="115">
        <f>SUM(COUNTIFS(Tabla1[AÑO PARTO],B4,Tabla1[MES PARTO],M6,Tabla1[[ EVENTO DE INTERES EN SALUD PÚBLICA DEL RECIÉN NACIDO2]],"MUERTE PERINATAL O NEONATAL TEMPRANA"),COUNTIFS(Tabla1[AÑO PARTO],B4,Tabla1[MES PARTO],M6,Tabla1[[ EVENTO DE INTERES EN SALUD PÚBLICA DEL RECIÉN NACIDO2]],"MUERTE NEONATAL TARDÍA"))</f>
        <v>0</v>
      </c>
      <c r="N132" s="126">
        <f t="shared" si="30"/>
        <v>0</v>
      </c>
    </row>
    <row r="133" spans="1:14" ht="15.75" thickBot="1" x14ac:dyDescent="0.3">
      <c r="A133" s="133" t="s">
        <v>431</v>
      </c>
      <c r="B133" s="257"/>
      <c r="C133" s="258"/>
      <c r="D133" s="258"/>
      <c r="E133" s="258"/>
      <c r="F133" s="258"/>
      <c r="G133" s="258"/>
      <c r="H133" s="258"/>
      <c r="I133" s="258"/>
      <c r="J133" s="258"/>
      <c r="K133" s="258"/>
      <c r="L133" s="258"/>
      <c r="M133" s="258"/>
      <c r="N133" s="202" t="str">
        <f>IF(N$128=0,"",SUM((N132/N$128)*1000))</f>
        <v/>
      </c>
    </row>
    <row r="134" spans="1:14" ht="15.75" thickBot="1" x14ac:dyDescent="0.3">
      <c r="A134" s="132" t="s">
        <v>432</v>
      </c>
      <c r="B134" s="68">
        <f>SUM(COUNTIFS(Tabla1[AÑO PARTO],B4,Tabla1[MES PARTO],B6,Tabla1[[ EVENTO DE INTERES EN SALUD PÚBLICA DE LA MADRE]],"MORBILIDAD MATERNA EXTREMA"),COUNTIFS(Tabla1[AÑO PARTO],B4,Tabla1[MES PARTO],B6,Tabla1[[ EVENTO DE INTERES EN SALUD PÚBLICA DE LA MADRE]],"MUERTE Y MORBILIDAD MATERNA EXTREMA"))</f>
        <v>0</v>
      </c>
      <c r="C134" s="68">
        <f>SUM(COUNTIFS(Tabla1[AÑO PARTO],B4,Tabla1[MES PARTO],C6,Tabla1[[ EVENTO DE INTERES EN SALUD PÚBLICA DE LA MADRE]],"MORBILIDAD MATERNA EXTREMA"),COUNTIFS(Tabla1[AÑO PARTO],B4,Tabla1[MES PARTO],C6,Tabla1[[ EVENTO DE INTERES EN SALUD PÚBLICA DE LA MADRE]],"MUERTE Y MORBILIDAD MATERNA EXTREMA"))</f>
        <v>0</v>
      </c>
      <c r="D134" s="68">
        <f>SUM(COUNTIFS(Tabla1[AÑO PARTO],B4,Tabla1[MES PARTO],D6,Tabla1[[ EVENTO DE INTERES EN SALUD PÚBLICA DE LA MADRE]],"MORBILIDAD MATERNA EXTREMA"),COUNTIFS(Tabla1[AÑO PARTO],B4,Tabla1[MES PARTO],D6,Tabla1[[ EVENTO DE INTERES EN SALUD PÚBLICA DE LA MADRE]],"MUERTE Y MORBILIDAD MATERNA EXTREMA"))</f>
        <v>0</v>
      </c>
      <c r="E134" s="68">
        <f>SUM(COUNTIFS(Tabla1[AÑO PARTO],B4,Tabla1[MES PARTO],E6,Tabla1[[ EVENTO DE INTERES EN SALUD PÚBLICA DE LA MADRE]],"MORBILIDAD MATERNA EXTREMA"),COUNTIFS(Tabla1[AÑO PARTO],B4,Tabla1[MES PARTO],E6,Tabla1[[ EVENTO DE INTERES EN SALUD PÚBLICA DE LA MADRE]],"MUERTE Y MORBILIDAD MATERNA EXTREMA"))</f>
        <v>0</v>
      </c>
      <c r="F134" s="68">
        <f>SUM(COUNTIFS(Tabla1[AÑO PARTO],B4,Tabla1[MES PARTO],F6,Tabla1[[ EVENTO DE INTERES EN SALUD PÚBLICA DE LA MADRE]],"MORBILIDAD MATERNA EXTREMA"),COUNTIFS(Tabla1[AÑO PARTO],B4,Tabla1[MES PARTO],F6,Tabla1[[ EVENTO DE INTERES EN SALUD PÚBLICA DE LA MADRE]],"MUERTE Y MORBILIDAD MATERNA EXTREMA"))</f>
        <v>0</v>
      </c>
      <c r="G134" s="68">
        <f>SUM(COUNTIFS(Tabla1[AÑO PARTO],B4,Tabla1[MES PARTO],G6,Tabla1[[ EVENTO DE INTERES EN SALUD PÚBLICA DE LA MADRE]],"MORBILIDAD MATERNA EXTREMA"),COUNTIFS(Tabla1[AÑO PARTO],B4,Tabla1[MES PARTO],G6,Tabla1[[ EVENTO DE INTERES EN SALUD PÚBLICA DE LA MADRE]],"MUERTE Y MORBILIDAD MATERNA EXTREMA"))</f>
        <v>0</v>
      </c>
      <c r="H134" s="68">
        <f>SUM(COUNTIFS(Tabla1[AÑO PARTO],B4,Tabla1[MES PARTO],H6,Tabla1[[ EVENTO DE INTERES EN SALUD PÚBLICA DE LA MADRE]],"MORBILIDAD MATERNA EXTREMA"),COUNTIFS(Tabla1[AÑO PARTO],B4,Tabla1[MES PARTO],H6,Tabla1[[ EVENTO DE INTERES EN SALUD PÚBLICA DE LA MADRE]],"MUERTE Y MORBILIDAD MATERNA EXTREMA"))</f>
        <v>0</v>
      </c>
      <c r="I134" s="68">
        <f>SUM(COUNTIFS(Tabla1[AÑO PARTO],B4,Tabla1[MES PARTO],I6,Tabla1[[ EVENTO DE INTERES EN SALUD PÚBLICA DE LA MADRE]],"MORBILIDAD MATERNA EXTREMA"),COUNTIFS(Tabla1[AÑO PARTO],B4,Tabla1[MES PARTO],I6,Tabla1[[ EVENTO DE INTERES EN SALUD PÚBLICA DE LA MADRE]],"MUERTE Y MORBILIDAD MATERNA EXTREMA"))</f>
        <v>0</v>
      </c>
      <c r="J134" s="68">
        <f>SUM(COUNTIFS(Tabla1[AÑO PARTO],B4,Tabla1[MES PARTO],J6,Tabla1[[ EVENTO DE INTERES EN SALUD PÚBLICA DE LA MADRE]],"MORBILIDAD MATERNA EXTREMA"),COUNTIFS(Tabla1[AÑO PARTO],B4,Tabla1[MES PARTO],J6,Tabla1[[ EVENTO DE INTERES EN SALUD PÚBLICA DE LA MADRE]],"MUERTE Y MORBILIDAD MATERNA EXTREMA"))</f>
        <v>0</v>
      </c>
      <c r="K134" s="68">
        <f>SUM(COUNTIFS(Tabla1[AÑO PARTO],B4,Tabla1[MES PARTO],K6,Tabla1[[ EVENTO DE INTERES EN SALUD PÚBLICA DE LA MADRE]],"MORBILIDAD MATERNA EXTREMA"),COUNTIFS(Tabla1[AÑO PARTO],B4,Tabla1[MES PARTO],K6,Tabla1[[ EVENTO DE INTERES EN SALUD PÚBLICA DE LA MADRE]],"MUERTE Y MORBILIDAD MATERNA EXTREMA"))</f>
        <v>0</v>
      </c>
      <c r="L134" s="68">
        <f>SUM(COUNTIFS(Tabla1[AÑO PARTO],B4,Tabla1[MES PARTO],L6,Tabla1[[ EVENTO DE INTERES EN SALUD PÚBLICA DE LA MADRE]],"MORBILIDAD MATERNA EXTREMA"),COUNTIFS(Tabla1[AÑO PARTO],B4,Tabla1[MES PARTO],L6,Tabla1[[ EVENTO DE INTERES EN SALUD PÚBLICA DE LA MADRE]],"MUERTE Y MORBILIDAD MATERNA EXTREMA"))</f>
        <v>0</v>
      </c>
      <c r="M134" s="68">
        <f>SUM(COUNTIFS(Tabla1[AÑO PARTO],B4,Tabla1[MES PARTO],M6,Tabla1[[ EVENTO DE INTERES EN SALUD PÚBLICA DE LA MADRE]],"MORBILIDAD MATERNA EXTREMA"),COUNTIFS(Tabla1[AÑO PARTO],B4,Tabla1[MES PARTO],M6,Tabla1[[ EVENTO DE INTERES EN SALUD PÚBLICA DE LA MADRE]],"MUERTE Y MORBILIDAD MATERNA EXTREMA"))</f>
        <v>0</v>
      </c>
      <c r="N134" s="126">
        <f t="shared" si="30"/>
        <v>0</v>
      </c>
    </row>
    <row r="135" spans="1:14" ht="26.25" thickBot="1" x14ac:dyDescent="0.3">
      <c r="A135" s="133" t="s">
        <v>433</v>
      </c>
      <c r="B135" s="257"/>
      <c r="C135" s="258"/>
      <c r="D135" s="258"/>
      <c r="E135" s="258"/>
      <c r="F135" s="258"/>
      <c r="G135" s="258"/>
      <c r="H135" s="258"/>
      <c r="I135" s="258"/>
      <c r="J135" s="258"/>
      <c r="K135" s="258"/>
      <c r="L135" s="258"/>
      <c r="M135" s="258"/>
      <c r="N135" s="202" t="str">
        <f>IF(N$128=0,"",SUM((N134/N$128)*1000))</f>
        <v/>
      </c>
    </row>
    <row r="136" spans="1:14" ht="15.75" thickBot="1" x14ac:dyDescent="0.3">
      <c r="A136" s="132" t="s">
        <v>748</v>
      </c>
      <c r="B136" s="68">
        <f>SUM(COUNTIFS(Tabla1[AÑO PARTO],B4,Tabla1[MES PARTO],B6,Tabla1[[ EVENTO DE INTERES EN SALUD PÚBLICA DE LA MADRE]],"MUERTE MATERNA"),COUNTIFS(Tabla1[AÑO PARTO],B4,Tabla1[MES PARTO],B6,Tabla1[[ EVENTO DE INTERES EN SALUD PÚBLICA DE LA MADRE]],"MUERTE Y MORBILIDAD MATERNA EXTREMA"))</f>
        <v>0</v>
      </c>
      <c r="C136" s="68">
        <f>SUM(COUNTIFS(Tabla1[AÑO PARTO],B4,Tabla1[MES PARTO],C6,Tabla1[[ EVENTO DE INTERES EN SALUD PÚBLICA DE LA MADRE]],"MUERTE MATERNA"),COUNTIFS(Tabla1[AÑO PARTO],B4,Tabla1[MES PARTO],C6,Tabla1[[ EVENTO DE INTERES EN SALUD PÚBLICA DE LA MADRE]],"MUERTE Y MORBILIDAD MATERNA EXTREMA"))</f>
        <v>0</v>
      </c>
      <c r="D136" s="68">
        <f>SUM(COUNTIFS(Tabla1[AÑO PARTO],B4,Tabla1[MES PARTO],D6,Tabla1[[ EVENTO DE INTERES EN SALUD PÚBLICA DE LA MADRE]],"MUERTE MATERNA"),COUNTIFS(Tabla1[AÑO PARTO],B4,Tabla1[MES PARTO],D6,Tabla1[[ EVENTO DE INTERES EN SALUD PÚBLICA DE LA MADRE]],"MUERTE Y MORBILIDAD MATERNA EXTREMA"))</f>
        <v>0</v>
      </c>
      <c r="E136" s="68">
        <f>SUM(COUNTIFS(Tabla1[AÑO PARTO],B4,Tabla1[MES PARTO],E6,Tabla1[[ EVENTO DE INTERES EN SALUD PÚBLICA DE LA MADRE]],"MUERTE MATERNA"),COUNTIFS(Tabla1[AÑO PARTO],B4,Tabla1[MES PARTO],E6,Tabla1[[ EVENTO DE INTERES EN SALUD PÚBLICA DE LA MADRE]],"MUERTE Y MORBILIDAD MATERNA EXTREMA"))</f>
        <v>0</v>
      </c>
      <c r="F136" s="68">
        <f>SUM(COUNTIFS(Tabla1[AÑO PARTO],B4,Tabla1[MES PARTO],F6,Tabla1[[ EVENTO DE INTERES EN SALUD PÚBLICA DE LA MADRE]],"MUERTE MATERNA"),COUNTIFS(Tabla1[AÑO PARTO],B4,Tabla1[MES PARTO],F6,Tabla1[[ EVENTO DE INTERES EN SALUD PÚBLICA DE LA MADRE]],"MUERTE Y MORBILIDAD MATERNA EXTREMA"))</f>
        <v>0</v>
      </c>
      <c r="G136" s="68">
        <f>SUM(COUNTIFS(Tabla1[AÑO PARTO],B4,Tabla1[MES PARTO],G6,Tabla1[[ EVENTO DE INTERES EN SALUD PÚBLICA DE LA MADRE]],"MUERTE MATERNA"),COUNTIFS(Tabla1[AÑO PARTO],B4,Tabla1[MES PARTO],G6,Tabla1[[ EVENTO DE INTERES EN SALUD PÚBLICA DE LA MADRE]],"MUERTE Y MORBILIDAD MATERNA EXTREMA"))</f>
        <v>0</v>
      </c>
      <c r="H136" s="68">
        <f>SUM(COUNTIFS(Tabla1[AÑO PARTO],B4,Tabla1[MES PARTO],H6,Tabla1[[ EVENTO DE INTERES EN SALUD PÚBLICA DE LA MADRE]],"MUERTE MATERNA"),COUNTIFS(Tabla1[AÑO PARTO],B4,Tabla1[MES PARTO],H6,Tabla1[[ EVENTO DE INTERES EN SALUD PÚBLICA DE LA MADRE]],"MUERTE Y MORBILIDAD MATERNA EXTREMA"))</f>
        <v>0</v>
      </c>
      <c r="I136" s="68">
        <f>SUM(COUNTIFS(Tabla1[AÑO PARTO],B4,Tabla1[MES PARTO],I6,Tabla1[[ EVENTO DE INTERES EN SALUD PÚBLICA DE LA MADRE]],"MUERTE MATERNA"),COUNTIFS(Tabla1[AÑO PARTO],B4,Tabla1[MES PARTO],I6,Tabla1[[ EVENTO DE INTERES EN SALUD PÚBLICA DE LA MADRE]],"MUERTE Y MORBILIDAD MATERNA EXTREMA"))</f>
        <v>0</v>
      </c>
      <c r="J136" s="68">
        <f>SUM(COUNTIFS(Tabla1[AÑO PARTO],B4,Tabla1[MES PARTO],J6,Tabla1[[ EVENTO DE INTERES EN SALUD PÚBLICA DE LA MADRE]],"MUERTE MATERNA"),COUNTIFS(Tabla1[AÑO PARTO],B4,Tabla1[MES PARTO],J6,Tabla1[[ EVENTO DE INTERES EN SALUD PÚBLICA DE LA MADRE]],"MUERTE Y MORBILIDAD MATERNA EXTREMA"))</f>
        <v>0</v>
      </c>
      <c r="K136" s="68">
        <f>SUM(COUNTIFS(Tabla1[AÑO PARTO],B4,Tabla1[MES PARTO],K6,Tabla1[[ EVENTO DE INTERES EN SALUD PÚBLICA DE LA MADRE]],"MUERTE MATERNA"),COUNTIFS(Tabla1[AÑO PARTO],B4,Tabla1[MES PARTO],K6,Tabla1[[ EVENTO DE INTERES EN SALUD PÚBLICA DE LA MADRE]],"MUERTE Y MORBILIDAD MATERNA EXTREMA"))</f>
        <v>0</v>
      </c>
      <c r="L136" s="68">
        <f>SUM(COUNTIFS(Tabla1[AÑO PARTO],B4,Tabla1[MES PARTO],L6,Tabla1[[ EVENTO DE INTERES EN SALUD PÚBLICA DE LA MADRE]],"MUERTE MATERNA"),COUNTIFS(Tabla1[AÑO PARTO],B4,Tabla1[MES PARTO],L6,Tabla1[[ EVENTO DE INTERES EN SALUD PÚBLICA DE LA MADRE]],"MUERTE Y MORBILIDAD MATERNA EXTREMA"))</f>
        <v>0</v>
      </c>
      <c r="M136" s="68">
        <f>SUM(COUNTIFS(Tabla1[AÑO PARTO],B4,Tabla1[MES PARTO],M6,Tabla1[[ EVENTO DE INTERES EN SALUD PÚBLICA DE LA MADRE]],"MUERTE MATERNA"),COUNTIFS(Tabla1[AÑO PARTO],B4,Tabla1[MES PARTO],M6,Tabla1[[ EVENTO DE INTERES EN SALUD PÚBLICA DE LA MADRE]],"MUERTE Y MORBILIDAD MATERNA EXTREMA"))</f>
        <v>0</v>
      </c>
      <c r="N136" s="126">
        <f t="shared" si="30"/>
        <v>0</v>
      </c>
    </row>
    <row r="137" spans="1:14" ht="15.75" thickBot="1" x14ac:dyDescent="0.3">
      <c r="A137" s="134" t="s">
        <v>457</v>
      </c>
      <c r="B137" s="259"/>
      <c r="C137" s="260"/>
      <c r="D137" s="260"/>
      <c r="E137" s="260"/>
      <c r="F137" s="260"/>
      <c r="G137" s="260"/>
      <c r="H137" s="260"/>
      <c r="I137" s="260"/>
      <c r="J137" s="260"/>
      <c r="K137" s="260"/>
      <c r="L137" s="260"/>
      <c r="M137" s="260"/>
      <c r="N137" s="202" t="str">
        <f>IF(N$128=0,"",SUM((N136/N$128)*100000))</f>
        <v/>
      </c>
    </row>
    <row r="138" spans="1:14" ht="26.25" thickBot="1" x14ac:dyDescent="0.3">
      <c r="A138" s="198" t="s">
        <v>746</v>
      </c>
      <c r="B138" s="259" t="str">
        <f t="shared" ref="B138:N138" si="45">IF(B$136=0,"",SUM(B134/B136))</f>
        <v/>
      </c>
      <c r="C138" s="260" t="str">
        <f t="shared" si="45"/>
        <v/>
      </c>
      <c r="D138" s="260" t="str">
        <f t="shared" si="45"/>
        <v/>
      </c>
      <c r="E138" s="260" t="str">
        <f t="shared" si="45"/>
        <v/>
      </c>
      <c r="F138" s="260" t="str">
        <f t="shared" si="45"/>
        <v/>
      </c>
      <c r="G138" s="260" t="str">
        <f t="shared" si="45"/>
        <v/>
      </c>
      <c r="H138" s="260" t="str">
        <f t="shared" si="45"/>
        <v/>
      </c>
      <c r="I138" s="260" t="str">
        <f t="shared" si="45"/>
        <v/>
      </c>
      <c r="J138" s="260" t="str">
        <f t="shared" si="45"/>
        <v/>
      </c>
      <c r="K138" s="260" t="str">
        <f t="shared" si="45"/>
        <v/>
      </c>
      <c r="L138" s="260" t="str">
        <f t="shared" si="45"/>
        <v/>
      </c>
      <c r="M138" s="260" t="str">
        <f t="shared" si="45"/>
        <v/>
      </c>
      <c r="N138" s="201" t="str">
        <f t="shared" si="45"/>
        <v/>
      </c>
    </row>
    <row r="139" spans="1:14" ht="26.25" thickBot="1" x14ac:dyDescent="0.3">
      <c r="A139" s="67" t="s">
        <v>749</v>
      </c>
      <c r="B139" s="68">
        <f>SUM(COUNTIFS(Tabla1[AÑO PARTO],$B$4,Tabla1[MES PARTO],B6,Tabla1[[ EVENTO DE INTERES EN SALUD PÚBLICA DE LA MADRE]],"MUERTE MATERNA"),COUNTIFS(Tabla1[AÑO PARTO],$B$4,Tabla1[MES PARTO],B6,Tabla1[[ EVENTO DE INTERES EN SALUD PÚBLICA DE LA MADRE]],"MUERTE Y MORBILIDAD MATERNA EXTREMA"),COUNTIFS(Tabla1[AÑO PARTO],$B$4,Tabla1[MES PARTO],B6,Tabla1[[ EVENTO DE INTERES EN SALUD PÚBLICA DE LA MADRE]],"MORBILIDAD MATERNA EXTREMA"))</f>
        <v>0</v>
      </c>
      <c r="C139" s="68">
        <f>SUM(COUNTIFS(Tabla1[AÑO PARTO],$B$4,Tabla1[MES PARTO],C6,Tabla1[[ EVENTO DE INTERES EN SALUD PÚBLICA DE LA MADRE]],"MUERTE MATERNA"),COUNTIFS(Tabla1[AÑO PARTO],$B$4,Tabla1[MES PARTO],C6,Tabla1[[ EVENTO DE INTERES EN SALUD PÚBLICA DE LA MADRE]],"MUERTE Y MORBILIDAD MATERNA EXTREMA"),COUNTIFS(Tabla1[AÑO PARTO],$B$4,Tabla1[MES PARTO],C6,Tabla1[[ EVENTO DE INTERES EN SALUD PÚBLICA DE LA MADRE]],"MORBILIDAD MATERNA EXTREMA"))</f>
        <v>0</v>
      </c>
      <c r="D139" s="68">
        <f>SUM(COUNTIFS(Tabla1[AÑO PARTO],$B$4,Tabla1[MES PARTO],D6,Tabla1[[ EVENTO DE INTERES EN SALUD PÚBLICA DE LA MADRE]],"MUERTE MATERNA"),COUNTIFS(Tabla1[AÑO PARTO],$B$4,Tabla1[MES PARTO],D6,Tabla1[[ EVENTO DE INTERES EN SALUD PÚBLICA DE LA MADRE]],"MUERTE Y MORBILIDAD MATERNA EXTREMA"),COUNTIFS(Tabla1[AÑO PARTO],$B$4,Tabla1[MES PARTO],D6,Tabla1[[ EVENTO DE INTERES EN SALUD PÚBLICA DE LA MADRE]],"MORBILIDAD MATERNA EXTREMA"))</f>
        <v>0</v>
      </c>
      <c r="E139" s="68">
        <f>SUM(COUNTIFS(Tabla1[AÑO PARTO],$B$4,Tabla1[MES PARTO],E6,Tabla1[[ EVENTO DE INTERES EN SALUD PÚBLICA DE LA MADRE]],"MUERTE MATERNA"),COUNTIFS(Tabla1[AÑO PARTO],$B$4,Tabla1[MES PARTO],E6,Tabla1[[ EVENTO DE INTERES EN SALUD PÚBLICA DE LA MADRE]],"MUERTE Y MORBILIDAD MATERNA EXTREMA"),COUNTIFS(Tabla1[AÑO PARTO],$B$4,Tabla1[MES PARTO],E6,Tabla1[[ EVENTO DE INTERES EN SALUD PÚBLICA DE LA MADRE]],"MORBILIDAD MATERNA EXTREMA"))</f>
        <v>0</v>
      </c>
      <c r="F139" s="68">
        <f>SUM(COUNTIFS(Tabla1[AÑO PARTO],$B$4,Tabla1[MES PARTO],F6,Tabla1[[ EVENTO DE INTERES EN SALUD PÚBLICA DE LA MADRE]],"MUERTE MATERNA"),COUNTIFS(Tabla1[AÑO PARTO],$B$4,Tabla1[MES PARTO],F6,Tabla1[[ EVENTO DE INTERES EN SALUD PÚBLICA DE LA MADRE]],"MUERTE Y MORBILIDAD MATERNA EXTREMA"),COUNTIFS(Tabla1[AÑO PARTO],$B$4,Tabla1[MES PARTO],F6,Tabla1[[ EVENTO DE INTERES EN SALUD PÚBLICA DE LA MADRE]],"MORBILIDAD MATERNA EXTREMA"))</f>
        <v>0</v>
      </c>
      <c r="G139" s="68">
        <f>SUM(COUNTIFS(Tabla1[AÑO PARTO],$B$4,Tabla1[MES PARTO],G6,Tabla1[[ EVENTO DE INTERES EN SALUD PÚBLICA DE LA MADRE]],"MUERTE MATERNA"),COUNTIFS(Tabla1[AÑO PARTO],$B$4,Tabla1[MES PARTO],G6,Tabla1[[ EVENTO DE INTERES EN SALUD PÚBLICA DE LA MADRE]],"MUERTE Y MORBILIDAD MATERNA EXTREMA"),COUNTIFS(Tabla1[AÑO PARTO],$B$4,Tabla1[MES PARTO],G6,Tabla1[[ EVENTO DE INTERES EN SALUD PÚBLICA DE LA MADRE]],"MORBILIDAD MATERNA EXTREMA"))</f>
        <v>0</v>
      </c>
      <c r="H139" s="68">
        <f>SUM(COUNTIFS(Tabla1[AÑO PARTO],$B$4,Tabla1[MES PARTO],H6,Tabla1[[ EVENTO DE INTERES EN SALUD PÚBLICA DE LA MADRE]],"MUERTE MATERNA"),COUNTIFS(Tabla1[AÑO PARTO],$B$4,Tabla1[MES PARTO],H6,Tabla1[[ EVENTO DE INTERES EN SALUD PÚBLICA DE LA MADRE]],"MUERTE Y MORBILIDAD MATERNA EXTREMA"),COUNTIFS(Tabla1[AÑO PARTO],$B$4,Tabla1[MES PARTO],H6,Tabla1[[ EVENTO DE INTERES EN SALUD PÚBLICA DE LA MADRE]],"MORBILIDAD MATERNA EXTREMA"))</f>
        <v>0</v>
      </c>
      <c r="I139" s="68">
        <f>SUM(COUNTIFS(Tabla1[AÑO PARTO],$B$4,Tabla1[MES PARTO],I6,Tabla1[[ EVENTO DE INTERES EN SALUD PÚBLICA DE LA MADRE]],"MUERTE MATERNA"),COUNTIFS(Tabla1[AÑO PARTO],$B$4,Tabla1[MES PARTO],I6,Tabla1[[ EVENTO DE INTERES EN SALUD PÚBLICA DE LA MADRE]],"MUERTE Y MORBILIDAD MATERNA EXTREMA"),COUNTIFS(Tabla1[AÑO PARTO],$B$4,Tabla1[MES PARTO],I6,Tabla1[[ EVENTO DE INTERES EN SALUD PÚBLICA DE LA MADRE]],"MORBILIDAD MATERNA EXTREMA"))</f>
        <v>0</v>
      </c>
      <c r="J139" s="68">
        <f>SUM(COUNTIFS(Tabla1[AÑO PARTO],$B$4,Tabla1[MES PARTO],J6,Tabla1[[ EVENTO DE INTERES EN SALUD PÚBLICA DE LA MADRE]],"MUERTE MATERNA"),COUNTIFS(Tabla1[AÑO PARTO],$B$4,Tabla1[MES PARTO],J6,Tabla1[[ EVENTO DE INTERES EN SALUD PÚBLICA DE LA MADRE]],"MUERTE Y MORBILIDAD MATERNA EXTREMA"),COUNTIFS(Tabla1[AÑO PARTO],$B$4,Tabla1[MES PARTO],J6,Tabla1[[ EVENTO DE INTERES EN SALUD PÚBLICA DE LA MADRE]],"MORBILIDAD MATERNA EXTREMA"))</f>
        <v>0</v>
      </c>
      <c r="K139" s="68">
        <f>SUM(COUNTIFS(Tabla1[AÑO PARTO],$B$4,Tabla1[MES PARTO],K6,Tabla1[[ EVENTO DE INTERES EN SALUD PÚBLICA DE LA MADRE]],"MUERTE MATERNA"),COUNTIFS(Tabla1[AÑO PARTO],$B$4,Tabla1[MES PARTO],K6,Tabla1[[ EVENTO DE INTERES EN SALUD PÚBLICA DE LA MADRE]],"MUERTE Y MORBILIDAD MATERNA EXTREMA"),COUNTIFS(Tabla1[AÑO PARTO],$B$4,Tabla1[MES PARTO],K6,Tabla1[[ EVENTO DE INTERES EN SALUD PÚBLICA DE LA MADRE]],"MORBILIDAD MATERNA EXTREMA"))</f>
        <v>0</v>
      </c>
      <c r="L139" s="68">
        <f>SUM(COUNTIFS(Tabla1[AÑO PARTO],$B$4,Tabla1[MES PARTO],L6,Tabla1[[ EVENTO DE INTERES EN SALUD PÚBLICA DE LA MADRE]],"MUERTE MATERNA"),COUNTIFS(Tabla1[AÑO PARTO],$B$4,Tabla1[MES PARTO],L6,Tabla1[[ EVENTO DE INTERES EN SALUD PÚBLICA DE LA MADRE]],"MUERTE Y MORBILIDAD MATERNA EXTREMA"),COUNTIFS(Tabla1[AÑO PARTO],$B$4,Tabla1[MES PARTO],L6,Tabla1[[ EVENTO DE INTERES EN SALUD PÚBLICA DE LA MADRE]],"MORBILIDAD MATERNA EXTREMA"))</f>
        <v>0</v>
      </c>
      <c r="M139" s="68">
        <f>SUM(COUNTIFS(Tabla1[AÑO PARTO],$B$4,Tabla1[MES PARTO],M6,Tabla1[[ EVENTO DE INTERES EN SALUD PÚBLICA DE LA MADRE]],"MUERTE MATERNA"),COUNTIFS(Tabla1[AÑO PARTO],$B$4,Tabla1[MES PARTO],M6,Tabla1[[ EVENTO DE INTERES EN SALUD PÚBLICA DE LA MADRE]],"MUERTE Y MORBILIDAD MATERNA EXTREMA"),COUNTIFS(Tabla1[AÑO PARTO],$B$4,Tabla1[MES PARTO],M6,Tabla1[[ EVENTO DE INTERES EN SALUD PÚBLICA DE LA MADRE]],"MORBILIDAD MATERNA EXTREMA"))</f>
        <v>0</v>
      </c>
      <c r="N139" s="102">
        <f>SUM(B139:M139)</f>
        <v>0</v>
      </c>
    </row>
    <row r="140" spans="1:14" ht="15.75" thickBot="1" x14ac:dyDescent="0.3">
      <c r="A140" s="199" t="s">
        <v>747</v>
      </c>
      <c r="B140" s="253" t="str">
        <f>IF(B$139=0,"",SUM(B136/B139))</f>
        <v/>
      </c>
      <c r="C140" s="254"/>
      <c r="D140" s="254"/>
      <c r="E140" s="254"/>
      <c r="F140" s="254"/>
      <c r="G140" s="254"/>
      <c r="H140" s="254"/>
      <c r="I140" s="254"/>
      <c r="J140" s="254"/>
      <c r="K140" s="254"/>
      <c r="L140" s="254"/>
      <c r="M140" s="254"/>
      <c r="N140" s="200" t="str">
        <f>IF(N$139=0,"",SUM(N136/N139))</f>
        <v/>
      </c>
    </row>
    <row r="141" spans="1:14" x14ac:dyDescent="0.25">
      <c r="A141" s="69"/>
    </row>
    <row r="143" spans="1:14" x14ac:dyDescent="0.25">
      <c r="A143" s="69" t="s">
        <v>439</v>
      </c>
      <c r="B143" s="68" t="s">
        <v>398</v>
      </c>
      <c r="C143" s="68" t="s">
        <v>399</v>
      </c>
      <c r="D143" s="68" t="s">
        <v>400</v>
      </c>
      <c r="E143" s="68" t="s">
        <v>401</v>
      </c>
      <c r="F143" s="68" t="s">
        <v>402</v>
      </c>
      <c r="G143" s="68" t="s">
        <v>403</v>
      </c>
      <c r="H143" s="68" t="s">
        <v>404</v>
      </c>
      <c r="I143" s="68" t="s">
        <v>405</v>
      </c>
      <c r="J143" s="68" t="s">
        <v>406</v>
      </c>
      <c r="K143" s="68" t="s">
        <v>407</v>
      </c>
      <c r="L143" s="68" t="s">
        <v>408</v>
      </c>
      <c r="M143" s="68" t="s">
        <v>409</v>
      </c>
      <c r="N143" s="79" t="s">
        <v>456</v>
      </c>
    </row>
    <row r="144" spans="1:14" ht="38.25" x14ac:dyDescent="0.25">
      <c r="A144" s="78" t="s">
        <v>447</v>
      </c>
      <c r="B144" s="68">
        <f>COUNTIFS(Tabla1[AÑO3 INGRESO CPN],B4,Tabla1[MES2 INGRESO CPN],B6,Tabla1[TOTAL SEGUIMIENTOS POR PARTERA],"&gt;0")</f>
        <v>0</v>
      </c>
      <c r="C144" s="68">
        <f>COUNTIFS(Tabla1[AÑO3 INGRESO CPN],B4,Tabla1[MES2 INGRESO CPN],C6,Tabla1[TOTAL SEGUIMIENTOS POR PARTERA],"&gt;0")</f>
        <v>0</v>
      </c>
      <c r="D144" s="68">
        <f>COUNTIFS(Tabla1[AÑO3 INGRESO CPN],B4,Tabla1[MES2 INGRESO CPN],D6,Tabla1[TOTAL SEGUIMIENTOS POR PARTERA],"&gt;0")</f>
        <v>0</v>
      </c>
      <c r="E144" s="68">
        <f>COUNTIFS(Tabla1[AÑO3 INGRESO CPN],B4,Tabla1[MES2 INGRESO CPN],E6,Tabla1[TOTAL SEGUIMIENTOS POR PARTERA],"&gt;0")</f>
        <v>0</v>
      </c>
      <c r="F144" s="68">
        <f>COUNTIFS(Tabla1[AÑO3 INGRESO CPN],B4,Tabla1[MES2 INGRESO CPN],F6,Tabla1[TOTAL SEGUIMIENTOS POR PARTERA],"&gt;0")</f>
        <v>0</v>
      </c>
      <c r="G144" s="68">
        <f>COUNTIFS(Tabla1[AÑO3 INGRESO CPN],B4,Tabla1[MES2 INGRESO CPN],G6,Tabla1[TOTAL SEGUIMIENTOS POR PARTERA],"&gt;0")</f>
        <v>0</v>
      </c>
      <c r="H144" s="68">
        <f>COUNTIFS(Tabla1[AÑO3 INGRESO CPN],B4,Tabla1[MES2 INGRESO CPN],H6,Tabla1[TOTAL SEGUIMIENTOS POR PARTERA],"&gt;0")</f>
        <v>0</v>
      </c>
      <c r="I144" s="68">
        <f>COUNTIFS(Tabla1[AÑO3 INGRESO CPN],B4,Tabla1[MES2 INGRESO CPN],I6,Tabla1[TOTAL SEGUIMIENTOS POR PARTERA],"&gt;0")</f>
        <v>0</v>
      </c>
      <c r="J144" s="68">
        <f>COUNTIFS(Tabla1[AÑO3 INGRESO CPN],B4,Tabla1[MES2 INGRESO CPN],J6,Tabla1[TOTAL SEGUIMIENTOS POR PARTERA],"&gt;0")</f>
        <v>0</v>
      </c>
      <c r="K144" s="68">
        <f>COUNTIFS(Tabla1[AÑO3 INGRESO CPN],B4,Tabla1[MES2 INGRESO CPN],K6,Tabla1[TOTAL SEGUIMIENTOS POR PARTERA],"&gt;0")</f>
        <v>0</v>
      </c>
      <c r="L144" s="68">
        <f>COUNTIFS(Tabla1[AÑO3 INGRESO CPN],B4,Tabla1[MES2 INGRESO CPN],L6,Tabla1[TOTAL SEGUIMIENTOS POR PARTERA],"&gt;0")</f>
        <v>0</v>
      </c>
      <c r="M144" s="68">
        <f>COUNTIFS(Tabla1[AÑO3 INGRESO CPN],B4,Tabla1[MES2 INGRESO CPN],M6,Tabla1[TOTAL SEGUIMIENTOS POR PARTERA],"&gt;0")</f>
        <v>0</v>
      </c>
      <c r="N144" s="68">
        <f>SUM(B144:M144)</f>
        <v>0</v>
      </c>
    </row>
    <row r="145" spans="1:14" ht="28.5" customHeight="1" x14ac:dyDescent="0.25">
      <c r="A145" s="76" t="s">
        <v>451</v>
      </c>
      <c r="B145" s="71" t="str">
        <f>IF(B$40=0,"",SUM(B144/B$40))</f>
        <v/>
      </c>
      <c r="C145" s="71" t="str">
        <f t="shared" ref="C145:N145" si="46">IF(C40=0,"",SUM(C144/C40))</f>
        <v/>
      </c>
      <c r="D145" s="71" t="str">
        <f t="shared" si="46"/>
        <v/>
      </c>
      <c r="E145" s="71">
        <f t="shared" si="46"/>
        <v>0</v>
      </c>
      <c r="F145" s="71" t="str">
        <f t="shared" si="46"/>
        <v/>
      </c>
      <c r="G145" s="71">
        <f t="shared" si="46"/>
        <v>0</v>
      </c>
      <c r="H145" s="71" t="str">
        <f t="shared" si="46"/>
        <v/>
      </c>
      <c r="I145" s="71" t="str">
        <f t="shared" si="46"/>
        <v/>
      </c>
      <c r="J145" s="71" t="str">
        <f t="shared" si="46"/>
        <v/>
      </c>
      <c r="K145" s="71" t="str">
        <f t="shared" si="46"/>
        <v/>
      </c>
      <c r="L145" s="71" t="str">
        <f t="shared" si="46"/>
        <v/>
      </c>
      <c r="M145" s="71" t="str">
        <f t="shared" si="46"/>
        <v/>
      </c>
      <c r="N145" s="71">
        <f t="shared" si="46"/>
        <v>0</v>
      </c>
    </row>
    <row r="146" spans="1:14" ht="38.25" x14ac:dyDescent="0.25">
      <c r="A146" s="78" t="s">
        <v>448</v>
      </c>
      <c r="B146" s="68">
        <f>COUNTIFS(Tabla1[AÑO3 INGRESO CPN],B4,Tabla1[MES2 INGRESO CPN],B6,Tabla1[TOTAL SEGUIMIENTOS POR MEDICINA TRADICIONAL],"&gt;0")</f>
        <v>0</v>
      </c>
      <c r="C146" s="68">
        <f>COUNTIFS(Tabla1[AÑO3 INGRESO CPN],B4,Tabla1[MES2 INGRESO CPN],C6,Tabla1[TOTAL SEGUIMIENTOS POR MEDICINA TRADICIONAL],"&gt;0")</f>
        <v>0</v>
      </c>
      <c r="D146" s="68">
        <f>COUNTIFS(Tabla1[AÑO3 INGRESO CPN],B4,Tabla1[MES2 INGRESO CPN],D6,Tabla1[TOTAL SEGUIMIENTOS POR MEDICINA TRADICIONAL],"&gt;0")</f>
        <v>0</v>
      </c>
      <c r="E146" s="68">
        <f>COUNTIFS(Tabla1[AÑO3 INGRESO CPN],B4,Tabla1[MES2 INGRESO CPN],E6,Tabla1[TOTAL SEGUIMIENTOS POR MEDICINA TRADICIONAL],"&gt;0")</f>
        <v>0</v>
      </c>
      <c r="F146" s="68">
        <f>COUNTIFS(Tabla1[AÑO3 INGRESO CPN],B4,Tabla1[MES2 INGRESO CPN],F6,Tabla1[TOTAL SEGUIMIENTOS POR MEDICINA TRADICIONAL],"&gt;0")</f>
        <v>0</v>
      </c>
      <c r="G146" s="68">
        <f>COUNTIFS(Tabla1[AÑO3 INGRESO CPN],B4,Tabla1[MES2 INGRESO CPN],G6,Tabla1[TOTAL SEGUIMIENTOS POR MEDICINA TRADICIONAL],"&gt;0")</f>
        <v>0</v>
      </c>
      <c r="H146" s="68">
        <f>COUNTIFS(Tabla1[AÑO3 INGRESO CPN],B4,Tabla1[MES2 INGRESO CPN],H6,Tabla1[TOTAL SEGUIMIENTOS POR MEDICINA TRADICIONAL],"&gt;0")</f>
        <v>0</v>
      </c>
      <c r="I146" s="68">
        <f>COUNTIFS(Tabla1[AÑO3 INGRESO CPN],B4,Tabla1[MES2 INGRESO CPN],I6,Tabla1[TOTAL SEGUIMIENTOS POR MEDICINA TRADICIONAL],"&gt;0")</f>
        <v>0</v>
      </c>
      <c r="J146" s="68">
        <f>COUNTIFS(Tabla1[AÑO3 INGRESO CPN],B4,Tabla1[MES2 INGRESO CPN],J6,Tabla1[TOTAL SEGUIMIENTOS POR MEDICINA TRADICIONAL],"&gt;0")</f>
        <v>0</v>
      </c>
      <c r="K146" s="68">
        <f>COUNTIFS(Tabla1[AÑO3 INGRESO CPN],B4,Tabla1[MES2 INGRESO CPN],K6,Tabla1[TOTAL SEGUIMIENTOS POR MEDICINA TRADICIONAL],"&gt;0")</f>
        <v>0</v>
      </c>
      <c r="L146" s="68">
        <f>COUNTIFS(Tabla1[AÑO3 INGRESO CPN],B4,Tabla1[MES2 INGRESO CPN],L6,Tabla1[TOTAL SEGUIMIENTOS POR MEDICINA TRADICIONAL],"&gt;0")</f>
        <v>0</v>
      </c>
      <c r="M146" s="68">
        <f>COUNTIFS(Tabla1[AÑO3 INGRESO CPN],B4,Tabla1[MES2 INGRESO CPN],M6,Tabla1[TOTAL SEGUIMIENTOS POR MEDICINA TRADICIONAL],"&gt;0")</f>
        <v>0</v>
      </c>
      <c r="N146" s="68">
        <f>SUM(B146:M146)</f>
        <v>0</v>
      </c>
    </row>
    <row r="147" spans="1:14" ht="30.75" customHeight="1" x14ac:dyDescent="0.25">
      <c r="A147" s="76" t="s">
        <v>452</v>
      </c>
      <c r="B147" s="71" t="str">
        <f>IF(B$40=0,"",SUM(B146/B$40))</f>
        <v/>
      </c>
      <c r="C147" s="71" t="str">
        <f t="shared" ref="C147:N147" si="47">IF(C$40=0,"",SUM(C146/C$40))</f>
        <v/>
      </c>
      <c r="D147" s="71" t="str">
        <f t="shared" si="47"/>
        <v/>
      </c>
      <c r="E147" s="71">
        <f t="shared" si="47"/>
        <v>0</v>
      </c>
      <c r="F147" s="71" t="str">
        <f t="shared" si="47"/>
        <v/>
      </c>
      <c r="G147" s="71">
        <f t="shared" si="47"/>
        <v>0</v>
      </c>
      <c r="H147" s="71" t="str">
        <f t="shared" si="47"/>
        <v/>
      </c>
      <c r="I147" s="71" t="str">
        <f t="shared" si="47"/>
        <v/>
      </c>
      <c r="J147" s="71" t="str">
        <f t="shared" si="47"/>
        <v/>
      </c>
      <c r="K147" s="71" t="str">
        <f t="shared" si="47"/>
        <v/>
      </c>
      <c r="L147" s="71" t="str">
        <f t="shared" si="47"/>
        <v/>
      </c>
      <c r="M147" s="71" t="str">
        <f t="shared" si="47"/>
        <v/>
      </c>
      <c r="N147" s="71">
        <f t="shared" si="47"/>
        <v>0</v>
      </c>
    </row>
    <row r="148" spans="1:14" ht="25.5" x14ac:dyDescent="0.25">
      <c r="A148" s="78" t="s">
        <v>437</v>
      </c>
      <c r="B148" s="68">
        <f>COUNTIFS(Tabla1[AÑO3 INGRESO CPN],B4,Tabla1[MES2 INGRESO CPN],B6,Tabla1[TRIMESTRE DE GESTACIÓN AL PRIMER SEGUIMIENTO POR SABEDOR],"I TRIM")</f>
        <v>0</v>
      </c>
      <c r="C148" s="68">
        <f>COUNTIFS(Tabla1[AÑO3 INGRESO CPN],B4,Tabla1[MES2 INGRESO CPN],C6,Tabla1[TRIMESTRE DE GESTACIÓN AL PRIMER SEGUIMIENTO POR SABEDOR],"I TRIM")</f>
        <v>0</v>
      </c>
      <c r="D148" s="68">
        <f>COUNTIFS(Tabla1[AÑO3 INGRESO CPN],B4,Tabla1[MES2 INGRESO CPN],D6,Tabla1[TRIMESTRE DE GESTACIÓN AL PRIMER SEGUIMIENTO POR SABEDOR],"I TRIM")</f>
        <v>0</v>
      </c>
      <c r="E148" s="68">
        <f>COUNTIFS(Tabla1[AÑO3 INGRESO CPN],B4,Tabla1[MES2 INGRESO CPN],E6,Tabla1[TRIMESTRE DE GESTACIÓN AL PRIMER SEGUIMIENTO POR SABEDOR],"I TRIM")</f>
        <v>0</v>
      </c>
      <c r="F148" s="68">
        <f>COUNTIFS(Tabla1[AÑO3 INGRESO CPN],B4,Tabla1[MES2 INGRESO CPN],F6,Tabla1[TRIMESTRE DE GESTACIÓN AL PRIMER SEGUIMIENTO POR SABEDOR],"I TRIM")</f>
        <v>0</v>
      </c>
      <c r="G148" s="68">
        <f>COUNTIFS(Tabla1[AÑO3 INGRESO CPN],B4,Tabla1[MES2 INGRESO CPN],G6,Tabla1[TRIMESTRE DE GESTACIÓN AL PRIMER SEGUIMIENTO POR SABEDOR],"I TRIM")</f>
        <v>0</v>
      </c>
      <c r="H148" s="68">
        <f>COUNTIFS(Tabla1[AÑO3 INGRESO CPN],B4,Tabla1[MES2 INGRESO CPN],H6,Tabla1[TRIMESTRE DE GESTACIÓN AL PRIMER SEGUIMIENTO POR SABEDOR],"I TRIM")</f>
        <v>0</v>
      </c>
      <c r="I148" s="68">
        <f>COUNTIFS(Tabla1[AÑO3 INGRESO CPN],B4,Tabla1[MES2 INGRESO CPN],I6,Tabla1[TRIMESTRE DE GESTACIÓN AL PRIMER SEGUIMIENTO POR SABEDOR],"I TRIM")</f>
        <v>0</v>
      </c>
      <c r="J148" s="68">
        <f>COUNTIFS(Tabla1[AÑO3 INGRESO CPN],B4,Tabla1[MES2 INGRESO CPN],J6,Tabla1[TRIMESTRE DE GESTACIÓN AL PRIMER SEGUIMIENTO POR SABEDOR],"I TRIM")</f>
        <v>0</v>
      </c>
      <c r="K148" s="68">
        <f>COUNTIFS(Tabla1[AÑO3 INGRESO CPN],B4,Tabla1[MES2 INGRESO CPN],K6,Tabla1[TRIMESTRE DE GESTACIÓN AL PRIMER SEGUIMIENTO POR SABEDOR],"I TRIM")</f>
        <v>0</v>
      </c>
      <c r="L148" s="68">
        <f>COUNTIFS(Tabla1[AÑO3 INGRESO CPN],B4,Tabla1[MES2 INGRESO CPN],L6,Tabla1[TRIMESTRE DE GESTACIÓN AL PRIMER SEGUIMIENTO POR SABEDOR],"I TRIM")</f>
        <v>0</v>
      </c>
      <c r="M148" s="68">
        <f>COUNTIFS(Tabla1[AÑO3 INGRESO CPN],B4,Tabla1[MES2 INGRESO CPN],M6,Tabla1[TRIMESTRE DE GESTACIÓN AL PRIMER SEGUIMIENTO POR SABEDOR],"I TRIM")</f>
        <v>0</v>
      </c>
      <c r="N148" s="68">
        <f>SUM(B148:M148)</f>
        <v>0</v>
      </c>
    </row>
    <row r="149" spans="1:14" ht="23.25" customHeight="1" x14ac:dyDescent="0.25">
      <c r="A149" s="76" t="s">
        <v>453</v>
      </c>
      <c r="B149" s="71" t="str">
        <f>IF(B$40=0,"",SUM(B148/B$40))</f>
        <v/>
      </c>
      <c r="C149" s="71" t="str">
        <f t="shared" ref="C149:N149" si="48">IF(C$40=0,"",SUM(C148/C$40))</f>
        <v/>
      </c>
      <c r="D149" s="71" t="str">
        <f t="shared" si="48"/>
        <v/>
      </c>
      <c r="E149" s="71">
        <f t="shared" si="48"/>
        <v>0</v>
      </c>
      <c r="F149" s="71" t="str">
        <f t="shared" si="48"/>
        <v/>
      </c>
      <c r="G149" s="71">
        <f t="shared" si="48"/>
        <v>0</v>
      </c>
      <c r="H149" s="71" t="str">
        <f t="shared" si="48"/>
        <v/>
      </c>
      <c r="I149" s="71" t="str">
        <f t="shared" si="48"/>
        <v/>
      </c>
      <c r="J149" s="71" t="str">
        <f t="shared" si="48"/>
        <v/>
      </c>
      <c r="K149" s="71" t="str">
        <f t="shared" si="48"/>
        <v/>
      </c>
      <c r="L149" s="71" t="str">
        <f t="shared" si="48"/>
        <v/>
      </c>
      <c r="M149" s="71" t="str">
        <f t="shared" si="48"/>
        <v/>
      </c>
      <c r="N149" s="71">
        <f t="shared" si="48"/>
        <v>0</v>
      </c>
    </row>
    <row r="150" spans="1:14" ht="25.5" x14ac:dyDescent="0.25">
      <c r="A150" s="78" t="s">
        <v>438</v>
      </c>
      <c r="B150" s="68">
        <f>COUNTIFS(Tabla1[AÑO3 INGRESO CPN],B4,Tabla1[MES2 INGRESO CPN],B6,Tabla1[TRIMESTRE DE GESTACIÓN AL PRIMER SEGUIMIENTO POR SABEDOR],"II TRIM")</f>
        <v>0</v>
      </c>
      <c r="C150" s="68">
        <f>COUNTIFS(Tabla1[AÑO3 INGRESO CPN],B4,Tabla1[MES2 INGRESO CPN],C6,Tabla1[TRIMESTRE DE GESTACIÓN AL PRIMER SEGUIMIENTO POR SABEDOR],"II TRIM")</f>
        <v>0</v>
      </c>
      <c r="D150" s="68">
        <f>COUNTIFS(Tabla1[AÑO3 INGRESO CPN],B4,Tabla1[MES2 INGRESO CPN],D6,Tabla1[TRIMESTRE DE GESTACIÓN AL PRIMER SEGUIMIENTO POR SABEDOR],"II TRIM")</f>
        <v>0</v>
      </c>
      <c r="E150" s="68">
        <f>COUNTIFS(Tabla1[AÑO3 INGRESO CPN],B4,Tabla1[MES2 INGRESO CPN],E6,Tabla1[TRIMESTRE DE GESTACIÓN AL PRIMER SEGUIMIENTO POR SABEDOR],"II TRIM")</f>
        <v>0</v>
      </c>
      <c r="F150" s="68">
        <f>COUNTIFS(Tabla1[AÑO3 INGRESO CPN],B4,Tabla1[MES2 INGRESO CPN],F6,Tabla1[TRIMESTRE DE GESTACIÓN AL PRIMER SEGUIMIENTO POR SABEDOR],"II TRIM")</f>
        <v>0</v>
      </c>
      <c r="G150" s="68">
        <f>COUNTIFS(Tabla1[AÑO3 INGRESO CPN],B4,Tabla1[MES2 INGRESO CPN],G6,Tabla1[TRIMESTRE DE GESTACIÓN AL PRIMER SEGUIMIENTO POR SABEDOR],"II TRIM")</f>
        <v>0</v>
      </c>
      <c r="H150" s="68">
        <f>COUNTIFS(Tabla1[AÑO3 INGRESO CPN],B4,Tabla1[MES2 INGRESO CPN],H6,Tabla1[TRIMESTRE DE GESTACIÓN AL PRIMER SEGUIMIENTO POR SABEDOR],"II TRIM")</f>
        <v>0</v>
      </c>
      <c r="I150" s="68">
        <f>COUNTIFS(Tabla1[AÑO3 INGRESO CPN],B4,Tabla1[MES2 INGRESO CPN],I6,Tabla1[TRIMESTRE DE GESTACIÓN AL PRIMER SEGUIMIENTO POR SABEDOR],"II TRIM")</f>
        <v>0</v>
      </c>
      <c r="J150" s="68">
        <f>COUNTIFS(Tabla1[AÑO3 INGRESO CPN],B4,Tabla1[MES2 INGRESO CPN],J6,Tabla1[TRIMESTRE DE GESTACIÓN AL PRIMER SEGUIMIENTO POR SABEDOR],"II TRIM")</f>
        <v>0</v>
      </c>
      <c r="K150" s="68">
        <f>COUNTIFS(Tabla1[AÑO3 INGRESO CPN],B4,Tabla1[MES2 INGRESO CPN],K6,Tabla1[TRIMESTRE DE GESTACIÓN AL PRIMER SEGUIMIENTO POR SABEDOR],"II TRIM")</f>
        <v>0</v>
      </c>
      <c r="L150" s="68">
        <f>COUNTIFS(Tabla1[AÑO3 INGRESO CPN],B4,Tabla1[MES2 INGRESO CPN],L6,Tabla1[TRIMESTRE DE GESTACIÓN AL PRIMER SEGUIMIENTO POR SABEDOR],"II TRIM")</f>
        <v>0</v>
      </c>
      <c r="M150" s="68">
        <f>COUNTIFS(Tabla1[AÑO3 INGRESO CPN],B4,Tabla1[MES2 INGRESO CPN],M6,Tabla1[TRIMESTRE DE GESTACIÓN AL PRIMER SEGUIMIENTO POR SABEDOR],"II TRIM")</f>
        <v>0</v>
      </c>
      <c r="N150" s="68">
        <f>SUM(B150:M150)</f>
        <v>0</v>
      </c>
    </row>
    <row r="151" spans="1:14" ht="25.5" x14ac:dyDescent="0.25">
      <c r="A151" s="76" t="s">
        <v>454</v>
      </c>
      <c r="B151" s="71" t="str">
        <f>IF(B$40=0,"",SUM(B150/B$40))</f>
        <v/>
      </c>
      <c r="C151" s="71" t="str">
        <f t="shared" ref="C151:N151" si="49">IF(C$40=0,"",SUM(C150/C$40))</f>
        <v/>
      </c>
      <c r="D151" s="71" t="str">
        <f t="shared" si="49"/>
        <v/>
      </c>
      <c r="E151" s="71">
        <f t="shared" si="49"/>
        <v>0</v>
      </c>
      <c r="F151" s="71" t="str">
        <f t="shared" si="49"/>
        <v/>
      </c>
      <c r="G151" s="71">
        <f t="shared" si="49"/>
        <v>0</v>
      </c>
      <c r="H151" s="71" t="str">
        <f t="shared" si="49"/>
        <v/>
      </c>
      <c r="I151" s="71" t="str">
        <f t="shared" si="49"/>
        <v/>
      </c>
      <c r="J151" s="71" t="str">
        <f t="shared" si="49"/>
        <v/>
      </c>
      <c r="K151" s="71" t="str">
        <f t="shared" si="49"/>
        <v/>
      </c>
      <c r="L151" s="71" t="str">
        <f t="shared" si="49"/>
        <v/>
      </c>
      <c r="M151" s="71" t="str">
        <f t="shared" si="49"/>
        <v/>
      </c>
      <c r="N151" s="71">
        <f t="shared" si="49"/>
        <v>0</v>
      </c>
    </row>
    <row r="152" spans="1:14" ht="25.5" x14ac:dyDescent="0.25">
      <c r="A152" s="78" t="s">
        <v>450</v>
      </c>
      <c r="B152" s="68">
        <f>COUNTIFS(Tabla1[AÑO3 INGRESO CPN],B4,Tabla1[MES2 INGRESO CPN],B6,Tabla1[TRIMESTRE DE GESTACIÓN AL PRIMER SEGUIMIENTO POR SABEDOR],"III TRIM")</f>
        <v>0</v>
      </c>
      <c r="C152" s="68">
        <f>COUNTIFS(Tabla1[AÑO3 INGRESO CPN],B4,Tabla1[MES2 INGRESO CPN],C6,Tabla1[TRIMESTRE DE GESTACIÓN AL PRIMER SEGUIMIENTO POR SABEDOR],"III TRIM")</f>
        <v>0</v>
      </c>
      <c r="D152" s="68">
        <f>COUNTIFS(Tabla1[AÑO3 INGRESO CPN],B4,Tabla1[MES2 INGRESO CPN],D6,Tabla1[TRIMESTRE DE GESTACIÓN AL PRIMER SEGUIMIENTO POR SABEDOR],"III TRIM")</f>
        <v>0</v>
      </c>
      <c r="E152" s="68">
        <f>COUNTIFS(Tabla1[AÑO3 INGRESO CPN],B4,Tabla1[MES2 INGRESO CPN],E6,Tabla1[TRIMESTRE DE GESTACIÓN AL PRIMER SEGUIMIENTO POR SABEDOR],"III TRIM")</f>
        <v>0</v>
      </c>
      <c r="F152" s="68">
        <f>COUNTIFS(Tabla1[AÑO3 INGRESO CPN],B4,Tabla1[MES2 INGRESO CPN],F6,Tabla1[TRIMESTRE DE GESTACIÓN AL PRIMER SEGUIMIENTO POR SABEDOR],"III TRIM")</f>
        <v>0</v>
      </c>
      <c r="G152" s="68">
        <f>COUNTIFS(Tabla1[AÑO3 INGRESO CPN],B4,Tabla1[MES2 INGRESO CPN],G6,Tabla1[TRIMESTRE DE GESTACIÓN AL PRIMER SEGUIMIENTO POR SABEDOR],"III TRIM")</f>
        <v>0</v>
      </c>
      <c r="H152" s="68">
        <f>COUNTIFS(Tabla1[AÑO3 INGRESO CPN],B4,Tabla1[MES2 INGRESO CPN],H6,Tabla1[TRIMESTRE DE GESTACIÓN AL PRIMER SEGUIMIENTO POR SABEDOR],"III TRIM")</f>
        <v>0</v>
      </c>
      <c r="I152" s="68">
        <f>COUNTIFS(Tabla1[AÑO3 INGRESO CPN],B4,Tabla1[MES2 INGRESO CPN],I6,Tabla1[TRIMESTRE DE GESTACIÓN AL PRIMER SEGUIMIENTO POR SABEDOR],"III TRIM")</f>
        <v>0</v>
      </c>
      <c r="J152" s="68">
        <f>COUNTIFS(Tabla1[AÑO3 INGRESO CPN],B4,Tabla1[MES2 INGRESO CPN],J6,Tabla1[TRIMESTRE DE GESTACIÓN AL PRIMER SEGUIMIENTO POR SABEDOR],"III TRIM")</f>
        <v>0</v>
      </c>
      <c r="K152" s="68">
        <f>COUNTIFS(Tabla1[AÑO3 INGRESO CPN],B4,Tabla1[MES2 INGRESO CPN],K6,Tabla1[TRIMESTRE DE GESTACIÓN AL PRIMER SEGUIMIENTO POR SABEDOR],"III TRIM")</f>
        <v>0</v>
      </c>
      <c r="L152" s="68">
        <f>COUNTIFS(Tabla1[AÑO3 INGRESO CPN],B4,Tabla1[MES2 INGRESO CPN],L6,Tabla1[TRIMESTRE DE GESTACIÓN AL PRIMER SEGUIMIENTO POR SABEDOR],"III TRIM")</f>
        <v>0</v>
      </c>
      <c r="M152" s="68">
        <f>COUNTIFS(Tabla1[AÑO3 INGRESO CPN],B4,Tabla1[MES2 INGRESO CPN],M6,Tabla1[TRIMESTRE DE GESTACIÓN AL PRIMER SEGUIMIENTO POR SABEDOR],"III TRIM")</f>
        <v>0</v>
      </c>
      <c r="N152" s="68">
        <f>SUM(B152:M152)</f>
        <v>0</v>
      </c>
    </row>
    <row r="153" spans="1:14" ht="25.5" x14ac:dyDescent="0.25">
      <c r="A153" s="76" t="s">
        <v>455</v>
      </c>
      <c r="B153" s="71" t="str">
        <f>IF(B$40=0,"",SUM(B152/B$40))</f>
        <v/>
      </c>
      <c r="C153" s="71" t="str">
        <f t="shared" ref="C153:N153" si="50">IF(C$40=0,"",SUM(C152/C$40))</f>
        <v/>
      </c>
      <c r="D153" s="71" t="str">
        <f t="shared" si="50"/>
        <v/>
      </c>
      <c r="E153" s="71">
        <f t="shared" si="50"/>
        <v>0</v>
      </c>
      <c r="F153" s="71" t="str">
        <f t="shared" si="50"/>
        <v/>
      </c>
      <c r="G153" s="71">
        <f t="shared" si="50"/>
        <v>0</v>
      </c>
      <c r="H153" s="71" t="str">
        <f t="shared" si="50"/>
        <v/>
      </c>
      <c r="I153" s="71" t="str">
        <f t="shared" si="50"/>
        <v/>
      </c>
      <c r="J153" s="71" t="str">
        <f t="shared" si="50"/>
        <v/>
      </c>
      <c r="K153" s="71" t="str">
        <f t="shared" si="50"/>
        <v/>
      </c>
      <c r="L153" s="71" t="str">
        <f t="shared" si="50"/>
        <v/>
      </c>
      <c r="M153" s="71" t="str">
        <f t="shared" si="50"/>
        <v/>
      </c>
      <c r="N153" s="71">
        <f t="shared" si="50"/>
        <v>0</v>
      </c>
    </row>
  </sheetData>
  <protectedRanges>
    <protectedRange algorithmName="SHA-512" hashValue="KHhv3JU/LRdRrRTxxkgFceEHPZ5UzadmpZRZR3zmQRnPvkUJZuanRafIJ+qde0IWwLZSvFIQDyUAHq6v6k7XIg==" saltValue="2GKG1kCzVNNcn+vbOPuhJA==" spinCount="100000" sqref="A33" name="Rango2_2_5"/>
    <protectedRange algorithmName="SHA-512" hashValue="NUll9P9xh7KbSfMYpMxsRZLfDw/y/AzW2LSWlpXVscBDqiAxmzo71xjs+a2lh+jRa7pceOC849slke4+ZKx8LA==" saltValue="8qbkKpQ+CiQuLnqgShNvXA==" spinCount="100000" sqref="A13" name="Rango2_88_6"/>
  </protectedRanges>
  <mergeCells count="30">
    <mergeCell ref="B140:M140"/>
    <mergeCell ref="N35:N36"/>
    <mergeCell ref="B133:M133"/>
    <mergeCell ref="B135:M135"/>
    <mergeCell ref="B137:M137"/>
    <mergeCell ref="B138:M138"/>
    <mergeCell ref="C14:C15"/>
    <mergeCell ref="C17:C18"/>
    <mergeCell ref="E14:E15"/>
    <mergeCell ref="B13:C13"/>
    <mergeCell ref="D13:E13"/>
    <mergeCell ref="E17:E18"/>
    <mergeCell ref="B16:C16"/>
    <mergeCell ref="D16:E16"/>
    <mergeCell ref="B19:C19"/>
    <mergeCell ref="D19:E19"/>
    <mergeCell ref="C20:C21"/>
    <mergeCell ref="E20:E21"/>
    <mergeCell ref="B22:C22"/>
    <mergeCell ref="D22:E22"/>
    <mergeCell ref="B28:C28"/>
    <mergeCell ref="D28:E28"/>
    <mergeCell ref="C29:C30"/>
    <mergeCell ref="E29:E30"/>
    <mergeCell ref="C23:C24"/>
    <mergeCell ref="E23:E24"/>
    <mergeCell ref="B25:C25"/>
    <mergeCell ref="D25:E25"/>
    <mergeCell ref="C26:C27"/>
    <mergeCell ref="E26:E27"/>
  </mergeCells>
  <conditionalFormatting sqref="A33">
    <cfRule type="containsText" dxfId="302" priority="45" operator="containsText" text="SE TRASLADO DE EPS">
      <formula>NOT(ISERROR(SEARCH("SE TRASLADO DE EPS",A33)))</formula>
    </cfRule>
    <cfRule type="containsText" dxfId="301" priority="46" operator="containsText" text="INMIGRANTE VENEZOLANA">
      <formula>NOT(ISERROR(SEARCH("INMIGRANTE VENEZOLANA",A33)))</formula>
    </cfRule>
    <cfRule type="containsText" dxfId="300" priority="47" operator="containsText" text="SIN AFILIACIÓN A EPS">
      <formula>NOT(ISERROR(SEARCH("SIN AFILIACIÓN A EPS",A33)))</formula>
    </cfRule>
    <cfRule type="containsText" dxfId="299" priority="48" operator="containsText" text="NOVEDAD">
      <formula>NOT(ISERROR(SEARCH("NOVEDAD",A33)))</formula>
    </cfRule>
    <cfRule type="containsText" dxfId="298" priority="49" operator="containsText" text="IDENTIDAD">
      <formula>NOT(ISERROR(SEARCH("IDENTIDAD",A33)))</formula>
    </cfRule>
    <cfRule type="containsText" dxfId="297" priority="50" operator="containsText" text="CPN">
      <formula>NOT(ISERROR(SEARCH("CPN",A33)))</formula>
    </cfRule>
    <cfRule type="containsText" dxfId="296" priority="51" operator="containsText" text="VIENE">
      <formula>NOT(ISERROR(SEARCH("VIENE",A33)))</formula>
    </cfRule>
    <cfRule type="cellIs" dxfId="295" priority="52" operator="equal">
      <formula>"TRAMITE DE PORTABILIDAD"</formula>
    </cfRule>
  </conditionalFormatting>
  <conditionalFormatting sqref="A39">
    <cfRule type="containsText" dxfId="294" priority="9" operator="containsText" text="SE TRASLADO DE EPS">
      <formula>NOT(ISERROR(SEARCH("SE TRASLADO DE EPS",A39)))</formula>
    </cfRule>
    <cfRule type="containsText" dxfId="293" priority="10" operator="containsText" text="INMIGRANTE VENEZOLANA">
      <formula>NOT(ISERROR(SEARCH("INMIGRANTE VENEZOLANA",A39)))</formula>
    </cfRule>
    <cfRule type="containsText" dxfId="292" priority="11" operator="containsText" text="SIN AFILIACIÓN A EPS">
      <formula>NOT(ISERROR(SEARCH("SIN AFILIACIÓN A EPS",A39)))</formula>
    </cfRule>
    <cfRule type="containsText" dxfId="291" priority="12" operator="containsText" text="NOVEDAD">
      <formula>NOT(ISERROR(SEARCH("NOVEDAD",A39)))</formula>
    </cfRule>
    <cfRule type="containsText" dxfId="290" priority="13" operator="containsText" text="IDENTIDAD">
      <formula>NOT(ISERROR(SEARCH("IDENTIDAD",A39)))</formula>
    </cfRule>
    <cfRule type="containsText" dxfId="289" priority="14" operator="containsText" text="CPN">
      <formula>NOT(ISERROR(SEARCH("CPN",A39)))</formula>
    </cfRule>
    <cfRule type="containsText" dxfId="288" priority="15" operator="containsText" text="VIENE">
      <formula>NOT(ISERROR(SEARCH("VIENE",A39)))</formula>
    </cfRule>
    <cfRule type="cellIs" dxfId="287" priority="16" operator="equal">
      <formula>"TRAMITE DE PORTABILIDAD"</formula>
    </cfRule>
  </conditionalFormatting>
  <dataValidations disablePrompts="1" count="2">
    <dataValidation type="list" allowBlank="1" showInputMessage="1" showErrorMessage="1" sqref="A33" xr:uid="{00000000-0002-0000-0100-000000000000}">
      <formula1>"CPN OTRA IPS,VIENE DE OTRO MUNICIPIO,VIENE DE OTRO DPTO,SE TRASLADO DE EPS,TRAMITE DE PORTABILIDAD,SIN DOCUMENTO IDENTIDAD,SIN AFILIACIÓN A EPS,INMIGRANTE VENEZOLANA,SIN NOVEDAD"</formula1>
    </dataValidation>
    <dataValidation type="list" allowBlank="1" showInputMessage="1" showErrorMessage="1" sqref="A13" xr:uid="{00000000-0002-0000-0100-000001000000}">
      <formula1>"AIC, ASMET SALUD, CAJA COMPENSACION HUILA, CAPITAL SALUD, COMFENALCO, COMPENSAR, Contrato Particular, COOMEVA, COOSALUD, COSMITET, EJERCITO, EMSSANAR, MALLAMAS, NUEVA EPS, OTRO, POLICIA, PPNA, SANITAS, SOS, SURA, UNIDAD DE SALUD UNICAUCA"</formula1>
    </dataValidation>
  </dataValidations>
  <pageMargins left="0.7" right="0.7" top="0.75" bottom="0.75" header="0.3" footer="0.3"/>
  <pageSetup paperSize="9" orientation="portrait" r:id="rId1"/>
  <ignoredErrors>
    <ignoredError sqref="B75:N75 D14 D17 D20 D23 D26 D29 N39 N42 N44 N47 N49 N52 N54 N57 N59 N64 N62 N66 N68:N71 B69:M69 B71:M71 N72:N73 B73:M73 N74 N76:N77 B77:M77 B79:N79 N78 B83:N83 B81:N81 N80 N82 N86 N88 N95 N99 N97 N101 B102:M102 B100 N103 N105 N108 N111 N116 N118 N120 N122 N124 N127 N131 N133 N135 N145 N147 B148:M148 B146 N149 N151 B150:M150 B152:M152" formula="1"/>
  </ignoredErrors>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1">
    <tabColor rgb="FF66FF66"/>
  </sheetPr>
  <dimension ref="A1:PQ4"/>
  <sheetViews>
    <sheetView tabSelected="1" zoomScale="70" zoomScaleNormal="70" zoomScaleSheetLayoutView="76" workbookViewId="0">
      <pane ySplit="1" topLeftCell="A2" activePane="bottomLeft" state="frozen"/>
      <selection pane="bottomLeft" activeCell="F15" sqref="F15"/>
    </sheetView>
  </sheetViews>
  <sheetFormatPr baseColWidth="10" defaultColWidth="11.42578125" defaultRowHeight="15" x14ac:dyDescent="0.25"/>
  <cols>
    <col min="1" max="1" width="22.85546875" style="1" customWidth="1"/>
    <col min="2" max="2" width="20.28515625" style="1" customWidth="1"/>
    <col min="3" max="3" width="21.140625" style="1" customWidth="1"/>
    <col min="4" max="4" width="21.42578125" style="1" customWidth="1"/>
    <col min="5" max="5" width="14.85546875" style="1" customWidth="1"/>
    <col min="6" max="6" width="15.85546875" style="1" customWidth="1"/>
    <col min="7" max="7" width="15.42578125" style="1" customWidth="1"/>
    <col min="8" max="8" width="14.28515625" style="1" customWidth="1"/>
    <col min="9" max="9" width="15.140625" style="1" customWidth="1"/>
    <col min="10" max="10" width="16.85546875" style="1" customWidth="1"/>
    <col min="11" max="11" width="14" style="1" customWidth="1"/>
    <col min="12" max="12" width="12.85546875" style="1" customWidth="1"/>
    <col min="13" max="13" width="13" style="1" customWidth="1"/>
    <col min="14" max="14" width="12.42578125" style="1" customWidth="1"/>
    <col min="15" max="15" width="19.28515625" style="1" customWidth="1"/>
    <col min="16" max="16" width="15.5703125" style="1" customWidth="1"/>
    <col min="17" max="17" width="24.28515625" style="1" customWidth="1"/>
    <col min="18" max="18" width="16.5703125" style="4" customWidth="1"/>
    <col min="19" max="19" width="17.7109375" style="1" customWidth="1"/>
    <col min="20" max="20" width="18.42578125" style="1" customWidth="1"/>
    <col min="21" max="21" width="15.42578125" style="1" customWidth="1"/>
    <col min="22" max="22" width="18" style="1" customWidth="1"/>
    <col min="23" max="23" width="15.85546875" style="1" customWidth="1"/>
    <col min="24" max="24" width="18.5703125" style="1" customWidth="1"/>
    <col min="25" max="25" width="27.5703125" style="1" customWidth="1"/>
    <col min="26" max="26" width="20.5703125" style="1" customWidth="1"/>
    <col min="27" max="27" width="17.42578125" style="1" customWidth="1"/>
    <col min="28" max="28" width="18.28515625" style="1" customWidth="1"/>
    <col min="29" max="29" width="19.42578125" style="1" customWidth="1"/>
    <col min="30" max="30" width="12.28515625" style="1" customWidth="1"/>
    <col min="31" max="31" width="19" style="1" customWidth="1"/>
    <col min="32" max="32" width="14.140625" style="1" customWidth="1"/>
    <col min="33" max="33" width="12.5703125" style="1" customWidth="1"/>
    <col min="34" max="34" width="17" style="1" customWidth="1"/>
    <col min="35" max="35" width="19.140625" style="1" customWidth="1"/>
    <col min="36" max="36" width="14.42578125" style="1" customWidth="1"/>
    <col min="37" max="37" width="13" style="1" customWidth="1"/>
    <col min="38" max="38" width="22.5703125" style="1" customWidth="1"/>
    <col min="39" max="39" width="21.140625" style="1" customWidth="1"/>
    <col min="40" max="40" width="18.28515625" style="1" customWidth="1"/>
    <col min="41" max="41" width="12.5703125" style="1" customWidth="1"/>
    <col min="42" max="42" width="15.42578125" style="1" customWidth="1"/>
    <col min="43" max="43" width="14.140625" style="1" customWidth="1"/>
    <col min="44" max="44" width="13.7109375" style="1" customWidth="1"/>
    <col min="45" max="45" width="14.85546875" style="1" customWidth="1"/>
    <col min="46" max="46" width="11.42578125" style="1" customWidth="1"/>
    <col min="47" max="47" width="13.7109375" style="1" customWidth="1"/>
    <col min="48" max="48" width="12.42578125" style="1" customWidth="1"/>
    <col min="49" max="49" width="18.140625" style="1" customWidth="1"/>
    <col min="50" max="50" width="17.7109375" style="1" customWidth="1"/>
    <col min="51" max="51" width="14.42578125" style="1" customWidth="1"/>
    <col min="52" max="52" width="14.5703125" style="1" customWidth="1"/>
    <col min="53" max="57" width="12.42578125" style="1" customWidth="1"/>
    <col min="58" max="58" width="19.140625" style="1" customWidth="1"/>
    <col min="59" max="61" width="14.28515625" style="1" customWidth="1"/>
    <col min="62" max="62" width="15.7109375" style="4" customWidth="1"/>
    <col min="63" max="63" width="12.42578125" style="1" customWidth="1"/>
    <col min="64" max="64" width="11.28515625" style="4" customWidth="1"/>
    <col min="65" max="65" width="12.85546875" style="4" customWidth="1"/>
    <col min="66" max="66" width="27.140625" style="4" customWidth="1"/>
    <col min="67" max="67" width="13.28515625" style="1" customWidth="1"/>
    <col min="68" max="68" width="14.85546875" style="1" customWidth="1"/>
    <col min="69" max="69" width="14.140625" style="1" customWidth="1"/>
    <col min="70" max="70" width="17" style="1" customWidth="1"/>
    <col min="71" max="73" width="17" style="4" customWidth="1"/>
    <col min="74" max="77" width="20" style="4" customWidth="1"/>
    <col min="78" max="78" width="21.85546875" style="4" customWidth="1"/>
    <col min="79" max="79" width="10.28515625" style="4" customWidth="1"/>
    <col min="80" max="80" width="16.42578125" style="1" customWidth="1"/>
    <col min="81" max="81" width="8.7109375" style="1" customWidth="1"/>
    <col min="82" max="82" width="16.5703125" style="1" customWidth="1"/>
    <col min="83" max="83" width="15.28515625" style="1" customWidth="1"/>
    <col min="84" max="84" width="14.28515625" style="1" customWidth="1"/>
    <col min="85" max="85" width="8.140625" style="1" customWidth="1"/>
    <col min="86" max="86" width="12.42578125" style="1" customWidth="1"/>
    <col min="87" max="87" width="29.85546875" style="1" customWidth="1"/>
    <col min="88" max="88" width="21.140625" style="1" customWidth="1"/>
    <col min="89" max="89" width="24.42578125" style="4" customWidth="1"/>
    <col min="90" max="90" width="8.7109375" style="1" customWidth="1"/>
    <col min="91" max="91" width="11.42578125" style="1" customWidth="1"/>
    <col min="92" max="92" width="17.28515625" style="1" customWidth="1"/>
    <col min="93" max="93" width="23" style="1" customWidth="1"/>
    <col min="94" max="94" width="17.5703125" style="1" customWidth="1"/>
    <col min="95" max="95" width="15.85546875" style="1" customWidth="1"/>
    <col min="96" max="96" width="14.5703125" style="1" customWidth="1"/>
    <col min="97" max="97" width="17.42578125" style="1" customWidth="1"/>
    <col min="98" max="98" width="15.28515625" style="1" customWidth="1"/>
    <col min="99" max="99" width="19.85546875" style="1" customWidth="1"/>
    <col min="100" max="100" width="15" style="1" customWidth="1"/>
    <col min="101" max="101" width="16.85546875" style="1" customWidth="1"/>
    <col min="102" max="102" width="16.42578125" style="1" customWidth="1"/>
    <col min="103" max="103" width="15.28515625" style="1" customWidth="1"/>
    <col min="104" max="104" width="21.28515625" style="1" customWidth="1"/>
    <col min="105" max="105" width="18.42578125" style="1" customWidth="1"/>
    <col min="106" max="106" width="17.28515625" style="1" customWidth="1"/>
    <col min="107" max="107" width="11.42578125" style="1" customWidth="1"/>
    <col min="108" max="118" width="11.42578125" style="4" customWidth="1"/>
    <col min="119" max="119" width="13.28515625" style="4" customWidth="1"/>
    <col min="120" max="120" width="14.85546875" style="4" customWidth="1"/>
    <col min="121" max="121" width="17" style="1" customWidth="1"/>
    <col min="122" max="122" width="15.5703125" style="4" customWidth="1"/>
    <col min="123" max="123" width="13.5703125" style="4" customWidth="1"/>
    <col min="124" max="124" width="19.140625" style="4" customWidth="1"/>
    <col min="125" max="126" width="11.42578125" style="4" customWidth="1"/>
    <col min="127" max="129" width="13.85546875" style="1" customWidth="1"/>
    <col min="130" max="130" width="12.140625" style="1" customWidth="1"/>
    <col min="131" max="131" width="17.5703125" style="4" customWidth="1"/>
    <col min="132" max="132" width="17.85546875" style="4" customWidth="1"/>
    <col min="133" max="133" width="15" style="4" customWidth="1"/>
    <col min="134" max="134" width="16.7109375" style="4" customWidth="1"/>
    <col min="135" max="135" width="15.5703125" style="4" customWidth="1"/>
    <col min="136" max="136" width="19.28515625" style="4" customWidth="1"/>
    <col min="137" max="137" width="15.42578125" style="4" customWidth="1"/>
    <col min="138" max="138" width="13" style="4" customWidth="1"/>
    <col min="139" max="139" width="21.140625" style="1" customWidth="1"/>
    <col min="140" max="140" width="15.85546875" style="4" customWidth="1"/>
    <col min="141" max="141" width="12.5703125" style="1" customWidth="1"/>
    <col min="142" max="142" width="19.42578125" style="1" customWidth="1"/>
    <col min="143" max="143" width="19" style="1" customWidth="1"/>
    <col min="144" max="144" width="20.7109375" style="1" customWidth="1"/>
    <col min="145" max="145" width="18" style="1" customWidth="1"/>
    <col min="146" max="146" width="15.7109375" style="1" customWidth="1"/>
    <col min="147" max="147" width="12.7109375" style="1" customWidth="1"/>
    <col min="148" max="148" width="23.85546875" style="1" customWidth="1"/>
    <col min="149" max="149" width="21.42578125" style="4" customWidth="1"/>
    <col min="150" max="150" width="16" style="5" customWidth="1"/>
    <col min="151" max="151" width="24.7109375" style="1" customWidth="1"/>
    <col min="152" max="152" width="18.140625" style="1" customWidth="1"/>
    <col min="153" max="153" width="16.7109375" style="4" customWidth="1"/>
    <col min="154" max="154" width="16.7109375" style="1" customWidth="1"/>
    <col min="155" max="155" width="20.28515625" style="1" customWidth="1"/>
    <col min="156" max="156" width="18.42578125" style="1" customWidth="1"/>
    <col min="157" max="157" width="20.28515625" style="1" customWidth="1"/>
    <col min="158" max="158" width="21.28515625" style="1" customWidth="1"/>
    <col min="159" max="159" width="15.85546875" style="1" customWidth="1"/>
    <col min="160" max="160" width="25.5703125" style="1" customWidth="1"/>
    <col min="161" max="161" width="21.7109375" style="1" customWidth="1"/>
    <col min="162" max="162" width="21.7109375" style="4" customWidth="1"/>
    <col min="163" max="163" width="15.140625" style="1" customWidth="1"/>
    <col min="164" max="164" width="20.42578125" style="1" customWidth="1"/>
    <col min="165" max="165" width="22" style="1" customWidth="1"/>
    <col min="166" max="166" width="17.140625" style="1" customWidth="1"/>
    <col min="167" max="167" width="17.5703125" style="1" customWidth="1"/>
    <col min="168" max="168" width="20.140625" style="1" customWidth="1"/>
    <col min="169" max="169" width="16.42578125" style="1" customWidth="1"/>
    <col min="170" max="170" width="19.140625" style="1" customWidth="1"/>
    <col min="171" max="171" width="20.42578125" style="1" customWidth="1"/>
    <col min="172" max="172" width="16.7109375" style="1" customWidth="1"/>
    <col min="173" max="173" width="20" style="1" customWidth="1"/>
    <col min="174" max="174" width="25.5703125" style="1" customWidth="1"/>
    <col min="175" max="175" width="16.42578125" style="1" customWidth="1"/>
    <col min="176" max="176" width="19.28515625" style="4" customWidth="1"/>
    <col min="177" max="177" width="20.7109375" style="1" customWidth="1"/>
    <col min="178" max="178" width="14.85546875" style="1" customWidth="1"/>
    <col min="179" max="179" width="22.7109375" style="1" customWidth="1"/>
    <col min="180" max="180" width="23.140625" style="1" customWidth="1"/>
    <col min="181" max="181" width="18.140625" style="1" customWidth="1"/>
    <col min="182" max="182" width="20.7109375" style="16" customWidth="1"/>
    <col min="183" max="183" width="15.28515625" style="1" customWidth="1"/>
    <col min="184" max="184" width="17.140625" style="1" customWidth="1"/>
    <col min="185" max="185" width="17.140625" style="4" customWidth="1"/>
    <col min="186" max="186" width="14.42578125" style="4" customWidth="1"/>
    <col min="187" max="188" width="17.140625" style="1" customWidth="1"/>
    <col min="189" max="189" width="15.140625" style="1" customWidth="1"/>
    <col min="190" max="192" width="22.7109375" style="1" customWidth="1"/>
    <col min="193" max="193" width="30.140625" style="1" customWidth="1"/>
    <col min="194" max="194" width="18.140625" style="1" customWidth="1"/>
    <col min="195" max="195" width="24.85546875" style="1" customWidth="1"/>
    <col min="196" max="196" width="14.5703125" style="1" customWidth="1"/>
    <col min="197" max="197" width="14.5703125" style="4" customWidth="1"/>
    <col min="198" max="201" width="14.5703125" style="1" customWidth="1"/>
    <col min="202" max="202" width="14.5703125" style="4" customWidth="1"/>
    <col min="203" max="203" width="14.5703125" style="1" customWidth="1"/>
    <col min="204" max="204" width="17.140625" style="1" customWidth="1"/>
    <col min="205" max="205" width="16.42578125" style="1" customWidth="1"/>
    <col min="206" max="207" width="21" style="1" customWidth="1"/>
    <col min="208" max="208" width="13.42578125" style="1" customWidth="1"/>
    <col min="209" max="209" width="12.28515625" style="1" customWidth="1"/>
    <col min="210" max="216" width="23" style="1" customWidth="1"/>
    <col min="217" max="217" width="25.140625" style="1" customWidth="1"/>
    <col min="218" max="218" width="32.140625" style="1" customWidth="1"/>
    <col min="219" max="219" width="28.28515625" style="4" customWidth="1"/>
    <col min="220" max="220" width="39.85546875" style="4" customWidth="1"/>
    <col min="221" max="221" width="24.28515625" style="4" customWidth="1"/>
    <col min="222" max="222" width="32.42578125" style="4" customWidth="1"/>
    <col min="223" max="223" width="33.7109375" style="4" customWidth="1"/>
    <col min="224" max="224" width="25.140625" style="4" customWidth="1"/>
    <col min="225" max="225" width="16.85546875" style="4" customWidth="1"/>
    <col min="226" max="226" width="17.85546875" style="4" customWidth="1"/>
    <col min="227" max="227" width="15.140625" style="4" customWidth="1"/>
    <col min="228" max="229" width="19.5703125" style="4" customWidth="1"/>
    <col min="230" max="230" width="21.5703125" style="4" customWidth="1"/>
    <col min="231" max="231" width="18.7109375" style="4" customWidth="1"/>
    <col min="232" max="232" width="21.85546875" style="4" customWidth="1"/>
    <col min="233" max="233" width="20.5703125" style="4" customWidth="1"/>
    <col min="234" max="234" width="24" style="4" customWidth="1"/>
    <col min="235" max="235" width="23.42578125" style="4" customWidth="1"/>
    <col min="236" max="236" width="20" style="2" customWidth="1"/>
    <col min="237" max="237" width="19.85546875" style="3" customWidth="1"/>
    <col min="238" max="244" width="17" style="1" customWidth="1"/>
    <col min="245" max="245" width="26" style="1" customWidth="1"/>
    <col min="246" max="246" width="20.42578125" style="1" customWidth="1"/>
    <col min="247" max="247" width="18.28515625" style="1" customWidth="1"/>
    <col min="248" max="248" width="23.85546875" style="1" customWidth="1"/>
    <col min="249" max="249" width="21.5703125" style="1" customWidth="1"/>
    <col min="250" max="250" width="13.42578125" style="1" customWidth="1"/>
    <col min="251" max="251" width="13.42578125" style="5" customWidth="1"/>
    <col min="252" max="252" width="21" style="1" customWidth="1"/>
    <col min="253" max="253" width="19.28515625" style="1" customWidth="1"/>
    <col min="254" max="254" width="23.28515625" style="1" customWidth="1"/>
    <col min="255" max="255" width="24.28515625" style="1" customWidth="1"/>
    <col min="256" max="256" width="22.5703125" style="1" customWidth="1"/>
    <col min="257" max="257" width="16.140625" style="4" customWidth="1"/>
    <col min="258" max="258" width="20.5703125" style="1" customWidth="1"/>
    <col min="259" max="259" width="15.85546875" style="1" customWidth="1"/>
    <col min="260" max="260" width="26.42578125" style="1" customWidth="1"/>
    <col min="261" max="261" width="24.42578125" style="1" customWidth="1"/>
    <col min="262" max="263" width="27.140625" style="1" customWidth="1"/>
    <col min="264" max="264" width="23.5703125" style="1" customWidth="1"/>
    <col min="265" max="265" width="23" style="1" customWidth="1"/>
    <col min="266" max="266" width="32.42578125" style="1" customWidth="1"/>
    <col min="267" max="267" width="21.140625" style="1" customWidth="1"/>
    <col min="268" max="268" width="27.42578125" style="1" customWidth="1"/>
    <col min="269" max="269" width="37.85546875" style="1" customWidth="1"/>
    <col min="270" max="270" width="26.85546875" style="1" customWidth="1"/>
    <col min="271" max="271" width="13.85546875" style="6" customWidth="1"/>
    <col min="272" max="272" width="9.85546875" style="1" customWidth="1"/>
    <col min="273" max="273" width="13.85546875" style="1" customWidth="1"/>
    <col min="274" max="274" width="17.7109375" style="1" customWidth="1"/>
    <col min="275" max="275" width="10.28515625" style="1" customWidth="1"/>
    <col min="276" max="276" width="13.5703125" style="1" customWidth="1"/>
    <col min="277" max="277" width="16" style="1" customWidth="1"/>
    <col min="278" max="278" width="10.7109375" style="1" customWidth="1"/>
    <col min="279" max="279" width="13.140625" style="1" customWidth="1"/>
    <col min="280" max="280" width="12.42578125" style="4" customWidth="1"/>
    <col min="281" max="281" width="12.42578125" style="15" customWidth="1"/>
    <col min="282" max="282" width="11.140625" style="1" customWidth="1"/>
    <col min="283" max="283" width="15" style="1" customWidth="1"/>
    <col min="284" max="284" width="15.42578125" style="1" customWidth="1"/>
    <col min="285" max="285" width="10.85546875" style="1" customWidth="1"/>
    <col min="286" max="286" width="12.28515625" style="1" customWidth="1"/>
    <col min="287" max="287" width="13.85546875" style="1" customWidth="1"/>
    <col min="288" max="288" width="13.140625" style="1" customWidth="1"/>
    <col min="289" max="289" width="11.5703125" style="1" customWidth="1"/>
    <col min="290" max="290" width="22.140625" style="1" customWidth="1"/>
    <col min="291" max="291" width="14.7109375" style="1" customWidth="1"/>
    <col min="292" max="292" width="20.7109375" style="4" customWidth="1"/>
    <col min="293" max="293" width="19" style="1" customWidth="1"/>
    <col min="294" max="294" width="17.28515625" style="1" customWidth="1"/>
    <col min="295" max="295" width="19" style="1" customWidth="1"/>
    <col min="296" max="296" width="20.85546875" style="1" customWidth="1"/>
    <col min="297" max="297" width="27.42578125" style="1" customWidth="1"/>
    <col min="298" max="298" width="19" style="1" customWidth="1"/>
    <col min="299" max="299" width="18.42578125" style="1" customWidth="1"/>
    <col min="300" max="302" width="22" style="1" customWidth="1"/>
    <col min="303" max="303" width="26.42578125" style="4" customWidth="1"/>
    <col min="304" max="304" width="15.85546875" style="4" customWidth="1"/>
    <col min="305" max="305" width="14.7109375" style="3" customWidth="1"/>
    <col min="306" max="306" width="24.7109375" style="4" customWidth="1"/>
    <col min="307" max="307" width="16.7109375" style="4" customWidth="1"/>
    <col min="308" max="308" width="15.42578125" style="4" customWidth="1"/>
    <col min="309" max="309" width="20" style="4" customWidth="1"/>
    <col min="310" max="310" width="26.7109375" style="4" customWidth="1"/>
    <col min="311" max="311" width="19" style="4" customWidth="1"/>
    <col min="312" max="312" width="22.28515625" style="4" customWidth="1"/>
    <col min="313" max="313" width="20" style="4" customWidth="1"/>
    <col min="314" max="314" width="16.85546875" style="4" customWidth="1"/>
    <col min="315" max="315" width="17.140625" style="1" customWidth="1"/>
    <col min="316" max="316" width="19.7109375" style="1" customWidth="1"/>
    <col min="317" max="317" width="21" style="1" customWidth="1"/>
    <col min="318" max="318" width="20.42578125" style="1" customWidth="1"/>
    <col min="319" max="319" width="14" style="1" customWidth="1"/>
    <col min="320" max="320" width="19.140625" style="1" customWidth="1"/>
    <col min="321" max="321" width="14.5703125" style="1" customWidth="1"/>
    <col min="322" max="322" width="20" style="1" customWidth="1"/>
    <col min="323" max="324" width="19.28515625" style="1" customWidth="1"/>
    <col min="325" max="325" width="14.7109375" style="1" customWidth="1"/>
    <col min="326" max="326" width="19.42578125" style="1" customWidth="1"/>
    <col min="327" max="328" width="18.7109375" style="1" customWidth="1"/>
    <col min="329" max="329" width="15.85546875" style="1" customWidth="1"/>
    <col min="330" max="330" width="17.5703125" style="1" customWidth="1"/>
    <col min="331" max="331" width="16.42578125" style="1" customWidth="1"/>
    <col min="332" max="332" width="20.42578125" style="1" customWidth="1"/>
    <col min="333" max="333" width="18.28515625" style="1" customWidth="1"/>
    <col min="334" max="334" width="22.85546875" style="1" customWidth="1"/>
    <col min="335" max="335" width="18.28515625" style="1" customWidth="1"/>
    <col min="336" max="336" width="24.42578125" style="1" customWidth="1"/>
    <col min="337" max="337" width="17.140625" style="1" customWidth="1"/>
    <col min="338" max="345" width="21.7109375" style="1" customWidth="1"/>
    <col min="346" max="346" width="30.42578125" style="1" customWidth="1"/>
    <col min="347" max="347" width="27.140625" style="1" customWidth="1"/>
    <col min="348" max="350" width="21.7109375" style="1" customWidth="1"/>
    <col min="351" max="351" width="19.7109375" style="1" customWidth="1"/>
    <col min="352" max="352" width="22" style="1" customWidth="1"/>
    <col min="353" max="353" width="20" style="1" customWidth="1"/>
    <col min="354" max="354" width="23.28515625" style="1" customWidth="1"/>
    <col min="355" max="355" width="18" customWidth="1"/>
    <col min="356" max="358" width="15.7109375" customWidth="1"/>
    <col min="359" max="359" width="19.85546875" customWidth="1"/>
    <col min="360" max="360" width="12.140625" customWidth="1"/>
    <col min="361" max="361" width="15.7109375" customWidth="1"/>
    <col min="362" max="391" width="11.42578125" customWidth="1"/>
    <col min="392" max="392" width="11.5703125" customWidth="1"/>
    <col min="393" max="397" width="11.42578125" customWidth="1"/>
    <col min="398" max="398" width="14.85546875" customWidth="1"/>
    <col min="399" max="427" width="11.42578125" customWidth="1"/>
    <col min="428" max="430" width="11.42578125" style="1" customWidth="1"/>
    <col min="431" max="431" width="17.140625" style="1" customWidth="1"/>
    <col min="432" max="432" width="11.7109375" style="1" customWidth="1"/>
    <col min="433" max="433" width="11.42578125" style="1" customWidth="1"/>
    <col min="434" max="16384" width="11.42578125" style="1"/>
  </cols>
  <sheetData>
    <row r="1" spans="1:433" ht="93" customHeight="1" thickBot="1" x14ac:dyDescent="0.3">
      <c r="A1" s="9" t="s">
        <v>638</v>
      </c>
      <c r="B1" s="8" t="s">
        <v>919</v>
      </c>
      <c r="C1" s="8" t="s">
        <v>32</v>
      </c>
      <c r="D1" s="7" t="s">
        <v>689</v>
      </c>
      <c r="E1" s="8" t="s">
        <v>102</v>
      </c>
      <c r="F1" s="8" t="s">
        <v>21</v>
      </c>
      <c r="G1" s="8" t="s">
        <v>0</v>
      </c>
      <c r="H1" s="8" t="s">
        <v>1</v>
      </c>
      <c r="I1" s="8" t="s">
        <v>2</v>
      </c>
      <c r="J1" s="8" t="s">
        <v>3</v>
      </c>
      <c r="K1" s="8" t="s">
        <v>19</v>
      </c>
      <c r="L1" s="8" t="s">
        <v>20</v>
      </c>
      <c r="M1" s="8" t="s">
        <v>4</v>
      </c>
      <c r="N1" s="21" t="s">
        <v>5</v>
      </c>
      <c r="O1" s="8" t="s">
        <v>312</v>
      </c>
      <c r="P1" s="21" t="s">
        <v>46</v>
      </c>
      <c r="Q1" s="8" t="s">
        <v>646</v>
      </c>
      <c r="R1" s="20" t="s">
        <v>172</v>
      </c>
      <c r="S1" s="7" t="s">
        <v>29</v>
      </c>
      <c r="T1" s="7" t="s">
        <v>6</v>
      </c>
      <c r="U1" s="8" t="s">
        <v>147</v>
      </c>
      <c r="V1" s="7" t="s">
        <v>7</v>
      </c>
      <c r="W1" s="8" t="s">
        <v>52</v>
      </c>
      <c r="X1" s="8" t="s">
        <v>200</v>
      </c>
      <c r="Y1" s="8" t="s">
        <v>688</v>
      </c>
      <c r="Z1" s="8" t="s">
        <v>8</v>
      </c>
      <c r="AA1" s="7" t="s">
        <v>25</v>
      </c>
      <c r="AB1" s="8" t="s">
        <v>359</v>
      </c>
      <c r="AC1" s="7" t="s">
        <v>9</v>
      </c>
      <c r="AD1" s="19" t="s">
        <v>379</v>
      </c>
      <c r="AE1" s="7" t="s">
        <v>151</v>
      </c>
      <c r="AF1" s="7" t="s">
        <v>10</v>
      </c>
      <c r="AG1" s="7" t="s">
        <v>26</v>
      </c>
      <c r="AH1" s="7" t="s">
        <v>150</v>
      </c>
      <c r="AI1" s="8" t="s">
        <v>30</v>
      </c>
      <c r="AJ1" s="8" t="s">
        <v>361</v>
      </c>
      <c r="AK1" s="21" t="s">
        <v>53</v>
      </c>
      <c r="AL1" s="17" t="s">
        <v>479</v>
      </c>
      <c r="AM1" s="17" t="s">
        <v>480</v>
      </c>
      <c r="AN1" s="17" t="s">
        <v>481</v>
      </c>
      <c r="AO1" s="17" t="s">
        <v>482</v>
      </c>
      <c r="AP1" s="17" t="s">
        <v>483</v>
      </c>
      <c r="AQ1" s="17" t="s">
        <v>484</v>
      </c>
      <c r="AR1" s="17" t="s">
        <v>123</v>
      </c>
      <c r="AS1" s="17" t="s">
        <v>485</v>
      </c>
      <c r="AT1" s="17" t="s">
        <v>486</v>
      </c>
      <c r="AU1" s="18" t="s">
        <v>148</v>
      </c>
      <c r="AV1" s="17" t="s">
        <v>500</v>
      </c>
      <c r="AW1" s="17" t="s">
        <v>487</v>
      </c>
      <c r="AX1" s="17" t="s">
        <v>495</v>
      </c>
      <c r="AY1" s="17" t="s">
        <v>489</v>
      </c>
      <c r="AZ1" s="17" t="s">
        <v>490</v>
      </c>
      <c r="BA1" s="7" t="s">
        <v>153</v>
      </c>
      <c r="BB1" s="7" t="s">
        <v>154</v>
      </c>
      <c r="BC1" s="7" t="s">
        <v>155</v>
      </c>
      <c r="BD1" s="7" t="s">
        <v>156</v>
      </c>
      <c r="BE1" s="8" t="s">
        <v>168</v>
      </c>
      <c r="BF1" s="8" t="s">
        <v>365</v>
      </c>
      <c r="BG1" s="7" t="s">
        <v>159</v>
      </c>
      <c r="BH1" s="7" t="s">
        <v>363</v>
      </c>
      <c r="BI1" s="7" t="s">
        <v>158</v>
      </c>
      <c r="BJ1" s="7" t="s">
        <v>360</v>
      </c>
      <c r="BK1" s="7" t="s">
        <v>54</v>
      </c>
      <c r="BL1" s="8" t="s">
        <v>40</v>
      </c>
      <c r="BM1" s="21" t="s">
        <v>35</v>
      </c>
      <c r="BN1" s="21" t="s">
        <v>57</v>
      </c>
      <c r="BO1" s="21" t="s">
        <v>11</v>
      </c>
      <c r="BP1" s="21" t="s">
        <v>12</v>
      </c>
      <c r="BQ1" s="21" t="s">
        <v>13</v>
      </c>
      <c r="BR1" s="59" t="s">
        <v>55</v>
      </c>
      <c r="BS1" s="59" t="s">
        <v>56</v>
      </c>
      <c r="BT1" s="59" t="s">
        <v>58</v>
      </c>
      <c r="BU1" s="59" t="s">
        <v>59</v>
      </c>
      <c r="BV1" s="58" t="s">
        <v>161</v>
      </c>
      <c r="BW1" s="58" t="s">
        <v>215</v>
      </c>
      <c r="BX1" s="59" t="s">
        <v>739</v>
      </c>
      <c r="BY1" s="58" t="s">
        <v>157</v>
      </c>
      <c r="BZ1" s="8" t="s">
        <v>636</v>
      </c>
      <c r="CA1" s="8" t="s">
        <v>290</v>
      </c>
      <c r="CB1" s="7" t="s">
        <v>122</v>
      </c>
      <c r="CC1" s="21" t="s">
        <v>17</v>
      </c>
      <c r="CD1" s="21" t="s">
        <v>60</v>
      </c>
      <c r="CE1" s="7" t="s">
        <v>61</v>
      </c>
      <c r="CF1" s="8" t="s">
        <v>514</v>
      </c>
      <c r="CG1" s="21" t="s">
        <v>506</v>
      </c>
      <c r="CH1" s="21" t="s">
        <v>505</v>
      </c>
      <c r="CI1" s="21" t="s">
        <v>507</v>
      </c>
      <c r="CJ1" s="10" t="s">
        <v>62</v>
      </c>
      <c r="CK1" s="8" t="s">
        <v>515</v>
      </c>
      <c r="CL1" s="21" t="s">
        <v>508</v>
      </c>
      <c r="CM1" s="21" t="s">
        <v>509</v>
      </c>
      <c r="CN1" s="21" t="s">
        <v>510</v>
      </c>
      <c r="CO1" s="21" t="s">
        <v>511</v>
      </c>
      <c r="CP1" s="7" t="s">
        <v>134</v>
      </c>
      <c r="CQ1" s="7" t="s">
        <v>135</v>
      </c>
      <c r="CR1" s="21" t="s">
        <v>149</v>
      </c>
      <c r="CS1" s="8" t="s">
        <v>165</v>
      </c>
      <c r="CT1" s="7" t="s">
        <v>166</v>
      </c>
      <c r="CU1" s="21" t="s">
        <v>173</v>
      </c>
      <c r="CV1" s="7" t="s">
        <v>141</v>
      </c>
      <c r="CW1" s="7" t="s">
        <v>146</v>
      </c>
      <c r="CX1" s="7" t="s">
        <v>142</v>
      </c>
      <c r="CY1" s="7" t="s">
        <v>143</v>
      </c>
      <c r="CZ1" s="21" t="s">
        <v>174</v>
      </c>
      <c r="DA1" s="8" t="s">
        <v>357</v>
      </c>
      <c r="DB1" s="8" t="s">
        <v>358</v>
      </c>
      <c r="DC1" s="20" t="s">
        <v>63</v>
      </c>
      <c r="DD1" s="20" t="s">
        <v>64</v>
      </c>
      <c r="DE1" s="20" t="s">
        <v>65</v>
      </c>
      <c r="DF1" s="20" t="s">
        <v>66</v>
      </c>
      <c r="DG1" s="20" t="s">
        <v>67</v>
      </c>
      <c r="DH1" s="20" t="s">
        <v>68</v>
      </c>
      <c r="DI1" s="20" t="s">
        <v>69</v>
      </c>
      <c r="DJ1" s="20" t="s">
        <v>70</v>
      </c>
      <c r="DK1" s="20" t="s">
        <v>71</v>
      </c>
      <c r="DL1" s="20" t="s">
        <v>72</v>
      </c>
      <c r="DM1" s="20" t="s">
        <v>325</v>
      </c>
      <c r="DN1" s="20" t="s">
        <v>644</v>
      </c>
      <c r="DO1" s="169" t="s">
        <v>745</v>
      </c>
      <c r="DP1" s="169" t="s">
        <v>731</v>
      </c>
      <c r="DQ1" s="197" t="s">
        <v>740</v>
      </c>
      <c r="DR1" s="21" t="s">
        <v>48</v>
      </c>
      <c r="DS1" s="96" t="s">
        <v>22</v>
      </c>
      <c r="DT1" s="21" t="s">
        <v>326</v>
      </c>
      <c r="DU1" s="21" t="s">
        <v>291</v>
      </c>
      <c r="DV1" s="21" t="s">
        <v>292</v>
      </c>
      <c r="DW1" s="21" t="s">
        <v>43</v>
      </c>
      <c r="DX1" s="21" t="s">
        <v>33</v>
      </c>
      <c r="DY1" s="21" t="s">
        <v>51</v>
      </c>
      <c r="DZ1" s="21" t="s">
        <v>73</v>
      </c>
      <c r="EA1" s="10" t="s">
        <v>74</v>
      </c>
      <c r="EB1" s="10" t="s">
        <v>75</v>
      </c>
      <c r="EC1" s="7" t="s">
        <v>76</v>
      </c>
      <c r="ED1" s="7" t="s">
        <v>77</v>
      </c>
      <c r="EE1" s="20" t="s">
        <v>78</v>
      </c>
      <c r="EF1" s="34" t="s">
        <v>351</v>
      </c>
      <c r="EG1" s="10" t="s">
        <v>125</v>
      </c>
      <c r="EH1" s="7" t="s">
        <v>124</v>
      </c>
      <c r="EI1" s="24" t="s">
        <v>103</v>
      </c>
      <c r="EJ1" s="10" t="s">
        <v>79</v>
      </c>
      <c r="EK1" s="21" t="s">
        <v>80</v>
      </c>
      <c r="EL1" s="21" t="s">
        <v>126</v>
      </c>
      <c r="EM1" s="21" t="s">
        <v>169</v>
      </c>
      <c r="EN1" s="24" t="s">
        <v>104</v>
      </c>
      <c r="EO1" s="8" t="s">
        <v>109</v>
      </c>
      <c r="EP1" s="21" t="s">
        <v>108</v>
      </c>
      <c r="EQ1" s="21" t="s">
        <v>162</v>
      </c>
      <c r="ER1" s="24" t="s">
        <v>127</v>
      </c>
      <c r="ES1" s="20" t="s">
        <v>128</v>
      </c>
      <c r="ET1" s="21" t="s">
        <v>129</v>
      </c>
      <c r="EU1" s="21" t="s">
        <v>130</v>
      </c>
      <c r="EV1" s="32" t="s">
        <v>371</v>
      </c>
      <c r="EW1" s="10" t="s">
        <v>152</v>
      </c>
      <c r="EX1" s="21" t="s">
        <v>171</v>
      </c>
      <c r="EY1" s="7" t="s">
        <v>110</v>
      </c>
      <c r="EZ1" s="7" t="s">
        <v>111</v>
      </c>
      <c r="FA1" s="7" t="s">
        <v>112</v>
      </c>
      <c r="FB1" s="21" t="s">
        <v>107</v>
      </c>
      <c r="FC1" s="8" t="s">
        <v>113</v>
      </c>
      <c r="FD1" s="21" t="s">
        <v>139</v>
      </c>
      <c r="FE1" s="24" t="s">
        <v>686</v>
      </c>
      <c r="FF1" s="10" t="s">
        <v>851</v>
      </c>
      <c r="FG1" s="21" t="s">
        <v>690</v>
      </c>
      <c r="FH1" s="24" t="s">
        <v>470</v>
      </c>
      <c r="FI1" s="7" t="s">
        <v>114</v>
      </c>
      <c r="FJ1" s="21" t="s">
        <v>691</v>
      </c>
      <c r="FK1" s="230" t="s">
        <v>471</v>
      </c>
      <c r="FL1" s="7" t="s">
        <v>115</v>
      </c>
      <c r="FM1" s="21" t="s">
        <v>692</v>
      </c>
      <c r="FN1" s="24" t="s">
        <v>472</v>
      </c>
      <c r="FO1" s="7" t="s">
        <v>116</v>
      </c>
      <c r="FP1" s="21" t="s">
        <v>693</v>
      </c>
      <c r="FQ1" s="7" t="s">
        <v>140</v>
      </c>
      <c r="FR1" s="7" t="s">
        <v>137</v>
      </c>
      <c r="FS1" s="21" t="s">
        <v>138</v>
      </c>
      <c r="FT1" s="24" t="s">
        <v>81</v>
      </c>
      <c r="FU1" s="7" t="s">
        <v>82</v>
      </c>
      <c r="FV1" s="21" t="s">
        <v>83</v>
      </c>
      <c r="FW1" s="8" t="s">
        <v>362</v>
      </c>
      <c r="FX1" s="8" t="s">
        <v>366</v>
      </c>
      <c r="FY1" s="32" t="s">
        <v>687</v>
      </c>
      <c r="FZ1" s="211" t="s">
        <v>758</v>
      </c>
      <c r="GA1" s="21" t="s">
        <v>694</v>
      </c>
      <c r="GB1" s="32" t="s">
        <v>340</v>
      </c>
      <c r="GC1" s="20" t="s">
        <v>759</v>
      </c>
      <c r="GD1" s="21" t="s">
        <v>695</v>
      </c>
      <c r="GE1" s="32" t="s">
        <v>367</v>
      </c>
      <c r="GF1" s="8" t="s">
        <v>760</v>
      </c>
      <c r="GG1" s="21" t="s">
        <v>696</v>
      </c>
      <c r="GH1" s="32" t="s">
        <v>469</v>
      </c>
      <c r="GI1" s="8" t="s">
        <v>384</v>
      </c>
      <c r="GJ1" s="61" t="s">
        <v>342</v>
      </c>
      <c r="GK1" s="7" t="s">
        <v>344</v>
      </c>
      <c r="GL1" s="62" t="s">
        <v>345</v>
      </c>
      <c r="GM1" s="8" t="s">
        <v>346</v>
      </c>
      <c r="GN1" s="24" t="s">
        <v>84</v>
      </c>
      <c r="GO1" s="10" t="s">
        <v>85</v>
      </c>
      <c r="GP1" s="21" t="s">
        <v>163</v>
      </c>
      <c r="GQ1" s="24" t="s">
        <v>86</v>
      </c>
      <c r="GR1" s="24" t="s">
        <v>88</v>
      </c>
      <c r="GS1" s="21" t="s">
        <v>119</v>
      </c>
      <c r="GT1" s="10" t="s">
        <v>87</v>
      </c>
      <c r="GU1" s="21" t="s">
        <v>164</v>
      </c>
      <c r="GV1" s="21" t="s">
        <v>170</v>
      </c>
      <c r="GW1" s="8" t="s">
        <v>284</v>
      </c>
      <c r="GX1" s="7" t="s">
        <v>120</v>
      </c>
      <c r="GY1" s="7" t="s">
        <v>24</v>
      </c>
      <c r="GZ1" s="7" t="s">
        <v>343</v>
      </c>
      <c r="HA1" s="21" t="s">
        <v>37</v>
      </c>
      <c r="HB1" s="21" t="s">
        <v>38</v>
      </c>
      <c r="HC1" s="21" t="s">
        <v>36</v>
      </c>
      <c r="HD1" s="24" t="s">
        <v>697</v>
      </c>
      <c r="HE1" s="7" t="s">
        <v>698</v>
      </c>
      <c r="HF1" s="24" t="s">
        <v>699</v>
      </c>
      <c r="HG1" s="7" t="s">
        <v>700</v>
      </c>
      <c r="HH1" s="24" t="s">
        <v>701</v>
      </c>
      <c r="HI1" s="7" t="s">
        <v>702</v>
      </c>
      <c r="HJ1" s="7" t="s">
        <v>669</v>
      </c>
      <c r="HK1" s="87" t="s">
        <v>320</v>
      </c>
      <c r="HL1" s="87" t="s">
        <v>385</v>
      </c>
      <c r="HM1" s="87" t="s">
        <v>380</v>
      </c>
      <c r="HN1" s="87" t="s">
        <v>369</v>
      </c>
      <c r="HO1" s="87" t="s">
        <v>323</v>
      </c>
      <c r="HP1" s="87" t="s">
        <v>368</v>
      </c>
      <c r="HQ1" s="87" t="s">
        <v>376</v>
      </c>
      <c r="HR1" s="87" t="s">
        <v>375</v>
      </c>
      <c r="HS1" s="33" t="s">
        <v>397</v>
      </c>
      <c r="HT1" s="7" t="s">
        <v>324</v>
      </c>
      <c r="HU1" s="8" t="s">
        <v>627</v>
      </c>
      <c r="HV1" s="7" t="s">
        <v>294</v>
      </c>
      <c r="HW1" s="8" t="s">
        <v>628</v>
      </c>
      <c r="HX1" s="7" t="s">
        <v>293</v>
      </c>
      <c r="HY1" s="8" t="s">
        <v>629</v>
      </c>
      <c r="HZ1" s="7" t="s">
        <v>299</v>
      </c>
      <c r="IA1" s="8" t="s">
        <v>570</v>
      </c>
      <c r="IB1" s="7" t="s">
        <v>34</v>
      </c>
      <c r="IC1" s="158" t="s">
        <v>14</v>
      </c>
      <c r="ID1" s="8" t="s">
        <v>769</v>
      </c>
      <c r="IE1" s="9" t="s">
        <v>680</v>
      </c>
      <c r="IF1" s="8" t="s">
        <v>671</v>
      </c>
      <c r="IG1" s="9" t="s">
        <v>682</v>
      </c>
      <c r="IH1" s="8" t="s">
        <v>672</v>
      </c>
      <c r="II1" s="9" t="s">
        <v>683</v>
      </c>
      <c r="IJ1" s="8" t="s">
        <v>681</v>
      </c>
      <c r="IK1" s="159" t="s">
        <v>673</v>
      </c>
      <c r="IL1" s="8" t="s">
        <v>117</v>
      </c>
      <c r="IM1" s="7" t="s">
        <v>118</v>
      </c>
      <c r="IN1" s="21" t="s">
        <v>364</v>
      </c>
      <c r="IO1" s="8" t="s">
        <v>792</v>
      </c>
      <c r="IP1" s="21" t="s">
        <v>374</v>
      </c>
      <c r="IQ1" s="60" t="s">
        <v>372</v>
      </c>
      <c r="IR1" s="21" t="s">
        <v>373</v>
      </c>
      <c r="IS1" s="25" t="s">
        <v>285</v>
      </c>
      <c r="IT1" s="26" t="s">
        <v>23</v>
      </c>
      <c r="IU1" s="26" t="s">
        <v>764</v>
      </c>
      <c r="IV1" s="26" t="s">
        <v>765</v>
      </c>
      <c r="IW1" s="27" t="s">
        <v>581</v>
      </c>
      <c r="IX1" s="26" t="s">
        <v>15</v>
      </c>
      <c r="IY1" s="21" t="s">
        <v>89</v>
      </c>
      <c r="IZ1" s="25" t="s">
        <v>175</v>
      </c>
      <c r="JA1" s="25" t="s">
        <v>459</v>
      </c>
      <c r="JB1" s="25" t="s">
        <v>16</v>
      </c>
      <c r="JC1" s="26" t="s">
        <v>703</v>
      </c>
      <c r="JD1" s="33" t="s">
        <v>353</v>
      </c>
      <c r="JE1" s="33" t="s">
        <v>355</v>
      </c>
      <c r="JF1" s="33" t="s">
        <v>354</v>
      </c>
      <c r="JG1" s="33" t="s">
        <v>750</v>
      </c>
      <c r="JH1" s="33" t="s">
        <v>751</v>
      </c>
      <c r="JI1" s="33" t="s">
        <v>763</v>
      </c>
      <c r="JJ1" s="25" t="s">
        <v>782</v>
      </c>
      <c r="JK1" s="28" t="s">
        <v>39</v>
      </c>
      <c r="JL1" s="28" t="s">
        <v>90</v>
      </c>
      <c r="JM1" s="29" t="s">
        <v>179</v>
      </c>
      <c r="JN1" s="21" t="s">
        <v>44</v>
      </c>
      <c r="JO1" s="29" t="s">
        <v>295</v>
      </c>
      <c r="JP1" s="28" t="s">
        <v>91</v>
      </c>
      <c r="JQ1" s="28" t="s">
        <v>92</v>
      </c>
      <c r="JR1" s="28" t="s">
        <v>41</v>
      </c>
      <c r="JS1" s="28" t="s">
        <v>42</v>
      </c>
      <c r="JT1" s="30" t="s">
        <v>131</v>
      </c>
      <c r="JU1" s="30" t="s">
        <v>105</v>
      </c>
      <c r="JV1" s="28" t="s">
        <v>93</v>
      </c>
      <c r="JW1" s="29" t="s">
        <v>178</v>
      </c>
      <c r="JX1" s="21" t="s">
        <v>94</v>
      </c>
      <c r="JY1" s="29" t="s">
        <v>296</v>
      </c>
      <c r="JZ1" s="28" t="s">
        <v>96</v>
      </c>
      <c r="KA1" s="28" t="s">
        <v>97</v>
      </c>
      <c r="KB1" s="28" t="s">
        <v>98</v>
      </c>
      <c r="KC1" s="28" t="s">
        <v>99</v>
      </c>
      <c r="KD1" s="28" t="s">
        <v>132</v>
      </c>
      <c r="KE1" s="28" t="s">
        <v>106</v>
      </c>
      <c r="KF1" s="30" t="s">
        <v>100</v>
      </c>
      <c r="KG1" s="21" t="s">
        <v>176</v>
      </c>
      <c r="KH1" s="7" t="s">
        <v>101</v>
      </c>
      <c r="KI1" s="21" t="s">
        <v>177</v>
      </c>
      <c r="KJ1" s="33" t="s">
        <v>458</v>
      </c>
      <c r="KK1" s="33" t="s">
        <v>395</v>
      </c>
      <c r="KL1" s="33" t="s">
        <v>396</v>
      </c>
      <c r="KM1" s="8" t="s">
        <v>350</v>
      </c>
      <c r="KN1" s="8" t="s">
        <v>286</v>
      </c>
      <c r="KO1" s="100" t="s">
        <v>634</v>
      </c>
      <c r="KP1" s="17" t="s">
        <v>635</v>
      </c>
      <c r="KQ1" s="63" t="s">
        <v>386</v>
      </c>
      <c r="KR1" s="63" t="s">
        <v>377</v>
      </c>
      <c r="KS1" s="98" t="s">
        <v>378</v>
      </c>
      <c r="KT1" s="63" t="s">
        <v>633</v>
      </c>
      <c r="KU1" s="90" t="s">
        <v>630</v>
      </c>
      <c r="KV1" s="90" t="s">
        <v>631</v>
      </c>
      <c r="KW1" s="90" t="s">
        <v>632</v>
      </c>
      <c r="KX1" s="91" t="s">
        <v>606</v>
      </c>
      <c r="KY1" s="64" t="s">
        <v>389</v>
      </c>
      <c r="KZ1" s="64" t="s">
        <v>391</v>
      </c>
      <c r="LA1" s="64" t="s">
        <v>607</v>
      </c>
      <c r="LB1" s="64" t="s">
        <v>388</v>
      </c>
      <c r="LC1" s="22" t="s">
        <v>300</v>
      </c>
      <c r="LD1" s="22" t="s">
        <v>298</v>
      </c>
      <c r="LE1" s="88" t="s">
        <v>297</v>
      </c>
      <c r="LF1" s="22" t="s">
        <v>329</v>
      </c>
      <c r="LG1" s="23" t="s">
        <v>302</v>
      </c>
      <c r="LH1" s="23" t="s">
        <v>303</v>
      </c>
      <c r="LI1" s="88" t="s">
        <v>328</v>
      </c>
      <c r="LJ1" s="23" t="s">
        <v>330</v>
      </c>
      <c r="LK1" s="22" t="s">
        <v>304</v>
      </c>
      <c r="LL1" s="22" t="s">
        <v>301</v>
      </c>
      <c r="LM1" s="88" t="s">
        <v>331</v>
      </c>
      <c r="LN1" s="22" t="s">
        <v>332</v>
      </c>
      <c r="LO1" s="23" t="s">
        <v>305</v>
      </c>
      <c r="LP1" s="23" t="s">
        <v>306</v>
      </c>
      <c r="LQ1" s="88" t="s">
        <v>333</v>
      </c>
      <c r="LR1" s="23" t="s">
        <v>334</v>
      </c>
      <c r="LS1" s="22" t="s">
        <v>307</v>
      </c>
      <c r="LT1" s="22" t="s">
        <v>308</v>
      </c>
      <c r="LU1" s="88" t="s">
        <v>335</v>
      </c>
      <c r="LV1" s="22" t="s">
        <v>336</v>
      </c>
      <c r="LW1" s="65" t="s">
        <v>327</v>
      </c>
      <c r="LX1" s="65" t="s">
        <v>309</v>
      </c>
      <c r="LY1" s="88" t="s">
        <v>337</v>
      </c>
      <c r="LZ1" s="65" t="s">
        <v>310</v>
      </c>
      <c r="MA1" s="22" t="s">
        <v>370</v>
      </c>
      <c r="MB1" s="22" t="s">
        <v>311</v>
      </c>
      <c r="MC1" s="88" t="s">
        <v>338</v>
      </c>
      <c r="MD1" s="22" t="s">
        <v>339</v>
      </c>
      <c r="ME1" s="65" t="s">
        <v>653</v>
      </c>
      <c r="MF1" s="65" t="s">
        <v>654</v>
      </c>
      <c r="MG1" s="88" t="s">
        <v>655</v>
      </c>
      <c r="MH1" s="65" t="s">
        <v>656</v>
      </c>
      <c r="MI1" s="22" t="s">
        <v>657</v>
      </c>
      <c r="MJ1" s="22" t="s">
        <v>658</v>
      </c>
      <c r="MK1" s="88" t="s">
        <v>659</v>
      </c>
      <c r="ML1" s="22" t="s">
        <v>660</v>
      </c>
      <c r="MM1" s="65" t="s">
        <v>661</v>
      </c>
      <c r="MN1" s="65" t="s">
        <v>662</v>
      </c>
      <c r="MO1" s="88" t="s">
        <v>663</v>
      </c>
      <c r="MP1" s="152" t="s">
        <v>664</v>
      </c>
      <c r="MQ1" s="155" t="s">
        <v>288</v>
      </c>
      <c r="MR1" s="156" t="s">
        <v>392</v>
      </c>
      <c r="MS1" s="156" t="s">
        <v>449</v>
      </c>
      <c r="MT1" s="156" t="s">
        <v>287</v>
      </c>
      <c r="MU1" s="156" t="s">
        <v>289</v>
      </c>
      <c r="MV1" s="156" t="s">
        <v>460</v>
      </c>
      <c r="MW1" s="156" t="s">
        <v>461</v>
      </c>
      <c r="MX1" s="156" t="s">
        <v>462</v>
      </c>
      <c r="MY1" s="156" t="s">
        <v>463</v>
      </c>
      <c r="MZ1" s="156" t="s">
        <v>464</v>
      </c>
      <c r="NA1" s="156" t="s">
        <v>465</v>
      </c>
      <c r="NB1" s="156" t="s">
        <v>314</v>
      </c>
      <c r="NC1" s="156" t="s">
        <v>315</v>
      </c>
      <c r="ND1" s="156" t="s">
        <v>316</v>
      </c>
      <c r="NE1" s="156" t="s">
        <v>317</v>
      </c>
      <c r="NF1" s="156" t="s">
        <v>318</v>
      </c>
      <c r="NG1" s="156" t="s">
        <v>381</v>
      </c>
      <c r="NH1" s="156" t="s">
        <v>382</v>
      </c>
      <c r="NI1" s="156" t="s">
        <v>383</v>
      </c>
      <c r="NJ1" s="170" t="s">
        <v>704</v>
      </c>
      <c r="NK1" s="170" t="s">
        <v>705</v>
      </c>
      <c r="NL1" s="170" t="s">
        <v>706</v>
      </c>
      <c r="NM1" s="171" t="s">
        <v>466</v>
      </c>
      <c r="NN1" s="156" t="s">
        <v>319</v>
      </c>
      <c r="NO1" s="156" t="s">
        <v>468</v>
      </c>
      <c r="NP1" s="156" t="s">
        <v>321</v>
      </c>
      <c r="NQ1" s="156" t="s">
        <v>322</v>
      </c>
      <c r="NR1" s="156" t="s">
        <v>467</v>
      </c>
      <c r="NS1" s="156" t="s">
        <v>445</v>
      </c>
      <c r="NT1" s="156" t="s">
        <v>446</v>
      </c>
      <c r="NU1" s="156" t="s">
        <v>352</v>
      </c>
      <c r="NV1" s="156" t="s">
        <v>347</v>
      </c>
      <c r="NW1" s="156" t="s">
        <v>348</v>
      </c>
      <c r="NX1" s="157" t="s">
        <v>349</v>
      </c>
      <c r="NY1" s="154" t="s">
        <v>665</v>
      </c>
      <c r="NZ1" s="154" t="s">
        <v>707</v>
      </c>
      <c r="OA1" s="154" t="s">
        <v>781</v>
      </c>
      <c r="OB1" s="154" t="s">
        <v>756</v>
      </c>
      <c r="OC1" s="154" t="s">
        <v>757</v>
      </c>
      <c r="OD1" s="154" t="s">
        <v>786</v>
      </c>
      <c r="OE1" s="154" t="s">
        <v>787</v>
      </c>
      <c r="OF1" s="154" t="s">
        <v>799</v>
      </c>
      <c r="OG1" s="154" t="s">
        <v>821</v>
      </c>
      <c r="OH1" s="150" t="s">
        <v>645</v>
      </c>
      <c r="OI1" s="151">
        <v>14</v>
      </c>
      <c r="OJ1" s="151">
        <v>15</v>
      </c>
      <c r="OK1" s="151">
        <v>16</v>
      </c>
      <c r="OL1" s="151">
        <v>17</v>
      </c>
      <c r="OM1" s="151">
        <v>18</v>
      </c>
      <c r="ON1" s="151">
        <v>19</v>
      </c>
      <c r="OO1" s="151">
        <v>20</v>
      </c>
      <c r="OP1" s="151">
        <v>21</v>
      </c>
      <c r="OQ1" s="151">
        <v>22</v>
      </c>
      <c r="OR1" s="151">
        <v>23</v>
      </c>
      <c r="OS1" s="151">
        <v>24</v>
      </c>
      <c r="OT1" s="151">
        <v>25</v>
      </c>
      <c r="OU1" s="151">
        <v>26</v>
      </c>
      <c r="OV1" s="151">
        <v>27</v>
      </c>
      <c r="OW1" s="151">
        <v>28</v>
      </c>
      <c r="OX1" s="151">
        <v>29</v>
      </c>
      <c r="OY1" s="151">
        <v>30</v>
      </c>
      <c r="OZ1" s="151">
        <v>31</v>
      </c>
      <c r="PA1" s="151">
        <v>32</v>
      </c>
      <c r="PB1" s="151">
        <v>33</v>
      </c>
      <c r="PC1" s="151">
        <v>34</v>
      </c>
      <c r="PD1" s="151">
        <v>35</v>
      </c>
      <c r="PE1" s="151">
        <v>36</v>
      </c>
      <c r="PF1" s="151">
        <v>37</v>
      </c>
      <c r="PG1" s="151">
        <v>38</v>
      </c>
      <c r="PH1" s="151">
        <v>39</v>
      </c>
      <c r="PI1" s="151">
        <v>40</v>
      </c>
      <c r="PJ1" s="151">
        <v>41</v>
      </c>
      <c r="PK1" s="160">
        <v>42</v>
      </c>
      <c r="PL1" s="166" t="s">
        <v>675</v>
      </c>
      <c r="PM1" s="167" t="s">
        <v>674</v>
      </c>
      <c r="PN1" s="167" t="s">
        <v>676</v>
      </c>
      <c r="PO1" s="167" t="s">
        <v>677</v>
      </c>
      <c r="PP1" s="167" t="s">
        <v>678</v>
      </c>
      <c r="PQ1" s="215" t="s">
        <v>679</v>
      </c>
    </row>
    <row r="2" spans="1:433" ht="39.950000000000003" customHeight="1" x14ac:dyDescent="0.25">
      <c r="A2" s="145" t="s">
        <v>852</v>
      </c>
      <c r="B2" s="68" t="s">
        <v>853</v>
      </c>
      <c r="C2" s="68" t="s">
        <v>854</v>
      </c>
      <c r="D2" s="184" t="s">
        <v>855</v>
      </c>
      <c r="E2" s="68" t="s">
        <v>856</v>
      </c>
      <c r="F2" s="68" t="s">
        <v>857</v>
      </c>
      <c r="G2" s="68" t="s">
        <v>858</v>
      </c>
      <c r="H2" s="68"/>
      <c r="I2" s="145" t="s">
        <v>859</v>
      </c>
      <c r="J2" s="146">
        <v>1002952263</v>
      </c>
      <c r="K2" s="68" t="s">
        <v>860</v>
      </c>
      <c r="L2" s="68" t="s">
        <v>861</v>
      </c>
      <c r="M2" s="35">
        <v>37247</v>
      </c>
      <c r="N2" s="38">
        <f t="shared" ref="N2:N4" ca="1" si="0">IF(M2&gt;0,SUM(TODAY()-M2)/365,"")</f>
        <v>21.857534246575341</v>
      </c>
      <c r="O2" s="35">
        <v>44662</v>
      </c>
      <c r="P2" s="39" t="str">
        <f t="shared" ref="P2:P4" si="1">IF(AND(O2="",R2&gt;0),"ACUDE ESPONTANEAMENTE",IF(AND(AND(O2&gt;0,R2=""),OR(IW2&gt;0,IT2&lt;&gt;"")),"NA",IF(AND(O2&gt;0,IW2="",R2=""),"NO",IF(AND(O2&gt;0,R2&gt;0),"SI",""))))</f>
        <v>SI</v>
      </c>
      <c r="Q2" s="40" t="s">
        <v>875</v>
      </c>
      <c r="R2" s="35">
        <v>44662</v>
      </c>
      <c r="S2" s="31" t="s">
        <v>876</v>
      </c>
      <c r="T2" s="37" t="s">
        <v>800</v>
      </c>
      <c r="U2" s="31" t="s">
        <v>877</v>
      </c>
      <c r="V2" s="31" t="s">
        <v>878</v>
      </c>
      <c r="W2" s="31" t="s">
        <v>879</v>
      </c>
      <c r="X2" s="31" t="s">
        <v>879</v>
      </c>
      <c r="Y2" s="31" t="s">
        <v>880</v>
      </c>
      <c r="Z2" s="31">
        <v>3044779923</v>
      </c>
      <c r="AA2" s="31" t="s">
        <v>881</v>
      </c>
      <c r="AB2" s="41" t="s">
        <v>882</v>
      </c>
      <c r="AC2" s="40" t="s">
        <v>883</v>
      </c>
      <c r="AD2" s="55" t="s">
        <v>884</v>
      </c>
      <c r="AE2" s="40" t="s">
        <v>874</v>
      </c>
      <c r="AF2" s="40" t="s">
        <v>874</v>
      </c>
      <c r="AG2" s="36" t="s">
        <v>885</v>
      </c>
      <c r="AH2" s="36" t="s">
        <v>885</v>
      </c>
      <c r="AI2" s="37" t="s">
        <v>884</v>
      </c>
      <c r="AJ2" s="36" t="s">
        <v>885</v>
      </c>
      <c r="AK2" s="42" t="str">
        <f>IF(AND(AE2="",AF2="",AG2="",AH2="",AI2="",AJ2=""),"",IF(AND(OR(O2&gt;0,R2&gt;0),NP2&gt;=0,NP2&lt;2),"SIN RIESGO",IF(AND(OR(O2&gt;0,R2&gt;0),NP2&gt;=2),"CON RIESGO",IF(AND(O2="",R2=""),"",IF(OR(Tabla1[[#This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2" s="36" t="s">
        <v>885</v>
      </c>
      <c r="AM2" s="40" t="s">
        <v>885</v>
      </c>
      <c r="AN2" s="40" t="s">
        <v>885</v>
      </c>
      <c r="AO2" s="40" t="s">
        <v>885</v>
      </c>
      <c r="AP2" s="40" t="s">
        <v>885</v>
      </c>
      <c r="AQ2" s="40" t="s">
        <v>885</v>
      </c>
      <c r="AR2" s="31">
        <v>1</v>
      </c>
      <c r="AS2" s="31">
        <v>0</v>
      </c>
      <c r="AT2" s="31">
        <v>1</v>
      </c>
      <c r="AU2" s="40" t="s">
        <v>885</v>
      </c>
      <c r="AV2" s="31">
        <v>0</v>
      </c>
      <c r="AW2" s="40" t="s">
        <v>885</v>
      </c>
      <c r="AX2" s="40" t="s">
        <v>885</v>
      </c>
      <c r="AY2" s="40" t="s">
        <v>885</v>
      </c>
      <c r="AZ2" s="40" t="s">
        <v>885</v>
      </c>
      <c r="BA2" s="40" t="s">
        <v>885</v>
      </c>
      <c r="BB2" s="40" t="s">
        <v>885</v>
      </c>
      <c r="BC2" s="40" t="s">
        <v>885</v>
      </c>
      <c r="BD2" s="40" t="s">
        <v>885</v>
      </c>
      <c r="BE2" s="40" t="s">
        <v>885</v>
      </c>
      <c r="BF2" s="40" t="s">
        <v>885</v>
      </c>
      <c r="BG2" s="40" t="s">
        <v>885</v>
      </c>
      <c r="BH2" s="40" t="s">
        <v>885</v>
      </c>
      <c r="BI2" s="40" t="s">
        <v>885</v>
      </c>
      <c r="BJ2" s="35">
        <v>44053</v>
      </c>
      <c r="BK2" s="35">
        <v>44657</v>
      </c>
      <c r="BL2" s="31" t="s">
        <v>874</v>
      </c>
      <c r="BM2" s="43">
        <f t="shared" ref="BM2:BM4" si="2">IF(OR(BJ2="SD",BK2=""),"",IF(BJ2="",0,SUM(BK2-BJ2)/30))</f>
        <v>20.133333333333333</v>
      </c>
      <c r="BN2" s="57" t="str">
        <f t="shared" ref="BN2:BN4" si="3">IF(BS2&gt;0,SUM(BR2-NQ2),"")</f>
        <v/>
      </c>
      <c r="BO2" s="44">
        <f t="shared" ref="BO2:BO4" si="4">IF(AND(BL2="Corregida",BK2&gt;0,R2&gt;0,ISBLANK(BS2)),"SIN SEMANAS X ECO",IF(AND(BL2="Corregida",BK2&gt;0,R2&gt;0),SUM(R2-BN2)/7,IF(AND(OR(BL2="SI",BL2="NO"),BK2&gt;0,R2&gt;0),SUM(R2-BK2)/7,"")))</f>
        <v>0.7142857142857143</v>
      </c>
      <c r="BP2" s="31" t="str">
        <f t="shared" ref="BP2:BP4" si="5">IF(AND(BO2="",IP2=""),"",IF(AND(BO2="",IP2="DEFINIR FPP POR ECO"),"SIN DATO",IF(BO2&lt;0,"ERROR FUM O INGRESO O ECO",IF(BL2="NO","DEFINIR CON ECO",IF(BO2&lt;12,"I TRIM",IF(BO2&lt;27,"II TRIM",IF(AND(BO2&gt;26,BO2&lt;45),"III TRIM","ERROR FUM O INGRESO O ECO")))))))</f>
        <v>I TRIM</v>
      </c>
      <c r="BQ2" s="39" t="str">
        <f t="shared" ref="BQ2:BQ4" ca="1" si="6">IF(SUM((TODAY()-BK2)/7)&gt;43.1,"",IF(AND(BK2&gt;0,OR(BL2="si",BL2="Corregida",BL2="NO")),SUM((TODAY()-BK2)/7),""))</f>
        <v/>
      </c>
      <c r="BR2" s="35"/>
      <c r="BS2" s="43"/>
      <c r="BT2" s="35"/>
      <c r="BU2" s="31"/>
      <c r="BV2" s="40" t="s">
        <v>885</v>
      </c>
      <c r="BW2" s="40" t="s">
        <v>885</v>
      </c>
      <c r="BX2" s="40" t="s">
        <v>886</v>
      </c>
      <c r="BY2" s="40" t="s">
        <v>886</v>
      </c>
      <c r="BZ2" s="35">
        <v>44662</v>
      </c>
      <c r="CA2" s="31">
        <v>1.6</v>
      </c>
      <c r="CB2" s="31">
        <v>65</v>
      </c>
      <c r="CC2" s="39">
        <f t="shared" ref="CC2:CC4" si="7">IF(AND(OR(O2&gt;0,R2&gt;0),CA2=""),"SD",IF(AND(OR(O2="",R2=""),CA2=""),"",IF(AND(OR(O2&gt;0,R2&gt;0),CA2&gt;0,CB2&gt;0),SUM(CB2)/(CA2*CA2),"X")))</f>
        <v>25.390624999999996</v>
      </c>
      <c r="CD2" s="45" t="str">
        <f t="shared" ref="CD2:CD4" si="8">IF(AND(CC2&lt;10,CB2="SD"),"SIN DATO PESO PREGESTACION O I TRIM",IF(AND(OR(R2&gt;0,O2&gt;0),CC2="X"),"INGRESAR DATO DE PESO",IF(CC2="SD","INGRESAR DATO DE TALLA Y PESO",IF(CC2&lt;18.5,"BAJO PESO",IF(CC2&lt;25,"NORMAL",IF(CC2&lt;30,"SOBREPESO",IF(AND(CC2&gt;=30,CC2&lt;50),"OBESIDAD","")))))))</f>
        <v>SOBREPESO</v>
      </c>
      <c r="CE2" s="35"/>
      <c r="CF2" s="31"/>
      <c r="CG2" s="39">
        <f t="shared" ref="CG2:CG4" si="9">IF(AND(OR(O2&gt;0,R2&gt;0),CA2=""),"SD",IF(AND(OR(O2="",R2=""),CA2=""),"",IF(AND(OR(O2&gt;0,R2&gt;0),CA2&gt;0),SUM(CF2)/(CA2*CA2),"X")))</f>
        <v>0</v>
      </c>
      <c r="CH2" s="31" t="str">
        <f t="shared" ref="CH2:CH4" si="10">IF(AND(CE2="",BK2=""),"",IF(AND(BK2&gt;0,CE2=""),"NA",IF(CE2&lt;BK2,"REVISAR FUM O FECHA PESO",IF(CE2&gt;0,INT(SUM(CE2-BK2)/7)))))</f>
        <v>NA</v>
      </c>
      <c r="CI2" s="31" t="str">
        <f>IF(OR(CH2="",CH2="NA"),"",IF(AND(CH2&gt;=29,CH2&lt;=42),"REGISTRAR EN III TRIM",IF(AND(CH2&gt;0,CH2&lt;=13),"REGISTRAR EN I TRIM",IF(CH2="REVISAR FUM O FECHA PESO","REVISAR",IF(CH2&gt;0,HLOOKUP(CH2,$OI$1:PK2,OH2),"")))))</f>
        <v/>
      </c>
      <c r="CJ2" s="35"/>
      <c r="CK2" s="31"/>
      <c r="CL2" s="39">
        <f t="shared" ref="CL2:CL4" si="11">IF(AND(OR(O2&gt;0,R2&gt;0),CA2=""),"SD",IF(AND(OR(O2="",R2=""),CA2=""),"",IF(AND(OR(O2&gt;0,R2&gt;0),CA2&gt;0),SUM(CK2)/(CA2*CA2),"X")))</f>
        <v>0</v>
      </c>
      <c r="CM2" s="31" t="str">
        <f t="shared" ref="CM2:CM4" si="12">IF(AND(CJ2="",BK2=""),"",IF(AND(BK2&gt;0,CJ2=""),"NA",IF(CJ2&lt;BK2,"REVISAR FUM O FECHA PESO",IF(CJ2&gt;0,INT(SUM(CJ2-BK2)/7)))))</f>
        <v>NA</v>
      </c>
      <c r="CN2" s="31" t="str">
        <f>IF(OR(CM2="",CM2="NA"),"",IF(AND(CM2&gt;0,CM2&lt;=28),"REGISTRAR EN  TRIM RESPECTIVO",IF(CM2&gt;0,HLOOKUP(CM2,$OI$1:PK2,OH2),"")))</f>
        <v/>
      </c>
      <c r="CO2" s="31" t="str">
        <f t="shared" ref="CO2:CO4" si="13">IF(AND(OR(O2&gt;0,R2&gt;0),CD2&lt;&gt;"",CI2&lt;&gt;"",CN2&lt;&gt;""),CN2,IF(AND(OR(O2&gt;0,R2&gt;0),CD2&lt;&gt;"",CI2&lt;&gt;"",CN2=""),CI2,IF(AND(OR(O2&gt;0,R2&gt;0),CD2&lt;&gt;"",CI2="",CN2=""),CD2,IF(AND(OR(O2&gt;0,R2&gt;0),CD2&lt;&gt;"",CI2="",CN2&lt;&gt;""),CN2,""))))</f>
        <v>SOBREPESO</v>
      </c>
      <c r="CP2" s="31">
        <v>110</v>
      </c>
      <c r="CQ2" s="31">
        <v>70</v>
      </c>
      <c r="CR2" s="37" t="str">
        <f t="shared" ref="CR2:CR4" si="14">IF(AND(OR(R2="",R2&lt;&gt;""),CQ2="",CP2=""),"",IF(AND(OR(O2&gt;0,R2&gt;0),OR(CP2&gt;=140,CQ2&gt;=90)),"DEFINIR ESTADIO HTA",IF(AND(OR(O2&gt;0,R2&gt;0),AND(CP2&gt;120,CP2&lt;=139)),"PRE HTA SEGUIMIENTO",IF(AND(OR(O2&gt;0,R2&gt;0),AND(CQ2&gt;80,CQ2&lt;=89)),"PRE HTA SEGUIMIENTO",IF(AND(OR(O2&gt;0,R2&gt;0),AND(CP2&gt;=80,CP2&lt;=120)),"APARENTEMENTE NORMAL",IF(AND(OR(O2&gt;0,R2&gt;0),AND(CQ2&gt;=50,CQ2&lt;=80)),"APARENTEMENTE NORMAL",IF(AND(OR(O2&gt;0,R2&gt;0),OR(CP2&lt;=70,CQ2&lt;=40)),"HIPOTENSIÓN","")))))))</f>
        <v>APARENTEMENTE NORMAL</v>
      </c>
      <c r="CS2" s="31"/>
      <c r="CT2" s="31"/>
      <c r="CU2" s="37" t="str">
        <f t="shared" ref="CU2:CU4" si="15">IF(AND(OR(R2="",R2&lt;&gt;""),CS2="",CT2=""),"",IF(AND(OR(O2&gt;0,R2&gt;0),OR(CS2&gt;=140,CT2&gt;=90)),"ALTO RIESGO PREECLAMPSIA,DEFINIR ESTADIO HTA",IF(AND(OR(O2&gt;0,R2&gt;0),AND(CS2&gt;120,CS2&lt;=139)),"PRE HTA SEGUIMIENTO,RIESGO HIPERTENSION INDUCIDA POR EL EMBARAZO",IF(AND(OR(O2&gt;0,R2&gt;0),AND(CT2&gt;80,CT2&lt;=89)),"PRE HTA SEGUIMIENTO, RIESGO HIPERTENSION INDUCIDA POR EL EMBARAZO",IF(AND(OR(O2&lt;&gt;"",R2&lt;&gt;""),CQ2&lt;&gt;"",CT2&lt;&gt;"",CQ2&lt;=CT2),"VIGILAR CIFRAS PRESION ARTERIAL",IF(AND(OR(O2&gt;0,R2&gt;0),AND(CS2&gt;120,CS2&lt;=139)),"PRE HTA SEGUIMIENTO",IF(AND(OR(O2&gt;0,R2&gt;0),OR(CS2&lt;=60,CT2&lt;40)),"HIPOTENSIÓN",IF(AND(OR(O2&lt;&gt;"",R2&lt;&gt;""),CQ2&lt;&gt;"",CT2&lt;&gt;"",CQ2&gt;CT2),"APARENTEMENTE NORMAL",IF(AND(OR(O2&gt;0,R2&gt;0),AND(CS2&gt;=80,CS2&lt;=120)),"APARENTEMENTE NORMAL",IF(AND(OR(O2&gt;0,R2&gt;0),AND(CT2&gt;=50,CT2&lt;=80)),"APARENTEMENTE NORMAL",""))))))))))</f>
        <v/>
      </c>
      <c r="CV2" s="31"/>
      <c r="CW2" s="31"/>
      <c r="CX2" s="31"/>
      <c r="CY2" s="31"/>
      <c r="CZ2" s="37" t="str">
        <f t="shared" ref="CZ2:CZ4" si="16">IF(AND(OR(R2="",R2&lt;&gt;""),CV2="",CW2="",CX2="",CY2=""),"",IF(AND(OR(O2&gt;0,R2&gt;0),OR(CV2&gt;=140,CW2&gt;=90,CX2&gt;=140,CY2&gt;=90)),"ESTUDIO INMEDIATO HTA PARA DESCARTAR PREECLAMSIA",IF(AND(OR(O2&gt;0,R2&gt;0),OR(AND(CX2&gt;=130,CX2&lt;=139),AND(CV2&gt;=130,CV2&lt;=139))),"PRE HTA,RIESGO ALTO PREECLAMPSIA",IF(AND(OR(O2&gt;0,R2&gt;0),OR(AND(CY2&gt;=80,CY2&lt;=89),AND(CW2&gt;=80,CW2&lt;=89))),"PRE HTA,RIESGO ALTO PREECLAMPSIA",IF(AND(OR(O2&gt;0,R2&gt;0),OR(AND(CX2&gt;120,CX2&lt;=129),AND(CV2&gt;120,CV2&lt;=129))),"RANGO PREHIPERTENSIVO SEGUIMIENTO HTA",IF(AND(OR(O2&lt;&gt;"",R2&lt;&gt;""),CQ2&lt;&gt;"",CW2&lt;&gt;"",CY2&lt;&gt;"",OR(CQ2&lt;CY2,CQ2&lt;CW2)),"VIGILAR CIFRAS PRESION ARTERIAL",IF(AND(OR(O2&lt;&gt;"",R2&lt;&gt;""),CP2="",CQ2="",OR(CW2&lt;CY2,CV2&lt;CX2)),"VIGILAR CIFRAS PRESION ARTERIAL",IF(AND(OR(O2&lt;&gt;"",R2&lt;&gt;""),CQ2&lt;&gt;"",CW2&lt;&gt;"",CY2&lt;&gt;"",OR(CQ2=CY2,CQ2=CW2)),"APARENTEMENTE NORMAL",IF(AND(OR(O2&gt;0,R2&gt;0),OR(AND(CX2&gt;=80,CX2&lt;=120),AND(CV2&gt;=80,CV2&lt;=120))),"APARENTEMENTE NORMAL",IF(AND(OR(O2&gt;0,R2&gt;0),OR(AND(CY2&gt;=50,CY2&lt;80),AND(CW2&gt;=50,CW2&lt;80))),"APARENTEMENTE NORMAL",""))))))))))</f>
        <v/>
      </c>
      <c r="DA2" s="35">
        <v>44662</v>
      </c>
      <c r="DB2" s="35">
        <v>44662</v>
      </c>
      <c r="DC2" s="35"/>
      <c r="DD2" s="35"/>
      <c r="DE2" s="35"/>
      <c r="DF2" s="35"/>
      <c r="DG2" s="35"/>
      <c r="DH2" s="35"/>
      <c r="DI2" s="35"/>
      <c r="DJ2" s="35"/>
      <c r="DK2" s="35"/>
      <c r="DL2" s="35"/>
      <c r="DM2" s="35"/>
      <c r="DN2" s="35"/>
      <c r="DO2" s="43"/>
      <c r="DP2" s="35"/>
      <c r="DQ2" s="31" t="str">
        <f t="shared" ref="DQ2:DQ4" ca="1" si="17">IF(AND(BP2="ERROR FUM O INGRESO",DP2&gt;0),"ERROR FUM O INGRESO",IF(AND(DP2="",R2="",O2=""),"",IF(OR(AND(DP2&lt;&gt;"",DP2&lt;BK2),AND(DP2&lt;&gt;"",AND(SUM((DP2-BK2)/7)&gt;0,SUM((DP2-BK2)/7)&lt;28))),"PLAN REALIZADO ANTES III TRIM", IF(AND(DP2="",OR(O2&gt;0,R2&gt;0),AND(BQ2&gt;=28, BQ2&lt;35,DR2="ACTIVA INGRESO A CPN")),"PLANEAR PLAN DE PARTO", IF(AND(DP2="",OR(O2&gt;0,R2&gt;0),BQ2&gt;=35,DR2="ACTIVA INGRESO A CPN"),"CONCERTAR PLAN DE PARTO INMEDIATO", IF(AND(DP2="",OR(O2&gt;0,R2&gt;0),AND(BQ2&gt;0, BQ2&lt;28),OR(DR2="ACTIVA INGRESO A CPN", DR2=" ACTIVA SIN INGRESO CPN")),"EN ESPERA", IF(AND(DP2="",OR(O2&gt;0,R2&gt;0),AND(IY2&gt;0, IY2&lt;28)),"NO APLICA SALE PROGRAMA ANTES III TRIM", IF(AND(DP2="",OR(O2&gt;0,R2&gt;0),AND(IY2&gt;=28, IY2&lt;35)),"SALE PROGRAMA ANTES SEMANA 35", IF(AND(DP2="",OR(O2&gt;0,R2&gt;0),IY2&gt;35),"SALE SIN PLAN DE PARTO",IF(DP2&gt;0,SUM(DP2-BK2)/7,""))))))))))</f>
        <v>SALE SIN PLAN DE PARTO</v>
      </c>
      <c r="DR2" s="46" t="str">
        <f t="shared" ref="DR2:DR4" si="18">IF(AND(R2&lt;&gt;"",IT2="CAMBIO DE RESIDENCIA"),"SEGUIMIENTO REPORTE EPS",IF(AND(R2&lt;&gt;"",OR(IT2&lt;&gt;"",IW2&lt;&gt;"")),"SALIO PROGRAMA",IF(AND(AND(R2="",O2&gt;0),OR(IT2&lt;&gt;"",IW2&lt;&gt;"")),"SALE SIN INGRESO CPN",IF(AND(R2="",O2&gt;0,IT2="",IW2=""),"ACTIVA SIN INGRESO CPN",IF(AND(R2&lt;&gt;"",OR(IT2="",IW2="")),"ACTIVA INGRESO A CPN","")))))</f>
        <v>SEGUIMIENTO REPORTE EPS</v>
      </c>
      <c r="DS2"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
      </c>
      <c r="DT2" s="31" t="str">
        <f t="shared" ref="DT2:DT4" ca="1" si="19">IF(NR2="SD","",IF(AND(NR2&lt;=33,NR2&gt;=8),"MES DE CONTROL",IF(AND(NR2&gt;=1,NR2&lt;8),"SEMANA DE CONTROL",IF(NR2=0,"DIA DE CONTROL",IF(NR2&lt;0,"INASISTENTE",IF(NR2="Y","SEGUIMIENTO FUERA MUNICIPIO",IF(NR2="Z","BUSCAR PARA INGRESO A CPN",IF(NR2="W","DEFINIR FECHA CITA",IF(NR2="X","NO REALIZO CPN",IF(NR2="S","DILIGENCIAR FECHA SALIDA PROGRAMA","REVISAR FORMULA"))))))))))</f>
        <v>SEGUIMIENTO FUERA MUNICIPIO</v>
      </c>
      <c r="DU2" s="35">
        <f>IF(R2="","",IF(R2&gt;0,MAX(Tabla1[[#This Row],[FECHA C2]:[FECHA C13]],Tabla1[[#This Row],[FECHA CONSULTA PRIMERA VEZ PROGRAMA CPN ]])))</f>
        <v>44662</v>
      </c>
      <c r="DV2" s="31">
        <f t="shared" ref="DV2:DV4" si="20">IF(AND(DU2="",BK2="",R2=""),"",IF(AND(R2="",BK2&gt;0,DU2=""),"",IF(AND(R2&gt;0,DU2&lt;BK2),"REVISAR FUM O FECHA PESO",IF(AND(R2&gt;0,DU2&gt;0,BK2=""),"SD",IF(AND(R2&gt;0,DU2&gt;0,BK2&gt;0),INT(SUM(DU2-BK2)/7))))))</f>
        <v>0</v>
      </c>
      <c r="DW2" s="43">
        <f>IF(R2&gt;0,SUM(COUNTA(DC2:DN2)+COUNTA(Tabla1[[#This Row],[FECHA CONSULTA PRIMERA VEZ PROGRAMA CPN ]])),"")</f>
        <v>1</v>
      </c>
      <c r="DX2" s="43" t="str">
        <f t="shared" ref="DX2:DX4" si="21">IF(AND(DW2&gt;=0,DW2&lt;4),"NO",IF(AND(DW2&gt;=4,DW2&lt;12),"SI",""))</f>
        <v>NO</v>
      </c>
      <c r="DY2" s="39">
        <f t="shared" ref="DY2:DY4" si="22">IF(BO2="","",IF(BO2&gt;0,INT(SUM(((40-BO2)/4)+2)),"X"))</f>
        <v>11</v>
      </c>
      <c r="DZ2" s="47">
        <f t="shared" ref="DZ2:DZ4" si="23">IF(DY2="","",IF(DW2&gt;0,SUM(DW2/DY2),"X"))</f>
        <v>9.0909090909090912E-2</v>
      </c>
      <c r="EA2" s="35">
        <v>44662</v>
      </c>
      <c r="EB2" s="35">
        <v>44662</v>
      </c>
      <c r="EC2" s="35">
        <v>44662</v>
      </c>
      <c r="ED2" s="35"/>
      <c r="EE2" s="35">
        <v>44662</v>
      </c>
      <c r="EF2" s="35"/>
      <c r="EG2" s="35"/>
      <c r="EH2" s="31"/>
      <c r="EI2" s="31">
        <v>14</v>
      </c>
      <c r="EJ2" s="35">
        <v>44662</v>
      </c>
      <c r="EK2" s="43">
        <f t="shared" ref="EK2:EK4" si="24">IF(AND(BP2="ERROR FUM O INGRESO",EJ2&gt;0),"ERROR FUM O INGRESO",IF(AND(EJ2="",R2="",O2=""),"",IF(OR(AND(EJ2&lt;&gt;"",EJ2&lt;BK2),AND(EJ2&lt;&gt;"",SUM((EJ2-BK2)/7)&gt;40)),"CORREGIR FECHA RESULTADO",IF(AND(EJ2="",OR(O2&gt;0,R2&gt;0)),"TOMAR EXAMEN",IF(EJ2&gt;0,SUM(EJ2-BK2)/7,"")))))</f>
        <v>0.7142857142857143</v>
      </c>
      <c r="EL2" s="39" t="str">
        <f t="shared" ref="EL2:EL4" si="25">IF(AND(OR(O2&gt;0,R2&gt;0),EI2=""),"",IF(AND(OR(O2&gt;0,R2&gt;0),EI2&gt;0,EI2&lt;11),"MANEJO MD POR ANEMIA FERROPENICA",IF(AND(OR(O2&gt;0,R2&gt;0),EI2&lt;=14),"NORMAL- SUMINISTRAR SULFATO FERROSO",IF(AND(OR(O2&gt;0,R2&gt;0),EI2&lt;20),"NO DAR SULFATO FERROSO",""))))</f>
        <v>NORMAL- SUMINISTRAR SULFATO FERROSO</v>
      </c>
      <c r="EM2" s="31" t="str">
        <f t="shared" ref="EM2:EM4" si="26">IF(AND(EK2="",BP2=""),"",IF(AND(EK2&lt;&gt;"",BP2="SIN DATO"),"SIN DATO",IF(AND(EK2="",BP2&lt;&gt;""),"",IF(AND(EK2&lt;0,BP2&gt;0),"ERROR FUM O INGRESO",IF(EK2&lt;=13,"I TRIM",IF(EK2&lt;28,"II TRIM",IF(AND(EK2&gt;27,EK2&lt;45),"III TRIM","POR DEFINIR")))))))</f>
        <v>I TRIM</v>
      </c>
      <c r="EN2" s="37"/>
      <c r="EO2" s="35"/>
      <c r="EP2" s="44" t="str">
        <f t="shared" ref="EP2:EP4" si="27">IF(AND(BP2="ERROR FUM O INGRESO",EO2&gt;0),"ERROR FUM O INGRESO",IF(AND(EO2="",R2="",O2=""),"",IF(OR(AND(EO2&lt;&gt;"",EO2&lt;BK2),AND(EO2&lt;&gt;"",SUM((EO2-BK2)/7)&gt;40)),"CORREGIR FECHA RESULTADO",IF(AND(EO2="",OR(O2&gt;0,R2&gt;0)),"TOMAR EXAMEN",IF(EO2&gt;0,SUM(EO2-BK2)/7,"")))))</f>
        <v>TOMAR EXAMEN</v>
      </c>
      <c r="EQ2" s="39" t="str">
        <f t="shared" ref="EQ2:EQ4" si="28">IF(AND(OR(O2&gt;0,R2&gt;0),EN2=""),"",IF(AND(OR(O2&gt;0,R2&gt;0),EN2&gt;0,EN2&lt;10.5),"MANEJO MD POR ANEMIA FERROPENICA",IF(AND(OR(O2&gt;0,R2&gt;0),EN2&lt;14),"NORMAL- SUMINISTRAR SULFATO FERROSO",IF(AND(OR(O2&gt;0,R2&gt;0),EN2&lt;20),"NO DAR SULFATO FERROSO",""))))</f>
        <v/>
      </c>
      <c r="ER2" s="37" t="s">
        <v>892</v>
      </c>
      <c r="ES2" s="35">
        <v>44662</v>
      </c>
      <c r="ET2" s="44">
        <f t="shared" ref="ET2:ET4" si="29">IF(AND(BP2="ERROR FUM O INGRESO",ES2&gt;0),"ERROR FUM O INGRESO",IF(AND(ES2="",R2="",O2=""),"",IF(OR(AND(ES2&lt;&gt;"",ES2&lt;BK2),AND(ES2&lt;&gt;"",SUM((ES2-BK2)/7)&gt;40)),"CORREGIR FECHA RESULTADO",IF(AND(ES2="",OR(O2&gt;0,R2&gt;0)),"TOMAR EXAMEN",IF(ES2&gt;0,SUM(ES2-BK2)/7,"")))))</f>
        <v>0.7142857142857143</v>
      </c>
      <c r="EU2" s="39" t="str">
        <f t="shared" ref="EU2:EU4" si="30">IF(ER2="A-","RIESGO DE INCOMPATIBILIDAD RH",IF(ER2="B-","RIESGO DE INCOMPATIBILIDAD RH",IF(ER2="O-","RIESGO DE INCOMPATIBILIDAD RH",IF(ER2="AB-","RIESGO DE INCOMPATIBILIDAD RH",IF(OR(ER2="A+",ER2="A--"),"NO HAY RIESGO POR RH",IF(OR(ER2="B+",ER2="B--"),"NO HAY RIESGO POR RH",IF(OR(ER2="O+",ER2="O--"),"NO HAY RIESGO POR RH",IF(OR(ER2="AB+",ER2="AB--"),"NO HAY RIESGO POR RH",IF(ER2=0,"")))))))))</f>
        <v>NO HAY RIESGO POR RH</v>
      </c>
      <c r="EV2" s="31">
        <v>95</v>
      </c>
      <c r="EW2" s="35">
        <v>44662</v>
      </c>
      <c r="EX2" s="44">
        <f t="shared" ref="EX2:EX4" si="31">IF(AND(BP2="ERROR FUM O INGRESO",EW2&gt;0),"ERROR FUM O INGRESO",IF(AND(EW2="",R2="",O2=""),"",IF(OR(AND(EW2&lt;&gt;"",EW2&lt;BK2),AND(EW2&lt;&gt;"",SUM((EW2-BK2)/7)&gt;40)),"CORREGIR FECHA RESULTADO",IF(AND(EW2="",OR(O2&gt;0,R2&gt;0)),"TOMAR EXAMEN",IF(EW2&gt;0,SUM(EW2-BK2)/7,"")))))</f>
        <v>0.7142857142857143</v>
      </c>
      <c r="EY2" s="44"/>
      <c r="EZ2" s="44"/>
      <c r="FA2" s="44"/>
      <c r="FB2" s="31" t="str">
        <f t="shared" ref="FB2:FB4" ca="1" si="32">IF(AND(OR(EY2&gt;0,EZ2&gt;0,FA2&gt;0),FD2&gt;0,FD2&lt;24,AND(EY2&gt;1,EY2&lt;92),AND(EZ2&gt;1,EZ2&lt;180),AND(FA2&gt;1,FA2&lt;153)),"NORMAL, NO DESCARTA DIABETES POR REALIZARLO ANTES DE  SEMANA 24, ",IF(AND(OR(EY2&gt;0,EZ2&gt;0,FA2&gt;0),FD2&gt;0,FD2&lt;24,OR(EY2&gt;=92,EZ2&gt;=180,FA2&gt;=153)),"DIABETES, REMITIR",IF(AND(BQ2="",FC2="",EY2="",EZ2="",FA2=""),"",IF(AND(BQ2&gt;=19,BQ2&lt;24,FC2="",EY2="",EZ2="",FA2=""),"PROGRAMAR TOMA PTOG SIGUIENTE CONTROL",IF(AND(BQ2&gt;=24,FC2="",EY2="",EZ2="",FA2=""),"TOMAR PTOG",IF(OR(EY2&gt;=92,EZ2&gt;=180,FA2&gt;=153),"DIABETES, REMITIR",IF(AND(AND(EY2&gt;1,EY2&lt;92),AND(EZ2&gt;1,EZ2&lt;180),AND(FA2&gt;1,FA2&lt;153)),"NORMAL",IF(AND(EY2&gt;0,OR(EZ2=0,FA2=0)),"NO COMPLETA EXAMEN",""))))))))</f>
        <v/>
      </c>
      <c r="FC2" s="48"/>
      <c r="FD2" s="44" t="str">
        <f t="shared" ref="FD2:FD4" si="33">IF(AND(BP2="ERROR FUM O INGRESO",FC2&gt;0),"ERROR FUM O INGRESO",IF(AND(FC2="",R2="",O2=""),"",IF(OR(AND(FC2&lt;&gt;"",FC2&lt;BK2),AND(FC2&lt;&gt;"",SUM((FC2-BK2)/7)&gt;40)),"CORREGIR FECHA RESULTADO",IF(AND(FC2="",OR(O2&gt;0,R2&gt;0)),"TOMAR EXAMEN",IF(FC2&gt;0,SUM(FC2-BK2)/7,"")))))</f>
        <v>TOMAR EXAMEN</v>
      </c>
      <c r="FE2" s="35" t="s">
        <v>893</v>
      </c>
      <c r="FF2" s="35">
        <v>44662</v>
      </c>
      <c r="FG2" s="44">
        <f t="shared" ref="FG2:FG4" ca="1" si="34">IF(AND(BP2="ERROR FUM O INGRESO",FF2&gt;0),"ERROR FUM O INGRESO",IF(AND(FF2="",R2="",O2=""),"",IF(OR(AND(FF2&lt;&gt;"",FF2&lt;BK2),AND(FF2&lt;&gt;"",AND(SUM((FF2-BK2)/7)&gt;=13,SUM((FF2-BK2)/7)&lt;27))),"REGISTRAR EN II TRIMESTRE",IF(OR(AND(FF2&lt;&gt;"",FF2&lt;BK2),AND(FF2&lt;&gt;"",AND(SUM((FF2-BK2)/7)&gt;=27,SUM((FF2-BK2)/7)&lt;44))),"REGISTRAR EN III TRIMESTRE",IF(AND(FF2="",OR(O2&gt;0,R2&gt;0),AND(BQ2&gt;1,BQ2&lt;10)),"EN RANGO PARA TOMAR EXAMEN",IF(AND(FF2="",OR(O2&gt;0,R2&gt;0),AND(BQ2&gt;=10,BQ2&lt;13)),"TOMA INMEDIATA DE TAMIZAJE",IF(AND(FF2="",BO2&lt;13,OR(O2&gt;0,R2&gt;0)),"PIERDE TOMA DE TAMIZAJE",IF(AND(FF2="",OR(O2&gt;0,R2&gt;0),AND(BO2&gt;=13,BO2&lt;43)),"NO APLICA-INGRESO TARDIO",IF(FF2&gt;0,SUM(FF2-BK2)/7,"")))))))))</f>
        <v>0.7142857142857143</v>
      </c>
      <c r="FH2" s="35"/>
      <c r="FI2" s="49"/>
      <c r="FJ2" s="44" t="str">
        <f t="shared" ref="FJ2:FJ4" ca="1" si="35">IF(AND(BP2="ERROR FUM O INGRESO",FI2&gt;0),"ERROR FUM O INGRESO",IF(AND(FI2="",R2="",O2=""),"",IF(AND(FI2&lt;&gt;"",FI2&lt;BK2), "INCOHERENCIA FUM Y FECHA TAMIZAJE",IF(AND(FI2="",DR2="ACTIVA INGRESO A CPN",AND(BQ2&gt;0,BQ2&lt;13)),"EN ESPERA-ESTÁ I TRIM", IF(AND(FI2="",AND(BO2&gt;0, BO2&lt;13),OR(O2&gt;0,R2&gt;0),AND(IY2&gt;0,IY2&lt;13)),"NO APLICA-SALIO DEL PROGRAMA I TRIM",IF(AND(FI2&lt;&gt;"",AND(SUM((FI2-BK2)/7)&gt;0,SUM((FI2-BK2)/7)&lt;13)),"REGISTRAR EN I TRIMESTRE",IF(AND(FI2&lt;&gt;"",AND(SUM((FI2-BK2)/7)&gt;=27,SUM((FI2-BK2)/7)&lt;44)),"REGISTRAR EN III TRIMESTRE",IF(AND(FI2="",OR(O2&gt;0,R2&gt;0),AND(BQ2&gt;=13,BQ2&lt;24),DR2="ACTIVA INGRESO A CPN"),"EN RANGO PARA TOMAR EXAMEN",IF(AND(FI2="",OR(O2&gt;0,R2&gt;0),AND(BQ2&gt;=25,BQ2&lt;27),DR2="ACTIVA INGRESO A CPN"),"TOMA INMEDIATA DE TAMIZAJE",IF(AND(FI2="",OR(O2&gt;0,R2&gt;0),AND(BO2&gt;=27,BO2&lt;44)),"NO APLICA-INGRESO TARDIO",IF(AND(FI2="",BO2&lt;27),"PIERDE TOMA DE TAMIZAJE",IF(FI2&gt;0,SUM(FI2-BK2)/7,""))))))))))))</f>
        <v>PIERDE TOMA DE TAMIZAJE</v>
      </c>
      <c r="FK2" s="35"/>
      <c r="FL2" s="49"/>
      <c r="FM2" s="44" t="str">
        <f t="shared" ref="FM2:FM4" ca="1" si="36">IF(AND(BP2="ERROR FUM O INGRESO",FL2&gt;0),"ERROR FUM O INGRESO",IF(AND(FL2="",R2="",O2=""),"",IF(AND(FL2&lt;&gt;"",FL2&lt;BK2), "INCOHERENCIA FUM Y FECHA TAMIZAJE",IF(AND(FL2="",DR2="ACTIVA INGRESO A CPN",AND(BQ2&gt;0,BQ2&lt;27)),"EN ESPERA-ESTÁ I TRIM O II TRIM", IF(AND(FL2="",AND(BO2&gt;0, BO2&lt;27),OR(O2&gt;0,R2&gt;0),AND(IY2&gt;0,IY2&lt;27)),"NO APLICA-SALIO DEL PROGRAMA I O II TRIM",IF(AND(FL2&lt;&gt;"",AND(SUM((FL2-BK2)/7)&gt;0,SUM((FL2-BK2)/7)&lt;13)),"REGISTAR EN I TRIMESTRE",IF(AND(FL2&lt;&gt;"",AND(SUM((FL2-BK2)/7)&gt;=13,SUM((FL2-BK2)/7)&lt;27)),"REGISTRAR EN II TRIMESTRE",IF(AND(FL2="",OR(O2&gt;0,R2&gt;0),AND(BQ2&gt;=28,BQ2&lt;35),DR2="ACTIVA INGRESO A CPN"),"EN RANGO PARA TOMAR EXAMEN",IF(AND(FL2="",OR(O2&gt;0,R2&gt;0),BQ2&gt;=35, DR2="ACTIVA INGRESO A CPN"),"TOMA INMEDIATA DE TAMIZAJE",IF(AND(FL2="",DR2= "SALE SIN INGRESO CPN"),"NO APLICA-SIN CPN",IF(AND(FL2="",BO2&lt;44),"PIERDE TOMA DE TAMIZAJE",IF(FL2&gt;0,SUM(FL2-BK2)/7,""))))))))))))</f>
        <v>PIERDE TOMA DE TAMIZAJE</v>
      </c>
      <c r="FN2" s="35"/>
      <c r="FO2" s="49"/>
      <c r="FP2" s="44" t="str">
        <f>IF(AND(FE2="",FH2="",FK2="",FN2=""),"",IF(OR(OR(Tabla1[[#This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2" s="31"/>
      <c r="FR2" s="35">
        <v>44662</v>
      </c>
      <c r="FS2" s="44">
        <f t="shared" ref="FS2:FS4" si="37">IF(AND(BP2="ERROR FUM O INGRESO",FR2&gt;0),"ERROR FUM O INGRESO",IF(AND(FR2="",R2="",O2=""),"",IF(OR(AND(FR2&lt;&gt;"",FR2&lt;BK2),AND(FR2&lt;&gt;"",SUM((FR2-BK2)/7)&gt;40)),"CORREGIR FECHA RESULTADO",IF(AND(FR2="",OR(O2&gt;0,R2&gt;0)),"TOMAR EXAMEN",IF(FR2&gt;0,SUM(FR2-BK2)/7,"")))))</f>
        <v>0.7142857142857143</v>
      </c>
      <c r="FT2" s="43" t="s">
        <v>894</v>
      </c>
      <c r="FU2" s="35">
        <v>44662</v>
      </c>
      <c r="FV2" s="44">
        <f t="shared" ref="FV2:FV4" si="38">IF(AND(BP2="ERROR FUM O INGRESO",FU2&gt;0),"ERROR FUM O INGRESO",IF(AND(FU2="",R2="",O2=""),"",IF(OR(AND(FU2&lt;&gt;"",FU2&lt;BK2),AND(FU2&lt;&gt;"",SUM((FU2-BK2)/7)&gt;40)),"CORREGIR FECHA RESULTADO",IF(AND(FU2="",OR(O2&gt;0,R2&gt;0)),"TOMAR EXAMEN",IF(FU2&gt;0,SUM(FU2-BK2)/7,"")))))</f>
        <v>0.7142857142857143</v>
      </c>
      <c r="FW2" s="35">
        <v>44662</v>
      </c>
      <c r="FX2" s="35">
        <v>44662</v>
      </c>
      <c r="FY2" s="35" t="s">
        <v>895</v>
      </c>
      <c r="FZ2" s="35">
        <v>44662</v>
      </c>
      <c r="GA2" s="44">
        <f t="shared" ref="GA2:GA4" ca="1" si="39">IF(AND(BP2="ERROR FUM O INGRESO",FZ2&gt;0),"ERROR FUM O INGRESO",IF(AND(FZ2="",R2="",O2=""),"",IF(OR(AND(FZ2&lt;&gt;"",FZ2&lt;BK2),AND(FZ2&lt;&gt;"",AND(SUM((FZ2-BK2)/7)&gt;=13,SUM((FZ2-BK2)/7)&lt;27))),"REGISTRAR EN II TRIMESTRE",IF(OR(AND(FZ2&lt;&gt;"",FZ2&lt;BK2),AND(FZ2&lt;&gt;"",AND(SUM((FZ2-BK2)/7)&gt;=27,SUM((FZ2-BK2)/7)&lt;44))),"REGISTRAR EN III TRIMESTRE",IF(AND(FZ2="",OR(O2&gt;0,R2&gt;0),AND(BQ2&gt;1,BQ2&lt;10)),"EN RANGO PARA TOMAR EXAMEN",IF(AND(FZ2="",OR(O2&gt;0,R2&gt;0),AND(BQ2&gt;=10,BQ2&lt;12)),"TOMA INMEDIATA DE TAMIZAJE",IF(AND(FZ2="",BO2&lt;12,OR(O2&gt;0,R2&gt;0)),"PIERDE TOMA DE TAMIZAJE",IF(AND(FZ2="",OR(O2&gt;0,R2&gt;0),AND(BO2&gt;=13,BO2&lt;44)),"NO APLICA-INGRESO TARDIO",IF(FZ2&gt;0,SUM(FZ2-BK2)/7,"")))))))))</f>
        <v>0.7142857142857143</v>
      </c>
      <c r="GB2" s="35"/>
      <c r="GC2" s="35"/>
      <c r="GD2" s="44" t="str">
        <f t="shared" ref="GD2:GD4" ca="1" si="40">IF(AND(BP2="ERROR FUM O INGRESO",GC2&gt;0),"ERROR FUM O INGRESO",IF(AND(GC2="",R2="",O2=""),"",IF(AND(GC2&lt;&gt;"",GC2&lt;BK2), "INCOHERENCIA FUM Y FECHA TAMIZAJE",IF(AND(GC2="",DR2="ACTIVA INGRESO A CPN",AND(BQ2&gt;0,BQ2&lt;13)),"EN ESPERA-ESTÁ I TRIM", IF(AND(GC2="",AND(BO2&gt;0, BO2&lt;12),OR(O2&gt;0,R2&gt;0),AND(IY2&gt;0,IY2&lt;13)),"NO APLICA-SALIO DEL PROGRAMA I TRIM",IF(AND(GC2&lt;&gt;"",AND(SUM((GC2-BK2)/7)&gt;0,SUM((GC2-BK2)/7)&lt;13)),"REGISTRAR EN I TRIMESTRE",IF(AND(GC2&lt;&gt;"",AND(SUM((GC2-BK2)/7)&gt;=27,SUM((GC2-BK2)/7)&lt;44)),"REGISTRAR EN III TRIMESTRE",IF(AND(GC2="",OR(O2&gt;0,R2&gt;0),AND(BQ2&gt;=12,BQ2&lt;25),DR2="ACTIVA INGRESO A CPN"),"EN RANGO PARA TOMAR EXAMEN",IF(AND(GC2="",OR(O2&gt;0,R2&gt;0),AND(BQ2&gt;=25,BQ2&lt;27),DR2="ACTIVA INGRESO A CPN"),"TOMA INMEDIATA DE TAMIZAJE",IF(AND(GC2="",OR(O2&gt;0,R2&gt;0),AND(BO2&gt;=27,BO2&lt;43)),"NO APLICA-INGRESO TARDIO",IF(AND(GC2="",BO2&lt;27),"PIERDE TOMA DE TAMIZAJE",IF(GC2&gt;0,SUM(GC2-BK2)/7,""))))))))))))</f>
        <v>PIERDE TOMA DE TAMIZAJE</v>
      </c>
      <c r="GE2" s="35"/>
      <c r="GF2" s="35"/>
      <c r="GG2" s="44" t="str">
        <f t="shared" ref="GG2:GG4" ca="1" si="41">IF(AND(BP2="ERROR FUM O INGRESO",GF2&gt;0),"ERROR FUM O INGRESO",IF(AND(GF2="",R2="",O2=""),"",IF(AND(GF2&lt;&gt;"",GF2&lt;BK2), "INCOHERENCIA FUM Y FECHA TAMIZAJE",IF(AND(GF2="",DR2="ACTIVA INGRESO A CPN",AND(BQ2&gt;0,BQ2&lt;27)),"EN ESPERA-ESTÁ I TRIM O II TRIM", IF(AND(GF2="",AND(BO2&gt;0, BO2&lt;28),OR(O2&gt;0,R2&gt;0),AND(IY2&gt;0,IY2&lt;28)),"NO APLICA-SALIO DEL PROGRAMA I O II TRIM",IF(AND(GF2&lt;&gt;"",AND(SUM((GF2-BK2)/7)&gt;0,SUM((GF2-BK2)/7)&lt;13)),"REGISTAR EN I TRIMESTRE",IF(AND(GF2&lt;&gt;"",AND(SUM((GF2-BK2)/7)&gt;=13,SUM((GF2-BK2)/7)&lt;27)),"REGISTRAR EN II TRIMESTRE",IF(AND(GF2="",OR(O2&gt;0,R2&gt;0),AND(BQ2&gt;=28,BQ2&lt;35),DR2="ACTIVA INGRESO A CPN"),"EN RANGO PARA TOMAR EXAMEN",IF(AND(GF2="",OR(O2&gt;0,R2&gt;0),BQ2&gt;=35, DR2="ACTIVA INGRESO A CPN"),"TOMA INMEDIATA DE TAMIZAJE",IF(AND(GF2="",DR2= "SALE SIN INGRESO CPN"),"NO APLICA-SIN CPN",IF(AND(GF2="",BO2&lt;44),"PIERDE TOMA DE TAMIZAJE",IF(GF2&gt;0,SUM(GF2-BK2)/7,""))))))))))))</f>
        <v>PIERDE TOMA DE TAMIZAJE</v>
      </c>
      <c r="GH2" s="35"/>
      <c r="GI2" s="44"/>
      <c r="GJ2" s="35" t="s">
        <v>882</v>
      </c>
      <c r="GK2" s="35"/>
      <c r="GL2" s="35" t="s">
        <v>882</v>
      </c>
      <c r="GM2" s="35"/>
      <c r="GN2" s="43" t="s">
        <v>894</v>
      </c>
      <c r="GO2" s="35">
        <v>44662</v>
      </c>
      <c r="GP2" s="44">
        <f t="shared" ref="GP2:GP4" si="42">IF(AND(BP2="ERROR FUM O INGRESO",GO2&gt;0),"ERROR FUM O INGRESO",IF(AND(GO2="",R2="",O2=""),"",IF(OR(AND(GO2&lt;&gt;"",GO2&lt;BK2),AND(GO2&lt;&gt;"",SUM((GO2-BK2)/7)&gt;40)),"CORREGIR FECHA RESULTADO",IF(AND(GO2="",OR(O2&gt;0,R2&gt;0)),"TOMAR EXAMEN",IF(GO2&gt;0,SUM(GO2-BK2)/7,"")))))</f>
        <v>0.7142857142857143</v>
      </c>
      <c r="GQ2" s="43" t="s">
        <v>894</v>
      </c>
      <c r="GR2" s="43" t="s">
        <v>894</v>
      </c>
      <c r="GS2" s="35" t="str">
        <f t="shared" ref="GS2:GS4" si="43">IF(GQ2="NEGATIVO","CONTROL Igm",IF(AND(GQ2="POSITIVO",GR2="NEGATIVO"),"SE EXCLUYE INFECCION",IF(AND(GQ2="POSITIVO",GR2="POSITIVO"),"TOXOPLASMOSIS, REMITIR PARA MANEJO","")))</f>
        <v>CONTROL Igm</v>
      </c>
      <c r="GT2" s="35">
        <v>44662</v>
      </c>
      <c r="GU2" s="44">
        <f t="shared" ref="GU2:GU4" si="44">IF(AND(BP2="ERROR FUM O INGRESO",GT2&gt;0),"ERROR FUM O INGRESO",IF(AND(GT2="",R2="",O2=""),"",IF(OR(AND(GT2&lt;&gt;"",GT2&lt;BK2),AND(GT2&lt;&gt;"",SUM((GT2-BK2)/7)&gt;40)),"CORREGIR FECHA RESULTADO",IF(AND(GT2="",OR(O2&gt;0,R2&gt;0)),"TOMAR EXAMEN",IF(GT2&gt;0,SUM(GT2-BK2)/7,"")))))</f>
        <v>0.7142857142857143</v>
      </c>
      <c r="GV2" s="31" t="str">
        <f t="shared" ref="GV2:GV4" si="45">IF(AND(GU2="",BP2=""),"",IF(AND(GU2&lt;&gt;"",BP2="SIN DATO"),"SIN DATO",IF(AND(GU2="",BP2&lt;&gt;""),"",IF(AND(GU2&lt;0,BP2&gt;0),"ERROR FUM O INGRESO",IF(GU2&lt;=13,"I TRIM",IF(GU2&lt;28,"II TRIM",IF(AND(GU2&gt;27,GU2&lt;45),"III TRIM","POR DEFINIR")))))))</f>
        <v>I TRIM</v>
      </c>
      <c r="GW2" s="43"/>
      <c r="GX2" s="46"/>
      <c r="GY2" s="31"/>
      <c r="GZ2" s="35"/>
      <c r="HA2" s="43" t="str">
        <f t="shared" ref="HA2:HA4" si="46">IF(GZ2&gt;0,SUM(GZ2-BK2)/7,"")</f>
        <v/>
      </c>
      <c r="HB2" s="31" t="str">
        <f t="shared" ref="HB2:HB4" si="47">IF(HA2&lt;0,"ANTES DEL EMBARAZO",IF(AND(HA2&gt;0,HA2&lt;13),"I TRIM",IF(AND(HA2&gt;12,HA2&lt;28),"II TRIM",IF(AND(HA2&gt;27,HA2&lt;41),"III TRIM",""))))</f>
        <v/>
      </c>
      <c r="HC2" s="31" t="str">
        <f t="shared" ref="HC2:HC4" si="48">IF(GY2="","",IF(GY2="CARCINOMA ESCAMOCELULAR","CITAR PARA COLPOSCOPIA Y PATOLOGIA",IF(GY2="ASCUS","CITAR PARA COLPOSCOPIA",IF(GY2="ACSI","CITAR PARA COLPOSCOPIA",IF(GY2="INFECCION VPH","CITAR PARA COLPOSCOPIA",IF(GY2="NIC I","CITAR PARA COLPOSCOPIA",IF(GY2="NIC I VPH","CITAR PARA COLPOSCOPIA",IF(GY2="NIC II","CITAR PARA COLPOSCOPIA",IF(GY2="NIC III","CITAR PARA COLPOSCOPIA",IF(GY2="CAMBIOS INFLAMATORIOS","CONSULTA CON MÉDICO GENERAL",IF(GY2="INFECCION","CONSULTA CON MÉDICO GENERAL",IF(GY2="NEGATIVA PARA NEOPLASIA","CITA PARA CITOLOGIA SEGÚN ESQUEMA1-1-3",IF(GY2="MUESTRA INADECUADA","REPETIR CITOLOGIA",IF(GY2=0,"SD"))))))))))))))</f>
        <v/>
      </c>
      <c r="HD2" s="31" t="s">
        <v>896</v>
      </c>
      <c r="HE2" s="31"/>
      <c r="HF2" s="31" t="s">
        <v>897</v>
      </c>
      <c r="HG2" s="31"/>
      <c r="HH2" s="31" t="s">
        <v>898</v>
      </c>
      <c r="HI2" s="31">
        <v>0</v>
      </c>
      <c r="HJ2" s="35" t="s">
        <v>899</v>
      </c>
      <c r="HK2" s="35" t="str">
        <f>IF(OR(O2&gt;0,R2&gt;0),CONCATENATE(IF(Tabla1[[#This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2" s="35" t="str">
        <f t="shared" ref="HL2:HL4" si="49">IF(OR(O2&gt;0,R2&gt;0),CONCATENATE(IF(AY2="SI","ANTECEDENTE EMBARAZO MOLAR",""),"*",CONCATENATE(IF(AZ2="SI","ANTECEDENTE MUERTE NEONATAL",""),"*",CONCATENATE(IF(AND(BM2&gt;0,BM2&lt;13),"PERIODO INTERGENESICO CORTO",""),"*",CONCATENATE(IF(AND(BO2&gt;13,BO2&lt;42),"INGRESO TARDIO A CPN",""),"*",CONCATENATE(IF(CO2="BAJO PESO","BAJO PESO",""),"*",CONCATENATE(IF(CO2="SOBREPESO","SOBREPESO",""),"*",CONCATENATE(IF(CO2="OBESIDAD","OBESIDAD",""),"*",CONCATENATE(IF(GN2="POSITIVO","SEGUIMIENTO INFECCIÓN HEP B",""),"*",CONCATENATE(IF(GS2="TOXOPLASMOSIS, REMITIR PARA MANEJO","INFECCIÓN TOXOPLASMOSIS",""),"*",CONCATENATE(IF(GS2="CONTROL Igm","PREVENCIÓN CONTAGIO TOXOPLASMOSIS",""),"*",CONCATENATE(IF(OR(HJ2="COVID19 PRIMER TRIMESTRE",HJ2="COVID19 SEGUNDO TRIMESTRE",HJ2="COVID19 TERCER TRIMESTRE",HJ2="COVID19 PUERPERIO"),"INFECCIÓN SARS-CoV2 CONFIRMADA",""),"*",CONCATENATE(IF(OR(HC2="CITAR PARA COLPOSCOPIA",HC2="CITAR PARA COLPOSCOPIA Y PATOLOGIA"),"DESCARTAR CANCER DE UTERO",""),"*",)))))))))))),"")</f>
        <v>*****SOBREPESO****PREVENCIÓN CONTAGIO TOXOPLASMOSIS***</v>
      </c>
      <c r="HM2" s="35" t="str">
        <f t="shared" ref="HM2:HM4" ca="1" si="50">IF(AND(O2="",R2=""),"",IF(AND(OR(O2&lt;&gt;"",R2&lt;&gt;""),OR(HO2="RIESGO ALTO DE COMPLICACIONES HIPERTENSIVAS VER MANEJO GUIA SUMINISTRO ASA Y CALCIO",HO2="RIESGO MODERADO (2 O MAS CRITERIOS) VER MANEJO GUIA SUMINISTRO ASA Y CALCIO")),"ALTO RIESGO",IF(AND(HL2="************",OR(O2&lt;&gt;"",R2&lt;&gt;""),AND(NM2&gt;=0,NM2&lt;3)),"BAJO RIESGO",IF(AND(OR(O2&lt;&gt;"",R2&lt;&gt;""),OR(HJ2="COVID19 PRIMER TRIMESTRE",HJ2="COVID19 SEGUNDO TRIMESTRE",HJ2="COVID19 TERCER TRIMESTRE",HJ2="COVID19 PUERPERIO")),"ALTO RIESGO",IF(AND(HL2&lt;&gt;"",OR(O2&lt;&gt;"",R2&lt;&gt;""),AND(NM2&gt;=0,NM2&lt;3)),"CON RIESGO",IF(AND(OR(O2&lt;&gt;"",R2&lt;&gt;""),NM2&gt;2),"ALTO RIESGO",""))))))</f>
        <v>CON RIESGO</v>
      </c>
      <c r="HN2" s="31" t="str">
        <f t="shared" ref="HN2:HN4" ca="1" si="51">IF(OR(O2&gt;0,R2&gt;0),CONCATENATE(IF(AK2="CON RIESGO","RIESGO PSICOSOCIAL",""),"*",CONCATENATE(IF(AL2="SI","ANTECEDENTE PREECLAMPSIA",""),"*",CONCATENATE(IF(AM2="SI","ANTECEDENTE HEMORRAGIA POSTPARTO O RETENCIÓN DE PLACENTA",""),"*",CONCATENATE(IF(AN2="SI","ANTECEDENTE RN BAJO PESO O MACROSOMICO",""),"*",CONCATENATE(IF(AP2="SI","ANTECEDENTE TRABAJO DE PARTO PROLONGADO",""),"*",CONCATENATE(IF(AU2="SI","INFERTILIDAD",""),"*",CONCATENATE(IF(BA2="SI","ENFERMERDAD AUTOINMUNE",""),"*",CONCATENATE(IF(BB2="SI","DIABETES PREGESTACIONAL",""),"*",CONCATENATE(IF(BC2="SI","ENFERMEDAD CARDIACA",""),"*",CONCATENATE(IF(BD2="SI","HTA CRÓNICA",""),"*",CONCATENATE(IF(BE2="SI","ENFERMEDAD RENAL CRÓNICA",""),"*",CONCATENATE(IF(BG2="SI","RUPTURA PREMATURA DE MEMBRANAS",""),"*",CONCATENATE(IF(OR(BH2="SI",BI2="SI"),"HEMORRAGIA DURANTE LA GESTACIÓN",""),"*",CONCATENATE(IF(BV2="SI","RCIU",""),"*",CONCATENATE(IF(BW2="SI","EMBARAZO GEMELAR",""),"*",CONCATENATE(IF(NJ2=3,"PRESENTACIÓN FETAL PODALICA O TRANSVERSA",""),"*",CONCATENATE(IF(BY2="SI","POLIHIDRAMNIOS",""),"*",CONCATENATE(IF(FB2="DIABETES, REMITIR","DIABETES GESTACIONAL",""),"*",CONCATENATE(IF(FP2&lt;&gt;"","SEGUIMIENTO PARA SIFILIS GESTACIONAL",""),"*",CONCATENATE(IF(NI2=3,"SEGUIMIENTO PARA VIH",""),"*",CONCATENATE(IF(NG2=1,"SEGUIMIENTO PARA ANEMIA",""),"*",CONCATENATE(IF(ND2=2,"MULTIPARIDAD",""),"*",CONCATENATE(IF(ND2=1,"MULTIPARIDAD",""),"*",CONCATENATE(IF(NC2=1,"ANTECEDENTE MUERTE PERINATAL",""),"*",CONCATENATE(IF(OR(NA2=2,NA2=1),"RIESGO POR EDAD",""),"*",CONCATENATE(IF(OR(NE2=1,NE2=2),"CESAREAS PREVIAS",""),"*",CONCATENATE(IF(NF2=1,"ANTECEDENTE ECTOPICO O CX UTERINA",""),"*",CONCATENATE(IF(NH2=1,"EMBARAZO PROLONGADO",""),"*",CONCATENATE(IF(NK2=2,"SEGUIMIENTO PARA CHAGAS",""),"*",CONCATENATE(IF(NL2=3,"SEGUIMIENTO PARA MALARIA",""),"*",CONCATENATE(IF(OR(HJ2="COVID19 PRIMER TRIMESTRE",HJ2="COVID19 SEGUNDO TRIMESTRE", HJ2="COVID19 TERCER TRIMESTRE",HJ2="COVID19 PUERPERIO"),"SEGUIMIENTO PARA COVID19",""),"*",CONCATENATE(IF(EU2="RIESGO DE INCOMPATIBILIDAD RH","SEGUIMIENTO PARA INCOMPATIBILIDAD RH",""),"*")))))))))))))))))))))))))))))))),"")</f>
        <v>**********************MULTIPARIDAD**********</v>
      </c>
      <c r="HO2" s="31" t="str">
        <f t="shared" ref="HO2:HO4" si="52">IF(AND(O2="",R2=""),"",IF(AND(OR(O2&gt;0,R2&gt;0),OR(AL2="SI",BD2="SI",BA2="SI",BB2="SI",BE2="SI")),"RIESGO ALTO DE COMPLICACIONES HIPERTENSIVAS VER MANEJO GUIA SUMINISTRO ASA Y CALCIO",IF(AND(OR(O2&gt;0,R2&gt;0),NN2&gt;1),"RIESGO MODERADO (2 O MAS CRITERIOS) VER MANEJO GUIA SUMINISTRO ASA Y CALCIO","SIN ANTECEDENTES DE RIESGO")))</f>
        <v>SIN ANTECEDENTES DE RIESGO</v>
      </c>
      <c r="HP2" s="37" t="str">
        <f t="shared" ref="HP2:HP4" si="53">IF(AND(O2="",R2=""),"",IF(AND(OR(O2&gt;0,R2&gt;0),CR2&lt;&gt;"",CU2&lt;&gt;"",CZ2&lt;&gt;""),CZ2,IF(AND(OR(O2&gt;0,R2&gt;0),CR2&lt;&gt;"",CU2&lt;&gt;"",CZ2=""),CU2,IF(AND(OR(O2&gt;0,R2&gt;0),CR2&lt;&gt;"",CU2="",CZ2=""),CR2,IF(AND(OR(O2&gt;0,R2&gt;0),CR2="",CU2="",CZ2&lt;&gt;""),CZ2,IF(AND(OR(O2&gt;0,R2&gt;0),CR2="",CU2&lt;&gt;"",CZ2&lt;&gt;""),CZ2,IF(AND(OR(O2&gt;0,R2&gt;0),CR2&lt;&gt;"",CU2="",CZ2&lt;&gt;""),CZ2,IF(AND(OR(O2&gt;0,R2&gt;0),CR2="",CU2&lt;&gt;"",CZ2=""),CU2,""))))))))</f>
        <v>APARENTEMENTE NORMAL</v>
      </c>
      <c r="HQ2" s="31" t="str">
        <f t="shared" ref="HQ2:HQ4" ca="1" si="54">IF(NR2="SD","",IF(AND(NR2&lt;=33,NR2&gt;=8),"MES DE CONTROL",IF(AND(NR2&gt;=1,NR2&lt;8),"SEMANA DE CONTROL",IF(NR2=0,"DIA DE CONTROL",IF(NR2&lt;0,"INASISTENTE",IF(NR2="Y","SEGUIMIENTO FUERA MUNICIPIO",IF(NR2="Z","BUSCAR PARA INGRESO A CPN",IF(NR2="W","DEFINIR FECHA CITA",IF(NR2="X","NO REALIZO CPN",IF(NR2="S","DILIGENCIAR FECHA SALIDA PROGRAMA","REVISAR FORMULA"))))))))))</f>
        <v>SEGUIMIENTO FUERA MUNICIPIO</v>
      </c>
      <c r="HR2" s="46" t="str">
        <f t="shared" ref="HR2:HR4" si="55">IF(AND(R2&lt;&gt;"",IT2="CAMBIO DE RESIDENCIA"),"SEGUIMIENTO REPORTE EPS",IF(AND(R2&lt;&gt;"",OR(IT2&lt;&gt;"",IW2&lt;&gt;"")),"SALIO PROGRAMA",IF(AND(AND(R2="",O2&gt;0),OR(IT2&lt;&gt;"",IW2&lt;&gt;"")),"SALE SIN INGRESO CPN",IF(AND(R2="",O2&gt;0,IT2="",IW2=""),"ACTIVA SIN INGRESO CPN",IF(AND(R2&lt;&gt;"",OR(IT2="",IW2="")),"ACTIVA INGRESO A CPN","")))))</f>
        <v>SEGUIMIENTO REPORTE EPS</v>
      </c>
      <c r="HS2" s="31" t="s">
        <v>874</v>
      </c>
      <c r="HT2" s="31" t="s">
        <v>882</v>
      </c>
      <c r="HU2" s="35"/>
      <c r="HV2" s="35"/>
      <c r="HW2" s="35">
        <v>44662</v>
      </c>
      <c r="HX2" s="35" t="s">
        <v>900</v>
      </c>
      <c r="HY2" s="35">
        <v>44662</v>
      </c>
      <c r="HZ2" s="35" t="s">
        <v>900</v>
      </c>
      <c r="IA2" s="40" t="s">
        <v>886</v>
      </c>
      <c r="IB2" s="35">
        <v>44662</v>
      </c>
      <c r="IC2" s="43">
        <f t="shared" ref="IC2:IC4" si="56">IF(AND(BP2="ERROR FUM O INGRESO",IB2&gt;0),"ERROR FUM O INGRESO",IF(AND(IB2="",R2=""),"",IF(OR(AND(IB2&lt;&gt;"",IB2&lt;BK2),AND(IB2&lt;&gt;"",SUM((IB2-BK2)/7)&gt;40)),"CORREGIR FECHA CONSULTA",IF(AND(IB2="",R2&gt;0),"PENDIENTE CONSULTA",IF(IB2&gt;0,SUM(IB2-BK2)/7,"")))))</f>
        <v>0.7142857142857143</v>
      </c>
      <c r="ID2" s="40" t="s">
        <v>874</v>
      </c>
      <c r="IE2" s="40"/>
      <c r="IF2" s="35"/>
      <c r="IG2" s="35"/>
      <c r="IH2" s="168"/>
      <c r="II2" s="168"/>
      <c r="IJ2" s="168"/>
      <c r="IK2" s="37" t="str">
        <f ca="1">IF(AND(BK2="",PM2="SD"),"SIN DATO EDAD GESTACIONAL",IF(AND(BK2="",PN2=""),"",IF(AND(AND(BQ2&gt;0,BQ2&lt;12),PN2=""),"MENOR 12 SEMANAS",IF(AND(BQ2&gt;11.6,PN2="",HJ2="BAJO RIESGO O SE DESCARTA INFECCIÓN POR SARS-CoV2"),"PROGRAMAR APLICACION DE VACUNA",IF(OR(AND(BQ2&gt;11.6,PN2=""),HJ2="FACTOR DE RIESGO PARA COVID19",HJ2="COVID19 PRIMER TRIMESTRE",HJ2="COVID19 SEGUNDO TRIMESTRE",HJ2="COVID19 TERCER TRIMESTRE",HJ2="COVID19 PUERPERIO"),"DIFERIR FECHA DE VACUNACION SEGÚN LINEAMIENTOS",IF(AND(BQ2&gt;11.6,PN2="Error Jansen X Fecha Segunda Dosis"),"Error Jansen X Fecha Segunda Dosis",IF(AND(BQ2&gt;11.6,PN2="Firma"),"FIRMA DISENTIMIENTO",IF(AND(BQ2&gt;11.6,PN2="Firma3"),"NO ACEPTA VACUNA Y NO FIRMA DISCENTIMIENTO",IF(AND(BQ2&gt;11.6,PN2="Firma2"),"Error en Fecha x Firma Disentimiento",IF(AND(BQ2&gt;11.6,PN2="Firma4"),"Error en Fecha x No Acepta no Firma",IF(AND(BQ2&gt;11.6,PN2="Completo",Tabla1[[#This Row],[Fecha Refuerzo Anti COVID-20]]=""),"PENDIENTE REFUERZO",IF(AND(BQ2&gt;11.6,PN2="Completo",Tabla1[[#This Row],[Fecha Refuerzo Anti COVID-20]]&lt;&gt;""),"CON REFUERZO",IF(AND(BQ2&gt;11.6,PN2="Falta Dosis"),PQ2,IF(OR(AND(BQ2&gt;11.6,PN2=""),HJ2="",HJ2="NO SE EVALUA RIESGO INFECCIÓN COVID19"),"DEFINIR RIESGO CONTAGIO SARS-CoV2, columna GZ",""))))))))))))))</f>
        <v>DIFERIR FECHA DE VACUNACION SEGÚN LINEAMIENTOS</v>
      </c>
      <c r="IL2" s="168"/>
      <c r="IM2" s="35"/>
      <c r="IN2" s="35" t="str">
        <f t="shared" ref="IN2:IN4" ca="1" si="57">IF(AND(BK2="",NO2="SD"),"SIN DATO EDAD GESTACIONAL",IF(AND(BK2="",IM2=""),"",IF(AND(AND(BQ2&gt;0,BQ2&lt;20),IM2=""),"EN ESPERA PARA VACUNAR",IF(AND(AND(BQ2&gt;19,BQ2&lt;27),IM2=""),"PROGRAMAR APLICACION DE VACUNA",IF(AND(AND(BQ2&gt;26,BQ2&lt;43),IM2=""),"INASISTENTE",IF(AND(AND(NO2&gt;19,NO2&lt;27),IM2&gt;0),"VACUNA APLICADA ENTRE SEMANA 20 Y SEMANA 26",IF(AND(NO2&lt;20,IM2&gt;0),"VACUNA APLICADA ANTES SEMANA 20",IF(AND(NO2&gt;26,IM2&gt;0),"VACUNA APLICADA ENTRE SEMANA 27 Y EL PARTO",IF(AND(OR(IT2="CESAREA",IT2="PARTO"),IR2="POSIBLEMENTE NACIO",IM2=""),"SALE SIN VACUNA","")))))))))</f>
        <v/>
      </c>
      <c r="IO2" s="35"/>
      <c r="IP2" s="35">
        <f t="shared" ref="IP2:IP4" si="58">IF(OR(BL2="SI",BL2="Corregida",BL2="NO"),(BK2+280),IF(BL2="Sin Dato","DEFINIR FPP POR ECO",""))</f>
        <v>44937</v>
      </c>
      <c r="IQ2" s="44">
        <f t="shared" ref="IQ2:IQ4" ca="1" si="59">IF(OR(IP2="DEFINIR FPP POR ECO",BP2="ERROR FUM O INGRESO"),"SIN DEFINIR",IF(IP2="","",IF(IP2&gt;0,SUM(IP2-TODAY()),"X")))</f>
        <v>-288</v>
      </c>
      <c r="IR2" s="35" t="str">
        <f t="shared" ref="IR2:IR4" ca="1" si="60">IF(IQ2&lt;0,"POSIBLEMENTE NACIO",IF(IQ2="SIN DEFINIR","SIN DATO",IF(AND(IQ2&gt;=0,IQ2&lt;=7),"SEMANA DE PARTO",IF(AND(IQ2&gt;=8,IQ2&lt;=28),"MENOS DE 4 SEMANAS",IF(AND(IQ2&gt;=29,IQ2&lt;=280),"PENDIENTE","")))))</f>
        <v>POSIBLEMENTE NACIO</v>
      </c>
      <c r="IS2" s="35"/>
      <c r="IT2" s="31" t="s">
        <v>902</v>
      </c>
      <c r="IU2" s="31"/>
      <c r="IV2" s="51"/>
      <c r="IW2" s="35"/>
      <c r="IX2" s="31"/>
      <c r="IY2" s="44" t="str">
        <f t="shared" ref="IY2:IY4" si="61">IF(AND(IW2&gt;0,IT2&lt;&gt;""),SUM(IW2-BK2)/7,"")</f>
        <v/>
      </c>
      <c r="IZ2" s="52"/>
      <c r="JA2" s="31"/>
      <c r="JB2" s="31"/>
      <c r="JC2" s="31"/>
      <c r="JD2" s="31"/>
      <c r="JE2" s="31"/>
      <c r="JF2" s="31"/>
      <c r="JG2" s="31"/>
      <c r="JH2" s="31"/>
      <c r="JI2" s="31"/>
      <c r="JJ2" s="31"/>
      <c r="JK2" s="46"/>
      <c r="JL2" s="31"/>
      <c r="JM2" s="53"/>
      <c r="JN2" s="31" t="str">
        <f t="shared" ref="JN2:JN4" si="62">IF(AND(JM2&gt;700,JM2&lt;2500,IY2&gt;36),"BAJO PESO AL NACER",IF(AND(JM2&gt;500,JM2&lt;2500,IY2&lt;37),"PREMATURO",IF(AND(JM2&gt;2499,JM2&lt;4000,IY2&gt;36),"PESO ADECUADO EDAD GESTACIONAL",IF(AND(JM2&gt;3999,JM2&lt;6000,IY2&gt;36),"PESO GRANDE EDAD GESTACIONAL",""))))</f>
        <v/>
      </c>
      <c r="JO2" s="46"/>
      <c r="JP2" s="31"/>
      <c r="JQ2" s="31"/>
      <c r="JR2" s="31"/>
      <c r="JS2" s="46"/>
      <c r="JT2" s="35"/>
      <c r="JU2" s="35"/>
      <c r="JV2" s="31"/>
      <c r="JW2" s="53"/>
      <c r="JX2" s="31" t="str">
        <f t="shared" ref="JX2:JX4" si="63">IF(AND(JW2&gt;700,JW2&lt;2500,IY2&gt;36,IY2&lt;43),"BAJO PESO AL NACER",IF(AND(JW2&gt;700,JW2&lt;2500,IY2&lt;37),"PREMATURO",IF(AND(JW2&gt;2499,JW2&lt;4000,IY2&gt;36,IY2&lt;43),"PESO ADECUADO EDAD GESTACIONAL",IF(AND(JW2&gt;3999,JW2&lt;6000,IY2&gt;36,IY2&lt;43),"PESO GRANDE EDAD GESTACIONAL",""))))</f>
        <v/>
      </c>
      <c r="JY2" s="35"/>
      <c r="JZ2" s="31"/>
      <c r="KA2" s="31"/>
      <c r="KB2" s="31"/>
      <c r="KC2" s="46"/>
      <c r="KD2" s="35"/>
      <c r="KE2" s="35"/>
      <c r="KF2" s="50"/>
      <c r="KG2" s="43" t="str">
        <f t="shared" ref="KG2:KG4" si="64">IF(AND(KF2&lt;&gt;"",KF2&lt;IW2),"INCONSISTENCIA FECHA CONTROL",IF(AND(OR(IT2="Parto",IT2="Cesarea"),KF2&gt;0,IW2&gt;0),SUM(KF2-IW2),IF(AND(OR(IT2="Parto",IT2="Cesarea"),KF2="",IW2&gt;0),"INASISTENTE","")))</f>
        <v/>
      </c>
      <c r="KH2" s="50"/>
      <c r="KI2" s="43" t="str">
        <f t="shared" ref="KI2:KI4" si="65">IF(AND(KH2&lt;&gt;"",KH2&lt;IW2),"INCONSISTENCIA FECHA CONTROL",IF(AND(OR(IT2="Parto",IT2="Cesarea",IT2="Aborto Espontaneo",IT2="Aborto Inducido",IT2="IVE"),KH2&gt;0,IW2&gt;0),SUM(KH2-IW2),IF(AND(KH2&lt;&gt;"",KH2&lt;IW2),"INCONSISTENCIA FECHA CONTROL",IF(AND(OR(IT2="Parto",IT2="Cesarea",IT2="Aborto Espontaneo",IT2="Aborto Inducido",IT2="IVE"),KH2="",IW2&gt;0),"INASISTENTE",""))))</f>
        <v/>
      </c>
      <c r="KJ2" s="31"/>
      <c r="KK2" s="31"/>
      <c r="KL2" s="31"/>
      <c r="KM2" s="54"/>
      <c r="KN2" s="43"/>
      <c r="KO2" s="43"/>
      <c r="KP2" s="43"/>
      <c r="KQ2" s="56"/>
      <c r="KR2" s="56"/>
      <c r="KS2" s="99"/>
      <c r="KT2" s="56"/>
      <c r="KU2" s="56"/>
      <c r="KV2" s="99"/>
      <c r="KW2" s="56"/>
      <c r="KX2" s="56"/>
      <c r="KY2" s="56"/>
      <c r="KZ2" s="56"/>
      <c r="LA2" s="56"/>
      <c r="LB2" s="56"/>
      <c r="LC2" s="56"/>
      <c r="LD2" s="55"/>
      <c r="LE2" s="55"/>
      <c r="LF2" s="55"/>
      <c r="LG2" s="55"/>
      <c r="LH2" s="55"/>
      <c r="LI2" s="55"/>
      <c r="LJ2" s="55"/>
      <c r="LK2" s="55"/>
      <c r="LL2" s="55"/>
      <c r="LM2" s="55"/>
      <c r="LN2" s="55"/>
      <c r="LO2" s="55"/>
      <c r="LP2" s="55"/>
      <c r="LQ2" s="55"/>
      <c r="LR2" s="55"/>
      <c r="LS2" s="55"/>
      <c r="LT2" s="55"/>
      <c r="LU2" s="55"/>
      <c r="LV2" s="55"/>
      <c r="LW2" s="55"/>
      <c r="LX2" s="55"/>
      <c r="LY2" s="55"/>
      <c r="LZ2" s="55"/>
      <c r="MA2" s="55"/>
      <c r="MB2" s="55"/>
      <c r="MC2" s="55"/>
      <c r="MD2" s="55"/>
      <c r="ME2" s="55"/>
      <c r="MF2" s="55"/>
      <c r="MG2" s="55"/>
      <c r="MH2" s="55"/>
      <c r="MI2" s="55"/>
      <c r="MJ2" s="55"/>
      <c r="MK2" s="55"/>
      <c r="ML2" s="55"/>
      <c r="MM2" s="55"/>
      <c r="MN2" s="55"/>
      <c r="MO2" s="55"/>
      <c r="MP2" s="153"/>
      <c r="MQ2" s="148">
        <f t="shared" ref="MQ2:MQ4" si="66">SUM(COUNTIF(LD2,"PARTERO (A)"),COUNTIF(LH2,"PARTERO (A)"),COUNTIF(LL2,"PARTERO (A)"),COUNTIF(LP2,"PARTERO (A)"),COUNTIF(LT2,"PARTERO (A)"),COUNTIF(LX2,"PARTERO (A)"),COUNTIF(MN2,"PARTERO (A)"))</f>
        <v>0</v>
      </c>
      <c r="MR2" t="str">
        <f t="shared" ref="MR2:MR4" si="67">IF(AND(R2="",O2=""),"",IF(AND(OR(O2&gt;0,R2&gt;0),LC2&gt;0),SUM(LC2-BK2)/7,""))</f>
        <v/>
      </c>
      <c r="MS2" t="str">
        <f t="shared" ref="MS2:MS4" si="68">IF(AND(MR2="",BP2=""),"",IF(AND(MR2&lt;&gt;"",BP2="SIN DATO"),"SIN DATO",IF(AND(MR2="",BP2&lt;&gt;""),"",IF(AND(MR2&lt;0,BP2&gt;0),"ERROR FUM O INGRESO",IF(MR2&lt;=13,"I TRIM",IF(MR2&lt;28,"II TRIM",IF(AND(MR2&gt;27,MR2&lt;45),"III TRIM","POR DEFINIR")))))))</f>
        <v/>
      </c>
      <c r="MT2">
        <f t="shared" ref="MT2:MT4" si="69">SUM(COUNTIF(LD2,"MEDICO (A) TRADICIONAL"),COUNTIF(LH2,"MEDICO (A) TRADICIONAL"),COUNTIF(LL2,"MEDICO (A) TRADICIONAL"),COUNTIF(LP2,"MEDICO (A) TRADICIONAL"),COUNTIF(LT2,"MEDICO (A) TRADICIONAL"),COUNTIF(LX2,"MEDICO (A) TRADICIONAL"),COUNTIF(MN2,"MEDICO (A) TRADICIONAL"))</f>
        <v>0</v>
      </c>
      <c r="MU2">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2">
        <f t="shared" ref="MV2:MV4" si="70">IF(AND(O2&gt;0,BK2&gt;0),SUM(O2-BK2)/7,"")</f>
        <v>0.7142857142857143</v>
      </c>
      <c r="MW2">
        <f t="shared" ref="MW2:MW4" si="71">IF(R2&gt;0,MONTH(R2),"")</f>
        <v>4</v>
      </c>
      <c r="MX2">
        <f t="shared" ref="MX2:MX4" si="72">IF(R2&gt;0,YEAR(R2),"")</f>
        <v>2022</v>
      </c>
      <c r="MY2" t="str">
        <f t="shared" ref="MY2:MY4" si="73">IF(AND(MW2&gt;=1,MW2&lt;=3),"I TRIMESTRE AÑO",IF(AND(MW2&gt;=4,MW2&lt;=6),"II TRIMESTRE AÑO",IF(AND(MW2&gt;=7,MW2&lt;=9),"III TRIMESTRE AÑO",IF(AND(MW2&gt;=10,MW2&lt;=12),"IV TRIMESTRE AÑO",""))))</f>
        <v>II TRIMESTRE AÑO</v>
      </c>
      <c r="MZ2">
        <f t="shared" ref="MZ2:MZ4" si="74">IF(AND(M2&gt;0,R2&gt;0),DAYS360(M2,R2)/30.44/12,IF(AND(M2&gt;0,O2&gt;0,R2=""),DAYS360(M2,O2)/30.44/12,""))</f>
        <v>20.009307928164695</v>
      </c>
      <c r="NA2">
        <f t="shared" ref="NA2:NA4" si="75">IF(AND(MZ2&gt;7,MZ2&lt;14),2,IF(MZ2&lt;16,1,IF(MZ2&lt;=35,0,IF(AND(MZ2&gt;35,MZ2&lt;50),2,""))))</f>
        <v>0</v>
      </c>
      <c r="NB2" t="str">
        <f t="shared" ref="NB2:NB4" si="76">+IF(MZ2="","",IF(MZ2&lt;14,"MENOR 14 AÑOS",IF(MZ2&lt;20,"DE 14 A 19AÑOS",IF(MZ2&lt;25," DE 20 A 24 AÑOS",IF(MZ2&lt;30," DE 25 A 29 AÑOS",IF(MZ2&lt;35," DE 30 A 34 AÑOS",IF(MZ2&lt;40," DE 35 A 39 AÑOS"," DE 40 Y MAS")))))))</f>
        <v xml:space="preserve"> DE 20 A 24 AÑOS</v>
      </c>
      <c r="NC2">
        <f t="shared" ref="NC2:NC4" si="77">IF(AW2="SI",1,IF(AW2="NO",0,""))</f>
        <v>0</v>
      </c>
      <c r="ND2">
        <f t="shared" ref="ND2:ND4" si="78">IF(AS2="","",IF(AS2=0,1,IF(AND(AS2&gt;=1,AS2&lt;=4),0,IF(AS2&gt;=5,2,"X"))))</f>
        <v>1</v>
      </c>
      <c r="NE2">
        <f t="shared" ref="NE2:NE4" si="79">IF(AV2="","",IF(AV2=0,0,IF(AV2=1,1,IF(OR(AV2=2,AV2="3 O MAS"),2,"X"))))</f>
        <v>0</v>
      </c>
      <c r="NF2">
        <f t="shared" ref="NF2:NF4" si="80">IF(AX2="SI",1,IF(AX2="NO",0,""))</f>
        <v>0</v>
      </c>
      <c r="NG2" t="str">
        <f t="shared" ref="NG2:NG4" si="81">IF(OR(AND(EI2&gt;0,EI2&lt;11),AND(EN2&gt;0,EN2&lt;10.5)),1,"")</f>
        <v/>
      </c>
      <c r="NH2" t="str">
        <f t="shared" ref="NH2:NH4" ca="1" si="82">IF(AND(AND(BQ2&gt;40.9,BQ2&lt;43),IW2=""),1,"")</f>
        <v/>
      </c>
      <c r="NI2" t="str">
        <f t="shared" ref="NI2:NI4" si="83">IF(AND(FY2="",GB2="",GE2="",GH2=""),"",IF(OR(OR(FY2="P.R REACTIVA",FY2="ELISA REACTIVA"),OR(GB2="P.R REACTIVA",GB2="ELISA REACTIVA"),OR(GE2="P.R REACTIVA",GE2="ELISA REACTIVA"),OR(GH2="P.R REACTIVA",GH2="ELISA REACTIVA")),3,""))</f>
        <v/>
      </c>
      <c r="NJ2">
        <f t="shared" ref="NJ2:NJ4" si="84">IF(BX2="","",IF(OR(BX2="CEFÁLICA",BX2="SD"),0,IF(OR(BX2="PODÁLICA",BX2="TRANSVERSA O DE FRENTE",BX2="OBLICUA"),3,"")))</f>
        <v>0</v>
      </c>
      <c r="NK2" t="str">
        <f t="shared" ref="NK2:NK4" si="85">IF(HD2="","",IF(HD2="POSITIVO",2,"0"))</f>
        <v>0</v>
      </c>
      <c r="NL2">
        <f t="shared" ref="NL2:NL4" si="86">IF(AND(HF2="",HH2=""),"",IF(OR(HF2="POSITIVO",HH2="POSITIVO"),3,0))</f>
        <v>0</v>
      </c>
      <c r="NM2">
        <f t="shared" ref="NM2:NM4" ca="1" si="87">IF(AND(O2="",R2=""),"",IF(OR(O2&lt;&gt;"",R2&lt;&gt;""),SUM(COUNTIF(AL2:AP2,"SI"),COUNTIF(AU2,"SI"),COUNTIF(BF2,"SI"),COUNTIF(BI2,"SI"),SUM(COUNTIF(BA2:BC2,"SI")*3),SUM(COUNTIF(BV2:BW2,"SI")*3),SUM(COUNTIF(BH2,"SI")*3),SUM(COUNTIF(BG2,"SI")*2),SUM(COUNTIF(BY2,"SI")*2),SUM(COUNTIF(BE2,"SI")*2),SUM(COUNTIF(FB2,"DIABETES, REMITIR")*2),SUM(NC2:NL2),SUM(NA2),SUM(NP2),SUM(COUNTIF(EU2,"RIESGO DE INCOMPATIBILIDAD RH")*3),SUM(COUNTIF(FP2,"SIFILIS GESTACIONAL")*3)),""))</f>
        <v>1</v>
      </c>
      <c r="NN2">
        <f>IF(OR(O2&gt;0,R2&gt;0),SUM(COUNTIF(Tabla1[[#This Row],[AÑOS AL INICIO5 CPN]],"&gt;=40"),COUNTIF(AR2,"0"),COUNTIF(AQ2,"SI"),COUNTIF(BW2,"SI"),COUNTIF(BM2,"&gt;119"),COUNTIF(CC2,"&gt;=35")),"")</f>
        <v>0</v>
      </c>
      <c r="NO2" t="str">
        <f t="shared" ref="NO2:NO4" si="88">IF(AND(R2="",O2=""),"",IF(AND(OR(O2&gt;0,R2&gt;0),BK2=""),"SD",IF(AND(OR(O2&gt;0,R2&gt;0),IM2&gt;0),SUM(IM2-BK2)/7,"")))</f>
        <v/>
      </c>
      <c r="NP2">
        <f t="shared" ref="NP2:NP4" si="89">IF(AND(AE2="",AF2="",AG2="",AH2="",AI2="",AJ2=""),"",SUM(SUM(COUNTIF(AE2,"NO")/2),COUNTIF(AF2,"NO"),SUM(COUNTIF(AG2,"SI")/2),COUNTIF(AH2,"SI"),SUM(COUNTIF(AJ2,"SI")*2),COUNTIF(AI2,"DESPLAZADA"),COUNTIF(AI2,"MIGRATORIA"),COUNTIF(AI2,"DISCAPACIDAD FISICA"),COUNTIF(AI2,"DISCAPACIDAD CONDUCTUAL"),COUNTIF(AI2,"DISCAPACIDAD VISUAL"),COUNTIF(AI2,"DISCAPACIDAD AUDITIVA"),COUNTIF(AI2,"DISCAPACIDAD MULTIPLE"),COUNTIF(AI2,"DISCAPACIDAD SISTEMICA")))</f>
        <v>0</v>
      </c>
      <c r="NQ2" t="str">
        <f t="shared" ref="NQ2:NQ4" si="90">IF(BS2&gt;0,BS2*7,"")</f>
        <v/>
      </c>
      <c r="NR2" t="str">
        <f ca="1">IF(Tabla1[[#This Row],[GESTANTES ACTUALES]]="","SD",IF(Tabla1[[#This Row],[GESTANTES ACTUALES]]="SEGUIMIENTO REPORTE EPS","Y",IF(Tabla1[[#This Row],[GESTANTES ACTUALES]]="SALE SIN INGRESO CPN","X",IF(AND(Tabla1[[#This Row],[CITA PROXIMO CONTROL]]="",Tabla1[[#This Row],[GESTANTES ACTUALES]]="ACTIVA SIN INGRESO CPN",P2="NO"),"Z",IF(AND(Tabla1[[#This Row],[CITA PROXIMO CONTROL]]="CITA MANUAL",Tabla1[[#This Row],[GESTANTES ACTUALES]]="ACTIVA INGRESO A CPN"),"W",IF(AND(Tabla1[[#This Row],[GESTANTES ACTUALES]]="SALIO PROGRAMA",IW2=""),"S",IF(AND(Tabla1[[#This Row],[CITA PROXIMO CONTROL]]&gt;0,IW2=""),(Tabla1[[#This Row],[CITA PROXIMO CONTROL]]-TODAY()),"SD")))))))</f>
        <v>Y</v>
      </c>
      <c r="NS2">
        <f>MONTH(Tabla1[[#This Row],[FECHA DE SALIDA  DEL PROGRAMA]])</f>
        <v>1</v>
      </c>
      <c r="NT2">
        <f>YEAR(Tabla1[[#This Row],[FECHA DE SALIDA  DEL PROGRAMA]])</f>
        <v>1900</v>
      </c>
      <c r="NU2" t="str">
        <f t="shared" ref="NU2:NU4" si="91">IF(AND(O2&gt;0,R2=""),"NO CPN",IF(AND(O2="",R2=""),"",IF(AND(R2&gt;0,EF2&gt;0,EE2&gt;0),_xlfn.DAYS(EF2,EE2),IF(AND(R2&gt;0,EF2&gt;0,EE2=""),"NO CITA","X"))))</f>
        <v>X</v>
      </c>
      <c r="NV2" t="str">
        <f t="shared" ref="NV2:NV4" si="92">IF(AND(O2&gt;0,R2=""),"NO CPN",IF(AND(O2="",R2=""),"",IF(AND(EJ2&lt;&gt;"",ES2&lt;&gt;"",EW2&lt;&gt;"",FF2&lt;&gt;"",FU2&lt;&gt;"",FZ2&lt;&gt;"",GO2&lt;&gt;"",GQ2&lt;&gt;"",GR2&lt;&gt;""),"SI","NO")))</f>
        <v>SI</v>
      </c>
      <c r="NW2" t="str">
        <f ca="1">IF(AND(O2&gt;0,R2=""),"NO CPN",IF(AND(O2="",R2=""),"",IF(AND(R2&gt;0,Tabla1[[#This Row],[SEMANAS DE GESTACION ACTUALIZADAS]]&lt;=12),"NO APLICA",IF(AND(FC2&lt;&gt;"",FI2&lt;&gt;""),"SI","NO"))))</f>
        <v>NO</v>
      </c>
      <c r="NX2" s="149" t="str">
        <f ca="1">IF(AND(O2&gt;0,R2=""),"NO CPN",IF(AND(O2="",R2=""),"",IF(AND(R2&gt;0,Tabla1[[#This Row],[SEMANAS DE GESTACION ACTUALIZADAS]]&lt;=27),"NO APLICA",IF(AND(EO2&lt;&gt;"",FL2&lt;&gt;"",GF2&lt;&gt;""),"SI","NO"))))</f>
        <v>NO</v>
      </c>
      <c r="NY2" s="147" t="str">
        <f t="shared" ref="NY2:NY4" si="93">IF(AND(BO2="",IP2=""),"",IF(AND(BO2="",IP2="DEFINIR FPP POR ECO"),"SIN DATO",IF(BO2&lt;0,"ERROR FUM O INGRESO",IF(BL2="NO","DEFINIR CON ECO",IF(BO2&lt;10,"I TRIM",IF(BO2&lt;27,"II TRIM",IF(AND(BO2&gt;26,BO2&lt;45),"III TRIM","ERROR FUM O INGRESO")))))))</f>
        <v>I TRIM</v>
      </c>
      <c r="NZ2" s="1">
        <f t="shared" ref="NZ2:NZ3" si="94">IF(AND(IY3&gt;0,IY3&lt;37),10,IF(OR(BX3="Transversa",BX3="Oblicua"),9,IF(BW3="SI",8,IF(AND(AS3=0,AV3=0,BW3="NO",BX3="Cefálica",IY3&gt;=37,JC3="INICIO ESPONTÁNEO"),1,IF(AND(AND(AS3=0,AV3=0,BW3="NO",BX3="Cefálica",IY3&gt;=37),OR(JC3="LE HACEN INDUCCIÓN",JC3="LE HACEN CESÁREA SIN INICIO TRABAJO DE PARTO")),2,IF(AND(AS3&gt;=1,AV3=0,BW3="NO",BX3="Cefálica",IY3&gt;=37,JC3="INICIO ESPONTÁNEO"),3,IF(AND(AND(AS3&gt;=1,AV3=0,BW3="NO",BX3="Cefálica",IY3&gt;=37),OR(JC3="LE HACEN INDUCCIÓN",JC3="LE HACEN CESÁREA SIN INICIO TRABAJO DE PARTO")),4,IF(AND(AND(AS3&gt;=1,AV3&gt;=1,BW3="NO",BX3="Cefálica",IY3&gt;=37),OR(JC3="LE HACEN INDUCCIÓN",JC3="LE HACEN CESÁREA SIN INICIO TRABAJO DE PARTO",JC3="INICIO ESPONTÁNEO")),5,IF(AND(AND(AS3=0,AV3=0,BW3="NO",BX3="Podálica",IY3&gt;=1),OR(JC3="LE HACEN INDUCCIÓN",JC3="LE HACEN CESÁREA SIN INICIO TRABAJO DE PARTO",JC3="INICIO ESPONTÁNEO")),6,IF(AND(AND(AS3&gt;=1,BW3="NO",BX3="Podálica",IY3&gt;=1),OR(JC3="LE HACEN INDUCCIÓN",JC3="LE HACEN CESÁREA SIN INICIO TRABAJO DE PARTO",JC3="INICIO ESPONTÁNEO"),OR(AV3=0,AV3&gt;=1)),7,""))))))))))</f>
        <v>2</v>
      </c>
      <c r="OA2" s="1" t="str">
        <f t="shared" ref="OA2:OA4" ca="1" si="95">IF(AND(O2="",R2=""),"",IF(AND(BO2&gt;0,BO2&lt;12,IY2&gt;28,IY2&lt;44),3, IF(OR(AND(BO2&gt;=12,BO2&lt;28,IY2&gt;=28,IY2&lt;44),AND(BO2&gt;0,BO2&lt;12,IY2&gt;=12,IY2&lt;29)),2,IF(OR(AND(BO2&gt;=28,BO2&lt;44),AND(BO2&gt;0,BO2&lt;12,IY2&gt;0,IY2&lt;12),AND(BO2&gt;=12,BO2&lt;28,IY2&gt;=12,IY2&lt;28)),1,IF(AND(BO2&gt;0,BO2&lt;12,BQ2&gt;=28,BQ2&lt;44,DR2="ACTIVA INGRESO A CPN"),3,IF(OR(AND(BO2&gt;0,BO2&lt;12,BQ2&gt;=12,BQ2&lt;28,DR2="ACTIVA INGRESO A CPN"),AND(BO2&gt;=12,BO2&lt;28,BQ2&gt;=28,BQ2&lt;44,DR2="ACTIVA INGRESO A CPN")),2,IF(OR(AND(BO2&gt;0,BO2&lt;12,BQ2&gt;0,BQ2&lt;12,DR2="ACTIVA INGRESO A CPN"),AND(BO2&gt;=12,BO2&lt;28,BQ2&gt;=12,BQ2&lt;28,DR2="ACTIVA INGRESO A CPN")),1,"REVISAR FUM O FECHA SALIDA PROGRAMA")))))))</f>
        <v>REVISAR FUM O FECHA SALIDA PROGRAMA</v>
      </c>
      <c r="OB2" s="210">
        <f t="shared" ref="OB2:OB4" ca="1" si="96">COUNT(FG2,FJ2,FM2,FO2)</f>
        <v>1</v>
      </c>
      <c r="OC2" s="1">
        <f t="shared" ref="OC2:OC4" ca="1" si="97">COUNT(GA2,GD2,GG2,GI2)</f>
        <v>1</v>
      </c>
      <c r="OD2" s="1" t="str">
        <f t="shared" ref="OD2:OD4" ca="1" si="98">IF(OA2="","",IF(OA2="REVISAR FUM O FECHA SALIDA PROGRAMA","POR DEFINIR",IF(OR(OA2=OB2,OB2&gt;OA2),"COMPLETO",IF(OB2&lt;OA2,"INCOMPLETO",""))))</f>
        <v>POR DEFINIR</v>
      </c>
      <c r="OE2" s="1" t="str">
        <f t="shared" ref="OE2:OE4" ca="1" si="99">IF(OA2="","",IF(OA2="REVISAR FUM O FECHA SALIDA PROGRAMA","POR DEFINIR",IF(OR(OA2=OC2,OC2&gt;OA2),"COMPLETO",IF(OC2&lt;OA2,"INCOMPLETO",""))))</f>
        <v>POR DEFINIR</v>
      </c>
      <c r="OF2" s="218" t="str">
        <f>IF(AND(O2="",R2=""),"",IF(OR(AND(Tabla1[[#This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INCOMPLETO</v>
      </c>
      <c r="OG2" s="227" t="str">
        <f t="shared" ref="OG2:OG4" ca="1" si="100">IF(AND(O2="",R2=""),"",IF(OR(IN2="VACUNA APLICADA ENTRE SEMANA 20 Y SEMANA 26",IN2="VACUNA APLICADA ENTRE SEMANA 27 Y EL PARTO",IN2="VACUNA APLICADA ANTES SEMANA 20"),"VACUNADA","SIN VACUNAR"))</f>
        <v>SIN VACUNAR</v>
      </c>
      <c r="OH2" s="148">
        <f>ROW(Tabla1[[#This Row],[SEMANAS DE GESTACION II TRIM]])</f>
        <v>2</v>
      </c>
      <c r="OI2" t="str">
        <f t="shared" ref="OI2:OI4" si="101">IF(AND(CH2=$OI$1,CG2&gt;10,CG2&lt;20.8),"BAJO PESO",IF(AND(CH2=$OI$1,CG2&gt;20.7,CG2&lt;25.8),"NORMAL",IF(AND(CH2=$OI$1,CG2&gt;25.7,CG2&lt;30.6),"SOBREPESO",IF(AND(CH2=$OI$1,CG2&gt;30.5,CG2&lt;50),"OBESIDAD",""))))</f>
        <v/>
      </c>
      <c r="OJ2" t="str">
        <f t="shared" ref="OJ2:OJ4" si="102">IF(AND(CH2=$OJ$1,CG2&gt;10,CG2&lt;20.9),"BAJO PESO",IF(AND(CH2=$OJ$1,CG2&gt;20.8,CG2&lt;25.9),"NORMAL",IF(AND(CH2=$OJ$1,CG2&gt;25.8,CG2&lt;30.7),"SOBREPESO",IF(AND(CH2=$OJ$1,CG2&gt;30.6,CG2&lt;50),"OBESIDAD",""))))</f>
        <v/>
      </c>
      <c r="OK2" t="str">
        <f t="shared" ref="OK2:OK4" si="103">IF(AND(CH2=$OK$1,CG2&gt;10,CG2&lt;21.1),"BAJO PESO",IF(AND(CH2=$OK$1,CG2&gt;21,CG2&lt;26),"NORMAL",IF(AND(CH2=$OK$1,CG2&gt;25.9,CG2&lt;30.8),"SOBREPESO",IF(AND(CH2=$OK$1,CG2&gt;30.7,CG2&lt;50),"OBESIDAD",""))))</f>
        <v/>
      </c>
      <c r="OL2" t="str">
        <f t="shared" ref="OL2:OL4" si="104">IF(AND(CH2=$OL$1,CG2&gt;10,CG2&lt;21.2),"BAJO PESO",IF(AND(CH2=$OL$1,CG2&gt;21.1,CG2&lt;26.1),"NORMAL",IF(AND(CH2=$OL$1,CG2&gt;26,CG2&lt;31.9),"SOBREPESO",IF(AND(CH2=$OL$1,CG2&gt;30.8,CG2&lt;50),"OBESIDAD",""))))</f>
        <v/>
      </c>
      <c r="OM2" t="str">
        <f t="shared" ref="OM2:OM4" si="105">IF(AND(CH2=$OM$1,CG2&gt;10,CG2&lt;21.3),"BAJO PESO",IF(AND(CH2=$OM$1,CG2&gt;21.2,CG2&lt;26.2),"NORMAL",IF(AND(CH2=$OM$1,CG2&gt;26.1,CG2&lt;31),"SOBREPESO",IF(AND(CH2=$OM$1,CG2&gt;30.9,CG2&lt;50),"OBESIDAD",""))))</f>
        <v/>
      </c>
      <c r="ON2" t="str">
        <f t="shared" ref="ON2:ON4" si="106">IF(AND(CH2=$ON$1,CG2&gt;10,CG2&lt;21.5),"BAJO PESO",IF(AND(CH2=$ON$1,CG2&gt;21.4,CG2&lt;26.3),"NORMAL",IF(AND(CH2=$ON$1,CG2&gt;26.2,CG2&lt;31),"SOBREPESO",IF(AND(CH2=$ON$1,CG2&gt;30.9,CG2&lt;50),"OBESIDAD",""))))</f>
        <v/>
      </c>
      <c r="OO2" t="str">
        <f t="shared" ref="OO2:OO4" si="107">IF(AND(CH2=$OO$1,CG2&gt;10,CG2&lt;21.6),"BAJO PESO",IF(AND(CH2=$OO$1,CG2&gt;21.5,CG2&lt;26.4),"NORMAL",IF(AND(CH2=$OO$1,CG2&gt;26.3,CG2&lt;31.1),"SOBREPESO",IF(AND(CH2=$OO$1,CG2&gt;31,CG2&lt;50),"OBESIDAD",""))))</f>
        <v/>
      </c>
      <c r="OP2" t="str">
        <f t="shared" ref="OP2:OP4" si="108">IF(AND(CH2=$OP$1,CG2&gt;10,CG2&lt;21.8),"BAJO PESO",IF(AND(CH2=$OP$1,CG2&gt;21.7,CG2&lt;26.5),"NORMAL",IF(AND(CH2=$OP$1,CG2&gt;26.4,CG2&lt;31.2),"SOBREPESO",IF(AND(CH2=$OP$1,CG2&gt;31.1,CG2&lt;50),"OBESIDAD",""))))</f>
        <v/>
      </c>
      <c r="OQ2" t="str">
        <f t="shared" ref="OQ2:OQ4" si="109">IF(AND(CH2=$OQ$1,CG2&gt;10,CG2&lt;21.9),"BAJO PESO",IF(AND(CH2=$OQ$1,CG2&gt;21.8,CG2&lt;26.7),"NORMAL",IF(AND(CH2=$OQ$1,CG2&gt;26.6,CG2&lt;31.3),"SOBREPESO",IF(AND(CH2=$OQ$1,CG2&gt;31.2,CG2&lt;50),"OBESIDAD",""))))</f>
        <v/>
      </c>
      <c r="OR2" t="str">
        <f t="shared" ref="OR2:OR4" si="110">IF(AND(CH2=$OR$1,CG2&gt;10,CG2&lt;22.1),"BAJO PESO",IF(AND(CH2=$OR$1,CG2&gt;22,CG2&lt;26.8),"NORMAL",IF(AND(CH2=$OR$1,CG2&gt;26.7,CG2&lt;31.4),"SOBREPESO",IF(AND(CH2=$OR$1,CG2&gt;31.3,CG2&lt;50),"OBESIDAD",""))))</f>
        <v/>
      </c>
      <c r="OS2" t="str">
        <f t="shared" ref="OS2:OS4" si="111">IF(AND(CH2=$OS$1,CG2&gt;10,CG2&lt;22.3),"BAJO PESO",IF(AND(CH2=$OS$1,CG2&gt;22.2,CG2&lt;27),"NORMAL",IF(AND(CH2=$OS$1,CG2&gt;26.9,CG2&lt;31.6),"SOBREPESO",IF(AND(CH2=$OS$1,CG2&gt;31.5,CG2&lt;50),"OBESIDAD",""))))</f>
        <v/>
      </c>
      <c r="OT2" t="str">
        <f t="shared" ref="OT2:OT4" si="112">IF(AND(CH2=$OT$1,$CG2&gt;10,CG2&lt;22.5),"BAJO PESO",IF(AND(CH2=$OT$1,CG2&gt;22.4,CG2&lt;27.1),"NORMAL",IF(AND(CH2=$OT$1,CG2&gt;27,CG2&lt;31.7),"SOBREPESO",IF(AND(CH2=$OT$1,CG2&gt;31.6,CG2&lt;50),"OBESIDAD",""))))</f>
        <v/>
      </c>
      <c r="OU2" t="str">
        <f t="shared" ref="OU2:OU4" si="113">IF(AND(CH2=$OU$1,CG2&gt;10,CG2&lt;22.7),"BAJO PESO",IF(AND(CH2=$OU$1,CG2&gt;22.6,CG2&lt;27.3),"NORMAL",IF(AND(CH2=$OU$1,CG2&gt;27.1,CG2&lt;31.8),"SOBREPESO",IF(AND(CH2=$OU$1,CG2&gt;31.7,CG2&lt;50),"OBESIDAD",""))))</f>
        <v/>
      </c>
      <c r="OV2" t="str">
        <f t="shared" ref="OV2:OV4" si="114">IF(AND(CH2=$OV$1,CG2&gt;10,CG2&lt;22.8),"BAJO PESO",IF(AND(CH2=$OV$1,CG2&gt;22.7,CG2&lt;27.4),"NORMAL",IF(AND(CH2=$OV$1,CG2&gt;27.3,CG2&lt;31.9),"SOBREPESO",IF(AND(CH2=$OV$1,CG2&gt;31.8,CG2&lt;50),"OBESIDAD",""))))</f>
        <v/>
      </c>
      <c r="OW2" t="str">
        <f t="shared" ref="OW2:OW4" si="115">IF(AND(CH2=$OW$1,CG2&gt;10,CG2&lt;23),"BAJO PESO",IF(AND(CH2=$OW$1,CG2&gt;22.9,CG2&lt;27.6),"NORMAL",IF(AND(CH2=$OW$1,CG2&gt;27.5,CG2&lt;32),"SOBREPESO",IF(AND(CH2=$OW$1,CG2&gt;31.9,CG2&lt;50),"OBESIDAD",""))))</f>
        <v/>
      </c>
      <c r="OX2" t="str">
        <f t="shared" ref="OX2:OX4" si="116">IF(AND(CM2=$OX$1,CL2&gt;10,CL2&lt;23.2),"BAJO PESO",IF(AND(CM2=$OX$1,CL2&gt;23.1,CL2&lt;27.7),"NORMAL",IF(AND(CM2=$OX$1,CL2&gt;27.6,CL2&lt;32.1),"SOBREPESO",IF(AND(CM2=$OX$1,CL2&gt;32,CL2&lt;50),"OBESIDAD",""))))</f>
        <v/>
      </c>
      <c r="OY2" t="str">
        <f t="shared" ref="OY2:OY4" si="117">IF(AND(CM2=$OY$1,CL2&gt;10,CL2&lt;23.4),"BAJO PESO",IF(AND(CM2=$OY$1,CL2&gt;23.3,CL2&lt;27.9),"NORMAL",IF(AND(CM2=$OY$1,CL2&gt;27.8,CL2&lt;32.2),"SOBREPESO",IF(AND(CM2=$OY$1,CL2&gt;32.1,CL2&lt;50),"OBESIDAD",""))))</f>
        <v/>
      </c>
      <c r="OZ2" t="str">
        <f t="shared" ref="OZ2:OZ4" si="118">IF(AND(CM2=$OZ$1,CL2&gt;10,CL2&lt;23.5),"BAJO PESO",IF(AND(CM2=$OZ$1,CL2&gt;23.4,CL2&lt;28),"NORMAL",IF(AND(CM2=$OZ$1,CL2&gt;27.9,CL2&lt;32.1),"SOBREPESO",IF(AND(CM2=$OZ$1,CL2&gt;32.2,CL2&lt;50),"OBESIDAD",""))))</f>
        <v/>
      </c>
      <c r="PA2" t="str">
        <f t="shared" ref="PA2:PA4" si="119">IF(AND(CM2=$PA$1,CL2&gt;10,CL2&lt;23.7),"BAJO PESO",IF(AND(CM2=$PA$1,CL2&gt;23.6,CL2&lt;28.1),"NORMAL",IF(AND(CM2=$PA$1,CL2&gt;28,CL2&lt;33.4),"SOBREPESO",IF(AND(CM2=$PA$1,CL2&gt;33.3,CL2&lt;50),"OBESIDAD",""))))</f>
        <v/>
      </c>
      <c r="PB2" t="str">
        <f t="shared" ref="PB2:PB4" si="120">IF(AND(CM2=$PB$1,CL2&gt;10,CL2&lt;23.9),"BAJO PESO",IF(AND(CM2=$PB$1,CL2&gt;23.8,CL2&lt;28.2),"NORMAL",IF(AND(CM2=$PB$1,CL2&gt;28.1,CL2&lt;33.5),"SOBREPESO",IF(AND(CM2=$PB$1,CL2&gt;33.4,CL2&lt;50),"OBESIDAD",""))))</f>
        <v/>
      </c>
      <c r="PC2" t="str">
        <f t="shared" ref="PC2:PC4" si="121">IF(AND(CM2=$PC$1,CL2&gt;10,CL2&lt;24),"BAJO PESO",IF(AND(CM2=$PC$1,CL2&gt;23.9,CL2&lt;28.4),"NORMAL",IF(AND(CM2=$PC$1,CL2&gt;28.3,CL2&lt;33.6),"SOBREPESO",IF(AND(CM2=$PC$1,CL2&gt;33.5,CL2&lt;50),"OBESIDAD",""))))</f>
        <v/>
      </c>
      <c r="PD2" t="str">
        <f t="shared" ref="PD2:PD4" si="122">IF(AND(CM2=$PD$1,CL2&gt;10,CL2&lt;24.2),"BAJO PESO",IF(AND(CM2=$PD$1,CL2&gt;24.1,CL2&lt;28.5),"NORMAL",IF(AND(CM2=$PD$1,CL2&gt;28.4,CL2&lt;33.7),"SOBREPESO",IF(AND(CM2=$PD$1,CL2&gt;33.6,CL2&lt;50),"OBESIDAD",""))))</f>
        <v/>
      </c>
      <c r="PE2" t="str">
        <f t="shared" ref="PE2:PE4" si="123">IF(AND(CM2=$PE$1,CL2&gt;10,CL2&lt;24.3),"BAJO PESO",IF(AND(CM2=$PE$1,CL2&gt;24.2,CL2&lt;28.6),"NORMAL",IF(AND(CM2=$PE$1,CL2&gt;28.5,CL2&lt;33.8),"SOBREPESO",IF(AND(CM2=$PE$1,CL2&gt;33.7,CL2&lt;50),"OBESIDAD",""))))</f>
        <v/>
      </c>
      <c r="PF2" t="str">
        <f t="shared" ref="PF2:PF4" si="124">IF(AND(CM2=$PF$1,CL2&gt;10,CL2&lt;24.5),"BAJO PESO",IF(AND(CM2=$PF$1,CL2&gt;24.4,CL2&lt;28.8),"NORMAL",IF(AND(CM2=$PF$1,CL2&gt;28.7,CL2&lt;32.9),"SOBREPESO",IF(AND(CM2=$PF$1,CL2&gt;32.8,CL2&lt;50),"OBESIDAD",""))))</f>
        <v/>
      </c>
      <c r="PG2" t="str">
        <f t="shared" ref="PG2:PG4" si="125">IF(AND(CM2=$PG$1,CL2&gt;10,CL2&lt;24.6),"BAJO PESO",IF(AND(CM2=$PG$1,CL2&gt;24.5,CL2&lt;28.9),"NORMAL",IF(AND(CM2=$PG$1,CL2&gt;28.8,CL2&lt;33),"SOBREPESO",IF(AND(CM2=$PG$1,CL2&gt;32.9,CL2&lt;50),"OBESIDAD",""))))</f>
        <v/>
      </c>
      <c r="PH2" t="str">
        <f t="shared" ref="PH2:PH4" si="126">IF(AND(CM2=$PH$1,CL2&gt;10,CL2&lt;24.8),"BAJO PESO",IF(AND(CM2=$PH$1,CL2&gt;24.7,CL2&lt;29),"NORMAL",IF(AND(CM2=$PH$1,CL2&gt;28.9,CL2&lt;33.1),"SOBREPESO",IF(AND(CM2=$PH$1,CL2&gt;33,CL2&lt;50),"OBESIDAD",""))))</f>
        <v/>
      </c>
      <c r="PI2" t="str">
        <f t="shared" ref="PI2:PI4" si="127">IF(AND(CM2=$PI$1,CL2&gt;10,CL2&lt;25),"BAJO PESO",IF(AND(CM2=$PI$1,CL2&gt;24.9,CL2&lt;29.2),"NORMAL",IF(AND(CM2=$PI$1,CL2&gt;29.1,CL2&lt;33.2),"SOBREPESO",IF(AND(CM2=$PI$1,CL2&gt;33.1,CL2&lt;50),"OBESIDAD",""))))</f>
        <v/>
      </c>
      <c r="PJ2" t="str">
        <f t="shared" ref="PJ2:PJ4" si="128">IF(AND(CM2=$PJ$1,CL2&gt;10,CL2&lt;25.1),"BAJO PESO",IF(AND(CM2=$PJ$1,CL2&gt;25,CL2&lt;29.3),"NORMAL",IF(AND(CM2=$PJ$1,CL2&gt;29.2,CL2&lt;33.3),"SOBREPESO",IF(AND(CM2=$PJ$1,CL2&gt;33.2,CL2&lt;50),"OBESIDAD",""))))</f>
        <v/>
      </c>
      <c r="PK2" t="str">
        <f t="shared" ref="PK2:PK4" si="129">IF(AND(CM2=$PK$1,CL2&gt;10,CL2&lt;25.1),"BAJO PESO",IF(AND(CM2=$PK$1,CL2&gt;25,CL2&lt;29.4),"NORMAL",IF(AND(CM2=$PK$1,CL2&gt;29.3,CL2&lt;33.3),"SOBREPESO",IF(AND(CM2=$PK$1,CL2&gt;33.2,CL2&lt;50),"OBESIDAD",""))))</f>
        <v/>
      </c>
      <c r="PL2"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
      </c>
      <c r="PM2" s="162" t="str">
        <f t="shared" ref="PM2:PM4" si="130">IF(AND(R2="",O2=""),"",IF(AND(OR(O2&gt;0,R2&gt;0),BK2=""),"SD",IF(AND(OR(O2&gt;0,R2&gt;0),IF2&gt;0),SUM(IF2-BK2)/7,"")))</f>
        <v/>
      </c>
      <c r="PN2" s="161" t="str">
        <f t="shared" ref="PN2:PN4" si="131">IF(AND(PL2="x",IF2="",IH2=""),"Firma",IF(AND(PL2="x",IF2&gt;0,IH2=""),"Firma2",IF(AND(PL2="x",IF2&gt;0,IH2&gt;0),"Firma2",IF(AND(PL2&lt;&gt;"b",IF2&gt;0,IH2=""),"Falta dosis",IF(AND(PL2="b",IF2&gt;0,IH2=""),"Completo",IF(AND(PL2="b",IF2&gt;0,IH2&gt;0),"Error Jansen X Fecha Segunda Dosis",IF(AND(PL2&lt;&gt;"b",IF2&gt;0,IH2&gt;0),"Completo","")))))))</f>
        <v/>
      </c>
      <c r="PO2"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
      </c>
      <c r="PP2" s="161" t="str">
        <f ca="1">IF(PO2="","",SUM(TODAY()-Tabla1[[#This Row],[Fecha 1ra Dosis Anti COVID-19]]))</f>
        <v/>
      </c>
      <c r="PQ2" s="216" t="str">
        <f>IFERROR(IF(Tabla1[[#This Row],[Fecha 1ra Dosis Anti COVID-19]]="","",IF(OR(AND(Tabla1[[#This Row],[Tipo Biológico Vacuna anti COVID-19 (Disentimiento)]]="Astrazeneca",PP2&lt;84),AND(Tabla1[[#This Row],[Tipo Biológico Vacuna anti COVID-19 (Disentimiento)]]="Pfizer",PP2&lt;21),AND(Tabla1[[#This Row],[Tipo Biológico Vacuna anti COVID-19 (Disentimiento)]]="Moderna",PP2&lt;21),AND(Tabla1[[#This Row],[Tipo Biológico Vacuna anti COVID-19 (Disentimiento)]]="Sinovac",PP2&lt;28)),"Pendiente Segunda Dosis",IF(OR(AND(Tabla1[[#This Row],[Tipo Biológico Vacuna anti COVID-19 (Disentimiento)]]="Astrazeneca",PP2&gt;=85),AND(Tabla1[[#This Row],[Tipo Biológico Vacuna anti COVID-19 (Disentimiento)]]="Pfizer",PP2&gt;=22),AND(Tabla1[[#This Row],[Tipo Biológico Vacuna anti COVID-19 (Disentimiento)]]="Moderna",PP2&gt;=22),AND(Tabla1[[#This Row],[Tipo Biológico Vacuna anti COVID-19 (Disentimiento)]]="Sinovac",PP2&gt;=29)),"inasistente",IF(OR(AND(Tabla1[[#This Row],[Tipo Biológico Vacuna anti COVID-19 (Disentimiento)]],"Astrazeneca",PP2=84),AND(Tabla1[[#This Row],[Tipo Biológico Vacuna anti COVID-19 (Disentimiento)]],"Pfizer",PP2=21),AND(Tabla1[[#This Row],[Tipo Biológico Vacuna anti COVID-19 (Disentimiento)]],"Moderna",PP2=21),AND(Tabla1[[#This Row],[Tipo Biológico Vacuna anti COVID-19 (Disentimiento)]],"Sinovac",PP2=28)),"Día vacunación1","")))),"Día de Vacunación")</f>
        <v/>
      </c>
    </row>
    <row r="3" spans="1:433" ht="39.950000000000003" customHeight="1" x14ac:dyDescent="0.25">
      <c r="A3" s="145"/>
      <c r="B3" s="68" t="s">
        <v>853</v>
      </c>
      <c r="C3" s="68" t="s">
        <v>854</v>
      </c>
      <c r="D3" s="184" t="s">
        <v>862</v>
      </c>
      <c r="E3" s="68" t="s">
        <v>863</v>
      </c>
      <c r="F3" s="68" t="s">
        <v>864</v>
      </c>
      <c r="G3" s="68" t="s">
        <v>865</v>
      </c>
      <c r="H3" s="68"/>
      <c r="I3" s="145" t="s">
        <v>866</v>
      </c>
      <c r="J3" s="146">
        <v>1058546619</v>
      </c>
      <c r="K3" s="68" t="s">
        <v>860</v>
      </c>
      <c r="L3" s="68" t="s">
        <v>867</v>
      </c>
      <c r="M3" s="35">
        <v>38125</v>
      </c>
      <c r="N3" s="38">
        <f t="shared" ca="1" si="0"/>
        <v>19.452054794520549</v>
      </c>
      <c r="O3" s="35">
        <v>44734</v>
      </c>
      <c r="P3" s="39" t="str">
        <f t="shared" si="1"/>
        <v>SI</v>
      </c>
      <c r="Q3" s="40" t="s">
        <v>875</v>
      </c>
      <c r="R3" s="35">
        <v>44734</v>
      </c>
      <c r="S3" s="31" t="s">
        <v>876</v>
      </c>
      <c r="T3" s="37" t="s">
        <v>800</v>
      </c>
      <c r="U3" s="31" t="s">
        <v>877</v>
      </c>
      <c r="V3" s="31" t="s">
        <v>878</v>
      </c>
      <c r="W3" s="31" t="s">
        <v>887</v>
      </c>
      <c r="X3" s="31" t="s">
        <v>887</v>
      </c>
      <c r="Y3" s="31" t="s">
        <v>887</v>
      </c>
      <c r="Z3" s="31">
        <v>3175892519</v>
      </c>
      <c r="AA3" s="31" t="s">
        <v>881</v>
      </c>
      <c r="AB3" s="41" t="s">
        <v>882</v>
      </c>
      <c r="AC3" s="40" t="s">
        <v>888</v>
      </c>
      <c r="AD3" s="55" t="s">
        <v>889</v>
      </c>
      <c r="AE3" s="40" t="s">
        <v>874</v>
      </c>
      <c r="AF3" s="40" t="s">
        <v>874</v>
      </c>
      <c r="AG3" s="36" t="s">
        <v>885</v>
      </c>
      <c r="AH3" s="36" t="s">
        <v>885</v>
      </c>
      <c r="AI3" s="37" t="s">
        <v>884</v>
      </c>
      <c r="AJ3" s="36" t="s">
        <v>885</v>
      </c>
      <c r="AK3" s="42" t="str">
        <f>IF(AND(AE3="",AF3="",AG3="",AH3="",AI3="",AJ3=""),"",IF(AND(OR(O3&gt;0,R3&gt;0),NP3&gt;=0,NP3&lt;2),"SIN RIESGO",IF(AND(OR(O3&gt;0,R3&gt;0),NP3&gt;=2),"CON RIESGO",IF(AND(O3="",R3=""),"",IF(OR(Tabla1[[#This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3" s="36" t="s">
        <v>885</v>
      </c>
      <c r="AM3" s="40" t="s">
        <v>885</v>
      </c>
      <c r="AN3" s="40" t="s">
        <v>885</v>
      </c>
      <c r="AO3" s="40" t="s">
        <v>885</v>
      </c>
      <c r="AP3" s="40" t="s">
        <v>885</v>
      </c>
      <c r="AQ3" s="40" t="s">
        <v>885</v>
      </c>
      <c r="AR3" s="31">
        <v>0</v>
      </c>
      <c r="AS3" s="31">
        <v>0</v>
      </c>
      <c r="AT3" s="31">
        <v>0</v>
      </c>
      <c r="AU3" s="40" t="s">
        <v>885</v>
      </c>
      <c r="AV3" s="31">
        <v>0</v>
      </c>
      <c r="AW3" s="40" t="s">
        <v>885</v>
      </c>
      <c r="AX3" s="40" t="s">
        <v>885</v>
      </c>
      <c r="AY3" s="40" t="s">
        <v>885</v>
      </c>
      <c r="AZ3" s="40" t="s">
        <v>885</v>
      </c>
      <c r="BA3" s="40" t="s">
        <v>885</v>
      </c>
      <c r="BB3" s="40" t="s">
        <v>885</v>
      </c>
      <c r="BC3" s="40" t="s">
        <v>885</v>
      </c>
      <c r="BD3" s="40" t="s">
        <v>885</v>
      </c>
      <c r="BE3" s="40" t="s">
        <v>885</v>
      </c>
      <c r="BF3" s="40" t="s">
        <v>885</v>
      </c>
      <c r="BG3" s="40" t="s">
        <v>885</v>
      </c>
      <c r="BH3" s="40" t="s">
        <v>885</v>
      </c>
      <c r="BI3" s="40" t="s">
        <v>885</v>
      </c>
      <c r="BJ3" s="35"/>
      <c r="BK3" s="35">
        <v>44664</v>
      </c>
      <c r="BL3" s="31" t="s">
        <v>874</v>
      </c>
      <c r="BM3" s="43">
        <f t="shared" si="2"/>
        <v>0</v>
      </c>
      <c r="BN3" s="57">
        <f t="shared" si="3"/>
        <v>44669</v>
      </c>
      <c r="BO3" s="44">
        <f t="shared" si="4"/>
        <v>10</v>
      </c>
      <c r="BP3" s="31" t="str">
        <f t="shared" si="5"/>
        <v>I TRIM</v>
      </c>
      <c r="BQ3" s="39" t="str">
        <f t="shared" ca="1" si="6"/>
        <v/>
      </c>
      <c r="BR3" s="35">
        <v>44767</v>
      </c>
      <c r="BS3" s="43">
        <v>14</v>
      </c>
      <c r="BT3" s="35">
        <v>44823</v>
      </c>
      <c r="BU3" s="31">
        <v>22</v>
      </c>
      <c r="BV3" s="40" t="s">
        <v>885</v>
      </c>
      <c r="BW3" s="40" t="s">
        <v>885</v>
      </c>
      <c r="BX3" s="40" t="s">
        <v>890</v>
      </c>
      <c r="BY3" s="40" t="s">
        <v>885</v>
      </c>
      <c r="BZ3" s="35">
        <v>44734</v>
      </c>
      <c r="CA3" s="31">
        <v>1.6</v>
      </c>
      <c r="CB3" s="31">
        <v>59</v>
      </c>
      <c r="CC3" s="39">
        <f t="shared" si="7"/>
        <v>23.046874999999996</v>
      </c>
      <c r="CD3" s="45" t="str">
        <f t="shared" si="8"/>
        <v>NORMAL</v>
      </c>
      <c r="CE3" s="35">
        <v>44792</v>
      </c>
      <c r="CF3" s="31">
        <v>54</v>
      </c>
      <c r="CG3" s="39">
        <f t="shared" si="9"/>
        <v>21.093749999999996</v>
      </c>
      <c r="CH3" s="31">
        <f t="shared" si="10"/>
        <v>18</v>
      </c>
      <c r="CI3" s="31" t="str">
        <f>IF(OR(CH3="",CH3="NA"),"",IF(AND(CH3&gt;=29,CH3&lt;=42),"REGISTRAR EN III TRIM",IF(AND(CH3&gt;0,CH3&lt;=13),"REGISTRAR EN I TRIM",IF(CH3="REVISAR FUM O FECHA PESO","REVISAR",IF(CH3&gt;0,HLOOKUP(CH3,$OI$1:PK3,OH3),"")))))</f>
        <v>BAJO PESO</v>
      </c>
      <c r="CJ3" s="35">
        <v>44883</v>
      </c>
      <c r="CK3" s="31">
        <v>60</v>
      </c>
      <c r="CL3" s="39">
        <f t="shared" si="11"/>
        <v>23.437499999999996</v>
      </c>
      <c r="CM3" s="31">
        <f t="shared" si="12"/>
        <v>31</v>
      </c>
      <c r="CN3" s="31" t="str">
        <f>IF(OR(CM3="",CM3="NA"),"",IF(AND(CM3&gt;0,CM3&lt;=28),"REGISTRAR EN  TRIM RESPECTIVO",IF(CM3&gt;0,HLOOKUP(CM3,$OI$1:PK3,OH3),"")))</f>
        <v>BAJO PESO</v>
      </c>
      <c r="CO3" s="31" t="str">
        <f t="shared" si="13"/>
        <v>BAJO PESO</v>
      </c>
      <c r="CP3" s="31">
        <v>110</v>
      </c>
      <c r="CQ3" s="31">
        <v>70</v>
      </c>
      <c r="CR3" s="37" t="str">
        <f t="shared" si="14"/>
        <v>APARENTEMENTE NORMAL</v>
      </c>
      <c r="CS3" s="31">
        <v>100</v>
      </c>
      <c r="CT3" s="31">
        <v>70</v>
      </c>
      <c r="CU3" s="37" t="str">
        <f t="shared" si="15"/>
        <v>VIGILAR CIFRAS PRESION ARTERIAL</v>
      </c>
      <c r="CV3" s="31">
        <v>100</v>
      </c>
      <c r="CW3" s="31">
        <v>70</v>
      </c>
      <c r="CX3" s="31">
        <v>110</v>
      </c>
      <c r="CY3" s="31">
        <v>70</v>
      </c>
      <c r="CZ3" s="37" t="str">
        <f t="shared" si="16"/>
        <v>APARENTEMENTE NORMAL</v>
      </c>
      <c r="DA3" s="35">
        <v>44734</v>
      </c>
      <c r="DB3" s="35">
        <v>44734</v>
      </c>
      <c r="DC3" s="35">
        <v>44792</v>
      </c>
      <c r="DD3" s="35">
        <v>44820</v>
      </c>
      <c r="DE3" s="35">
        <v>44848</v>
      </c>
      <c r="DF3" s="35">
        <v>44883</v>
      </c>
      <c r="DG3" s="35">
        <v>44923</v>
      </c>
      <c r="DH3" s="35"/>
      <c r="DI3" s="35"/>
      <c r="DJ3" s="35"/>
      <c r="DK3" s="35"/>
      <c r="DL3" s="35"/>
      <c r="DM3" s="35"/>
      <c r="DN3" s="35"/>
      <c r="DO3" s="43"/>
      <c r="DP3" s="35"/>
      <c r="DQ3" s="31" t="str">
        <f t="shared" ca="1" si="17"/>
        <v>SALE SIN PLAN DE PARTO</v>
      </c>
      <c r="DR3" s="46" t="str">
        <f t="shared" si="18"/>
        <v>SALIO PROGRAMA</v>
      </c>
      <c r="DS3"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3" s="31" t="str">
        <f t="shared" ca="1" si="19"/>
        <v/>
      </c>
      <c r="DU3" s="35">
        <f>IF(R3="","",IF(R3&gt;0,MAX(Tabla1[[#This Row],[FECHA C2]:[FECHA C13]],Tabla1[[#This Row],[FECHA CONSULTA PRIMERA VEZ PROGRAMA CPN ]])))</f>
        <v>44923</v>
      </c>
      <c r="DV3" s="31">
        <f t="shared" si="20"/>
        <v>37</v>
      </c>
      <c r="DW3" s="43">
        <f>IF(R3&gt;0,SUM(COUNTA(DC3:DN3)+COUNTA(Tabla1[[#This Row],[FECHA CONSULTA PRIMERA VEZ PROGRAMA CPN ]])),"")</f>
        <v>6</v>
      </c>
      <c r="DX3" s="43" t="str">
        <f t="shared" si="21"/>
        <v>SI</v>
      </c>
      <c r="DY3" s="39">
        <f t="shared" si="22"/>
        <v>9</v>
      </c>
      <c r="DZ3" s="47">
        <f t="shared" si="23"/>
        <v>0.66666666666666663</v>
      </c>
      <c r="EA3" s="35">
        <v>44734</v>
      </c>
      <c r="EB3" s="35">
        <v>44734</v>
      </c>
      <c r="EC3" s="35">
        <v>44734</v>
      </c>
      <c r="ED3" s="35">
        <v>44761</v>
      </c>
      <c r="EE3" s="35">
        <v>44734</v>
      </c>
      <c r="EF3" s="35">
        <v>44767</v>
      </c>
      <c r="EG3" s="35">
        <v>44823</v>
      </c>
      <c r="EH3" s="31">
        <v>2</v>
      </c>
      <c r="EI3" s="31">
        <v>13</v>
      </c>
      <c r="EJ3" s="35">
        <v>44734</v>
      </c>
      <c r="EK3" s="43">
        <f t="shared" si="24"/>
        <v>10</v>
      </c>
      <c r="EL3" s="39" t="str">
        <f t="shared" si="25"/>
        <v>NORMAL- SUMINISTRAR SULFATO FERROSO</v>
      </c>
      <c r="EM3" s="31" t="str">
        <f t="shared" si="26"/>
        <v>I TRIM</v>
      </c>
      <c r="EN3" s="37">
        <v>15</v>
      </c>
      <c r="EO3" s="35">
        <v>44883</v>
      </c>
      <c r="EP3" s="44">
        <f t="shared" si="27"/>
        <v>31.285714285714285</v>
      </c>
      <c r="EQ3" s="39" t="str">
        <f t="shared" si="28"/>
        <v>NO DAR SULFATO FERROSO</v>
      </c>
      <c r="ER3" s="37" t="s">
        <v>892</v>
      </c>
      <c r="ES3" s="35">
        <v>44734</v>
      </c>
      <c r="ET3" s="44">
        <f t="shared" si="29"/>
        <v>10</v>
      </c>
      <c r="EU3" s="39" t="str">
        <f t="shared" si="30"/>
        <v>NO HAY RIESGO POR RH</v>
      </c>
      <c r="EV3" s="31">
        <v>95</v>
      </c>
      <c r="EW3" s="35">
        <v>44734</v>
      </c>
      <c r="EX3" s="44">
        <f t="shared" si="31"/>
        <v>10</v>
      </c>
      <c r="EY3" s="44">
        <v>75</v>
      </c>
      <c r="EZ3" s="44">
        <v>85</v>
      </c>
      <c r="FA3" s="44">
        <v>110</v>
      </c>
      <c r="FB3" s="31" t="str">
        <f t="shared" ca="1" si="32"/>
        <v>NORMAL</v>
      </c>
      <c r="FC3" s="48">
        <v>44848</v>
      </c>
      <c r="FD3" s="44">
        <f t="shared" si="33"/>
        <v>26.285714285714285</v>
      </c>
      <c r="FE3" s="35" t="s">
        <v>893</v>
      </c>
      <c r="FF3" s="35">
        <v>44734</v>
      </c>
      <c r="FG3" s="44">
        <f t="shared" ca="1" si="34"/>
        <v>10</v>
      </c>
      <c r="FH3" s="35" t="s">
        <v>893</v>
      </c>
      <c r="FI3" s="49">
        <v>44820</v>
      </c>
      <c r="FJ3" s="44">
        <f t="shared" ca="1" si="35"/>
        <v>22.285714285714285</v>
      </c>
      <c r="FK3" s="35" t="s">
        <v>893</v>
      </c>
      <c r="FL3" s="49">
        <v>44883</v>
      </c>
      <c r="FM3" s="44">
        <f t="shared" ca="1" si="36"/>
        <v>31.285714285714285</v>
      </c>
      <c r="FN3" s="35"/>
      <c r="FO3" s="49"/>
      <c r="FP3" s="44" t="str">
        <f>IF(AND(FE3="",FH3="",FK3="",FN3=""),"",IF(OR(OR(Tabla1[[#This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3" s="31" t="s">
        <v>801</v>
      </c>
      <c r="FR3" s="35">
        <v>44734</v>
      </c>
      <c r="FS3" s="44">
        <f t="shared" si="37"/>
        <v>10</v>
      </c>
      <c r="FT3" s="43" t="s">
        <v>894</v>
      </c>
      <c r="FU3" s="35">
        <v>44734</v>
      </c>
      <c r="FV3" s="44">
        <f t="shared" si="38"/>
        <v>10</v>
      </c>
      <c r="FW3" s="35">
        <v>44734</v>
      </c>
      <c r="FX3" s="35">
        <v>44734</v>
      </c>
      <c r="FY3" s="35" t="s">
        <v>895</v>
      </c>
      <c r="FZ3" s="35">
        <v>44734</v>
      </c>
      <c r="GA3" s="44">
        <f t="shared" ca="1" si="39"/>
        <v>10</v>
      </c>
      <c r="GB3" s="35" t="s">
        <v>895</v>
      </c>
      <c r="GC3" s="35">
        <v>44820</v>
      </c>
      <c r="GD3" s="44">
        <f t="shared" ca="1" si="40"/>
        <v>22.285714285714285</v>
      </c>
      <c r="GE3" s="35" t="s">
        <v>895</v>
      </c>
      <c r="GF3" s="35">
        <v>44883</v>
      </c>
      <c r="GG3" s="44">
        <f t="shared" ca="1" si="41"/>
        <v>31.285714285714285</v>
      </c>
      <c r="GH3" s="35"/>
      <c r="GI3" s="44"/>
      <c r="GJ3" s="35" t="s">
        <v>882</v>
      </c>
      <c r="GK3" s="35"/>
      <c r="GL3" s="35" t="s">
        <v>882</v>
      </c>
      <c r="GM3" s="35"/>
      <c r="GN3" s="43" t="s">
        <v>894</v>
      </c>
      <c r="GO3" s="35">
        <v>44734</v>
      </c>
      <c r="GP3" s="44">
        <f t="shared" si="42"/>
        <v>10</v>
      </c>
      <c r="GQ3" s="43" t="s">
        <v>894</v>
      </c>
      <c r="GR3" s="43" t="s">
        <v>894</v>
      </c>
      <c r="GS3" s="35" t="str">
        <f t="shared" si="43"/>
        <v>CONTROL Igm</v>
      </c>
      <c r="GT3" s="35">
        <v>44734</v>
      </c>
      <c r="GU3" s="44">
        <f t="shared" si="44"/>
        <v>10</v>
      </c>
      <c r="GV3" s="31" t="str">
        <f t="shared" si="45"/>
        <v>I TRIM</v>
      </c>
      <c r="GW3" s="43" t="s">
        <v>894</v>
      </c>
      <c r="GX3" s="46">
        <v>5</v>
      </c>
      <c r="GY3" s="31"/>
      <c r="GZ3" s="35"/>
      <c r="HA3" s="43" t="str">
        <f t="shared" si="46"/>
        <v/>
      </c>
      <c r="HB3" s="31" t="str">
        <f t="shared" si="47"/>
        <v/>
      </c>
      <c r="HC3" s="31" t="str">
        <f t="shared" si="48"/>
        <v/>
      </c>
      <c r="HD3" s="31" t="s">
        <v>896</v>
      </c>
      <c r="HE3" s="31"/>
      <c r="HF3" s="31" t="s">
        <v>897</v>
      </c>
      <c r="HG3" s="31"/>
      <c r="HH3" s="31" t="s">
        <v>898</v>
      </c>
      <c r="HI3" s="31">
        <v>0</v>
      </c>
      <c r="HJ3" s="35" t="s">
        <v>899</v>
      </c>
      <c r="HK3" s="35" t="str">
        <f>IF(OR(O3&gt;0,R3&gt;0),CONCATENATE(IF(Tabla1[[#This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3" s="35" t="str">
        <f t="shared" si="49"/>
        <v>****BAJO PESO*****PREVENCIÓN CONTAGIO TOXOPLASMOSIS***</v>
      </c>
      <c r="HM3" s="35" t="str">
        <f t="shared" ca="1" si="50"/>
        <v>CON RIESGO</v>
      </c>
      <c r="HN3" s="31" t="str">
        <f t="shared" ca="1" si="51"/>
        <v>**********************MULTIPARIDAD**********</v>
      </c>
      <c r="HO3" s="31" t="str">
        <f t="shared" si="52"/>
        <v>SIN ANTECEDENTES DE RIESGO</v>
      </c>
      <c r="HP3" s="37" t="str">
        <f t="shared" si="53"/>
        <v>APARENTEMENTE NORMAL</v>
      </c>
      <c r="HQ3" s="31" t="str">
        <f t="shared" ca="1" si="54"/>
        <v/>
      </c>
      <c r="HR3" s="46" t="str">
        <f t="shared" si="55"/>
        <v>SALIO PROGRAMA</v>
      </c>
      <c r="HS3" s="31" t="s">
        <v>874</v>
      </c>
      <c r="HT3" s="31" t="s">
        <v>882</v>
      </c>
      <c r="HU3" s="35">
        <v>44848</v>
      </c>
      <c r="HV3" s="35" t="s">
        <v>900</v>
      </c>
      <c r="HW3" s="35">
        <v>44848</v>
      </c>
      <c r="HX3" s="35" t="s">
        <v>900</v>
      </c>
      <c r="HY3" s="35">
        <v>44734</v>
      </c>
      <c r="HZ3" s="35" t="s">
        <v>900</v>
      </c>
      <c r="IA3" s="40" t="s">
        <v>886</v>
      </c>
      <c r="IB3" s="35">
        <v>44734</v>
      </c>
      <c r="IC3" s="43">
        <f t="shared" si="56"/>
        <v>10</v>
      </c>
      <c r="ID3" s="40" t="s">
        <v>874</v>
      </c>
      <c r="IE3" s="40" t="s">
        <v>901</v>
      </c>
      <c r="IF3" s="35"/>
      <c r="IG3" s="35"/>
      <c r="IH3" s="168"/>
      <c r="II3" s="168"/>
      <c r="IJ3" s="168"/>
      <c r="IK3" s="37" t="str">
        <f ca="1">IF(AND(BK3="",PM3="SD"),"SIN DATO EDAD GESTACIONAL",IF(AND(BK3="",PN3=""),"",IF(AND(AND(BQ3&gt;0,BQ3&lt;12),PN3=""),"MENOR 12 SEMANAS",IF(AND(BQ3&gt;11.6,PN3="",HJ3="BAJO RIESGO O SE DESCARTA INFECCIÓN POR SARS-CoV2"),"PROGRAMAR APLICACION DE VACUNA",IF(OR(AND(BQ3&gt;11.6,PN3=""),HJ3="FACTOR DE RIESGO PARA COVID19",HJ3="COVID19 PRIMER TRIMESTRE",HJ3="COVID19 SEGUNDO TRIMESTRE",HJ3="COVID19 TERCER TRIMESTRE",HJ3="COVID19 PUERPERIO"),"DIFERIR FECHA DE VACUNACION SEGÚN LINEAMIENTOS",IF(AND(BQ3&gt;11.6,PN3="Error Jansen X Fecha Segunda Dosis"),"Error Jansen X Fecha Segunda Dosis",IF(AND(BQ3&gt;11.6,PN3="Firma"),"FIRMA DISENTIMIENTO",IF(AND(BQ3&gt;11.6,PN3="Firma3"),"NO ACEPTA VACUNA Y NO FIRMA DISCENTIMIENTO",IF(AND(BQ3&gt;11.6,PN3="Firma2"),"Error en Fecha x Firma Disentimiento",IF(AND(BQ3&gt;11.6,PN3="Firma4"),"Error en Fecha x No Acepta no Firma",IF(AND(BQ3&gt;11.6,PN3="Completo",Tabla1[[#This Row],[Fecha Refuerzo Anti COVID-20]]=""),"PENDIENTE REFUERZO",IF(AND(BQ3&gt;11.6,PN3="Completo",Tabla1[[#This Row],[Fecha Refuerzo Anti COVID-20]]&lt;&gt;""),"CON REFUERZO",IF(AND(BQ3&gt;11.6,PN3="Falta Dosis"),PQ3,IF(OR(AND(BQ3&gt;11.6,PN3=""),HJ3="",HJ3="NO SE EVALUA RIESGO INFECCIÓN COVID19"),"DEFINIR RIESGO CONTAGIO SARS-CoV2, columna GZ",""))))))))))))))</f>
        <v>FIRMA DISENTIMIENTO</v>
      </c>
      <c r="IL3" s="168">
        <v>44792</v>
      </c>
      <c r="IM3" s="35">
        <v>44820</v>
      </c>
      <c r="IN3" s="35" t="str">
        <f t="shared" ca="1" si="57"/>
        <v>VACUNA APLICADA ENTRE SEMANA 20 Y SEMANA 26</v>
      </c>
      <c r="IO3" s="35"/>
      <c r="IP3" s="35">
        <f t="shared" si="58"/>
        <v>44944</v>
      </c>
      <c r="IQ3" s="44">
        <f t="shared" ca="1" si="59"/>
        <v>-281</v>
      </c>
      <c r="IR3" s="35" t="str">
        <f t="shared" ca="1" si="60"/>
        <v>POSIBLEMENTE NACIO</v>
      </c>
      <c r="IS3" s="35"/>
      <c r="IT3" s="31" t="s">
        <v>903</v>
      </c>
      <c r="IU3" s="31" t="s">
        <v>904</v>
      </c>
      <c r="IV3" s="51" t="s">
        <v>905</v>
      </c>
      <c r="IW3" s="35">
        <v>44945</v>
      </c>
      <c r="IX3" s="31" t="s">
        <v>906</v>
      </c>
      <c r="IY3" s="44">
        <f t="shared" si="61"/>
        <v>40.142857142857146</v>
      </c>
      <c r="IZ3" s="52" t="s">
        <v>907</v>
      </c>
      <c r="JA3" s="31" t="s">
        <v>908</v>
      </c>
      <c r="JB3" s="31" t="s">
        <v>909</v>
      </c>
      <c r="JC3" s="31" t="s">
        <v>910</v>
      </c>
      <c r="JD3" s="31" t="s">
        <v>886</v>
      </c>
      <c r="JE3" s="31" t="s">
        <v>886</v>
      </c>
      <c r="JF3" s="31" t="s">
        <v>886</v>
      </c>
      <c r="JG3" s="31" t="s">
        <v>886</v>
      </c>
      <c r="JH3" s="31" t="s">
        <v>886</v>
      </c>
      <c r="JI3" s="31" t="s">
        <v>886</v>
      </c>
      <c r="JJ3" s="31" t="s">
        <v>911</v>
      </c>
      <c r="JK3" s="46">
        <v>1</v>
      </c>
      <c r="JL3" s="31" t="s">
        <v>912</v>
      </c>
      <c r="JM3" s="53">
        <v>2970</v>
      </c>
      <c r="JN3" s="31" t="str">
        <f t="shared" si="62"/>
        <v>PESO ADECUADO EDAD GESTACIONAL</v>
      </c>
      <c r="JO3" s="233">
        <v>44945</v>
      </c>
      <c r="JP3" s="31"/>
      <c r="JQ3" s="31"/>
      <c r="JR3" s="31"/>
      <c r="JS3" s="46" t="s">
        <v>892</v>
      </c>
      <c r="JT3" s="35">
        <v>44945</v>
      </c>
      <c r="JU3" s="35">
        <v>44945</v>
      </c>
      <c r="JV3" s="31"/>
      <c r="JW3" s="53"/>
      <c r="JX3" s="31" t="str">
        <f t="shared" si="63"/>
        <v/>
      </c>
      <c r="JY3" s="35"/>
      <c r="JZ3" s="31"/>
      <c r="KA3" s="31"/>
      <c r="KB3" s="31"/>
      <c r="KC3" s="46"/>
      <c r="KD3" s="35"/>
      <c r="KE3" s="35"/>
      <c r="KF3" s="50">
        <v>44953</v>
      </c>
      <c r="KG3" s="43">
        <f t="shared" si="64"/>
        <v>8</v>
      </c>
      <c r="KH3" s="50">
        <v>44953</v>
      </c>
      <c r="KI3" s="43">
        <f t="shared" si="65"/>
        <v>8</v>
      </c>
      <c r="KJ3" s="31" t="s">
        <v>874</v>
      </c>
      <c r="KK3" s="31" t="s">
        <v>874</v>
      </c>
      <c r="KL3" s="31" t="s">
        <v>874</v>
      </c>
      <c r="KM3" s="54">
        <v>44945</v>
      </c>
      <c r="KN3" s="43" t="s">
        <v>913</v>
      </c>
      <c r="KO3" s="43"/>
      <c r="KP3" s="43"/>
      <c r="KQ3" s="56"/>
      <c r="KR3" s="56"/>
      <c r="KS3" s="99"/>
      <c r="KT3" s="56"/>
      <c r="KU3" s="56"/>
      <c r="KV3" s="99"/>
      <c r="KW3" s="56"/>
      <c r="KX3" s="56"/>
      <c r="KY3" s="56"/>
      <c r="KZ3" s="56"/>
      <c r="LA3" s="56"/>
      <c r="LB3" s="56"/>
      <c r="LC3" s="56"/>
      <c r="LD3" s="55"/>
      <c r="LE3" s="55"/>
      <c r="LF3" s="55"/>
      <c r="LG3" s="55"/>
      <c r="LH3" s="55"/>
      <c r="LI3" s="55"/>
      <c r="LJ3" s="55"/>
      <c r="LK3" s="55"/>
      <c r="LL3" s="55"/>
      <c r="LM3" s="55"/>
      <c r="LN3" s="55"/>
      <c r="LO3" s="55"/>
      <c r="LP3" s="55"/>
      <c r="LQ3" s="55"/>
      <c r="LR3" s="55"/>
      <c r="LS3" s="55"/>
      <c r="LT3" s="55"/>
      <c r="LU3" s="55"/>
      <c r="LV3" s="55"/>
      <c r="LW3" s="55"/>
      <c r="LX3" s="55"/>
      <c r="LY3" s="55"/>
      <c r="LZ3" s="55"/>
      <c r="MA3" s="55"/>
      <c r="MB3" s="55"/>
      <c r="MC3" s="55"/>
      <c r="MD3" s="55"/>
      <c r="ME3" s="55"/>
      <c r="MF3" s="55"/>
      <c r="MG3" s="55"/>
      <c r="MH3" s="55"/>
      <c r="MI3" s="55"/>
      <c r="MJ3" s="55"/>
      <c r="MK3" s="55"/>
      <c r="ML3" s="55"/>
      <c r="MM3" s="55"/>
      <c r="MN3" s="55"/>
      <c r="MO3" s="55"/>
      <c r="MP3" s="153"/>
      <c r="MQ3" s="148">
        <f t="shared" si="66"/>
        <v>0</v>
      </c>
      <c r="MR3" t="str">
        <f t="shared" si="67"/>
        <v/>
      </c>
      <c r="MS3" t="str">
        <f t="shared" si="68"/>
        <v/>
      </c>
      <c r="MT3">
        <f t="shared" si="69"/>
        <v>0</v>
      </c>
      <c r="MU3">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3">
        <f t="shared" si="70"/>
        <v>10</v>
      </c>
      <c r="MW3">
        <f t="shared" si="71"/>
        <v>6</v>
      </c>
      <c r="MX3">
        <f t="shared" si="72"/>
        <v>2022</v>
      </c>
      <c r="MY3" t="str">
        <f t="shared" si="73"/>
        <v>II TRIMESTRE AÑO</v>
      </c>
      <c r="MZ3">
        <f t="shared" si="74"/>
        <v>17.832895313184405</v>
      </c>
      <c r="NA3">
        <f t="shared" si="75"/>
        <v>0</v>
      </c>
      <c r="NB3" t="str">
        <f t="shared" si="76"/>
        <v>DE 14 A 19AÑOS</v>
      </c>
      <c r="NC3">
        <f t="shared" si="77"/>
        <v>0</v>
      </c>
      <c r="ND3">
        <f t="shared" si="78"/>
        <v>1</v>
      </c>
      <c r="NE3">
        <f t="shared" si="79"/>
        <v>0</v>
      </c>
      <c r="NF3">
        <f t="shared" si="80"/>
        <v>0</v>
      </c>
      <c r="NG3" t="str">
        <f t="shared" si="81"/>
        <v/>
      </c>
      <c r="NH3" t="str">
        <f t="shared" ca="1" si="82"/>
        <v/>
      </c>
      <c r="NI3" t="str">
        <f t="shared" si="83"/>
        <v/>
      </c>
      <c r="NJ3">
        <f t="shared" si="84"/>
        <v>0</v>
      </c>
      <c r="NK3" t="str">
        <f t="shared" si="85"/>
        <v>0</v>
      </c>
      <c r="NL3">
        <f t="shared" si="86"/>
        <v>0</v>
      </c>
      <c r="NM3">
        <f t="shared" ca="1" si="87"/>
        <v>1</v>
      </c>
      <c r="NN3">
        <f>IF(OR(O3&gt;0,R3&gt;0),SUM(COUNTIF(Tabla1[[#This Row],[AÑOS AL INICIO5 CPN]],"&gt;=40"),COUNTIF(AR3,"0"),COUNTIF(AQ3,"SI"),COUNTIF(BW3,"SI"),COUNTIF(BM3,"&gt;119"),COUNTIF(CC3,"&gt;=35")),"")</f>
        <v>1</v>
      </c>
      <c r="NO3">
        <f t="shared" si="88"/>
        <v>22.285714285714285</v>
      </c>
      <c r="NP3">
        <f t="shared" si="89"/>
        <v>0</v>
      </c>
      <c r="NQ3">
        <f t="shared" si="90"/>
        <v>98</v>
      </c>
      <c r="NR3" t="str">
        <f ca="1">IF(Tabla1[[#This Row],[GESTANTES ACTUALES]]="","SD",IF(Tabla1[[#This Row],[GESTANTES ACTUALES]]="SEGUIMIENTO REPORTE EPS","Y",IF(Tabla1[[#This Row],[GESTANTES ACTUALES]]="SALE SIN INGRESO CPN","X",IF(AND(Tabla1[[#This Row],[CITA PROXIMO CONTROL]]="",Tabla1[[#This Row],[GESTANTES ACTUALES]]="ACTIVA SIN INGRESO CPN",P3="NO"),"Z",IF(AND(Tabla1[[#This Row],[CITA PROXIMO CONTROL]]="CITA MANUAL",Tabla1[[#This Row],[GESTANTES ACTUALES]]="ACTIVA INGRESO A CPN"),"W",IF(AND(Tabla1[[#This Row],[GESTANTES ACTUALES]]="SALIO PROGRAMA",IW3=""),"S",IF(AND(Tabla1[[#This Row],[CITA PROXIMO CONTROL]]&gt;0,IW3=""),(Tabla1[[#This Row],[CITA PROXIMO CONTROL]]-TODAY()),"SD")))))))</f>
        <v>SD</v>
      </c>
      <c r="NS3">
        <f>MONTH(Tabla1[[#This Row],[FECHA DE SALIDA  DEL PROGRAMA]])</f>
        <v>1</v>
      </c>
      <c r="NT3">
        <f>YEAR(Tabla1[[#This Row],[FECHA DE SALIDA  DEL PROGRAMA]])</f>
        <v>2023</v>
      </c>
      <c r="NU3">
        <f t="shared" si="91"/>
        <v>33</v>
      </c>
      <c r="NV3" t="str">
        <f t="shared" si="92"/>
        <v>SI</v>
      </c>
      <c r="NW3" t="str">
        <f ca="1">IF(AND(O3&gt;0,R3=""),"NO CPN",IF(AND(O3="",R3=""),"",IF(AND(R3&gt;0,Tabla1[[#This Row],[SEMANAS DE GESTACION ACTUALIZADAS]]&lt;=12),"NO APLICA",IF(AND(FC3&lt;&gt;"",FI3&lt;&gt;""),"SI","NO"))))</f>
        <v>SI</v>
      </c>
      <c r="NX3" s="149" t="str">
        <f ca="1">IF(AND(O3&gt;0,R3=""),"NO CPN",IF(AND(O3="",R3=""),"",IF(AND(R3&gt;0,Tabla1[[#This Row],[SEMANAS DE GESTACION ACTUALIZADAS]]&lt;=27),"NO APLICA",IF(AND(EO3&lt;&gt;"",FL3&lt;&gt;"",GF3&lt;&gt;""),"SI","NO"))))</f>
        <v>SI</v>
      </c>
      <c r="NY3" s="147" t="str">
        <f t="shared" si="93"/>
        <v>II TRIM</v>
      </c>
      <c r="NZ3" s="1" t="str">
        <f t="shared" si="94"/>
        <v/>
      </c>
      <c r="OA3" s="1">
        <f t="shared" si="95"/>
        <v>3</v>
      </c>
      <c r="OB3" s="210">
        <f t="shared" ca="1" si="96"/>
        <v>3</v>
      </c>
      <c r="OC3" s="1">
        <f t="shared" ca="1" si="97"/>
        <v>3</v>
      </c>
      <c r="OD3" s="1" t="str">
        <f t="shared" ca="1" si="98"/>
        <v>COMPLETO</v>
      </c>
      <c r="OE3" s="1" t="str">
        <f t="shared" ca="1" si="99"/>
        <v>COMPLETO</v>
      </c>
      <c r="OF3" s="218" t="str">
        <f>IF(AND(O3="",R3=""),"",IF(OR(AND(Tabla1[[#This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3" s="227" t="str">
        <f t="shared" ca="1" si="100"/>
        <v>VACUNADA</v>
      </c>
      <c r="OH3" s="148">
        <f>ROW(Tabla1[[#This Row],[SEMANAS DE GESTACION II TRIM]])</f>
        <v>3</v>
      </c>
      <c r="OI3" t="str">
        <f t="shared" si="101"/>
        <v/>
      </c>
      <c r="OJ3" t="str">
        <f t="shared" si="102"/>
        <v/>
      </c>
      <c r="OK3" t="str">
        <f t="shared" si="103"/>
        <v/>
      </c>
      <c r="OL3" t="str">
        <f t="shared" si="104"/>
        <v/>
      </c>
      <c r="OM3" t="str">
        <f t="shared" si="105"/>
        <v>BAJO PESO</v>
      </c>
      <c r="ON3" t="str">
        <f t="shared" si="106"/>
        <v/>
      </c>
      <c r="OO3" t="str">
        <f t="shared" si="107"/>
        <v/>
      </c>
      <c r="OP3" t="str">
        <f t="shared" si="108"/>
        <v/>
      </c>
      <c r="OQ3" t="str">
        <f t="shared" si="109"/>
        <v/>
      </c>
      <c r="OR3" t="str">
        <f t="shared" si="110"/>
        <v/>
      </c>
      <c r="OS3" t="str">
        <f t="shared" si="111"/>
        <v/>
      </c>
      <c r="OT3" t="str">
        <f t="shared" si="112"/>
        <v/>
      </c>
      <c r="OU3" t="str">
        <f t="shared" si="113"/>
        <v/>
      </c>
      <c r="OV3" t="str">
        <f t="shared" si="114"/>
        <v/>
      </c>
      <c r="OW3" t="str">
        <f t="shared" si="115"/>
        <v/>
      </c>
      <c r="OX3" t="str">
        <f t="shared" si="116"/>
        <v/>
      </c>
      <c r="OY3" t="str">
        <f t="shared" si="117"/>
        <v/>
      </c>
      <c r="OZ3" t="str">
        <f t="shared" si="118"/>
        <v>BAJO PESO</v>
      </c>
      <c r="PA3" t="str">
        <f t="shared" si="119"/>
        <v/>
      </c>
      <c r="PB3" t="str">
        <f t="shared" si="120"/>
        <v/>
      </c>
      <c r="PC3" t="str">
        <f t="shared" si="121"/>
        <v/>
      </c>
      <c r="PD3" t="str">
        <f t="shared" si="122"/>
        <v/>
      </c>
      <c r="PE3" t="str">
        <f t="shared" si="123"/>
        <v/>
      </c>
      <c r="PF3" t="str">
        <f t="shared" si="124"/>
        <v/>
      </c>
      <c r="PG3" t="str">
        <f t="shared" si="125"/>
        <v/>
      </c>
      <c r="PH3" t="str">
        <f t="shared" si="126"/>
        <v/>
      </c>
      <c r="PI3" t="str">
        <f t="shared" si="127"/>
        <v/>
      </c>
      <c r="PJ3" t="str">
        <f t="shared" si="128"/>
        <v/>
      </c>
      <c r="PK3" t="str">
        <f t="shared" si="129"/>
        <v/>
      </c>
      <c r="PL3"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3" s="162" t="str">
        <f t="shared" si="130"/>
        <v/>
      </c>
      <c r="PN3" s="161" t="str">
        <f t="shared" si="131"/>
        <v>Firma</v>
      </c>
      <c r="PO3"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3" s="161">
        <f ca="1">IF(PO3="","",SUM(TODAY()-Tabla1[[#This Row],[Fecha 1ra Dosis Anti COVID-19]]))</f>
        <v>45225</v>
      </c>
      <c r="PQ3" s="216" t="str">
        <f>IFERROR(IF(Tabla1[[#This Row],[Fecha 1ra Dosis Anti COVID-19]]="","",IF(OR(AND(Tabla1[[#This Row],[Tipo Biológico Vacuna anti COVID-19 (Disentimiento)]]="Astrazeneca",PP3&lt;84),AND(Tabla1[[#This Row],[Tipo Biológico Vacuna anti COVID-19 (Disentimiento)]]="Pfizer",PP3&lt;21),AND(Tabla1[[#This Row],[Tipo Biológico Vacuna anti COVID-19 (Disentimiento)]]="Moderna",PP3&lt;21),AND(Tabla1[[#This Row],[Tipo Biológico Vacuna anti COVID-19 (Disentimiento)]]="Sinovac",PP3&lt;28)),"Pendiente Segunda Dosis",IF(OR(AND(Tabla1[[#This Row],[Tipo Biológico Vacuna anti COVID-19 (Disentimiento)]]="Astrazeneca",PP3&gt;=85),AND(Tabla1[[#This Row],[Tipo Biológico Vacuna anti COVID-19 (Disentimiento)]]="Pfizer",PP3&gt;=22),AND(Tabla1[[#This Row],[Tipo Biológico Vacuna anti COVID-19 (Disentimiento)]]="Moderna",PP3&gt;=22),AND(Tabla1[[#This Row],[Tipo Biológico Vacuna anti COVID-19 (Disentimiento)]]="Sinovac",PP3&gt;=29)),"inasistente",IF(OR(AND(Tabla1[[#This Row],[Tipo Biológico Vacuna anti COVID-19 (Disentimiento)]],"Astrazeneca",PP3=84),AND(Tabla1[[#This Row],[Tipo Biológico Vacuna anti COVID-19 (Disentimiento)]],"Pfizer",PP3=21),AND(Tabla1[[#This Row],[Tipo Biológico Vacuna anti COVID-19 (Disentimiento)]],"Moderna",PP3=21),AND(Tabla1[[#This Row],[Tipo Biológico Vacuna anti COVID-19 (Disentimiento)]],"Sinovac",PP3=28)),"Día vacunación1","")))),"Día de Vacunación")</f>
        <v/>
      </c>
    </row>
    <row r="4" spans="1:433" ht="39.950000000000003" customHeight="1" x14ac:dyDescent="0.25">
      <c r="A4" s="145" t="s">
        <v>868</v>
      </c>
      <c r="B4" s="68" t="s">
        <v>853</v>
      </c>
      <c r="C4" s="68" t="s">
        <v>854</v>
      </c>
      <c r="D4" s="184" t="s">
        <v>862</v>
      </c>
      <c r="E4" s="68" t="s">
        <v>869</v>
      </c>
      <c r="F4" s="68" t="s">
        <v>870</v>
      </c>
      <c r="G4" s="68" t="s">
        <v>871</v>
      </c>
      <c r="H4" s="68" t="s">
        <v>872</v>
      </c>
      <c r="I4" s="145" t="s">
        <v>866</v>
      </c>
      <c r="J4" s="146">
        <v>1061719887</v>
      </c>
      <c r="K4" s="68" t="s">
        <v>873</v>
      </c>
      <c r="L4" s="68" t="s">
        <v>867</v>
      </c>
      <c r="M4" s="35">
        <v>39245</v>
      </c>
      <c r="N4" s="38">
        <f t="shared" ca="1" si="0"/>
        <v>16.383561643835616</v>
      </c>
      <c r="O4" s="35">
        <v>44737</v>
      </c>
      <c r="P4" s="39" t="str">
        <f t="shared" si="1"/>
        <v>SI</v>
      </c>
      <c r="Q4" s="40" t="s">
        <v>875</v>
      </c>
      <c r="R4" s="35">
        <v>44737</v>
      </c>
      <c r="S4" s="31" t="s">
        <v>876</v>
      </c>
      <c r="T4" s="37" t="s">
        <v>800</v>
      </c>
      <c r="U4" s="31" t="s">
        <v>877</v>
      </c>
      <c r="V4" s="31" t="s">
        <v>878</v>
      </c>
      <c r="W4" s="31" t="s">
        <v>891</v>
      </c>
      <c r="X4" s="31" t="s">
        <v>891</v>
      </c>
      <c r="Y4" s="31" t="s">
        <v>887</v>
      </c>
      <c r="Z4" s="31">
        <v>3148325692</v>
      </c>
      <c r="AA4" s="31" t="s">
        <v>881</v>
      </c>
      <c r="AB4" s="41" t="s">
        <v>882</v>
      </c>
      <c r="AC4" s="40" t="s">
        <v>888</v>
      </c>
      <c r="AD4" s="55" t="s">
        <v>884</v>
      </c>
      <c r="AE4" s="40" t="s">
        <v>874</v>
      </c>
      <c r="AF4" s="40" t="s">
        <v>874</v>
      </c>
      <c r="AG4" s="36" t="s">
        <v>885</v>
      </c>
      <c r="AH4" s="36" t="s">
        <v>885</v>
      </c>
      <c r="AI4" s="37" t="s">
        <v>884</v>
      </c>
      <c r="AJ4" s="36" t="s">
        <v>885</v>
      </c>
      <c r="AK4" s="42" t="str">
        <f>IF(AND(AE4="",AF4="",AG4="",AH4="",AI4="",AJ4=""),"",IF(AND(OR(O4&gt;0,R4&gt;0),NP4&gt;=0,NP4&lt;2),"SIN RIESGO",IF(AND(OR(O4&gt;0,R4&gt;0),NP4&gt;=2),"CON RIESGO",IF(AND(O4="",R4=""),"",IF(OR(Tabla1[[#This Row],[EMBARAZO ACEPTADO Y/O  DESEADO]]="SIN DATO",Tabla1[[#This Row],[APOYO FAMILIAR]]="SIN DATO",Tabla1[[#This Row],[ANSIEDAD (Tensión emocional, Humor depresivo y sx angustia).]]="SIN DATO",Tabla1[[#This Row],[GRUPO DE POBLACION ESPECIAL]]="SIN DATO",Tabla1[[#This Row],[HA SIDO VICTIMA DE VIOLENCIA BASADA EN GENERO]]="SIN DATO"),"COMPLETAR EVALUACIÓN","")))))</f>
        <v>SIN RIESGO</v>
      </c>
      <c r="AL4" s="36" t="s">
        <v>885</v>
      </c>
      <c r="AM4" s="40" t="s">
        <v>885</v>
      </c>
      <c r="AN4" s="40" t="s">
        <v>885</v>
      </c>
      <c r="AO4" s="40" t="s">
        <v>885</v>
      </c>
      <c r="AP4" s="40" t="s">
        <v>885</v>
      </c>
      <c r="AQ4" s="40" t="s">
        <v>885</v>
      </c>
      <c r="AR4" s="31">
        <v>1</v>
      </c>
      <c r="AS4" s="31">
        <v>0</v>
      </c>
      <c r="AT4" s="31">
        <v>0</v>
      </c>
      <c r="AU4" s="40" t="s">
        <v>885</v>
      </c>
      <c r="AV4" s="31">
        <v>0</v>
      </c>
      <c r="AW4" s="40" t="s">
        <v>885</v>
      </c>
      <c r="AX4" s="40" t="s">
        <v>885</v>
      </c>
      <c r="AY4" s="40" t="s">
        <v>885</v>
      </c>
      <c r="AZ4" s="40" t="s">
        <v>885</v>
      </c>
      <c r="BA4" s="40" t="s">
        <v>885</v>
      </c>
      <c r="BB4" s="40" t="s">
        <v>885</v>
      </c>
      <c r="BC4" s="40" t="s">
        <v>885</v>
      </c>
      <c r="BD4" s="40" t="s">
        <v>885</v>
      </c>
      <c r="BE4" s="40" t="s">
        <v>885</v>
      </c>
      <c r="BF4" s="40" t="s">
        <v>885</v>
      </c>
      <c r="BG4" s="40" t="s">
        <v>885</v>
      </c>
      <c r="BH4" s="40" t="s">
        <v>885</v>
      </c>
      <c r="BI4" s="40" t="s">
        <v>885</v>
      </c>
      <c r="BJ4" s="35"/>
      <c r="BK4" s="35">
        <v>44667</v>
      </c>
      <c r="BL4" s="31" t="s">
        <v>874</v>
      </c>
      <c r="BM4" s="43">
        <f t="shared" si="2"/>
        <v>0</v>
      </c>
      <c r="BN4" s="57">
        <f t="shared" si="3"/>
        <v>44660.6</v>
      </c>
      <c r="BO4" s="44">
        <f t="shared" si="4"/>
        <v>10</v>
      </c>
      <c r="BP4" s="31" t="str">
        <f t="shared" si="5"/>
        <v>I TRIM</v>
      </c>
      <c r="BQ4" s="39" t="str">
        <f t="shared" ca="1" si="6"/>
        <v/>
      </c>
      <c r="BR4" s="35">
        <v>44774</v>
      </c>
      <c r="BS4" s="43">
        <v>16.2</v>
      </c>
      <c r="BT4" s="35"/>
      <c r="BU4" s="31"/>
      <c r="BV4" s="40" t="s">
        <v>885</v>
      </c>
      <c r="BW4" s="40" t="s">
        <v>885</v>
      </c>
      <c r="BX4" s="40" t="s">
        <v>886</v>
      </c>
      <c r="BY4" s="40" t="s">
        <v>886</v>
      </c>
      <c r="BZ4" s="35">
        <v>44737</v>
      </c>
      <c r="CA4" s="31">
        <v>1.53</v>
      </c>
      <c r="CB4" s="31">
        <v>58</v>
      </c>
      <c r="CC4" s="39">
        <f t="shared" si="7"/>
        <v>24.776795249690291</v>
      </c>
      <c r="CD4" s="45" t="str">
        <f t="shared" si="8"/>
        <v>NORMAL</v>
      </c>
      <c r="CE4" s="35">
        <v>44803</v>
      </c>
      <c r="CF4" s="31">
        <v>51</v>
      </c>
      <c r="CG4" s="39">
        <f t="shared" si="9"/>
        <v>21.786492374727668</v>
      </c>
      <c r="CH4" s="31">
        <f t="shared" si="10"/>
        <v>19</v>
      </c>
      <c r="CI4" s="31" t="str">
        <f>IF(OR(CH4="",CH4="NA"),"",IF(AND(CH4&gt;=29,CH4&lt;=42),"REGISTRAR EN III TRIM",IF(AND(CH4&gt;0,CH4&lt;=13),"REGISTRAR EN I TRIM",IF(CH4="REVISAR FUM O FECHA PESO","REVISAR",IF(CH4&gt;0,HLOOKUP(CH4,$OI$1:PK4,OH4),"")))))</f>
        <v>NORMAL</v>
      </c>
      <c r="CJ4" s="35">
        <v>44897</v>
      </c>
      <c r="CK4" s="31">
        <v>58</v>
      </c>
      <c r="CL4" s="39">
        <f t="shared" si="11"/>
        <v>24.776795249690291</v>
      </c>
      <c r="CM4" s="31">
        <f t="shared" si="12"/>
        <v>32</v>
      </c>
      <c r="CN4" s="31" t="str">
        <f>IF(OR(CM4="",CM4="NA"),"",IF(AND(CM4&gt;0,CM4&lt;=28),"REGISTRAR EN  TRIM RESPECTIVO",IF(CM4&gt;0,HLOOKUP(CM4,$OI$1:PK4,OH4),"")))</f>
        <v>NORMAL</v>
      </c>
      <c r="CO4" s="31" t="str">
        <f t="shared" si="13"/>
        <v>NORMAL</v>
      </c>
      <c r="CP4" s="31">
        <v>110</v>
      </c>
      <c r="CQ4" s="31">
        <v>70</v>
      </c>
      <c r="CR4" s="37" t="str">
        <f t="shared" si="14"/>
        <v>APARENTEMENTE NORMAL</v>
      </c>
      <c r="CS4" s="31">
        <v>100</v>
      </c>
      <c r="CT4" s="31">
        <v>70</v>
      </c>
      <c r="CU4" s="37" t="str">
        <f t="shared" si="15"/>
        <v>VIGILAR CIFRAS PRESION ARTERIAL</v>
      </c>
      <c r="CV4" s="31">
        <v>110</v>
      </c>
      <c r="CW4" s="31">
        <v>70</v>
      </c>
      <c r="CX4" s="31">
        <v>110</v>
      </c>
      <c r="CY4" s="31">
        <v>60</v>
      </c>
      <c r="CZ4" s="37" t="str">
        <f t="shared" si="16"/>
        <v>APARENTEMENTE NORMAL</v>
      </c>
      <c r="DA4" s="35">
        <v>44737</v>
      </c>
      <c r="DB4" s="35">
        <v>44737</v>
      </c>
      <c r="DC4" s="35">
        <v>44770</v>
      </c>
      <c r="DD4" s="35">
        <v>44803</v>
      </c>
      <c r="DE4" s="35">
        <v>44835</v>
      </c>
      <c r="DF4" s="35">
        <v>44866</v>
      </c>
      <c r="DG4" s="35">
        <v>44897</v>
      </c>
      <c r="DH4" s="35">
        <v>44930</v>
      </c>
      <c r="DI4" s="35"/>
      <c r="DJ4" s="35"/>
      <c r="DK4" s="35"/>
      <c r="DL4" s="35"/>
      <c r="DM4" s="35"/>
      <c r="DN4" s="35"/>
      <c r="DO4" s="43"/>
      <c r="DP4" s="35"/>
      <c r="DQ4" s="31" t="str">
        <f t="shared" ca="1" si="17"/>
        <v>SALE SIN PLAN DE PARTO</v>
      </c>
      <c r="DR4" s="46" t="str">
        <f t="shared" si="18"/>
        <v>SALIO PROGRAMA</v>
      </c>
      <c r="DS4" s="35" t="str">
        <f>IF(Tabla1[[#This Row],[EDAD GESTACIONAL ÚLTIMO CPN]]="SD","CITA MANUAL",IF(Tabla1[[#This Row],[GESTANTES ACTUALES]]="SALIO PROGRAMA","NO APLICA",IF(AND(Tabla1[[#This Row],[EDAD GESTACIONAL ÚLTIMO CPN]]&gt;0,Tabla1[[#This Row],[EDAD GESTACIONAL ÚLTIMO CPN]]&lt;=35),WORKDAY(SUM(Tabla1[[#This Row],[FECHA ULTIMO CPN]]+30),1,#REF!),IF(AND(Tabla1[[#This Row],[EDAD GESTACIONAL ÚLTIMO CPN]]&gt;=36,Tabla1[[#This Row],[EDAD GESTACIONAL ÚLTIMO CPN]]&lt;=42),WORKDAY(SUM(Tabla1[[#This Row],[FECHA ULTIMO CPN]]+14)-3,1,#REF!),""))))</f>
        <v>NO APLICA</v>
      </c>
      <c r="DT4" s="31" t="str">
        <f t="shared" ca="1" si="19"/>
        <v/>
      </c>
      <c r="DU4" s="35">
        <f>IF(R4="","",IF(R4&gt;0,MAX(Tabla1[[#This Row],[FECHA C2]:[FECHA C13]],Tabla1[[#This Row],[FECHA CONSULTA PRIMERA VEZ PROGRAMA CPN ]])))</f>
        <v>44930</v>
      </c>
      <c r="DV4" s="31">
        <f t="shared" si="20"/>
        <v>37</v>
      </c>
      <c r="DW4" s="43">
        <f>IF(R4&gt;0,SUM(COUNTA(DC4:DN4)+COUNTA(Tabla1[[#This Row],[FECHA CONSULTA PRIMERA VEZ PROGRAMA CPN ]])),"")</f>
        <v>7</v>
      </c>
      <c r="DX4" s="43" t="str">
        <f t="shared" si="21"/>
        <v>SI</v>
      </c>
      <c r="DY4" s="39">
        <f t="shared" si="22"/>
        <v>9</v>
      </c>
      <c r="DZ4" s="47">
        <f t="shared" si="23"/>
        <v>0.77777777777777779</v>
      </c>
      <c r="EA4" s="35">
        <v>44737</v>
      </c>
      <c r="EB4" s="35">
        <v>44737</v>
      </c>
      <c r="EC4" s="35">
        <v>44737</v>
      </c>
      <c r="ED4" s="35">
        <v>44765</v>
      </c>
      <c r="EE4" s="35">
        <v>44737</v>
      </c>
      <c r="EF4" s="35">
        <v>44774</v>
      </c>
      <c r="EG4" s="35"/>
      <c r="EH4" s="31">
        <v>1</v>
      </c>
      <c r="EI4" s="31">
        <v>13</v>
      </c>
      <c r="EJ4" s="35">
        <v>44737</v>
      </c>
      <c r="EK4" s="43">
        <f t="shared" si="24"/>
        <v>10</v>
      </c>
      <c r="EL4" s="39" t="str">
        <f t="shared" si="25"/>
        <v>NORMAL- SUMINISTRAR SULFATO FERROSO</v>
      </c>
      <c r="EM4" s="31" t="str">
        <f t="shared" si="26"/>
        <v>I TRIM</v>
      </c>
      <c r="EN4" s="37">
        <v>14</v>
      </c>
      <c r="EO4" s="35">
        <v>44866</v>
      </c>
      <c r="EP4" s="44">
        <f t="shared" si="27"/>
        <v>28.428571428571427</v>
      </c>
      <c r="EQ4" s="39" t="str">
        <f t="shared" si="28"/>
        <v>NO DAR SULFATO FERROSO</v>
      </c>
      <c r="ER4" s="37" t="s">
        <v>892</v>
      </c>
      <c r="ES4" s="35">
        <v>44737</v>
      </c>
      <c r="ET4" s="44">
        <f t="shared" si="29"/>
        <v>10</v>
      </c>
      <c r="EU4" s="39" t="str">
        <f t="shared" si="30"/>
        <v>NO HAY RIESGO POR RH</v>
      </c>
      <c r="EV4" s="31">
        <v>94</v>
      </c>
      <c r="EW4" s="35">
        <v>44737</v>
      </c>
      <c r="EX4" s="44">
        <f t="shared" si="31"/>
        <v>10</v>
      </c>
      <c r="EY4" s="44">
        <v>69</v>
      </c>
      <c r="EZ4" s="44">
        <v>110</v>
      </c>
      <c r="FA4" s="44">
        <v>70</v>
      </c>
      <c r="FB4" s="31" t="str">
        <f t="shared" ca="1" si="32"/>
        <v>NORMAL</v>
      </c>
      <c r="FC4" s="48">
        <v>44835</v>
      </c>
      <c r="FD4" s="44">
        <f t="shared" si="33"/>
        <v>24</v>
      </c>
      <c r="FE4" s="35" t="s">
        <v>893</v>
      </c>
      <c r="FF4" s="35">
        <v>44737</v>
      </c>
      <c r="FG4" s="44">
        <f t="shared" ca="1" si="34"/>
        <v>10</v>
      </c>
      <c r="FH4" s="35" t="s">
        <v>893</v>
      </c>
      <c r="FI4" s="49">
        <v>44803</v>
      </c>
      <c r="FJ4" s="44">
        <f t="shared" ca="1" si="35"/>
        <v>19.428571428571427</v>
      </c>
      <c r="FK4" s="35"/>
      <c r="FL4" s="49"/>
      <c r="FM4" s="44" t="str">
        <f t="shared" ca="1" si="36"/>
        <v>PIERDE TOMA DE TAMIZAJE</v>
      </c>
      <c r="FN4" s="35"/>
      <c r="FO4" s="49"/>
      <c r="FP4" s="44" t="str">
        <f>IF(AND(FE4="",FH4="",FK4="",FN4=""),"",IF(OR(OR(Tabla1[[#This Row],[TAMIZAJE  PARA SIFILIS  SEGÚN GPC SIFILIS I TRIMESTRE]]="P. R POSITIVA CASO SIFILIS",Tabla1[[#This Row],[TAMIZAJE  PARA SIFILIS  SEGÚN GPC SIFILIS II TRIMESTRE]]="P. R POSITIVA CASO SIFILIS",Tabla1[[#This Row],[TAMIZAJE  PARA SIFILIS  SEGÚN GPC SIFILIS III TRIMESTRE]]="P. R POSITIVA CASO SIFILIS",Tabla1[[#This Row],[TAMIZAJE  PARA SIFILIS  SEGÚN GPC SIFILIS INTRAPARTO]]="P. R POSITIVA CASO SIFILIS"),OR(Tabla1[[#This Row],[TAMIZAJE  PARA SIFILIS  SEGÚN GPC SIFILIS I TRIMESTRE]]="REINFECCIÓN-DILUCIONES AUMENTAN",Tabla1[[#This Row],[TAMIZAJE  PARA SIFILIS  SEGÚN GPC SIFILIS II TRIMESTRE]]="REINFECCIÓN-DILUCIONES AUMENTAN",Tabla1[[#This Row],[TAMIZAJE  PARA SIFILIS  SEGÚN GPC SIFILIS III TRIMESTRE]]="REINFECCIÓN-DILUCIONES AUMENTAN",Tabla1[[#This Row],[TAMIZAJE  PARA SIFILIS  SEGÚN GPC SIFILIS INTRAPARTO]]="REINFECCIÓN-DILUCIONES AUMENTAN")),"SIFILIS GESTACIONAL",""))</f>
        <v/>
      </c>
      <c r="FQ4" s="31" t="s">
        <v>801</v>
      </c>
      <c r="FR4" s="35">
        <v>44737</v>
      </c>
      <c r="FS4" s="44">
        <f t="shared" si="37"/>
        <v>10</v>
      </c>
      <c r="FT4" s="43" t="s">
        <v>894</v>
      </c>
      <c r="FU4" s="35">
        <v>44737</v>
      </c>
      <c r="FV4" s="44">
        <f t="shared" si="38"/>
        <v>10</v>
      </c>
      <c r="FW4" s="35">
        <v>44737</v>
      </c>
      <c r="FX4" s="35">
        <v>44737</v>
      </c>
      <c r="FY4" s="35" t="s">
        <v>895</v>
      </c>
      <c r="FZ4" s="35">
        <v>44737</v>
      </c>
      <c r="GA4" s="44">
        <f t="shared" ca="1" si="39"/>
        <v>10</v>
      </c>
      <c r="GB4" s="35" t="s">
        <v>895</v>
      </c>
      <c r="GC4" s="35">
        <v>44803</v>
      </c>
      <c r="GD4" s="44">
        <f t="shared" ca="1" si="40"/>
        <v>19.428571428571427</v>
      </c>
      <c r="GE4" s="35"/>
      <c r="GF4" s="35"/>
      <c r="GG4" s="44" t="str">
        <f t="shared" ca="1" si="41"/>
        <v>PIERDE TOMA DE TAMIZAJE</v>
      </c>
      <c r="GH4" s="35"/>
      <c r="GI4" s="44"/>
      <c r="GJ4" s="35" t="s">
        <v>882</v>
      </c>
      <c r="GK4" s="35"/>
      <c r="GL4" s="35" t="s">
        <v>882</v>
      </c>
      <c r="GM4" s="35"/>
      <c r="GN4" s="43" t="s">
        <v>894</v>
      </c>
      <c r="GO4" s="35">
        <v>44737</v>
      </c>
      <c r="GP4" s="44">
        <f t="shared" si="42"/>
        <v>10</v>
      </c>
      <c r="GQ4" s="43" t="s">
        <v>894</v>
      </c>
      <c r="GR4" s="43" t="s">
        <v>894</v>
      </c>
      <c r="GS4" s="35" t="str">
        <f t="shared" si="43"/>
        <v>CONTROL Igm</v>
      </c>
      <c r="GT4" s="35">
        <v>44737</v>
      </c>
      <c r="GU4" s="44">
        <f t="shared" si="44"/>
        <v>10</v>
      </c>
      <c r="GV4" s="31" t="str">
        <f t="shared" si="45"/>
        <v>I TRIM</v>
      </c>
      <c r="GW4" s="43" t="s">
        <v>894</v>
      </c>
      <c r="GX4" s="46">
        <v>5</v>
      </c>
      <c r="GY4" s="31"/>
      <c r="GZ4" s="35"/>
      <c r="HA4" s="43" t="str">
        <f t="shared" si="46"/>
        <v/>
      </c>
      <c r="HB4" s="31" t="str">
        <f t="shared" si="47"/>
        <v/>
      </c>
      <c r="HC4" s="31" t="str">
        <f t="shared" si="48"/>
        <v/>
      </c>
      <c r="HD4" s="31" t="s">
        <v>896</v>
      </c>
      <c r="HE4" s="31"/>
      <c r="HF4" s="31" t="s">
        <v>897</v>
      </c>
      <c r="HG4" s="31"/>
      <c r="HH4" s="31" t="s">
        <v>898</v>
      </c>
      <c r="HI4" s="31">
        <v>0</v>
      </c>
      <c r="HJ4" s="35" t="s">
        <v>899</v>
      </c>
      <c r="HK4" s="35" t="str">
        <f>IF(OR(O4&gt;0,R4&gt;0),CONCATENATE(IF(Tabla1[[#This Row],[NECESIDAD O DESARMONIA DESDE LO PROPIO 1]]&lt;&gt;"",Tabla1[[#This Row],[NECESIDAD O DESARMONIA DESDE LO PROPIO 1]],""),"*",CONCATENATE(IF(Tabla1[[#This Row],[NECESIDAD O DESARMONIA DESDE LO PROPIO 12]]&lt;&gt;"",Tabla1[[#This Row],[NECESIDAD O DESARMONIA DESDE LO PROPIO 12]],""),"*",CONCATENATE(IF(Tabla1[[#This Row],[NECESIDAD O DESARMONIA DESDE LO PROPIO 13]]&lt;&gt;"",Tabla1[[#This Row],[NECESIDAD O DESARMONIA DESDE LO PROPIO 13]],""),"*",CONCATENATE(IF(Tabla1[[#This Row],[NECESIDAD O DESARMONIA DESDE LO PROPIO 14]]&lt;&gt;"",Tabla1[[#This Row],[NECESIDAD O DESARMONIA DESDE LO PROPIO 14]],""),"*",CONCATENATE(IF(Tabla1[[#This Row],[NECESIDAD O DESARMONIA DESDE LO PROPIO 15]]&lt;&gt;"",Tabla1[[#This Row],[NECESIDAD O DESARMONIA DESDE LO PROPIO 15]],""),"*",CONCATENATE(IF(Tabla1[[#This Row],[NECESIDAD O DESARMONIA DESDE LO PROPIO 16]]&lt;&gt;"",Tabla1[[#This Row],[NECESIDAD O DESARMONIA DESDE LO PROPIO 16]],""),"*",CONCATENATE(IF(Tabla1[[#This Row],[NECESIDAD O DESARMONIA DESDE LO PROPIO 17444]]&lt;&gt;"",Tabla1[[#This Row],[NECESIDAD O DESARMONIA DESDE LO PROPIO 17444]],"")))))))),"")</f>
        <v>******</v>
      </c>
      <c r="HL4" s="35" t="str">
        <f t="shared" si="49"/>
        <v>*********PREVENCIÓN CONTAGIO TOXOPLASMOSIS***</v>
      </c>
      <c r="HM4" s="35" t="str">
        <f t="shared" ca="1" si="50"/>
        <v>CON RIESGO</v>
      </c>
      <c r="HN4" s="31" t="str">
        <f t="shared" ca="1" si="51"/>
        <v>**********************MULTIPARIDAD**RIESGO POR EDAD********</v>
      </c>
      <c r="HO4" s="31" t="str">
        <f t="shared" si="52"/>
        <v>SIN ANTECEDENTES DE RIESGO</v>
      </c>
      <c r="HP4" s="37" t="str">
        <f t="shared" si="53"/>
        <v>APARENTEMENTE NORMAL</v>
      </c>
      <c r="HQ4" s="31" t="str">
        <f t="shared" ca="1" si="54"/>
        <v/>
      </c>
      <c r="HR4" s="46" t="str">
        <f t="shared" si="55"/>
        <v>SALIO PROGRAMA</v>
      </c>
      <c r="HS4" s="31" t="s">
        <v>874</v>
      </c>
      <c r="HT4" s="31" t="s">
        <v>882</v>
      </c>
      <c r="HU4" s="35">
        <v>44866</v>
      </c>
      <c r="HV4" s="35" t="s">
        <v>900</v>
      </c>
      <c r="HW4" s="35">
        <v>44835</v>
      </c>
      <c r="HX4" s="35" t="s">
        <v>900</v>
      </c>
      <c r="HY4" s="35">
        <v>44866</v>
      </c>
      <c r="HZ4" s="35" t="s">
        <v>900</v>
      </c>
      <c r="IA4" s="40" t="s">
        <v>886</v>
      </c>
      <c r="IB4" s="35">
        <v>44737</v>
      </c>
      <c r="IC4" s="43">
        <f t="shared" si="56"/>
        <v>10</v>
      </c>
      <c r="ID4" s="40" t="s">
        <v>874</v>
      </c>
      <c r="IE4" s="40" t="s">
        <v>901</v>
      </c>
      <c r="IF4" s="35"/>
      <c r="IG4" s="35"/>
      <c r="IH4" s="168"/>
      <c r="II4" s="168"/>
      <c r="IJ4" s="168"/>
      <c r="IK4" s="37" t="str">
        <f ca="1">IF(AND(BK4="",PM4="SD"),"SIN DATO EDAD GESTACIONAL",IF(AND(BK4="",PN4=""),"",IF(AND(AND(BQ4&gt;0,BQ4&lt;12),PN4=""),"MENOR 12 SEMANAS",IF(AND(BQ4&gt;11.6,PN4="",HJ4="BAJO RIESGO O SE DESCARTA INFECCIÓN POR SARS-CoV2"),"PROGRAMAR APLICACION DE VACUNA",IF(OR(AND(BQ4&gt;11.6,PN4=""),HJ4="FACTOR DE RIESGO PARA COVID19",HJ4="COVID19 PRIMER TRIMESTRE",HJ4="COVID19 SEGUNDO TRIMESTRE",HJ4="COVID19 TERCER TRIMESTRE",HJ4="COVID19 PUERPERIO"),"DIFERIR FECHA DE VACUNACION SEGÚN LINEAMIENTOS",IF(AND(BQ4&gt;11.6,PN4="Error Jansen X Fecha Segunda Dosis"),"Error Jansen X Fecha Segunda Dosis",IF(AND(BQ4&gt;11.6,PN4="Firma"),"FIRMA DISENTIMIENTO",IF(AND(BQ4&gt;11.6,PN4="Firma3"),"NO ACEPTA VACUNA Y NO FIRMA DISCENTIMIENTO",IF(AND(BQ4&gt;11.6,PN4="Firma2"),"Error en Fecha x Firma Disentimiento",IF(AND(BQ4&gt;11.6,PN4="Firma4"),"Error en Fecha x No Acepta no Firma",IF(AND(BQ4&gt;11.6,PN4="Completo",Tabla1[[#This Row],[Fecha Refuerzo Anti COVID-20]]=""),"PENDIENTE REFUERZO",IF(AND(BQ4&gt;11.6,PN4="Completo",Tabla1[[#This Row],[Fecha Refuerzo Anti COVID-20]]&lt;&gt;""),"CON REFUERZO",IF(AND(BQ4&gt;11.6,PN4="Falta Dosis"),PQ4,IF(OR(AND(BQ4&gt;11.6,PN4=""),HJ4="",HJ4="NO SE EVALUA RIESGO INFECCIÓN COVID19"),"DEFINIR RIESGO CONTAGIO SARS-CoV2, columna GZ",""))))))))))))))</f>
        <v>FIRMA DISENTIMIENTO</v>
      </c>
      <c r="IL4" s="168">
        <v>44803</v>
      </c>
      <c r="IM4" s="35">
        <v>44803</v>
      </c>
      <c r="IN4" s="35" t="str">
        <f t="shared" ca="1" si="57"/>
        <v>VACUNA APLICADA ENTRE SEMANA 20 Y SEMANA 26</v>
      </c>
      <c r="IO4" s="35"/>
      <c r="IP4" s="35">
        <f t="shared" si="58"/>
        <v>44947</v>
      </c>
      <c r="IQ4" s="44">
        <f t="shared" ca="1" si="59"/>
        <v>-278</v>
      </c>
      <c r="IR4" s="35" t="str">
        <f t="shared" ca="1" si="60"/>
        <v>POSIBLEMENTE NACIO</v>
      </c>
      <c r="IS4" s="35"/>
      <c r="IT4" s="31" t="s">
        <v>914</v>
      </c>
      <c r="IU4" s="31" t="s">
        <v>904</v>
      </c>
      <c r="IV4" s="51" t="s">
        <v>915</v>
      </c>
      <c r="IW4" s="35">
        <v>44935</v>
      </c>
      <c r="IX4" s="31" t="s">
        <v>906</v>
      </c>
      <c r="IY4" s="44">
        <f t="shared" si="61"/>
        <v>38.285714285714285</v>
      </c>
      <c r="IZ4" s="52" t="s">
        <v>907</v>
      </c>
      <c r="JA4" s="31" t="s">
        <v>908</v>
      </c>
      <c r="JB4" s="31" t="s">
        <v>909</v>
      </c>
      <c r="JC4" s="31" t="s">
        <v>916</v>
      </c>
      <c r="JD4" s="31" t="s">
        <v>874</v>
      </c>
      <c r="JE4" s="31" t="s">
        <v>874</v>
      </c>
      <c r="JF4" s="31"/>
      <c r="JG4" s="31" t="s">
        <v>874</v>
      </c>
      <c r="JH4" s="31" t="s">
        <v>874</v>
      </c>
      <c r="JI4" s="31"/>
      <c r="JJ4" s="31" t="s">
        <v>917</v>
      </c>
      <c r="JK4" s="46">
        <v>1</v>
      </c>
      <c r="JL4" s="31" t="s">
        <v>918</v>
      </c>
      <c r="JM4" s="53">
        <v>2564</v>
      </c>
      <c r="JN4" s="31" t="str">
        <f t="shared" si="62"/>
        <v>PESO ADECUADO EDAD GESTACIONAL</v>
      </c>
      <c r="JO4" s="233">
        <v>44935</v>
      </c>
      <c r="JP4" s="31"/>
      <c r="JQ4" s="31"/>
      <c r="JR4" s="31"/>
      <c r="JS4" s="46" t="s">
        <v>892</v>
      </c>
      <c r="JT4" s="35">
        <v>44935</v>
      </c>
      <c r="JU4" s="35">
        <v>44935</v>
      </c>
      <c r="JV4" s="31"/>
      <c r="JW4" s="53"/>
      <c r="JX4" s="31" t="str">
        <f t="shared" si="63"/>
        <v/>
      </c>
      <c r="JY4" s="35"/>
      <c r="JZ4" s="31"/>
      <c r="KA4" s="31"/>
      <c r="KB4" s="31"/>
      <c r="KC4" s="46"/>
      <c r="KD4" s="35"/>
      <c r="KE4" s="35"/>
      <c r="KF4" s="50">
        <v>44942</v>
      </c>
      <c r="KG4" s="43">
        <f t="shared" si="64"/>
        <v>7</v>
      </c>
      <c r="KH4" s="50">
        <v>44942</v>
      </c>
      <c r="KI4" s="43">
        <f t="shared" si="65"/>
        <v>7</v>
      </c>
      <c r="KJ4" s="31" t="s">
        <v>874</v>
      </c>
      <c r="KK4" s="31" t="s">
        <v>874</v>
      </c>
      <c r="KL4" s="31" t="s">
        <v>874</v>
      </c>
      <c r="KM4" s="54">
        <v>44935</v>
      </c>
      <c r="KN4" s="43" t="s">
        <v>913</v>
      </c>
      <c r="KO4" s="43"/>
      <c r="KP4" s="43"/>
      <c r="KQ4" s="56"/>
      <c r="KR4" s="56"/>
      <c r="KS4" s="99"/>
      <c r="KT4" s="56"/>
      <c r="KU4" s="56"/>
      <c r="KV4" s="99"/>
      <c r="KW4" s="56"/>
      <c r="KX4" s="56"/>
      <c r="KY4" s="56"/>
      <c r="KZ4" s="56"/>
      <c r="LA4" s="56"/>
      <c r="LB4" s="56"/>
      <c r="LC4" s="56"/>
      <c r="LD4" s="55"/>
      <c r="LE4" s="55"/>
      <c r="LF4" s="55"/>
      <c r="LG4" s="55"/>
      <c r="LH4" s="55"/>
      <c r="LI4" s="55"/>
      <c r="LJ4" s="55"/>
      <c r="LK4" s="55"/>
      <c r="LL4" s="55"/>
      <c r="LM4" s="55"/>
      <c r="LN4" s="55"/>
      <c r="LO4" s="55"/>
      <c r="LP4" s="55"/>
      <c r="LQ4" s="55"/>
      <c r="LR4" s="55"/>
      <c r="LS4" s="55"/>
      <c r="LT4" s="55"/>
      <c r="LU4" s="55"/>
      <c r="LV4" s="55"/>
      <c r="LW4" s="55"/>
      <c r="LX4" s="55"/>
      <c r="LY4" s="55"/>
      <c r="LZ4" s="55"/>
      <c r="MA4" s="55"/>
      <c r="MB4" s="55"/>
      <c r="MC4" s="55"/>
      <c r="MD4" s="55"/>
      <c r="ME4" s="55"/>
      <c r="MF4" s="55"/>
      <c r="MG4" s="55"/>
      <c r="MH4" s="55"/>
      <c r="MI4" s="55"/>
      <c r="MJ4" s="55"/>
      <c r="MK4" s="55"/>
      <c r="ML4" s="55"/>
      <c r="MM4" s="55"/>
      <c r="MN4" s="55"/>
      <c r="MO4" s="55"/>
      <c r="MP4" s="153"/>
      <c r="MQ4" s="148">
        <f t="shared" si="66"/>
        <v>0</v>
      </c>
      <c r="MR4" t="str">
        <f t="shared" si="67"/>
        <v/>
      </c>
      <c r="MS4" t="str">
        <f t="shared" si="68"/>
        <v/>
      </c>
      <c r="MT4">
        <f t="shared" si="69"/>
        <v>0</v>
      </c>
      <c r="MU4">
        <f>IF(AND(Tabla1[[#This Row],[FECHA DE IDENTIFICACION DE LA GESTANTE]]="",Tabla1[[#This Row],[FECHA CONSULTA PRIMERA VEZ PROGRAMA CPN ]]=""),"",IF(AND(Tabla1[[#This Row],[FECHA DE IDENTIFICACION DE LA GESTANTE]]&gt;0,Tabla1[[#This Row],[FECHA CONSULTA PRIMERA VEZ PROGRAMA CPN ]]=""),"SIN INGRESO CPN",IF(AND(Tabla1[[#This Row],[FECHA DE IDENTIFICACION DE LA GESTANTE]]="",Tabla1[[#This Row],[FECHA CONSULTA PRIMERA VEZ PROGRAMA CPN ]]&gt;0),"NO APLICA",SUM(Tabla1[[#This Row],[FECHA CONSULTA PRIMERA VEZ PROGRAMA CPN ]]-Tabla1[[#This Row],[FECHA DE IDENTIFICACION DE LA GESTANTE]]))))</f>
        <v>0</v>
      </c>
      <c r="MV4">
        <f t="shared" si="70"/>
        <v>10</v>
      </c>
      <c r="MW4">
        <f t="shared" si="71"/>
        <v>6</v>
      </c>
      <c r="MX4">
        <f t="shared" si="72"/>
        <v>2022</v>
      </c>
      <c r="MY4" t="str">
        <f t="shared" si="73"/>
        <v>II TRIMESTRE AÑO</v>
      </c>
      <c r="MZ4">
        <f t="shared" si="74"/>
        <v>14.818769163381516</v>
      </c>
      <c r="NA4">
        <f t="shared" si="75"/>
        <v>1</v>
      </c>
      <c r="NB4" t="str">
        <f t="shared" si="76"/>
        <v>DE 14 A 19AÑOS</v>
      </c>
      <c r="NC4">
        <f t="shared" si="77"/>
        <v>0</v>
      </c>
      <c r="ND4">
        <f t="shared" si="78"/>
        <v>1</v>
      </c>
      <c r="NE4">
        <f t="shared" si="79"/>
        <v>0</v>
      </c>
      <c r="NF4">
        <f t="shared" si="80"/>
        <v>0</v>
      </c>
      <c r="NG4" t="str">
        <f t="shared" si="81"/>
        <v/>
      </c>
      <c r="NH4" t="str">
        <f t="shared" ca="1" si="82"/>
        <v/>
      </c>
      <c r="NI4" t="str">
        <f t="shared" si="83"/>
        <v/>
      </c>
      <c r="NJ4">
        <f t="shared" si="84"/>
        <v>0</v>
      </c>
      <c r="NK4" t="str">
        <f t="shared" si="85"/>
        <v>0</v>
      </c>
      <c r="NL4">
        <f t="shared" si="86"/>
        <v>0</v>
      </c>
      <c r="NM4">
        <f t="shared" ca="1" si="87"/>
        <v>2</v>
      </c>
      <c r="NN4">
        <f>IF(OR(O4&gt;0,R4&gt;0),SUM(COUNTIF(Tabla1[[#This Row],[AÑOS AL INICIO5 CPN]],"&gt;=40"),COUNTIF(AR4,"0"),COUNTIF(AQ4,"SI"),COUNTIF(BW4,"SI"),COUNTIF(BM4,"&gt;119"),COUNTIF(CC4,"&gt;=35")),"")</f>
        <v>0</v>
      </c>
      <c r="NO4">
        <f t="shared" si="88"/>
        <v>19.428571428571427</v>
      </c>
      <c r="NP4">
        <f t="shared" si="89"/>
        <v>0</v>
      </c>
      <c r="NQ4">
        <f t="shared" si="90"/>
        <v>113.39999999999999</v>
      </c>
      <c r="NR4" t="str">
        <f ca="1">IF(Tabla1[[#This Row],[GESTANTES ACTUALES]]="","SD",IF(Tabla1[[#This Row],[GESTANTES ACTUALES]]="SEGUIMIENTO REPORTE EPS","Y",IF(Tabla1[[#This Row],[GESTANTES ACTUALES]]="SALE SIN INGRESO CPN","X",IF(AND(Tabla1[[#This Row],[CITA PROXIMO CONTROL]]="",Tabla1[[#This Row],[GESTANTES ACTUALES]]="ACTIVA SIN INGRESO CPN",P4="NO"),"Z",IF(AND(Tabla1[[#This Row],[CITA PROXIMO CONTROL]]="CITA MANUAL",Tabla1[[#This Row],[GESTANTES ACTUALES]]="ACTIVA INGRESO A CPN"),"W",IF(AND(Tabla1[[#This Row],[GESTANTES ACTUALES]]="SALIO PROGRAMA",IW4=""),"S",IF(AND(Tabla1[[#This Row],[CITA PROXIMO CONTROL]]&gt;0,IW4=""),(Tabla1[[#This Row],[CITA PROXIMO CONTROL]]-TODAY()),"SD")))))))</f>
        <v>SD</v>
      </c>
      <c r="NS4">
        <f>MONTH(Tabla1[[#This Row],[FECHA DE SALIDA  DEL PROGRAMA]])</f>
        <v>1</v>
      </c>
      <c r="NT4">
        <f>YEAR(Tabla1[[#This Row],[FECHA DE SALIDA  DEL PROGRAMA]])</f>
        <v>2023</v>
      </c>
      <c r="NU4">
        <f t="shared" si="91"/>
        <v>37</v>
      </c>
      <c r="NV4" t="str">
        <f t="shared" si="92"/>
        <v>SI</v>
      </c>
      <c r="NW4" t="str">
        <f ca="1">IF(AND(O4&gt;0,R4=""),"NO CPN",IF(AND(O4="",R4=""),"",IF(AND(R4&gt;0,Tabla1[[#This Row],[SEMANAS DE GESTACION ACTUALIZADAS]]&lt;=12),"NO APLICA",IF(AND(FC4&lt;&gt;"",FI4&lt;&gt;""),"SI","NO"))))</f>
        <v>SI</v>
      </c>
      <c r="NX4" s="149" t="str">
        <f ca="1">IF(AND(O4&gt;0,R4=""),"NO CPN",IF(AND(O4="",R4=""),"",IF(AND(R4&gt;0,Tabla1[[#This Row],[SEMANAS DE GESTACION ACTUALIZADAS]]&lt;=27),"NO APLICA",IF(AND(EO4&lt;&gt;"",FL4&lt;&gt;"",GF4&lt;&gt;""),"SI","NO"))))</f>
        <v>NO</v>
      </c>
      <c r="NY4" s="147" t="str">
        <f t="shared" si="93"/>
        <v>II TRIM</v>
      </c>
      <c r="NZ4" s="1" t="e">
        <f>IF(AND(#REF!&gt;0,#REF!&lt;37),10,IF(OR(#REF!="Transversa",#REF!="Oblicua"),9,IF(#REF!="SI",8,IF(AND(#REF!=0,#REF!=0,#REF!="NO",#REF!="Cefálica",#REF!&gt;=37,#REF!="INICIO ESPONTÁNEO"),1,IF(AND(AND(#REF!=0,#REF!=0,#REF!="NO",#REF!="Cefálica",#REF!&gt;=37),OR(#REF!="LE HACEN INDUCCIÓN",#REF!="LE HACEN CESÁREA SIN INICIO TRABAJO DE PARTO")),2,IF(AND(#REF!&gt;=1,#REF!=0,#REF!="NO",#REF!="Cefálica",#REF!&gt;=37,#REF!="INICIO ESPONTÁNEO"),3,IF(AND(AND(#REF!&gt;=1,#REF!=0,#REF!="NO",#REF!="Cefálica",#REF!&gt;=37),OR(#REF!="LE HACEN INDUCCIÓN",#REF!="LE HACEN CESÁREA SIN INICIO TRABAJO DE PARTO")),4,IF(AND(AND(#REF!&gt;=1,#REF!&gt;=1,#REF!="NO",#REF!="Cefálica",#REF!&gt;=37),OR(#REF!="LE HACEN INDUCCIÓN",#REF!="LE HACEN CESÁREA SIN INICIO TRABAJO DE PARTO",#REF!="INICIO ESPONTÁNEO")),5,IF(AND(AND(#REF!=0,#REF!=0,#REF!="NO",#REF!="Podálica",#REF!&gt;=1),OR(#REF!="LE HACEN INDUCCIÓN",#REF!="LE HACEN CESÁREA SIN INICIO TRABAJO DE PARTO",#REF!="INICIO ESPONTÁNEO")),6,IF(AND(AND(#REF!&gt;=1,#REF!="NO",#REF!="Podálica",#REF!&gt;=1),OR(#REF!="LE HACEN INDUCCIÓN",#REF!="LE HACEN CESÁREA SIN INICIO TRABAJO DE PARTO",#REF!="INICIO ESPONTÁNEO"),OR(#REF!=0,#REF!&gt;=1)),7,""))))))))))</f>
        <v>#REF!</v>
      </c>
      <c r="OA4" s="1">
        <f t="shared" si="95"/>
        <v>3</v>
      </c>
      <c r="OB4" s="210">
        <f t="shared" ca="1" si="96"/>
        <v>2</v>
      </c>
      <c r="OC4" s="1">
        <f t="shared" ca="1" si="97"/>
        <v>2</v>
      </c>
      <c r="OD4" s="1" t="str">
        <f t="shared" ca="1" si="98"/>
        <v>INCOMPLETO</v>
      </c>
      <c r="OE4" s="1" t="str">
        <f t="shared" ca="1" si="99"/>
        <v>INCOMPLETO</v>
      </c>
      <c r="OF4" s="218" t="str">
        <f>IF(AND(O4="",R4=""),"",IF(OR(AND(Tabla1[[#This Row],[SUMINISTRO DE SULFATO FERROSO ]]="ADECUADO SEGÚN GPC",Tabla1[[#This Row],[SUMINISTRO CALCIO ]]="ADECUADO SEGÚN GPC",Tabla1[[#This Row],[SUMINISTRO DE ACIDO FOLICO ]]="ADECUADO SEGÚN GPC"),AND(Tabla1[[#This Row],[SUMINISTRO DE SULFATO FERROSO ]]="NO APLICA",Tabla1[[#This Row],[SUMINISTRO CALCIO ]]="ADECUADO SEGÚN GPC",Tabla1[[#This Row],[SUMINISTRO DE ACIDO FOLICO ]]="ADECUADO SEGÚN GPC"),AND(Tabla1[[#This Row],[SUMINISTRO DE SULFATO FERROSO ]]="ADECUADO SEGÚN GPC",Tabla1[[#This Row],[SUMINISTRO CALCIO ]]="NO APLICA",Tabla1[[#This Row],[SUMINISTRO DE ACIDO FOLICO ]]="ADECUADO SEGÚN GPC"),AND(Tabla1[[#This Row],[SUMINISTRO DE SULFATO FERROSO ]]="ADECUADO SEGÚN GPC",Tabla1[[#This Row],[SUMINISTRO CALCIO ]]="ADECUADO SEGÚN GPC",Tabla1[[#This Row],[SUMINISTRO DE ACIDO FOLICO ]]="NO APLICA"),AND(Tabla1[[#This Row],[SUMINISTRO DE SULFATO FERROSO ]]="NO APLICA",Tabla1[[#This Row],[SUMINISTRO CALCIO ]]="ADECUADO SEGÚN GPC",Tabla1[[#This Row],[SUMINISTRO DE ACIDO FOLICO ]]="NO APLICA"),AND(Tabla1[[#This Row],[SUMINISTRO DE SULFATO FERROSO ]]="NO APLICA",Tabla1[[#This Row],[SUMINISTRO CALCIO ]]="NO APLICA",Tabla1[[#This Row],[SUMINISTRO DE ACIDO FOLICO ]]="ADECUADO SEGÚN GPC"),AND(Tabla1[[#This Row],[SUMINISTRO DE SULFATO FERROSO ]]="ADECUADO SEGÚN GPC",Tabla1[[#This Row],[SUMINISTRO CALCIO ]]="NO APLICA",Tabla1[[#This Row],[SUMINISTRO DE ACIDO FOLICO ]]="NO APLICA"),AND(Tabla1[[#This Row],[SUMINISTRO DE SULFATO FERROSO ]]="NO APLICA",Tabla1[[#This Row],[SUMINISTRO CALCIO ]]="NO APLICA",Tabla1[[#This Row],[SUMINISTRO DE ACIDO FOLICO ]]="NO APLICA")),"COMPLETO","INCOMPLETO"))</f>
        <v>COMPLETO</v>
      </c>
      <c r="OG4" s="227" t="str">
        <f t="shared" ca="1" si="100"/>
        <v>VACUNADA</v>
      </c>
      <c r="OH4" s="148">
        <f>ROW(Tabla1[[#This Row],[SEMANAS DE GESTACION II TRIM]])</f>
        <v>4</v>
      </c>
      <c r="OI4" t="str">
        <f t="shared" si="101"/>
        <v/>
      </c>
      <c r="OJ4" t="str">
        <f t="shared" si="102"/>
        <v/>
      </c>
      <c r="OK4" t="str">
        <f t="shared" si="103"/>
        <v/>
      </c>
      <c r="OL4" t="str">
        <f t="shared" si="104"/>
        <v/>
      </c>
      <c r="OM4" t="str">
        <f t="shared" si="105"/>
        <v/>
      </c>
      <c r="ON4" t="str">
        <f t="shared" si="106"/>
        <v>NORMAL</v>
      </c>
      <c r="OO4" t="str">
        <f t="shared" si="107"/>
        <v/>
      </c>
      <c r="OP4" t="str">
        <f t="shared" si="108"/>
        <v/>
      </c>
      <c r="OQ4" t="str">
        <f t="shared" si="109"/>
        <v/>
      </c>
      <c r="OR4" t="str">
        <f t="shared" si="110"/>
        <v/>
      </c>
      <c r="OS4" t="str">
        <f t="shared" si="111"/>
        <v/>
      </c>
      <c r="OT4" t="str">
        <f t="shared" si="112"/>
        <v/>
      </c>
      <c r="OU4" t="str">
        <f t="shared" si="113"/>
        <v/>
      </c>
      <c r="OV4" t="str">
        <f t="shared" si="114"/>
        <v/>
      </c>
      <c r="OW4" t="str">
        <f t="shared" si="115"/>
        <v/>
      </c>
      <c r="OX4" t="str">
        <f t="shared" si="116"/>
        <v/>
      </c>
      <c r="OY4" t="str">
        <f t="shared" si="117"/>
        <v/>
      </c>
      <c r="OZ4" t="str">
        <f t="shared" si="118"/>
        <v/>
      </c>
      <c r="PA4" t="str">
        <f t="shared" si="119"/>
        <v>NORMAL</v>
      </c>
      <c r="PB4" t="str">
        <f t="shared" si="120"/>
        <v/>
      </c>
      <c r="PC4" t="str">
        <f t="shared" si="121"/>
        <v/>
      </c>
      <c r="PD4" t="str">
        <f t="shared" si="122"/>
        <v/>
      </c>
      <c r="PE4" t="str">
        <f t="shared" si="123"/>
        <v/>
      </c>
      <c r="PF4" t="str">
        <f t="shared" si="124"/>
        <v/>
      </c>
      <c r="PG4" t="str">
        <f t="shared" si="125"/>
        <v/>
      </c>
      <c r="PH4" t="str">
        <f t="shared" si="126"/>
        <v/>
      </c>
      <c r="PI4" t="str">
        <f t="shared" si="127"/>
        <v/>
      </c>
      <c r="PJ4" t="str">
        <f t="shared" si="128"/>
        <v/>
      </c>
      <c r="PK4" t="str">
        <f t="shared" si="129"/>
        <v/>
      </c>
      <c r="PL4" s="164" t="str">
        <f>IF(Tabla1[[#This Row],[Tipo Biológico Vacuna anti COVID-19 (Disentimiento)]]="Pfizer","a",IF(Tabla1[[#This Row],[Tipo Biológico Vacuna anti COVID-19 (Disentimiento)]]="Janssen","b",IF(Tabla1[[#This Row],[Tipo Biológico Vacuna anti COVID-19 (Disentimiento)]]="Sinovac","c",IF(Tabla1[[#This Row],[Tipo Biológico Vacuna anti COVID-19 (Disentimiento)]]="Jhonson&amp;Jhonson","e",IF(Tabla1[[#This Row],[Tipo Biológico Vacuna anti COVID-19 (Disentimiento)]]="Moderna","f",IF(Tabla1[[#This Row],[Tipo Biológico Vacuna anti COVID-19 (Disentimiento)]]="Firma Disentimiento","x",IF(Tabla1[[#This Row],[Tipo Biológico Vacuna anti COVID-19 (Disentimiento)]]="No Acepta y No Firma Disentimiento","xx",IF(Tabla1[[#This Row],[Tipo Biológico Vacuna anti COVID-19 (Disentimiento)]]="Astrazeneca","d",""))))))))</f>
        <v>x</v>
      </c>
      <c r="PM4" s="162" t="str">
        <f t="shared" si="130"/>
        <v/>
      </c>
      <c r="PN4" s="161" t="str">
        <f t="shared" si="131"/>
        <v>Firma</v>
      </c>
      <c r="PO4" s="163" t="str">
        <f>IF(Tabla1[[#This Row],[Tipo Biológico Vacuna anti COVID-19 (Disentimiento)]]="Pfizer",Tabla1[[#This Row],[Fecha 1ra Dosis Anti COVID-19]]+21,IF(Tabla1[[#This Row],[Tipo Biológico Vacuna anti COVID-19 (Disentimiento)]]="Janssen","Sin Segunda Dosis",IF(Tabla1[[#This Row],[Tipo Biológico Vacuna anti COVID-19 (Disentimiento)]]="Sinovac",Tabla1[[#This Row],[Fecha 1ra Dosis Anti COVID-19]]+28,IF(Tabla1[[#This Row],[Tipo Biológico Vacuna anti COVID-19 (Disentimiento)]]="Jhonson&amp;Jhonson","e",IF(Tabla1[[#This Row],[Tipo Biológico Vacuna anti COVID-19 (Disentimiento)]]="Moderna","f",IF(Tabla1[[#This Row],[Tipo Biológico Vacuna anti COVID-19 (Disentimiento)]]="Firma Disentimiento","Firma Disentimiento",IF(Tabla1[[#This Row],[Tipo Biológico Vacuna anti COVID-19 (Disentimiento)]]="Astrazeneca",Tabla1[[#This Row],[Fecha 1ra Dosis Anti COVID-19]]+84,"")))))))</f>
        <v>Firma Disentimiento</v>
      </c>
      <c r="PP4" s="161">
        <f ca="1">IF(PO4="","",SUM(TODAY()-Tabla1[[#This Row],[Fecha 1ra Dosis Anti COVID-19]]))</f>
        <v>45225</v>
      </c>
      <c r="PQ4" s="165" t="str">
        <f>IFERROR(IF(Tabla1[[#This Row],[Fecha 1ra Dosis Anti COVID-19]]="","",IF(OR(AND(Tabla1[[#This Row],[Tipo Biológico Vacuna anti COVID-19 (Disentimiento)]]="Astrazeneca",PP4&lt;84),AND(Tabla1[[#This Row],[Tipo Biológico Vacuna anti COVID-19 (Disentimiento)]]="Pfizer",PP4&lt;21),AND(Tabla1[[#This Row],[Tipo Biológico Vacuna anti COVID-19 (Disentimiento)]]="Moderna",PP4&lt;21),AND(Tabla1[[#This Row],[Tipo Biológico Vacuna anti COVID-19 (Disentimiento)]]="Sinovac",PP4&lt;28)),"Pendiente Segunda Dosis",IF(OR(AND(Tabla1[[#This Row],[Tipo Biológico Vacuna anti COVID-19 (Disentimiento)]]="Astrazeneca",PP4&gt;=85),AND(Tabla1[[#This Row],[Tipo Biológico Vacuna anti COVID-19 (Disentimiento)]]="Pfizer",PP4&gt;=22),AND(Tabla1[[#This Row],[Tipo Biológico Vacuna anti COVID-19 (Disentimiento)]]="Moderna",PP4&gt;=22),AND(Tabla1[[#This Row],[Tipo Biológico Vacuna anti COVID-19 (Disentimiento)]]="Sinovac",PP4&gt;=29)),"inasistente",IF(OR(AND(Tabla1[[#This Row],[Tipo Biológico Vacuna anti COVID-19 (Disentimiento)]],"Astrazeneca",PP4=84),AND(Tabla1[[#This Row],[Tipo Biológico Vacuna anti COVID-19 (Disentimiento)]],"Pfizer",PP4=21),AND(Tabla1[[#This Row],[Tipo Biológico Vacuna anti COVID-19 (Disentimiento)]],"Moderna",PP4=21),AND(Tabla1[[#This Row],[Tipo Biológico Vacuna anti COVID-19 (Disentimiento)]],"Sinovac",PP4=28)),"Día vacunación1","")))),"Día de Vacunación")</f>
        <v/>
      </c>
    </row>
  </sheetData>
  <protectedRanges>
    <protectedRange algorithmName="SHA-512" hashValue="+u8ETP7RnmTFzwP1xRwajJa0k8e4nLv8tEoGW4GVn+3uAiDu7IjPSpc8eJAORlZW6vPJAWwmGRugW8VCG8sO4g==" saltValue="npbfSwlEiEyOodcwZD1w4Q==" spinCount="100000" sqref="DP1" name="Rango2_78_1"/>
    <protectedRange algorithmName="SHA-512" hashValue="9+DNppQbWrLYYUMoJ+lyQctV2bX3Vq9kZnegLbpjTLP49It2ovUbcartuoQTeXgP+TGpY//7mDH/UQlFCKDGiA==" saltValue="KUnni6YEm00anzSSvyLqQA==" spinCount="100000" sqref="NZ1:OC1 OF1:OG1" name="Rango2_23"/>
    <protectedRange algorithmName="SHA-512" hashValue="9+DNppQbWrLYYUMoJ+lyQctV2bX3Vq9kZnegLbpjTLP49It2ovUbcartuoQTeXgP+TGpY//7mDH/UQlFCKDGiA==" saltValue="KUnni6YEm00anzSSvyLqQA==" spinCount="100000" sqref="JC1" name="Rango2_21"/>
    <protectedRange algorithmName="SHA-512" hashValue="9+DNppQbWrLYYUMoJ+lyQctV2bX3Vq9kZnegLbpjTLP49It2ovUbcartuoQTeXgP+TGpY//7mDH/UQlFCKDGiA==" saltValue="KUnni6YEm00anzSSvyLqQA==" spinCount="100000" sqref="HD1:HI1" name="Rango2_14"/>
    <protectedRange algorithmName="SHA-512" hashValue="9+DNppQbWrLYYUMoJ+lyQctV2bX3Vq9kZnegLbpjTLP49It2ovUbcartuoQTeXgP+TGpY//7mDH/UQlFCKDGiA==" saltValue="KUnni6YEm00anzSSvyLqQA==" spinCount="100000" sqref="GG1" name="Rango2_13"/>
    <protectedRange algorithmName="SHA-512" hashValue="9+DNppQbWrLYYUMoJ+lyQctV2bX3Vq9kZnegLbpjTLP49It2ovUbcartuoQTeXgP+TGpY//7mDH/UQlFCKDGiA==" saltValue="KUnni6YEm00anzSSvyLqQA==" spinCount="100000" sqref="GD1" name="Rango2_12"/>
    <protectedRange algorithmName="SHA-512" hashValue="9+DNppQbWrLYYUMoJ+lyQctV2bX3Vq9kZnegLbpjTLP49It2ovUbcartuoQTeXgP+TGpY//7mDH/UQlFCKDGiA==" saltValue="KUnni6YEm00anzSSvyLqQA==" spinCount="100000" sqref="GA1" name="Rango2_11"/>
    <protectedRange algorithmName="SHA-512" hashValue="9+DNppQbWrLYYUMoJ+lyQctV2bX3Vq9kZnegLbpjTLP49It2ovUbcartuoQTeXgP+TGpY//7mDH/UQlFCKDGiA==" saltValue="KUnni6YEm00anzSSvyLqQA==" spinCount="100000" sqref="FP1" name="Rango2_8"/>
    <protectedRange algorithmName="SHA-512" hashValue="9+DNppQbWrLYYUMoJ+lyQctV2bX3Vq9kZnegLbpjTLP49It2ovUbcartuoQTeXgP+TGpY//7mDH/UQlFCKDGiA==" saltValue="KUnni6YEm00anzSSvyLqQA==" spinCount="100000" sqref="FM1" name="Rango2_3"/>
    <protectedRange algorithmName="SHA-512" hashValue="9+DNppQbWrLYYUMoJ+lyQctV2bX3Vq9kZnegLbpjTLP49It2ovUbcartuoQTeXgP+TGpY//7mDH/UQlFCKDGiA==" saltValue="KUnni6YEm00anzSSvyLqQA==" spinCount="100000" sqref="FJ1" name="Rango2_2"/>
    <protectedRange algorithmName="SHA-512" hashValue="9+DNppQbWrLYYUMoJ+lyQctV2bX3Vq9kZnegLbpjTLP49It2ovUbcartuoQTeXgP+TGpY//7mDH/UQlFCKDGiA==" saltValue="KUnni6YEm00anzSSvyLqQA==" spinCount="100000" sqref="FG1" name="Rango2_1"/>
    <protectedRange algorithmName="SHA-512" hashValue="pQ6vInBI7jDXfrmgGnBjneiSUgubKo9e3UhSr5pntFxC4lQ1L2R7W9mWn9K/xCr9KtD58PriWM0QPl5YbrSUiw==" saltValue="L8IhfO9AhXeu6nkwX8uk8g==" spinCount="100000" sqref="MU1:MV1 NP1 NU1:NY1 MU2:OG1498" name="Rango2_28"/>
    <protectedRange algorithmName="SHA-512" hashValue="2gOcTv8KhhbatWH2J4ld+83e9uojIkSnFb/vPHIX4VEVy4wxI/E7XMqIA+G/US6qZvoaS/ShHA0kq75uL35u7Q==" saltValue="lGxNNsLHiq6QaaaiDiz4eg==" spinCount="100000" sqref="EV1:EW1" name="Rango2_97"/>
    <protectedRange algorithmName="SHA-512" hashValue="cjB0/89+phf70Vhq9PW8mqFIBSi0NBIwb6Nu68c2KHw5qNJONhOzx/CkyH9AcA1QkhnV2r8TzORgeQ70DsWEuQ==" saltValue="HzeP5EzY+7kwoprfNZQSZw==" spinCount="100000" sqref="ER1:ES1" name="Rango2_96"/>
    <protectedRange algorithmName="SHA-512" hashValue="JwKj3a/zHcB6OOxORC1rYfgpKP/CMRF35vaDwtzTtmBZNFABo9rl+UzICIiMUvVtXhbFZVhylar0BVBIrqUYYA==" saltValue="pPGeTouPdUhW9uae14eM0w==" spinCount="100000" sqref="EN1:EO1" name="Rango2_89"/>
    <protectedRange algorithmName="SHA-512" hashValue="aFc1WXUOJlOo+G2n8ZMY7F5piiLTFVnl4myPipBDWxoC1s3J8AWOGcIhveE/wNCm1zt7bC0JDSax037/ZOICnA==" saltValue="Q4P5E34bqyzrOFTtjh+sIg==" spinCount="100000" sqref="EA1:EJ1" name="Rango2_79"/>
    <protectedRange algorithmName="SHA-512" hashValue="+u8ETP7RnmTFzwP1xRwajJa0k8e4nLv8tEoGW4GVn+3uAiDu7IjPSpc8eJAORlZW6vPJAWwmGRugW8VCG8sO4g==" saltValue="npbfSwlEiEyOodcwZD1w4Q==" spinCount="100000" sqref="DC1:DO1 DU1:DV1 DQ1" name="Rango2_78"/>
    <protectedRange algorithmName="SHA-512" hashValue="AmShRyS+16Qs2BAZ2jEJmR8q4zwuR3AjsYFWdb6c6aytHxbFJLulrvObDr2kyHHRhPg6fzAQPYzu7q9IrbOxkA==" saltValue="0EK3h3EL96Rl36tD7x/AxA==" spinCount="100000" sqref="DS1" name="Rango2_77"/>
    <protectedRange algorithmName="SHA-512" hashValue="8gRCTdt0CNtAO2dLV7Ct38/1JJKSzBiwhK4l2Em6CDpHvIllFdFzx1YNg/kImKvJJhopgl5OzaGCDGoQ3Seiug==" saltValue="p/Nnn3bmS6wapzp//VS6xw==" spinCount="100000" sqref="DA1:DB1" name="Rango2_75"/>
    <protectedRange algorithmName="SHA-512" hashValue="SWHd6qxoLe+bNriEbglZF1YJHrgjbzfRYXYEkAC/lNyLPenLVZ5nZzJ4kqugo93eLe7TsjNhpscveFFzvhDeXg==" saltValue="0midFXnAtyNshnWzg7j43A==" spinCount="100000" sqref="CV1:CY1" name="Rango2_63"/>
    <protectedRange algorithmName="SHA-512" hashValue="vkhPwR+4/byQ/qzcvxgTSwv0zZqkaSroRDhGyI+YhTtMvE0/DSbTvjZN9ZhHZktdTC4DmOgN5qa0D1ikp49lEg==" saltValue="d3jpjbPieahmRekiMD/SSw==" spinCount="100000" sqref="CS1:CT1" name="Rango2_60"/>
    <protectedRange algorithmName="SHA-512" hashValue="t1p36nz9q9KMBzmJFqdunMEiSg1ifvyleFLlXiI3n35hD4pvmEvEyQ0aLv/sFsnuoJI5iTPhALzxlnAUOqMorA==" saltValue="/ans6lUxqRcCPhXNR86ZmQ==" spinCount="100000" sqref="CP1:CQ1" name="Rango2_59"/>
    <protectedRange algorithmName="SHA-512" hashValue="a12pJC7sywDpBhhBFqNclpXnG0kDSF+2teaYUx/IkA50kIDDwWTi3ROx6eSgo00jHouMrSxeYC6zq2M3cVX1rA==" saltValue="JxWAHhMbnJFgFI/3ZoTuwA==" spinCount="100000" sqref="CM1" name="Rango2_58"/>
    <protectedRange algorithmName="SHA-512" hashValue="zChlKA2QHLoNazmxQG0BPQVppql2992TAH/DfI7y2lj+Ho95p5JOqiNXfpbO0YhlW/TCDpaEIEyVrS/kQbnQlA==" saltValue="in8Bma4955Tm/LjJCuSDog==" spinCount="100000" sqref="CK1" name="Rango2_57"/>
    <protectedRange algorithmName="SHA-512" hashValue="kWgY2hoF4KcIxdFPxQipujL/Tey4N4aNp7Z1M/Kh7vAUiOnfu8rofah+OZuthxnoikdOBEOB2ozj6nZk5hNzAg==" saltValue="irDz92D4scIQlSA43H+0Hg==" spinCount="100000" sqref="CJ1" name="Rango2_56"/>
    <protectedRange algorithmName="SHA-512" hashValue="AXvv/V//DfM+bbvWvoxeFEI1vXFA5vzrodKwPl3zCMphC3yQXkFTkeL9RvNUYXDiG7qgJqQUYIgDj3x0NohIyA==" saltValue="FoLAWQ0wZuM4/QLW8M1NnA==" spinCount="100000" sqref="CH1" name="Rango2_55"/>
    <protectedRange algorithmName="SHA-512" hashValue="S2IF2XuHip3btzfhr9DBbvfFEwG8DFDi+Opajm/J2IJR+mTIOxcKZebVC5eV0HQ4k9qdTcgeLqK4SdBEkxwO/g==" saltValue="eTA4o7il0cBcu0QmBuVjWg==" spinCount="100000" sqref="CF1" name="Rango2_54"/>
    <protectedRange algorithmName="SHA-512" hashValue="3NidbGkt11ha6IN1y/HCzpX7cM4wtAOUp85PKhWpDss75KMfcvgvVA4eKyildEDIwDNVOVYpCb36wKWqNFOQ2Q==" saltValue="V7aZMcZRdSQd0/GZPHjwHw==" spinCount="100000" sqref="CE1" name="Rango2_53"/>
    <protectedRange algorithmName="SHA-512" hashValue="5InfS2vnDalKnufFiqFUvr4P4JViu8X2tHBM9Y1eg5Bzc96fjwSxrumO4AJMDdb6F+n7/iptghai6C6flopOnw==" saltValue="43IKR18eirSZT50xvmea9Q==" spinCount="100000" sqref="BT1:BU1 BZ1:CB1" name="Rango2_51"/>
    <protectedRange algorithmName="SHA-512" hashValue="vFJvjG+iQrj8vDWVDifD5qDOHBOSB9V8wt0/5OJVoxWwruwuccUmaqzIh5JUODzpDmxUROk2xJzyAFtKXgcHQg==" saltValue="lgDVsS9IWXRoh0tXSdkS+g==" spinCount="100000" sqref="BR1:BS1" name="Rango2_31"/>
    <protectedRange algorithmName="SHA-512" hashValue="RZ02o6S0Mo4cSN0uwEzcJ/558fbGU6fLMxQojIuecIts7rJg6uw6+43q9f9okZ7VyKkFm2ilAAYEIZzdX+QIyg==" saltValue="XuWkTez3QIGAk7pe3zpNmw==" spinCount="100000" sqref="BK1:BL1" name="Rango2_29"/>
    <protectedRange algorithmName="SHA-512" hashValue="WNZU3jjEATib8ybpiFObhOTRkdEQuE8Jup1V/OYC6qXzSYkXKP/HDDhIGNlcclthkWG9WF2246GAKTIu+PwOyQ==" saltValue="D9mkQ7CIj7KAkiw7OWU/8g==" spinCount="100000" sqref="BJ1" name="Rango2_27"/>
    <protectedRange algorithmName="SHA-512" hashValue="YRHPUqMmepU5uJeUadNBpjTbnssMrleyPZ1FIcyRUHikknEWIOuqFlUpFYanUAt+RrR6WdIxfmY53S47/UJA2g==" saltValue="H2y28rMTiCh6/OyAqBW4cA==" spinCount="100000" sqref="BV1:BY1 BA1:BI1" name="Rango2_9"/>
    <protectedRange algorithmName="SHA-512" hashValue="cAqnPN+UCIZzte8I1PR0A+E1NnkaKA1uIlTKaL2Ooq+bsEVoZy+3rFiHfZ83amseg3KrfSyT3g0I28v4fEOZZA==" saltValue="8U9Hp6LW9UleuWFcK7+zGw==" spinCount="100000" sqref="C1 AL1:AZ1" name="Rango2_6"/>
    <protectedRange algorithmName="SHA-512" hashValue="sMY+pHLlO5KJvSN2d2UyDF9UqaYlI9+bYSZVe6vzz5hc8EF5TJqLns5LNTZaakwfC7zWg4d61TtgmLrIuw1rJQ==" saltValue="kY3lBDcBh4szOfiRKeVn3w==" spinCount="100000" sqref="S1:AC1 AE1:AJ1" name="Rango2_5"/>
    <protectedRange algorithmName="SHA-512" hashValue="leWdZjnXA1ZUAjY4P4D99in2DAqSbdhZWN2583ktIGRcveG4iPy27xRGLZrv61dceCUHijEcH27zWZkj599aPA==" saltValue="u3ztF6NvYJB1BmfbV7Xk8g==" spinCount="100000" sqref="Q1:R1" name="Rango2_4"/>
    <protectedRange algorithmName="SHA-512" hashValue="6a5oYwZw9WJcgjqXpleUXH8uaqNEuymPPpeOb7lKBc1WoM6IG/DNyDLWmj2lYwxnZO2yhl+B61kwrxD9m9AdhQ==" saltValue="tdNQPzLQd+n9Ww064QJIaQ==" spinCount="100000" sqref="I2:I54 I125:I141 I234:I317 I512:I551 I562:I669 I683:I706 I723:I737 I740:I741 I794:I967 I1823:I1830 I1832:I1995 I2107:I2150 I2182:I2304 I2319:I2378 I2380:I2383 M3142 I2385:I2751 I969:I1809 I2754:I3449" name="Rango2_61"/>
    <protectedRange algorithmName="SHA-512" hashValue="h3K6ZlV1kJk13sWYl35oSQZzT5o0Ch3dXlvl+Mk1LsOF2bMT94N0w0RZivBVwc8HUlb7YhU3cTwFBGFbeyep5A==" saltValue="UBfBVB1eUJlUmHazaNLJxg==" spinCount="100000" sqref="CI2:CI3449" name="Rango2_7"/>
    <protectedRange algorithmName="SHA-512" hashValue="Gqwr8n5jYbCESAqCFk8dpOzViQICBV+k0xoqBoQaZ5lHaRlvT9TZDB4yXtm+qC6OhD064ZDBOFWkwo+LHXu1sg==" saltValue="gEL9PCN2ekF2IxW9yqAGYA==" spinCount="100000" sqref="IS2:IS28 IS206:IS317 IS512:IS551 IS562:IS737 IS740:IS741 IS761:IS766 IS768 IS781:IS786 IS794:IS810 IS812:IS820 IS822:IS825 IS827:IS850 IS852:IS967 IS1885:IS1995 IS2107:IS2150 IW2233 IS2182:IS2304 IS2319:IS2378 IS2380:IS2383 IS2385:IS2751 IS969:IS1879 IS2754:IS3449" name="Rango2_40_2"/>
    <protectedRange algorithmName="SHA-512" hashValue="EEHzbvEYwO1eufllBljOz0uf9BJ2ENtvOScQ7IsS321QhYbwKn7qhHKKP8cKj02rTDvVRMWvwQ1ZP0mZWsBprQ==" saltValue="CjXqBRFbKezlWOFV37MnDQ==" spinCount="100000" sqref="GQ2:GR28 GW2:GW28 GN2:GN28 GQ173:GR317 GW173:GW317 GN173:GN317 GN512:GN551 GW512:GW551 GQ512:GR551 GQ562:GR669 GW562:GW669 GN562:GN669 GN683:GN706 GQ683:GR706 GW683:GW706 GW723:GW737 GN723:GN737 GQ723:GR737 GQ740:GR741 GN740:GN741 GW740:GW741 GW756:GW759 GW766 GW768 GQ794:GR967 GW794:GW967 GN794:GN967 GQ1810:GR1834 GQ1809 GR1835:GR1837 GQ1838:GR1995 GW2107:GW2154 GN2107:GN2154 GQ2107:GR2154 GW2182:GW2304 GN2182:GN2304 GQ2182:GR2304 GQ2319:GR2378 GW2319:GW2378 GN2319:GN2378 GQ2380:GR2383 GW2380:GW2383 GN2380:GN2383 GN2385:GN2752 GQ2385:GR2752 GW2385:GW2751 GQ2754:GR3417 GW2754:GW3417 GN2754:GN3417 GN969:GN1995 GW969:GW1995 GQ969:GR1808" name="Rango2_30_2"/>
    <protectedRange algorithmName="SHA-512" hashValue="Rgskw+AQdeJ5qbJdarzTa3SCkJfDGziy0Uan5N0F3IWn/H3Z/e+VcB56R7Nes7MPxNHewNP1sSSucVjz3iTLeA==" saltValue="qKZH3DnwaZHBzy3cBZo1qQ==" spinCount="100000" sqref="GF2:GF28 GF207:GF287 GF292:GF306 GF308:GF317 GF512:GF551 GF562:GF643 GF645:GF669 GF683:GF706 GF721:GF737 GF740:GF741 GF760:GF761 GF765:GF768 GF803 GF801 GF795:GF798 GF805:GF810 GF812:GF822 GC836 GF824:GF832 GF834:GF837 GF839:GF845 GF848 GF852:GF853 GF850 GF855 GF857:GF860 GF862:GF870 GC883 GC887 GC943 GC900 GF872:GF939 GF941:GF967 GC1527 GC1798 GE1810 GF1775:GF1809 GF1811:GF1995 GF2107:GF2154 GF2182:GF2256 GF2258:GF2288 GF2290:GF2297 GF2299:GF2304 GF2319:GF2378 GF2380:GF2383 GF2385:GF2751 GF2754:GF3417 GF969:GF1773" name="Rango2_31_28"/>
    <protectedRange algorithmName="SHA-512" hashValue="Umj9+5Ys20VQPxBFtc6qE5LtKKSgPKwit+B8dd4XnEUaLfBM2ozpkEC4YxwK0SbBiAHDDex+pY+LomQ0lyuamQ==" saltValue="N2/MCRws+mmA+NXw0axolg==" spinCount="100000" sqref="GJ2:GJ28 GH2:GH28 GE2:GE28 GL2:GL28 FY2:FY28 GJ164:GJ230 GH164:GH230 GI231:GJ234 GH235:GH317 GE164:GE317 FY164:FY317 GL164:GL317 GJ235:GJ317 GL512:GL551 GH512:GH551 GJ512:GJ551 FY512:FY551 GE512:GE551 GH562:GH669 GE562:GE669 FY562:FY669 FY683:FY706 GE683:GE706 GH683:GH737 GE721:GE737 GL562:GL737 FY723:FY737 GJ562:GJ737 GJ740:GJ741 FY740:FY741 GL740:GL741 GE740:GE741 GH740:GH741 GJ760:GJ761 GH760:GH761 GL760:GL761 GE760:GE761 FY766 GE765:GE768 GJ765:GJ768 GH765:GH768 GL765:GL768 GJ794:GJ967 GH794:GH967 GE794:GE967 GL794:GL967 FY794:FY967 FY1816:FY1995 GE1811:GE1995 FY2107:FY2154 GJ2107:GJ2154 GH2107:GH2154 GE2107:GE2154 GL2107:GL2154 FY2182:FY2187 FY2189:FY2196 GH2182:GH2255 GB2:GB33 GB35:GB40 GB42:GB43 GB48 GB52:GB53 GB55 GB57 GB59:GB65 GB68 GB70 GB72:GB80 GB82:GB85 GB88:GB106 GB109 GB111 GB113:GB115 GB117 GB119:GB121 GB126:GB128 GB133:GB135 GB137:GB138 GB143 GB146 GB148:GB149 GB152:GB153 GB155 GB157:GB160 GB162 GB164:GB317 GB319:GB321 GB329 GB331 GB334:GB336 GB340 GB346 GB348 GB356:GB357 GB364 GB366 GB372:GB401 GB403:GB410 GB412:GB417 GB420 GB422:GB432 GB434:GB437 GB439:GB442 GB444 GB446 GB449 GB452 GB454 GB473:GB475 GB477:GB478 GB486:GB489 GB492 GB496 GB500:GB501 GB503:GB506 GB509 GB512:GB551 GB556:GB558 GB562:GB672 GB674 GB676 GB679:GB680 GB682:GB738 GB740:GB741 GB744 GB746:GB748 GB760:GB761 GB766:GB768 GB773 GB779 GB789:GB791 GB1747:GB1998 GB2000 GB2003:GB2006 GB2008 GB2011:GB2016 GB2020:GB2023 GB2025 GB2028:GB2031 GB2033 GB2035:GB2036 GB2038 GB2040 GB2043:GB2047 GB2049:GB2051 GB2053 GB2056 GB2058:GB2061 GB2063 GB2065 GB2069:GB2070 GB2072 GB2075:GB2077 GB2080:GB2083 GB2085:GB2086 GB2093:GB2094 GB2097:GB2098 GB2101:GB2104 GB2107:GB2158 GB2160:GB2162 GB2164 GB2166:GB2170 GB2174 GE2182:GE2256 GH2257:GH2258 GH2263 GH2267:GH2277 GB2182:GB2285 FY2198:FY2287 GB2287:GB2291 FE2290:FE2291 FY2289:FY2291 GE2258:GE2297 FY2294:FY2297 FY2300 GJ2182:GJ2304 GL2182:GL2304 GB2293:GB2304 GH2279:GH2304 GE2299:GE2304 FY2303:FY2304 GJ2365:GJ2378 GH2365:GH2378 GE2365:GE2378 GB2365:GB2378 GL2365:GL2378 FY2365:FY2378 GJ2380:GJ2383 GH2380:GH2383 GE2380:GE2383 GB2380:GB2383 GL2380:GL2383 FY2380:FY2383 FY2385:FY2752 GJ2385:GJ2751 GH2385:GH2751 GB2385:GB2751 GE2385:GE2751 GL2385:GL3417 GH2754:GH3417 GE2754:GE3417 GB2754:GB3417 FY2754:FY3417 GJ2754:GJ3417 GB793:GB1745 GL969:GL1995 GH969:GH1995 GJ969:GJ1995 GE969:GE1809 FY969:FY1814" name="Rango2_31_2"/>
    <protectedRange algorithmName="SHA-512" hashValue="GQxmOzaTuMFsDZHCl1ODFaXPPghrRZcRpa/1VH3algTqDX4GRiaFFj6Q2wDsqOuE7x55/FLHiiv9LV1tbOzWGQ==" saltValue="cUsFM4zNMtXa1it2k0Up7Q==" spinCount="100000" sqref="CM2:CM3449" name="Rango2_20_3"/>
    <protectedRange algorithmName="SHA-512" hashValue="RQ91b7oAw60DVtcgB2vRpial2kSdzJx5guGCTYUwXYkKrtrUHfiYnLf9R+SNpYXlJDYpyEJLhcWwP0EqNN86dQ==" saltValue="W3RbH3zrcY9sy39xNwXNxg==" spinCount="100000" sqref="BA2:BI28 BV2:BY28 BA202:BI269 BA271:BI317 BV202:BY317 BA512:BI551 BV512:BY551 BV562:BY669 BA562:BI669 BA683:BI706 BV683:BY706 BV723:BY737 BA723:BI737 BA740:BI741 BV740:BY741 BA794:BI967 BV794:BY967 BW1764:BY1764 BA1820:BG1821 BA1822:BI1845 BA1848:BI1860 BA1862:BI1863 BA1872:BI1995 BV1765:BY1995 BA2107:BI2154 BV2107:BY2154 BA2182:BI2304 BV2182:BY2304 BA2319:BI2352 BV2319:BY2378 BA2359:BI2378 BV2380:BY2383 BA2380:BI2383 BV2752:BW2752 BY2752 BA3319:BI3398 BA2385:BI2752 BV2385:BY2751 BA2754:BI3317 BA969:BI1809 BV969:BY1763 BV2754:BY3449 BA3400:BI3449" name="Rango2_88_99"/>
    <protectedRange algorithmName="SHA-512" hashValue="fMbmUM1DQ7FuAPRNvFL5mPdHUYjQnlLFhkuaxvHguaqR7aWyDxcmJs0jLYQfQKY+oyhsMb4Lew4VL6i7um3/ew==" saltValue="ydaTm0CeH8+/cYqoL/AMaQ==" spinCount="100000" sqref="AU2:AU28 AW2:AZ28 AU207:AU269 AW207:AZ269 AU270:BI270 AW271:AZ317 AU271:AU317 AU512:AU551 AW512:AZ551 AU562:AU669 AW562:AZ669 AW683:AZ706 AU683:AU706 AW723:AZ737 AU723:AU737 AU740:AU741 AW740:AZ741 AU794:AU967 AW794:AZ967 AW1819:AX1819 AW1820:AZ1845 AW1846:BI1847 AW1848:AZ1863 BA1861:BI1861 AW1864:BI1871 AU1813:AU1995 AW1872:AZ1995 AU2107:AU2154 AW2107:AZ2154 AU2182:AU2304 AW2182:AZ2304 BA2353:BI2353 AW2354:BI2358 AW2319:AZ2353 AU2319:AU2378 AW2359:AZ2378 AU2380:AU2383 AW2380:AZ2383 AW3318:BI3318 AW3319:AZ3398 AW3399:BI3399 AW2385:AZ2752 AU2385:AU2752 AW2754:AZ3317 AU969:AU1809 AW969:AZ1809 AU2754:AU3449 AW3400:AZ3449" name="Rango2_88_91"/>
    <protectedRange algorithmName="SHA-512" hashValue="CHipOQaT63FWw628cQcXXJRZlrbNZ7OgmnEbDx38UmmH7z19GRYEzXFiVOzHAy1OAaAbST7g2bHZHDKQp2qm3w==" saltValue="iRVuL+373yLHv0ZHzS9qog==" spinCount="100000" sqref="AG2:AH28 AJ2:AJ28 AL2:AL28 AG202:AH317 AL202:AL317 AJ202:AJ317 AL512:AL551 AJ512:AJ551 AG512:AH551 AG562:AH669 AJ562:AJ669 AL562:AL669 AJ683:AJ706 AG683:AH706 AL683:AL706 AJ723:AJ737 AG723:AH737 AL723:AL737 AG740:AH741 AL740:AL741 AJ740:AJ741 AG794:AH967 AJ794:AJ967 AL794:AL967 AL1797:AL1809 AL1821:AL1843 AM1842:AN1843 AO1843:AQ1843 AL1844:AQ1847 AL1784:AQ1796 AJ1821:AJ1863 AG1822:AH1863 AL1848:AL1862 AL1863:AQ1871 AG1865:AJ1871 AG1872:AH1995 AJ1872:AJ1995 AL1872:AL1995 AG2107:AH2154 AJ2107:AJ2154 AL2107:AL2154 AG2182:AH2304 AJ2182:AJ2304 AL2182:AL2304 AM2356:AQ2358 AG2319:AH2378 AJ2319:AJ2378 AL2319:AL2378 AG2380:AH2383 AJ2380:AJ2383 AL2380:AL2383 AL2385:AL2752 AG969:AH1809 AJ969:AJ1809 AL969:AL1783 AL2754:AL3449 AG2385:AH3449 AJ2385:AJ3449" name="Rango2_88_7_5"/>
    <protectedRange algorithmName="SHA-512" hashValue="NkG6oHuDGvGBEiLAAq8MEJHEfLQUMyjihfH+DBXhT+eQW0r1yri7tOJEFRM9nbOejjjXiviq9RFo7KB7wF+xJA==" saltValue="bpjB0AAANu2X/PeR3eiFkA==" spinCount="100000" sqref="AM2:AS28 AM206:AS317 AM512:AS551 AM562:AS669 AM683:AS706 AM723:AS737 AM740:AS741 AM794:AS967 AR1812:AS1820 AM1821:AS1841 AO1842:AS1842 AR1843:AS1847 AM1797:AS1809 AR1784:AS1796 AM1848:AS1862 AR1863:AS1871 AM1872:AS1995 AM2107:AS2154 AM2182:AS2304 AR2356:AS2358 AM2319:AS2355 AM2359:AS2378 AM2380:AS2383 AM2385:AS2417 AM2418:AT2418 AM2752:AQ2752 AM2419:AS2751 AM969:AS1783 AM2754:AS3449" name="Rango2_88_65"/>
    <protectedRange algorithmName="SHA-512" hashValue="fPHvtIAf3pQeZUoAI9C2/vdXMHBpqqEq+67P5Ypyu4+9IWqs3yc9TZcMWQ0THLxUwqseQPyVvakuYFtCwJHsxA==" saltValue="QHIogSs2PrwAfdqa9PAOFQ==" spinCount="100000" sqref="AC2:AC28 AC206:AC317 AC512:AC551 AC562:AC669 AC683:AC706 AC723:AC737 AC740:AC741 AC794:AC967 AD1846:AD1853 AD1855:AD1858 AC1814:AC1995 AC2107:AC2154 AC2182:AC2304 AC2319:AC2378 AC2380:AC2383 AC2385:AC2752 AC969:AC1809 AC2754:AC3449" name="Rango2_88_5_5"/>
    <protectedRange algorithmName="SHA-512" hashValue="LEEeiU6pKqm7TAP46VGlz0q+evvFwpT/0iLpRuWuQ7MacbP0OGL1/FSmrIEOg2rb6M+Jla2bPbVWiGag27j87w==" saltValue="HEVt+pS5OloNDlqSnzGLLw==" spinCount="100000" sqref="AI2:AI28 AI206:AI317 AI512:AI551 AI562:AI669 AI683:AI706 AI723:AI737 AI740:AI741 AI794:AI967 AI1822:AI1864 AI1872:AI1995 AI2107:AI2154 AI2182:AI2304 AI2319:AI2378 AI2380:AI2383 AI969:AI1809 AI2385:AI3449" name="Rango2_8_7"/>
    <protectedRange algorithmName="SHA-512" hashValue="q2z5hEFmXS0v2chiPTC/VCoDWNlnhp+Xe6Ybfxe48vIsnB/KTJQxJv+pFUnCXfZ9T6vyJopuqFFNROfQTW/JUw==" saltValue="IctfdGJb5tOTpq+KPi9vww==" spinCount="100000" sqref="IA2:IA28 AE2:AF28 ID2:IE4 IK2:IK3449 ID5:IJ28 IH2:IJ4 ID125:IJ141 ID142:IE144 IH142:IJ144 AE132:AF317 ID145:IJ317 IA125:IA317 AE512:AF551 ID512:IJ551 IA512:IA551 AE562:AF669 ID562:IJ669 IA562:IA669 AE683:AF706 IG670:IJ684 ID683:IF684 ID670:ID682 ID685:IJ706 IH707:IJ707 IG708:IJ722 ID723:IJ729 AE723:AF737 AE740:AF741 ID730:IE737 IH730:IJ737 IA683:IA737 IA740:IA741 IH740:IJ741 ID740:IE741 ID760:IJ761 IF766:IJ768 IA766:IA768 ID815:IF815 ID823:IF823 IH815 IH823 ID824:IH828 IH819 ID830:IH831 IH829 ID819:IF819 ID829:IF829 ID816:IH818 ID820:IH822 ID794:IJ810 ID811:IH814 IH832 ID832:IF832 ID833:IH836 II811:IJ836 ID837:IJ843 ID844:IF844 IH844 ID845:IH845 II844:IJ845 ID846:IJ856 ID858:IF858 IH858 ID857:IH857 II857:IJ858 AE794:AF967 IA794:IA967 ID859:IJ967 ID969:IJ999 ID1000:IE1002 IH1000:IJ1002 AE1822:AF1863 AE1864:AH1864 AJ1864 IH1737:IJ1737 ID1737:IE1737 ID1738:IJ1871 ID1872:IE1874 ID1875:IJ1878 IH1872:IJ1874 ID1879:IE1882 IH1879:IJ1882 AE1865:AF1995 ID1883:IJ1995 ID2107:IJ2150 AE2107:AF2154 IA2107:IA2152 ID2151:ID2154 IA2154 ID2182:ID2228 ID2229:IF2255 AE2182:AF2304 ID2256:IE2256 IH2256:IJ2256 IA2182:IA2304 ID2257:IJ2304 AE2319:AF2378 AE2380:AF2383 IA2319:IA2378 ID2319:IJ2378 IA2380:IA2383 ID2380:IJ2383 ID2385:IJ2389 ID2390:IH2392 ID2393:IF2393 IH2393 II2390:IJ2393 ID2394:IJ2394 ID2395:IH2396 ID2398:IH2398 ID2397:IF2397 IH2397 II2395:IJ2398 ID2755:IJ2757 IE2754:IJ2754 ID2752:ID2754 ID2758:IE2758 IH2758:IJ2758 ID2759:IJ2812 ID2813:IE2813 IH2813:IJ2813 ID2814:IJ3417 IA2385:IA3417 ID2399:IJ2751 IA969:IA1995 AE969:AF1809 ID1003:IJ1736 AE2385:AF3449" name="Rango2_88_39"/>
    <protectedRange algorithmName="SHA-512" hashValue="AYYX88LSDB6RDNMvSqt0KPGWPjBqTk56tMxTOlv5QD61MGTKAAQnSnudvNDWPN0Bbllh2qRQC+P5uq7goxjdrw==" saltValue="i/iPMewnks1FoXYOjKMEVg==" spinCount="100000" sqref="AB2:AB28 AB206:AB317 AB512:AB551 AB562:AB669 AB683:AB706 AB723:AB737 AB740:AB741 AB794:AB967 AB2107 AB2109:AB2112 AB2115 AB2118:AB2119 AB2121:AB2154 AB2182:AB2304 AB2319:AB2323 AB2325:AB2378 AB2380:AB2383 AB2385:AB2751 AB969:AB1995 AB2754:AB3449" name="Rango2_87_6"/>
    <protectedRange algorithmName="SHA-512" hashValue="NUll9P9xh7KbSfMYpMxsRZLfDw/y/AzW2LSWlpXVscBDqiAxmzo71xjs+a2lh+jRa7pceOC849slke4+ZKx8LA==" saltValue="8qbkKpQ+CiQuLnqgShNvXA==" spinCount="100000" sqref="T2:T28 T206:T317 T512:T551 T562:T669 T683:T706 T723:T737 T740:T741 T794:T967 T1823:T1995 T2107:T2154 T2182:T2304 T2319:T2378 T2380:T2383 T2385:T2751 T969:T1809 T2754:T3449" name="Rango2_88_6"/>
    <protectedRange algorithmName="SHA-512" hashValue="KHhv3JU/LRdRrRTxxkgFceEHPZ5UzadmpZRZR3zmQRnPvkUJZuanRafIJ+qde0IWwLZSvFIQDyUAHq6v6k7XIg==" saltValue="2GKG1kCzVNNcn+vbOPuhJA==" spinCount="100000" sqref="Q2:Q28 Q206:Q317 Q512:Q551 Q562:Q669 Q683:Q706 Q723:Q737 Q740:Q741 Q794 Q1003 Q2200 Q802 Q804 Q810 Q815:Q816 Q857 Q859 Q886 Q1010 Q1035 Q1058 Q1060 Q1074 Q1110 Q1145 Q1176 Q1387 Q1395 Q1411 Q1474 Q1586 Q1647 Q1673 Q1679 Q1705 Q1888:Q1905 Q1908 Q1911 Q1916 Q1920 Q1923 Q1931 Q1935 Q1942 Q1944:Q1945 Q1947 Q1955 Q1957:Q1959 Q1962 Q1970 Q1973:Q1976 Q1981 Q1984 Q1990:Q1992 Q2207 Q2212 Q2217 Q2222 Q2256:Q2304 Q2319:Q2378 Q2380:Q2383 Q2385:Q2752 Q2754:Q3449" name="Rango2_2_5"/>
    <protectedRange algorithmName="SHA-512" hashValue="XZw03RosI/l0z9FxmTtF29EdZ7P+4+ybhqoaAAUmURojSR5XbGfjC4f2i8gMqfY+RI9JvfdCA6PSh9TduXfUxA==" saltValue="5TPtLq2WoiRSae/yaDPnTw==" spinCount="100000" sqref="AT2:AT28 AV2:AV28 FQ2:FR28 ER2:ES28 EV2:EW28 FF2:FF28 GO2:GO28 GT2:GT28 FZ2:FZ28 EA2:EJ28 U2:AA28 FW2:FX28 CJ2:CK28 IB2:IB28 FU2:FU28 EO2:EO28 GM2:GM28 GK2:GK28 CS2:CT28 CP2:CQ28 GY2:GZ28 CV2:CY28 BR2:BU28 BZ2:CB28 CE2:CF28 O2:O28 R2:S28 HU2:HZ28 FI2:FI28 BJ2319:BL2378 BL2380:BL2384 BJ2385:BL2751 DO29:DP90 DA91:DP163 DH164:DP165 DF165:DG165 DE164:DG164 DA164:DD165 GC160 FL162 GC166:GC167 GC170 GC173 GC178 FZ88:FZ177 FL180 FF88:FF244 FF246 AV91:AV269 FI88:FI286 GC287 FL289:FL290 GF289:GF290 EA88:EJ290 FI290:FI291 EA291 EC291:EJ291 DA166:DP317 CJ91:CK317 U91:AA317 CS91:CT317 CP91:CQ317 BR91:BU317 BZ91:CB317 CV91:CY317 AT91:AT317 AV271:AV317 CE91:CF317 R91:S317 IL88:IM317 GC306 FL307 GF307 GC311 FQ88:FR317 IB88:IB317 FU88:FU317 EO88:EO317 GM88:GM317 GK88:GK317 GY88:GZ317 HJ88:HJ317 ER88:ES317 FF248:FF317 FW88:FX317 EV88:EW317 GT88:GT317 FI295:FI317 FZ179:FZ317 HU88:HZ317 GO88:GO317 EA292:EJ317 CE512:CF551 CV512:CY551 CP512:CQ551 CS512:CT551 CJ512:CK551 AV512:AV551 AT512:AT551 U512:AA551 O512:O551 R512:S551 BZ512:CB551 BR512:BU551 DA512:DN551 DO318:DP561 FI512:FI524 GY512:GZ551 GK512:GK551 GM512:GM551 EO512:EO551 FU512:FU551 GT512:GT551 FQ512:FR551 FI526:FI551 EV512:EW551 ER512:ES551 FF512:FF551 FZ512:FZ551 GO512:GO551 IL512:IM551 EA512:EJ551 FW512:FX551 HJ512:HJ551 IB512:IB551 HU512:HZ551 DA562:DP669 CS562:CT669 CP562:CQ669 BR562:BU669 CV562:CY669 O562:O669 AT562:AT669 AV562:AV669 CJ562:CK669 BZ562:CB669 R562:S669 U562:AA669 CE562:CF669 IL562:IM669 GC649 GC654 FQ562:FR669 GT562:GT669 IB562:IB669 FU562:FU669 EO562:EO669 GY562:GZ669 HJ562:HJ669 FZ562:FZ669 FF562:FF669 FW562:FX669 GO562:GO669 FI562:FI669 ER562:ES669 EV562:EW669 EA562:EJ669 HU562:HZ669 DO670:DP684 DA683:DN684 O683:O706 R683:S706 AV683:AV706 AT683:AT706 BZ683:CB706 CE683:CF706 CJ683:CK706 CP683:CQ706 CS683:CT706 CV683:CY706 DA685:DP706 U683:AA706 BR683:BU706 BJ683:BK706 EA683:EJ706 ER683:ES706 EV683:EW706 FF683:FF706 FI683:FI706 FQ683:FR706 FU683:FU706 FW683:FX706 FZ683:FZ706 GO683:GO706 GT683:GT706 GY683:GZ706 HU683:HZ706 IB683:IB706 IL683:IM706 DI707:DP722 DA723:DP729 HV707:HV721 HX707:HX721 HZ707:HZ721 HU722:HV722 HX722:HZ722 EA723:EJ729 AV723:AV737 CS722:CT737 CP723:CQ737 CV721:CY737 BR723:BU737 BZ723:CB737 O723:O737 R723:S737 BJ723:BK737 AT723:AT737 DA730:DN737 U723:AA737 CJ737 CE723:CF737 CJ721:CK736 U740:AA741 CJ740:CK741 DA740:DN741 AT740:AT741 BJ740:BK741 R740:S741 O740:O741 CE740:CF741 BZ740:CB741 BR740:BU741 CV740:CY741 CP740:CQ741 CS740:CT741 AV740:AV741 DM745:DN752 GC732:GC735 FQ723:FR737 ER723:ES737 EV723:EW737 FF723:FF737 GO723:GO737 GT723:GT737 FZ723:FZ737 IB722:IB737 FU722:FU737 EO683:EO737 GM562:GM737 GK562:GK737 GY723:GZ737 HU723:HZ737 FI722:FI737 HJ685:HJ737 FW723:FX737 IL721:IM737 EJ730:EJ737 EA730:EH737 HJ741 EA741:EH741 EJ740:EJ741 EA740:EG740 IL740:IM741 FW740:FX741 FI740:FI741 HU740:HZ741 GY740:GZ741 GK740:GK741 GM740:GM741 EO740:EO741 FU740:FU741 IB740:IB741 FZ740:FZ741 GT740:GT741 GO740:GO741 FF740:FF741 EV740:EW741 ER740:ES741 FQ740:FR741 DM755:DN759 CX760:CY761 DH760:DN760 DI761:DN761 CV766:CY766 BR767:BU767 DH765:DN765 DF767:DN767 CX765:CY765 BT765:BU766 DG766:DN766 CS768:CT768 CX768:CY768 DG768:DN768 BT768:BU768 FU756:FU759 HJ756:HJ759 FQ760:FR761 GM760:GM761 GK760:GK761 IB760:IB761 IL760:IM760 EF760:EH761 EB761 ED760:ED761 FU761 EO761 FI761 FW766:FX766 FF766 FZ766:FZ767 IL766:IM766 FR765 FW765 GM765:GM768 GK765:GK768 FU765:FU768 HJ765:HJ768 FF768 FI768 FW768:FX768 GY765:GZ768 HU766:HZ768 IO765:IO768 DO730:DP793 GF794 GC795 FI795 FL794:FL795 GC797 FL800 GF800 FC797 FI800 EA794:EJ801 FI797 EB802 ED802 EF802:EJ802 FL802 GF802 FI802 GC804 FL804 GF804 ER794:ES805 FF794:FF805 FQ794:FR805 EO794:EO805 FI804:FI805 ER806 GC808 EV794:EW809 DA794:DP837 BR794:BU847 EV830:EW830 EV813:EW813 EV818:EW818 EV814:EV817 EV825:EW825 GC824 EV823:EV824 GF811 EV828:EW828 EV826:EV827 EV820:EW822 EV819 EV831 GC829:GC831 GC819:GC820 GC810:GC811 EV810:EV812 EV829 FL811:FL812 FL816 FL823 FL825 FZ794:FZ811 FL829:FL830 GC816:GC817 EV834:EW834 EV833 GC834:GC835 EV835:EV836 EV832:EW832 FL833 FI807:FI835 EV838:EV839 EV837:EW837 EV840:EW840 FI837 GC837 FI839:FI840 EV841 EV842:EW843 EV844:EV845 EA803:EJ844 EA845:EH845 EJ845 EV853:EW854 EV848:EW849 EV847 EV846:EW846 EV851:EW851 FL849 FL845:FL847 EV852 FU794:FU847 EA848:EE848 EH848:EJ848 EA846:EJ847 GC852 FI842:FI850 EV850 FQ807:FR847 FR849 FQ848:FQ849 EV855 FL854:FL855 EV856:EW856 FL858 EV857:EV860 FF807:FF861 EV868:EV869 FL865 EV861:EW863 EV864 EV865:EW867 EV870:EW873 FL871 FI852:FI873 FZ813:FZ871 EV874 FL878 GC880 FL880 FF863:FF881 GC886 FL893 FI892:FI893 FI875:FI890 EO807:EO893 GC905:GC906 FZ900:FZ925 FL907 FZ873:FZ897 EN894:EO894 FL930 GC934 FL943 GO794:GO916 DA950:DN952 DB953:DN953 DO950:DP970 DA969:DN970 AT794:AT967 AV794:AV967 CJ794:CK967 CS794:CT967 CP794:CQ967 CV794:CY967 BR849:BU967 BZ794:CB967 CE794:CF967 U794:AA967 DA954:DN967 GC956 FQ850:FR967 ER807:ES967 EV875:EW967 FF883:FF967 GO918:GO967 GT794:GT967 FZ927:FZ967 IB794:IB967 FU849:FU967 EO895:EO967 GM794:GM967 GK794:GK967 GY794:GZ967 IL794:IM967 EA849:EJ967 HU794:HZ967 HJ794:HJ967 FI895:FI967 EI968 DA971:DP1088 U1230:Y1230 AA1230 U969:AA1229 DO1385:DP1498 GC1650 BR1764:BV1764 DC1810:DN1811 W1812:X1821 V1822:X1822 DE1759 DE1758:DF1758 CK1793:CK1805 X1836 W1823:X1835 BZ1812:CA1836 BZ1838:BZ1839 CA1837:CA1839 U1823:V1840 W1837:X1840 S1810:S1849 U1841:X1849 Y1810:Y1849 AA1810:AA1849 R1812:R1849 CB1812:CB1858 CP1812:CQ1842 Z1812:Z1849 CX1767:CY1767 O1800:O1809 DE1760:DF1809 DA1758:DD1809 DC1858:DN1858 DG1758:DN1809 DA1385:DN1757 CJ1793:CJ1858 CK1807:CK1858 BZ1840:CA1858 DA1812:DN1857 GB1746:GC1746 EE1770:EE1771 GC1764 GC1773 ED1765:EE1769 GC1785 EA1799:EB1809 GC1799 GC1782 EC1804 EC1805:ED1809 EC1799:ED1803 EE1799:EE1809 FL1809 IM1793:IM1795 FU1800:FU1835 GC1837 GQ1835:GQ1837 GC1842 GC1853 GC1815 FI1776:FI1784 FL1767 FF1810:FF1814 FL1756:FL1758 IL1793:IL1858 IM1797:IM1858 FI1786:FI1853 FF1777:FF1808 FW2122:FX2154 ED1772:EE1798 EA1765:EC1798 FI1758:FI1774 FF1743:FF1775 GC1737:GC1739 FL1737 FI1528:FI1756 FZ1468:FZ1814 EF1765:EJ1809 FZ1816:FZ1852 DA1883:DE1883 DG1883:DN1883 DA1859:DN1880 FZ1854:FZ1881 CJ1859:CK1995 CP1844:CQ1995 CV1768:CY1995 BR1765:BU1995 O1812:O1995 U1850:AA1995 AT1812:AT1995 AV1812:AV1995 BZ1859:CB1995 R1850:S1995 CE1811:CF1995 DA1884:DN1995 FQ1811:FR1995 ER1811:ES1995 EV1811:EW1995 FF1816:FF1995 GO1823:GO1995 GT1823:GT1995 FZ1883:FZ1995 FU1837:FU1995 FI1856:FI1995 IL1859:IM1995 BR2122:BU2150 FI2122:FI2135 EA2122:EJ2150 IL2122:IM2150 FI2137:FI2140 BS2151:BU2152 CP2122:CQ2154 CS2122:CT2154 O2122:O2154 CJ2122:CK2154 CV2122:CY2154 BJ2151:BJ2153 AV2122:AV2154 AT2122:AT2154 BZ2122:CB2154 CE2122:CF2154 BR2153:BU2154 R2122:S2154 U2122:AA2154 DA2122:DN2132 EB2151 ED2151 EF2151:EJ2151 EV2122:EW2151 EW2152 EY2152 FC2152 FR2142 FU2122:FU2154 FI2142:FI2154 FF2122:FF2154 FZ2122:FZ2154 ER2122:ES2154 EN2138 EA2152:EJ2154 EV2153:EW2154 GM2122:GM2154 GK2122:GK2154 GY2122:GZ2154 GO2122:GO2154 GT2122:GT2154 HJ2122:HJ2154 HU2122:HZ2152 HU2153:HX2153 HZ2153:IA2153 IB2122:IB2154 HU2154:HZ2154 DA2182:DN2185 DC2187:DD2188 DE2186:DN2188 DA2186:DB2188 DA2189:DN2190 DE2197 DF2191:DN2197 DE2191:DE2195 DA2191:DD2197 FY2188 EO2182:EO2190 FY2197 U2182:AA2236 U2237:Y2237 AA2237 BJ2754:BL3449 BJ512:BK551 DA839:DP850 DA838:DG838 DI838:DP838 DA852:DP857 DA851:DG851 DI851:DP851 DA859:DP949 DA858:DG858 DI858:DP858 DA1090:DP1090 DA1089:DG1089 DI1089:DP1089 DA1092:DP1117 DA1091:DG1091 DI1091:DP1091 DA1118:DG1118 DI1118:DP1118 DA1882:DN1882 DA1881:DG1881 DI1881:DN1881 DA2134:DN2154 DA2133:DG2133 DI2133:DN2133 EA1812:EJ1995 EO2122:EO2137 EO2139:EO2154 FQ2122:FR2141 FQ2143:FR2154 FW794:FX967 FW2004 FW2020 GT1775:GT1821 O91:O317 O794:O962 R794:S967 AT2182:AT2304 AV2182:AV2304 CS2182:CT2304 CP2182:CQ2304 CV2182:CY2304 CE2182:CF2304 O2182:O2304 U2238:AA2304 CJ2182:CK2304 BZ2182:CB2304 BJ2298:BL2299 R2182:S2304 BR2182:BU2304 DA2198:DN2304 FI2182:FI2285 GC2286 GF2289 GC2292 FU2182:FU2304 EO2192:EO2304 GM2182:GM2304 GK2182:GK2304 GY2182:GZ2304 FQ2182:FR2304 HJ2256:HJ2304 FI2287:FI2304 IL2229:IM2304 GO2182:GO2304 GT2182:GT2304 IB2182:IB2304 ER2182:ES2304 EV2182:EW2304 FF2182:FF2304 EA2182:EJ2304 FZ2182:FZ2304 FW2182:FX2304 HU2182:HZ2304 V2324:AB2324 V2322:AA2323 V2325:AA2326 CP2319:CQ2324 U2319:AA2321 U2322:U2326 EW2338 EO2319:EO2328 EV2319:EW2337 CS2319:CT2378 CP2326:CQ2378 CV2319:CY2378 CE2319:CF2378 O2319:O2378 BR2319:BU2378 R2319:S2378 CJ2319:CK2378 U2327:AA2378 AT2319:AT2378 AV2319:AV2378 BZ2319:CB2378 CS2380:CT2383 CP2380:CQ2383 CV2380:CY2383 CE2380:CF2383 O2380:O2383 BR2380:BU2383 DA2380:DN2383 CJ2380:CK2383 BJ2380:BK2383 U2380:AA2383 AT2380:AT2383 AV2380:AV2383 BZ2380:CB2383 DA2319:DN2378 FQ2319:FR2378 ER2319:ES2378 EV2339:EW2378 FF2319:FF2378 GO2319:GO2378 GT2319:GT2378 FZ2319:FZ2378 IB2319:IB2378 FU2319:FU2378 EO2338:EO2378 GM2319:GM2378 GK2319:GK2378 GY2319:GZ2378 FI2319:FI2378 HJ2319:HJ2378 IL2319:IM2378 HU2319:HZ2378 FW2319:FX2378 EA2319:EJ2378 FQ2380:FR2383 ER2380:ES2383 EV2380:EW2383 FF2380:FF2383 GO2380:GO2383 GT2380:GT2383 FZ2380:FZ2383 IB2380:IB2383 FU2380:FU2383 EO2380:EO2383 GM2380:GM2383 GK2380:GK2383 GY2380:GZ2383 FI2380:FI2383 HJ2380:HJ2383 IL2380:IM2383 HU2380:HZ2383 FW2380:FX2383 EA2380:EJ2383 AT2385:AT2417 EA2385:EJ2461 EA2489 GC2469 EC2489 EE2462:EJ2513 EA2462:ED2488 EA2490:ED2513 FH2547 BK2752:BL2753 EA2714:EH2714 EJ2714 EA2715:EJ2751 ES2754 ER2752:ER2754 HX2752 HZ2752 GY2752 FL3053 BS3420:BU3420 BR3421:BU3449 R2380:S2383 R2385:S2751 IL2385:IM2751 HJ2385:HJ2751 FI2385:FI2751 HU2385:HZ2751 GY2385:GZ2751 GK2385:GK2751 GM2385:GM2751 EO2385:EO2751 FU2385:FU2751 IB2385:IB2751 FW2385:FX2751 FZ2385:FZ2751 GT2385:GT2751 GO2385:GO2751 FF2385:FF2751 EV2385:EW2751 ER2385:ES2751 FQ2385:FR2751 DA2385:DN2751 O2385:O2751 CE2385:CF2751 BZ2385:CB2751 BR2385:BU2751 CV2385:CY2751 CP2385:CQ2751 CS2385:CT2751 CJ2385:CK2751 U2385:AA2751 AV2385:AV2751 AT2419:AT2751 EA2514:EJ2713 FQ2754:FR3417 ER2755:ES3417 FF2754:FF3417 GO2754:GO3417 GT2754:GT3417 FZ2754:FZ3417 IB2754:IB3417 FU2754:FU3417 EO2754:EO3417 GM2754:GM3417 GY2754:GZ3417 FI2754:FI3417 IL2754:IM3417 GK2754:GK3417 HJ2754:HJ3417 EA2754:EJ3417 FW2754:FX3417 HU2754:HZ3417 R969:S1809 O964:O1798 FW969:FX1995 DA1119:DP1384 HJ969:HJ1995 HU969:HZ1995 IB969:IB1995 GY969:GZ1995 GK969:GK1995 GM969:GM1995 EO969:EO1995 CS969:CT1995 ER969:ES1809 FU969:FU1798 GO969:GO1821 FQ969:FR1809 GT969:GT1773 EA969:EJ1764 EV969:EW1809 FF969:FF1741 AV969:AV1809 CP969:CQ1810 CE969:CF1809 BZ969:CB1809 CJ969:CK1792 CV969:CY1766 BR969:BU1763 U1231:AA1809 AT969:AT1809 FI969:FI1526 FZ969:FZ1466 IL969:IM1792 BR2754:BU3419 O2754:O3449 U2754:AA3449 AV2754:AV3449 AT2754:AT3449 CE2755:CF3449 BZ2754:CB3449 CV2754:CY3449 CP2754:CQ3449 CS2754:CT3449 CJ2754:CK3449 DA2754:DN3449 R2754:S3449 BM2:BN3449 CH2:CH3449 DA2:DP28 DS2:DS1498 DQ2:DR3449 DT2:DV3449 EO2330:EO2336 EV2754:EW3417 HJ2:HJ28 HK2:HL3449 IL2:IM28 IO2:IO28 IO88:IO317 IO512:IO551 IO562:IO669 IO683:IO706 IO723:IO737 IO740:IO741 IO760:IO761 IO794:IO967 IO2122:IO2150 IO2229:IO2304 IO2319:IO2378 IO2380:IO2383 IO2385:IO2751 IO2754:IO3417 IO969:IO1995 IN2:IN3449 IP2:IR3449 BJ2:BL28 BL32 BL35:BL36 BL39 BL42:BL44 BL48 BL51:BL54 BL56:BL58 BL60:BL64 BL67:BL68 BL71:BL72 BL77:BL78 BL82 BL84 BL86:BL87 BL89 BJ91:BL275 BJ276:BK317 BL276:BL557 BJ562:BK567 BL560:BL567 BJ568:BL664 BJ665:BK669 BL665:BL718 BL720 BJ794:BK795 BL722:BL795 BJ796:BL967 BJ969:BL1807 BJ1808:BK1809 BL1808:BL1811 BJ1812:BL1995 BL1999 BL2001 BL2005 BL2007 BL2010:BL2011 BL2017 BL2019:BL2020 BL2022 BL2025:BL2026 BL2028:BL2029 BL2032 BL2034:BL2035 BL2037:BL2040 BL2042:BL2043 BL2045:BL2046 BL2048:BL2049 BL2052 BL2056 BL2060 BL2062:BL2063 BL2066:BL2068 BL2071:BL2074 BL2076:BL2084 BL2087:BL2089 BL2092 BL2094:BL2096 BJ2122:BK2129 BL2098:BL2129 BJ2130:BL2149 BJ2182:BK2250 BJ2150:BK2150 BL2150:BL2250 BJ2251:BL2296 BK2297:BL2297 BJ2300:BK2304 BL2300:BL2305 BL2308 BL2312 BL2315:BL2317" name="Rango2_99"/>
    <protectedRange algorithmName="SHA-512" hashValue="XM8+0Jh5zLWw02PI0Lt8dLqjTcW5ulySion19FAnruDN6QRp4UwcVqdfQxnOQAItgpWG7rNsELzjwy0iXOonxw==" saltValue="Sd4WFUedDfLKoMQTDrxJuQ==" spinCount="100000" sqref="K2:K54 K125:K141 K234:K317 K512:K551 K562:K669 K683:K706 K723:K737 K740:K741 K794:K967 K1872:K1995 K2107:K2154 K2182:K2304 K2319:K2378 K2380:K2383 K2385:K2751 K969:K1736 K2754:K3449" name="Rango2_88_4_4"/>
    <protectedRange algorithmName="SHA-512" hashValue="EMMPgE8t/az1rHHzaZAQIhz+GQV0k2O/tQGA96sJqEEMzz1efIRa4CcLzC7iY9CCscto3g7dwz41haOE28iXYg==" saltValue="CVzFsG4X4LXUMo7796PiDQ==" spinCount="100000" sqref="L2:M54 J2:J54 B2:H54 L125:M141 J125:J141 B125:H141 J234 B234:B249 H256 B251:B263 D234:H255 D256:F256 D257:H263 B264:H317 L234:M317 J236:J317 B512:H512 J512:J551 L512:M551 B513:B551 D513:H551 C513:C561 J562:J669 L562:M669 B562:H669 E683:H683 J683:J699 L683:M699 B683:B706 J701:J706 L701:M706 L700 D684:H706 B723:B729 D723:H729 C730:H730 J723:J737 L723:M737 D740:H741 L740:M741 J740:J741 D731:H737 C731:C755 EA802 EC802 EE802 FF862 B794:H950 J794:J967 E964:H967 L794:M967 B951:C999 DA953 D951:H963 D964:D968 D969:H999 K1776 M1812:M1820 H1823 G1812:H1822 G1824:H1830 L1821:M1830 J1812:J1830 D1810:D1811 D1812:F1830 J1782:J1809 J1754:J1780 B1738:C1871 D1738:H1809 D1832:H1871 J1832:J1886 B1872:H1888 B1904 B1889:B1902 C1889:H1904 L1832:M1995 J1888:J1995 B1905:H1995 B2107:B2121 D2107:H2121 B2155:B2228 J2107:J2151 J2153:J2154 L2107:M2154 B2122:H2154 J2182:J2212 D2182:H2228 B2229:H2229 F2231:H2231 J2214:J2239 B2230:C2255 D2230:H2230 D2231:D2232 D2233:H2255 J2241:J2304 L2182:M2304 B2256:H2304 BJ2297 E2321:G2321 B2319:H2319 H2320:H2321 E2322:H2326 B2320:C2360 D2320:G2320 D2321:D2326 D2327:H2360 B2361:H2361 J2319:J2378 L2319:M2378 B2362:B2378 J2380:J2383 L2380:M2383 B2380:B2383 B2385:B2388 D2362:H2378 D2380:H2383 D2385:H2388 C2362:C2388 B2389:H2389 B2390:B2421 B2423:B2513 C2390:H2513 J2385:J2570 A2714:H2714 B2754:B2757 B2715:B2751 D2752 EI2714 D2754:H2757 D2715:H2751 C2715:C2757 L3142 G3425:H3425 E3422:H3424 J3418:J3449 L3143:M3449 D3427:D3449 B3418:B3442 H3427:H3449 E3427:G3442 E3444:G3449 F3443:G3443 L969:M1809 D3418:H3421 D3422:D3425 D3426:H3426 J2572:J2751 L2385:M2751 B2514:H2713 J2754:J3416 B2758:H3417 L2754:M3141 B1000:H1737 J969:J1752 B3444:B3449" name="Rango2_10"/>
    <protectedRange algorithmName="SHA-512" hashValue="G+iZEOxoI/CKLu0V8qsKD8cCdR7Dbjppkbkg/PsMRK1gAAPryNNi/JjhB0c9rHofUpnvlUUTwrtuZjU4RQXvuQ==" saltValue="DFH7xDlsGCxpx8zAvbZJEQ==" spinCount="100000" sqref="FC905 FB2:FB3449" name="Rango2_84"/>
    <protectedRange algorithmName="SHA-512" hashValue="YXHanhqXL0e4jPrzkCF8r/22WmlCviFUW909WKuG1JOcU0mp0/Huh0aP3EaGYxV2ep0WGu48HsShAy4Ka2uOiw==" saltValue="h/7U5iwJm7DLR4tRVfwZYw==" spinCount="100000" sqref="GI2:GI28 GU2:GU3449 GI198:GI230 GC198:GC286 GC290:GC293 GC295:GC305 GC307:GC310 GC312:GC317 GI235:GI317 GC512:GC551 GI512:GI551 GC562:GC648 GC650:GC653 GI562:GI669 GC655:GC669 GC683:GC706 GC722:GC731 GC736:GC737 GI683:GI737 GI740:GI741 GC740:GC741 GC745:GC746 GI760:GI761 GC761 GC767 GI765:GI768 GC800 GC802 GC805 GC807 GC809 GC818 GC825:GC828 GC812:GC815 GC821:GC823 FZ812 GF823 GF833 GC832:GC833 GF838 GF854 GF846:GF847 GF849 GF851 GC838:GC851 GF856 GF861 FZ872 GF871 GC853:GC879 GC881:GC882 GC884:GC885 GC907:GC933 GC888:GC899 GC901:GC904 FZ926 FZ898:FZ899 GF940 GC935:GC942 GC944:GC955 GI794:GI967 GC957:GC967 FZ1467 GC1528:GC1649 GC1651:GC1736 GO1822 GT1822 GC1783:GC1784 GC1838:GC1841 GC1843:GC1852 GC1816:GC1836 GC1800:GC1814 GC1786:GC1797 GC1774:GC1781 GC1765:GC1772 GC1747:GC1763 GC1740:GC1745 FZ1882 GC1854:GC1995 GC2107:GC2154 GI2107:GI2154 GI2182:GI2255 GI2257 GI2259:GI2264 GC2182:GC2285 GC2287:GC2291 GI2266:GI2304 GC2293:GC2304 GC2319:GC2339 GI2319:GI2378 GC2361:GC2378 GI2380:GI2383 GC2380:GC2383 GC2385:GC2468 GC2470:GC2751 GI2385:GI2751 GI2754:GI3417 GC2754:GC3417 GI969:GI1995 GC969:GC1526 EK2:EK3449 ET2:ET3449 EX2:EX3449 FD2:FD3449 FG2:FG3449 FJ2:FJ3449 FM2:FM3449 FS2:FS3449 FV2:FV3449 GA2:GA3449 GC2:GC28 GD2:GD3449 GG2:GG3449 GP2:GP3449" name="Rango2_33"/>
    <protectedRange algorithmName="SHA-512" hashValue="D8TacORwT7iz0mF9GEucchnMHfB5er2FFjQsxyeWWyeJkM6Bt3gYQ3LbcHPxZXFpVAYtFOuTrzYOCJrlZDx16g==" saltValue="QtCzIBktdS4NZkOEGcLTRQ==" spinCount="100000" sqref="IW2:IW28 IW206:IW317 IW512:IW551 IW562:IW669 IW683:IW729 IW738 IW761:IW766 IW768 IW781:IW786 IS826 IS811 IS821 JO821 JQ821 JO836:JO837 JQ836:JQ837 IS851 IW794:IW967 JO1739 IS1880 IS1882:IS1884 JO1882 JO1884 JT1923:JU1923 JT1952:JU1952 IW2107:IW2150 IW2182:IW2232 IW2234:IW2304 IW2319:IW2378 IW2380:IW2383 IW2385:IW2751 IW969:IW1995 IW2754:IW3449" name="Rango2_41"/>
    <protectedRange algorithmName="SHA-512" hashValue="pL4tgTKqwEsWSIEGFTBd+4pvEhE7d5Q99Eijs+L/Y1rhA0saQGGRJw5Pv2HLOP0quglztFwB6WVnQ1YGxd4AiQ==" saltValue="IF5mhk2RcoEjrcYppes1VA==" spinCount="100000" sqref="FT2:FT28 FT204:FT317 FT512:FT551 FT562:FT669 FT683:FT706 FT722:FT737 FT740:FT741 FT761 FT756:FT758 FT765:FT768 FT794:FT967 FU1799 FT2107:FT2154 FT2182:FT2304 FT2319:FT2378 FT2380:FT2383 FT2385:FT2752 FT2754:FT3417 FT969:FT1995" name="Rango2_30"/>
    <protectedRange algorithmName="SHA-512" hashValue="62ha4X/QVW9175kB83jpH9hzZy6uWEX3g6Szv+9mbhChlN3r4yygsbXLVarY0QFL+r7x2V9KtdkRVxMDuiXMGw==" saltValue="X2NRImaa8nLHcduAG1+DVw==" spinCount="100000" sqref="AK2:AK3449" name="Rango2_88"/>
    <protectedRange algorithmName="SHA-512" hashValue="9+DNppQbWrLYYUMoJ+lyQctV2bX3Vq9kZnegLbpjTLP49It2ovUbcartuoQTeXgP+TGpY//7mDH/UQlFCKDGiA==" saltValue="KUnni6YEm00anzSSvyLqQA==" spinCount="100000" sqref="AK1 CI1 EK1:EM1 ET1:EU1 BM1:BN1 NQ1:NT1 MR1:MS1 B1 DT1 DR1 E1:P1 HQ1:HR1 HV1 MW1:NI1 EX1:FF1 KY1:LB1 HX1 OH1499:OH1500 B3468 B3450:C3467 FE2:FE28 GX2:GX28 EY2:FA28 FC2:FC28 FH1:FI1 FQ1:FZ1 GB1:GC1 GE1:GF1 GH1:HC1 HJ1:HN1 JD1:KW1 NM1 IT2:IV28 OD1:OE1 HZ1:JB1 FH2:FH28 FK1:FL28 OH1:XFC1 FN1:FO28 HD2:HI28 IX2:IX28 MQ29:MT54 AD57:AD61 FE55:FE59 FH55:FH59 FK55:FL59 FN55:FO59 HD55:HI59 FL60 FO60 FE61 FK61:FL61 FC55:FC61 EY55:FA61 GX55:GX61 EN55:EN61 FN61:FO61 HD61:HI61 HS55:HT61 FH61 JD60:JM60 IT55:IV61 IX55:IX61 HE62:HI81 MQ62:MT83 KJ82:MP83 FE82:FE141 FH82:FH141 FK82:FL141 FN82:FO141 HD82:HI141 FL142 FO142 FK143:FL161 FK162 GF164 FK163:FL179 FK180 JD142:JM142 KR145:MT145 FN143:FO230 FO231:FO234 FH143:FH286 FK181:FL288 GF288 FH287:FI289 GC288:GC289 FK289:FK290 FH290:FH291 GF291 FH292:FI294 GC294 AD82:AD317 FK291:FL306 FK307 FK308:FL317 HD143:HI317 FH295:FH317 FN235:FO317 FE143:FE317 HS82:HT317 EN82:EN317 FC82:FC317 EY82:FA317 GX82:GX317 IX82:IX317 IT82:IV317 AD512:AD551 FH512:FH524 FH525:FI525 HS512:HT551 FN512:FO551 FC512:FC551 EY512:FA551 GX512:GX551 EN512:EN551 FH526:FH551 FE512:FE551 FK512:FL551 HD512:HI551 IT512:IV551 IX512:IX551 MQ318:MT556 AD562:AD669 GF644 GX562:GX669 EY562:FA669 FC562:FC669 FH562:FH669 EN562:EN669 FN562:FO669 FE562:FE669 FK562:FL669 HS557:HT669 IX557:IX669 IT557:IV669 AD683:AD706 EY683:FA706 FC683:FC706 FE683:FE706 FH683:FH706 FK683:FL706 GX683:GX706 JC670:JC684 MQ670:MT684 JD683:JM684 JY670:KE682 KO670:MP682 FE723:FE729 FH722:FH729 FK721:FL729 FN683:FO729 HD562:HI729 IX683:IX729 IT683:IV729 AD723:AD737 AD740:AD741 GX723:GX737 EY721:FA737 FC721:FC737 FL730:FL737 FO730:FO737 HS683:HT737 EN683:EN737 EN740:EN741 FO740:FO741 FL740:FL741 FC740:FC741 EY740:FA741 GX740:GX741 HS740:HT741 HD745:HI745 HS747 HD747:HI749 HD752:HI752 LK738:MP738 KU730:MP737 KU739:MP741 JY746:KE747 LO745:MP747 LX748:MP748 ML749:MP749 JY750:KE752 LO750:MP752 MQ730:MT753 JY755:KE755 LO754:MT755 GX756:GX759 FK760:FL761 FN760:FO761 EN760:EN761 HD755:HI761 FH761 EY760:FA761 FC760:FC761 FK765:FL767 EY766:FA766 FC766 FE766 FN765:FO768 GX766:GX768 FE768 FH768 EY768:FA768 FC768 HS766:HT768 HD765:HI768 JS756 JS758 JV759:JW760 IX761:IX766 IT761:IV766 JV767:JW767 IX768 IT768:IV768 IT781:IV786 IX781:IX786 MQ756:MT793 GC794 FH794:FI794 FH795 FK794:FK795 FC794:FC796 FH796:FI796 GC796 FK796:FL796 FL801 FI798:FI799 GC798:GC799 GF799 FI801 GC801 FL797:FL799 FH797:FH802 FK797:FK802 FH803:FI803 GC803 FK803:FL803 FK804 FE794:FE805 FH804:FH805 EN794:EN805 FH806:FI806 GC806 EN806:EO806 FK805:FL810 FK813:FL815 FK811:FK812 FK817:FL822 FK816 FK824:FL824 FK823 FK826:FL828 FK825 FK829:FK830 FK831:FL832 FK833 FH836:FI836 FH807:FH835 FH837 FH839:FH840 FH838:FI838 FH841:FI841 FK834:FL844 EI845 FK848:FL848 FK849 FK845:FK847 FH851:FI851 FH842:FH850 FK850:FL853 FK854:FK855 FK856:FL857 FK858 FK865 FK859:FL864 FK866:FL870 FK871 FH852:FH873 FH874:FI874 FK872:FL877 FK878 FK880 FK879:FL879 FE807:FE881 FE882:FF882 FK893 FH892:FH893 FH891:FI891 FH875:FH889 EN807:EN893 FK881:FL892 FK894:FL906 FK908:FL929 FK907 FK930 FH894:FI894 FK931:FL942 FK943 FC798:FC904 JP826 JP812 JP821 JR821:JW821 JR812:JW812 JR826:JW826 LG823:MP823 JP836:JP837 JR836:JW837 LG843:MP843 LW842:MP842 LO847:MP847 LK847:LL847 LK846:MP846 LG846:LJ847 LG848:MP848 LS861:MP861 LK861:LP861 LK860:MP860 JP863 LO863:MP863 JR863:JW863 LD878 LD877:MP877 LG878:MP878 LE947 LE948:LF949 LG919:LL919 LO919:MP919 LE894:LF946 LG920:MP949 LG894:MP918 AD794:AD967 FE883:FE967 GX794:GX967 EY794:FA967 FC906:FC967 EN895:EN967 FN794:FO967 HS794:HT967 FK944:FL967 FH895:FH967 HD794:HI967 HD968 HF968 LG952:MP952 IT794:IV957 IT960:IU960 IT959:IV959 IT958:IU958 MQ810:MT970 IT969:IV970 IX794:IX967 JB968 IT966:IU967 IT961:IV965 IT971:IU971 IT972:IV973 IT974:IU974 IT975:IV977 IT978:IU978 FI1527 FH1330:FH1657 FH1659:FH1736 MQ1385:MT1498 A1792 AD1816:AD1845 AD1854 FE1738:FE1775 FK1738:FL1743 FH1738:FH1774 FH1785:FI1785 GF1774 GT1774 FH1775:FI1775 FK1773:FL1776 FL1768:FL1772 FK1777:FK1809 FH1786:FH1853 FL1777:FL1808 FH1776:FH1784 FL1759:FL1766 FK1744:FK1772 FL1744:FL1755 FO1737 JP1739:JW1739 JD1737:JM1737 FE1777:FE1878 FH1856:FH1878 FK1811:FL1878 FN1738:FO1878 HD1738:HI1878 FL1879 FO1879 JD1879:JM1879 KR1881:KV1881 KU1884:KV1884 KK1881:KP1881 KK1882 KL1882:KV1883 KX1884:LB1884 KX1882:MP1883 KX1880:LB1881 LO1884:MP1884 JO1883:JW1883 JP1880:JW1882 JP1884:JW1884 AD1859:AD1995 FH1880:FH1995 FK1880:FL1995 FE1880:FE1995 HD1880:HI1995 JV1923:JW1923 IZ1885:JM1995 LD1953:MP1995 KQ1989:LC1995 KQ1988:LB1988 KQ1953:KQ1987 KY1953:LC1987 KR1953:KX1969 KR1971:KX1987 KS1970:KX1970 JV1952:JW1952 HD2107:HI2150 FI2136 FI2141 IT2107:IV2150 IX2107:IX2150 AD2107:AD2154 FC2107:FC2151 EY2107:FA2151 EZ2152:FA2152 FK2107:FL2154 FN1880:FO2154 JD2229:JM2255 FC2153:FC2154 EY2153:FA2154 FE2107:FE2154 FH2107:FH2154 GX2107:GX2154 HS2107:HT2154 EN2107:EN2137 EN2139:EN2154 AD2229:AD2304 GH2256:GI2256 GE2257:GF2257 GI2258 GH2259:GH2262 GH2264 GH2265:GI2265 GH2266 GH2278 FH2229:FH2285 GB2286 FH2286:FI2286 FY2288 FE2229:FE2289 GB2292 FY2292:FY2293 GE2298:GF2298 FY2298:FY2299 FY2301:FY2302 GX2229:GX2304 EY2229:FA2304 FC2229:FC2304 HD2256:HI2304 FK2229:FL2304 EN2229:EN2304 FN2229:FO2304 FH2287:FH2304 FE2292:FE2304 HS2229:HT2304 IT2229:IV2304 IX2229:IX2304 CP2325:CQ2325 EO2337 EN2319:EN2336 AD2319:AD2378 AD2380:AD2383 FE2319:FE2378 GX2319:GX2378 EY2319:FA2378 FC2319:FC2378 FH2319:FH2378 FK2319:FL2378 EN2338:EN2378 FN2319:FO2378 HD2319:HI2378 HS2319:HT2378 FE2380:FE2383 GX2380:GX2383 EY2380:FA2383 FC2380:FC2383 FH2380:FH2383 FK2380:FL2383 EN2380:EN2383 FN2380:FO2383 HD2380:HI2383 HS2380:HT2383 IX2319:IX2378 IT2319:IV2378 IX2380:IX2383 IT2380:IV2383 LG2439:MP2439 FH2385:FH2546 KQ2594:MP2594 FO2754 FN2752:FN2754 HS2385:HT3417 KJ2754:KS2754 KU2754:MP2754 FK3053 FK3054:FL3417 KU3418:MP3419 JD3418:JM3449 IX2385:IX2751 IT2385:IV2751 FE2385:FE2752 FN2385:FO2751 HD2385:HI2751 EN2385:EN2751 FK2385:FL2751 FH2548:FH2751 FC2385:FC2751 EY2385:FA2751 GX2385:GX2751 AD2385:AD2751 IX2754:IX3449 FE2754:FE3417 GX2754:GX3417 EY2754:FA3417 FC2754:FC3417 FH2754:FH3417 EN2754:EN3417 FN2755:FO3417 HD2754:HI3417 FK2754:FL3052 IT979:IV1995 HS969:HT1995 EN969:EN1995 FC969:FC1995 EY969:FA1995 GX969:GX1995 AD969:AD1809 FE969:FE1736 HD969:HI1736 FK969:FL1736 IX969:IX1995 FH969:FH1328 FN969:FO1384 OH2:PK1498 AD2754:AD3449 IT2754:IV3449 N2:N3449 P2:P3449 BO1:BQ3449 CC1:CD3449 CG1:CG3449 CL1:CL3449 CN1:CO3449 CR1:CR3449 EN2:EN28 EL2:EM3449 EO2329 EU2:EU3449 FP2:FP3449 GS2:GS3449 GV2:GV3449 HA2:HC3449 HS2:HT28 HM2:HR3449 IC2:IC3449 IZ2:JM28 IZ55:JM59 IZ60:JB60 IZ61:JM61 IZ82:JM141 IZ142:JB142 IZ143:JM317 IZ512:JM551 IZ557:JM669 IZ683:JB684 IZ685:JM729 IZ761:JM766 IZ768:JM768 IZ781:JM786 IZ794:JM967 IZ1737:JB1737 IZ1738:JM1878 IZ1879:JB1879 IZ1880:JL1884 IZ2096:JM2150 IZ2229:JB2255 IZ2256:JM2304 IZ2319:JM2378 IZ2380:JM2383 IZ3418:JB3449 IZ2385:JM2751 IZ2754:JM3417 IZ969:JM1736 IY2:IY3449 JO1923:JS1923 JO2:JW28 JO55:JW61 JO82:JW317 JO512:JW551 JO557:JW669 JO683:JW729 JO761:JW766 JO768:JW768 JO781:JW786 JO794:JW811 JO813:JW820 JO822:JW825 JO827:JW835 JO838:JW862 JO864:JW967 JO1740:JW1879 JO1885:JW1922 JO1924:JW1951 JO1952:JS1952 JO1953:JW1995 JO2107:JW2150 JO2229:JW2304 JO2319:JW2378 JO2380:JW2383 JO2385:JW2751 JO2754:JW3449 JO969:JW1738 JN2:JN3449 JY2:KF28 JY55:KF61 JY82:KF317 JY512:KF551 JY557:KF669 JY683:KF729 JY756:KF768 JY781:KF786 JY794:KF967 JY2107:KF2150 JY2229:KF2304 JY2319:KF2378 JY2380:KF2383 JY2385:KF2751 JY2754:KF3449 JY969:KF1995 JX2:JX3449 KH2:KH28 KH55:KH61 KH82:KH317 KH512:KH551 KH557:KH669 KH683:KH729 KH759:KH768 KH781:KH786 KH794:KH967 KH2107:KH2150 KH2229:KH2304 KH2319:KH2378 KH2380:KH2383 KH2385:KH2751 KH2754:KH3449 KH969:KH1995 KG2:KG3449 KJ863:LL863 KJ1883:KK1883 KJ1880:KV1880 KJ1881:KJ1882 KJ1884:KS1884 KJ683:MP684 KJ1885:MP1952 KJ3418:KS3419 KJ3420:MP3449 KJ2:MT28 KJ55:MT61 KJ84:MT144 KJ145:KP145 KJ146:MT317 KJ512:MP551 KJ557:MT669 KJ685:MT729 KJ756:MP768 KJ781:MP786 KJ794:MT809 KJ823:LD823 KJ810:MP822 KJ824:MP841 KJ843:LD843 KJ842:LT842 KJ844:MP845 KJ846:LF848 KJ849:MP859 KJ860:LJ861 KJ862:MP862 KJ864:MP876 KJ877:LC878 KJ879:MP893 KJ894:LD949 KJ950:MP951 KJ952:LE952 KJ953:MP967 KJ969:MP970 KJ1385:MP1879 KJ1953:KP1995 KJ2107:MP2150 KJ2229:MP2304 KJ2319:MP2378 KJ2380:MP2383 KJ2385:MP2438 KJ2439:LE2439 KJ2594:KO2594 KJ2440:MP2593 KJ2595:MP2751 KJ2755:MP3417 KJ971:MT1384 KI2:KI3449 EP1:EQ3449 DW1:DZ3449 CZ1:CZ3449 CU1:CU3449 AD1:AD28" name="Rango2"/>
    <protectedRange algorithmName="SHA-512" hashValue="RQ91b7oAw60DVtcgB2vRpial2kSdzJx5guGCTYUwXYkKrtrUHfiYnLf9R+SNpYXlJDYpyEJLhcWwP0EqNN86dQ==" saltValue="W3RbH3zrcY9sy39xNwXNxg==" spinCount="100000" sqref="BA29:BI29 BV29:BY29" name="Rango2_88_99_1"/>
    <protectedRange algorithmName="SHA-512" hashValue="fMbmUM1DQ7FuAPRNvFL5mPdHUYjQnlLFhkuaxvHguaqR7aWyDxcmJs0jLYQfQKY+oyhsMb4Lew4VL6i7um3/ew==" saltValue="ydaTm0CeH8+/cYqoL/AMaQ==" spinCount="100000" sqref="AU29 AW29:AZ29" name="Rango2_88_91_1"/>
    <protectedRange algorithmName="SHA-512" hashValue="CHipOQaT63FWw628cQcXXJRZlrbNZ7OgmnEbDx38UmmH7z19GRYEzXFiVOzHAy1OAaAbST7g2bHZHDKQp2qm3w==" saltValue="iRVuL+373yLHv0ZHzS9qog==" spinCount="100000" sqref="AJ29 AG29:AH29 AL29" name="Rango2_88_7_5_1"/>
    <protectedRange algorithmName="SHA-512" hashValue="NkG6oHuDGvGBEiLAAq8MEJHEfLQUMyjihfH+DBXhT+eQW0r1yri7tOJEFRM9nbOejjjXiviq9RFo7KB7wF+xJA==" saltValue="bpjB0AAANu2X/PeR3eiFkA==" spinCount="100000" sqref="AM29:AS29" name="Rango2_88_65_1"/>
    <protectedRange algorithmName="SHA-512" hashValue="fPHvtIAf3pQeZUoAI9C2/vdXMHBpqqEq+67P5Ypyu4+9IWqs3yc9TZcMWQ0THLxUwqseQPyVvakuYFtCwJHsxA==" saltValue="QHIogSs2PrwAfdqa9PAOFQ==" spinCount="100000" sqref="AC29" name="Rango2_88_5_5_1"/>
    <protectedRange algorithmName="SHA-512" hashValue="LEEeiU6pKqm7TAP46VGlz0q+evvFwpT/0iLpRuWuQ7MacbP0OGL1/FSmrIEOg2rb6M+Jla2bPbVWiGag27j87w==" saltValue="HEVt+pS5OloNDlqSnzGLLw==" spinCount="100000" sqref="AI29" name="Rango2_8_7_1"/>
    <protectedRange algorithmName="SHA-512" hashValue="q2z5hEFmXS0v2chiPTC/VCoDWNlnhp+Xe6Ybfxe48vIsnB/KTJQxJv+pFUnCXfZ9T6vyJopuqFFNROfQTW/JUw==" saltValue="IctfdGJb5tOTpq+KPi9vww==" spinCount="100000" sqref="AE29:AF29" name="Rango2_88_39_1"/>
    <protectedRange algorithmName="SHA-512" hashValue="AYYX88LSDB6RDNMvSqt0KPGWPjBqTk56tMxTOlv5QD61MGTKAAQnSnudvNDWPN0Bbllh2qRQC+P5uq7goxjdrw==" saltValue="i/iPMewnks1FoXYOjKMEVg==" spinCount="100000" sqref="AB29" name="Rango2_87_6_1"/>
    <protectedRange algorithmName="SHA-512" hashValue="NUll9P9xh7KbSfMYpMxsRZLfDw/y/AzW2LSWlpXVscBDqiAxmzo71xjs+a2lh+jRa7pceOC849slke4+ZKx8LA==" saltValue="8qbkKpQ+CiQuLnqgShNvXA==" spinCount="100000" sqref="T29" name="Rango2_88_6_1"/>
    <protectedRange algorithmName="SHA-512" hashValue="KHhv3JU/LRdRrRTxxkgFceEHPZ5UzadmpZRZR3zmQRnPvkUJZuanRafIJ+qde0IWwLZSvFIQDyUAHq6v6k7XIg==" saltValue="2GKG1kCzVNNcn+vbOPuhJA==" spinCount="100000" sqref="Q29" name="Rango2_2_5_1"/>
    <protectedRange algorithmName="SHA-512" hashValue="XZw03RosI/l0z9FxmTtF29EdZ7P+4+ybhqoaAAUmURojSR5XbGfjC4f2i8gMqfY+RI9JvfdCA6PSh9TduXfUxA==" saltValue="5TPtLq2WoiRSae/yaDPnTw==" spinCount="100000" sqref="CJ29:CK29 CS29:CT29 CP29:CQ29 BZ29:CB29 O29 BJ29:BL29 R29:S29 AV29 DA29:DN29 CV29:CY29 BR29:BU29 U29:AA29 AT29 CE29:CF29" name="Rango2_99_1"/>
    <protectedRange algorithmName="SHA-512" hashValue="9+DNppQbWrLYYUMoJ+lyQctV2bX3Vq9kZnegLbpjTLP49It2ovUbcartuoQTeXgP+TGpY//7mDH/UQlFCKDGiA==" saltValue="KUnni6YEm00anzSSvyLqQA==" spinCount="100000" sqref="AD29" name="Rango2_16"/>
    <protectedRange algorithmName="SHA-512" hashValue="RQ91b7oAw60DVtcgB2vRpial2kSdzJx5guGCTYUwXYkKrtrUHfiYnLf9R+SNpYXlJDYpyEJLhcWwP0EqNN86dQ==" saltValue="W3RbH3zrcY9sy39xNwXNxg==" spinCount="100000" sqref="BA30:BI30 BV30:BY30" name="Rango2_88_99_2"/>
    <protectedRange algorithmName="SHA-512" hashValue="fMbmUM1DQ7FuAPRNvFL5mPdHUYjQnlLFhkuaxvHguaqR7aWyDxcmJs0jLYQfQKY+oyhsMb4Lew4VL6i7um3/ew==" saltValue="ydaTm0CeH8+/cYqoL/AMaQ==" spinCount="100000" sqref="AU30 AW30:AZ30" name="Rango2_88_91_2"/>
    <protectedRange algorithmName="SHA-512" hashValue="CHipOQaT63FWw628cQcXXJRZlrbNZ7OgmnEbDx38UmmH7z19GRYEzXFiVOzHAy1OAaAbST7g2bHZHDKQp2qm3w==" saltValue="iRVuL+373yLHv0ZHzS9qog==" spinCount="100000" sqref="AJ30 AG30:AH30 AL30" name="Rango2_88_7_5_2"/>
    <protectedRange algorithmName="SHA-512" hashValue="NkG6oHuDGvGBEiLAAq8MEJHEfLQUMyjihfH+DBXhT+eQW0r1yri7tOJEFRM9nbOejjjXiviq9RFo7KB7wF+xJA==" saltValue="bpjB0AAANu2X/PeR3eiFkA==" spinCount="100000" sqref="AM30:AS30" name="Rango2_88_65_2"/>
    <protectedRange algorithmName="SHA-512" hashValue="fPHvtIAf3pQeZUoAI9C2/vdXMHBpqqEq+67P5Ypyu4+9IWqs3yc9TZcMWQ0THLxUwqseQPyVvakuYFtCwJHsxA==" saltValue="QHIogSs2PrwAfdqa9PAOFQ==" spinCount="100000" sqref="AC30" name="Rango2_88_5_5_2"/>
    <protectedRange algorithmName="SHA-512" hashValue="LEEeiU6pKqm7TAP46VGlz0q+evvFwpT/0iLpRuWuQ7MacbP0OGL1/FSmrIEOg2rb6M+Jla2bPbVWiGag27j87w==" saltValue="HEVt+pS5OloNDlqSnzGLLw==" spinCount="100000" sqref="AI30" name="Rango2_8_7_2"/>
    <protectedRange algorithmName="SHA-512" hashValue="q2z5hEFmXS0v2chiPTC/VCoDWNlnhp+Xe6Ybfxe48vIsnB/KTJQxJv+pFUnCXfZ9T6vyJopuqFFNROfQTW/JUw==" saltValue="IctfdGJb5tOTpq+KPi9vww==" spinCount="100000" sqref="AE30:AF30" name="Rango2_88_39_2"/>
    <protectedRange algorithmName="SHA-512" hashValue="AYYX88LSDB6RDNMvSqt0KPGWPjBqTk56tMxTOlv5QD61MGTKAAQnSnudvNDWPN0Bbllh2qRQC+P5uq7goxjdrw==" saltValue="i/iPMewnks1FoXYOjKMEVg==" spinCount="100000" sqref="AB30" name="Rango2_87_6_2"/>
    <protectedRange algorithmName="SHA-512" hashValue="NUll9P9xh7KbSfMYpMxsRZLfDw/y/AzW2LSWlpXVscBDqiAxmzo71xjs+a2lh+jRa7pceOC849slke4+ZKx8LA==" saltValue="8qbkKpQ+CiQuLnqgShNvXA==" spinCount="100000" sqref="T30" name="Rango2_88_6_2"/>
    <protectedRange algorithmName="SHA-512" hashValue="KHhv3JU/LRdRrRTxxkgFceEHPZ5UzadmpZRZR3zmQRnPvkUJZuanRafIJ+qde0IWwLZSvFIQDyUAHq6v6k7XIg==" saltValue="2GKG1kCzVNNcn+vbOPuhJA==" spinCount="100000" sqref="Q30" name="Rango2_2_5_2"/>
    <protectedRange algorithmName="SHA-512" hashValue="XZw03RosI/l0z9FxmTtF29EdZ7P+4+ybhqoaAAUmURojSR5XbGfjC4f2i8gMqfY+RI9JvfdCA6PSh9TduXfUxA==" saltValue="5TPtLq2WoiRSae/yaDPnTw==" spinCount="100000" sqref="CJ30:CK30 CS30:CT30 CP30:CQ30 BZ30:CB30 O30 BJ30:BL30 R30:S30 AV30 DA30:DN30 CV30:CY30 BR30:BU30 U30:AA30 AT30 CE30:CF30" name="Rango2_99_2"/>
    <protectedRange algorithmName="SHA-512" hashValue="9+DNppQbWrLYYUMoJ+lyQctV2bX3Vq9kZnegLbpjTLP49It2ovUbcartuoQTeXgP+TGpY//7mDH/UQlFCKDGiA==" saltValue="KUnni6YEm00anzSSvyLqQA==" spinCount="100000" sqref="AD30" name="Rango2_22"/>
    <protectedRange algorithmName="SHA-512" hashValue="RQ91b7oAw60DVtcgB2vRpial2kSdzJx5guGCTYUwXYkKrtrUHfiYnLf9R+SNpYXlJDYpyEJLhcWwP0EqNN86dQ==" saltValue="W3RbH3zrcY9sy39xNwXNxg==" spinCount="100000" sqref="BA31:BI31 BV31:BY31" name="Rango2_88_99_3"/>
    <protectedRange algorithmName="SHA-512" hashValue="fMbmUM1DQ7FuAPRNvFL5mPdHUYjQnlLFhkuaxvHguaqR7aWyDxcmJs0jLYQfQKY+oyhsMb4Lew4VL6i7um3/ew==" saltValue="ydaTm0CeH8+/cYqoL/AMaQ==" spinCount="100000" sqref="AU31 AW31:AZ31" name="Rango2_88_91_3"/>
    <protectedRange algorithmName="SHA-512" hashValue="CHipOQaT63FWw628cQcXXJRZlrbNZ7OgmnEbDx38UmmH7z19GRYEzXFiVOzHAy1OAaAbST7g2bHZHDKQp2qm3w==" saltValue="iRVuL+373yLHv0ZHzS9qog==" spinCount="100000" sqref="AJ31 AG31:AH31 AL31" name="Rango2_88_7_5_3"/>
    <protectedRange algorithmName="SHA-512" hashValue="NkG6oHuDGvGBEiLAAq8MEJHEfLQUMyjihfH+DBXhT+eQW0r1yri7tOJEFRM9nbOejjjXiviq9RFo7KB7wF+xJA==" saltValue="bpjB0AAANu2X/PeR3eiFkA==" spinCount="100000" sqref="AM31:AS31" name="Rango2_88_65_3"/>
    <protectedRange algorithmName="SHA-512" hashValue="fPHvtIAf3pQeZUoAI9C2/vdXMHBpqqEq+67P5Ypyu4+9IWqs3yc9TZcMWQ0THLxUwqseQPyVvakuYFtCwJHsxA==" saltValue="QHIogSs2PrwAfdqa9PAOFQ==" spinCount="100000" sqref="AC31" name="Rango2_88_5_5_3"/>
    <protectedRange algorithmName="SHA-512" hashValue="LEEeiU6pKqm7TAP46VGlz0q+evvFwpT/0iLpRuWuQ7MacbP0OGL1/FSmrIEOg2rb6M+Jla2bPbVWiGag27j87w==" saltValue="HEVt+pS5OloNDlqSnzGLLw==" spinCount="100000" sqref="AI31" name="Rango2_8_7_3"/>
    <protectedRange algorithmName="SHA-512" hashValue="q2z5hEFmXS0v2chiPTC/VCoDWNlnhp+Xe6Ybfxe48vIsnB/KTJQxJv+pFUnCXfZ9T6vyJopuqFFNROfQTW/JUw==" saltValue="IctfdGJb5tOTpq+KPi9vww==" spinCount="100000" sqref="AE31:AF31" name="Rango2_88_39_3"/>
    <protectedRange algorithmName="SHA-512" hashValue="AYYX88LSDB6RDNMvSqt0KPGWPjBqTk56tMxTOlv5QD61MGTKAAQnSnudvNDWPN0Bbllh2qRQC+P5uq7goxjdrw==" saltValue="i/iPMewnks1FoXYOjKMEVg==" spinCount="100000" sqref="AB31" name="Rango2_87_6_3"/>
    <protectedRange algorithmName="SHA-512" hashValue="NUll9P9xh7KbSfMYpMxsRZLfDw/y/AzW2LSWlpXVscBDqiAxmzo71xjs+a2lh+jRa7pceOC849slke4+ZKx8LA==" saltValue="8qbkKpQ+CiQuLnqgShNvXA==" spinCount="100000" sqref="T31" name="Rango2_88_6_3"/>
    <protectedRange algorithmName="SHA-512" hashValue="KHhv3JU/LRdRrRTxxkgFceEHPZ5UzadmpZRZR3zmQRnPvkUJZuanRafIJ+qde0IWwLZSvFIQDyUAHq6v6k7XIg==" saltValue="2GKG1kCzVNNcn+vbOPuhJA==" spinCount="100000" sqref="Q31" name="Rango2_2_5_3"/>
    <protectedRange algorithmName="SHA-512" hashValue="XZw03RosI/l0z9FxmTtF29EdZ7P+4+ybhqoaAAUmURojSR5XbGfjC4f2i8gMqfY+RI9JvfdCA6PSh9TduXfUxA==" saltValue="5TPtLq2WoiRSae/yaDPnTw==" spinCount="100000" sqref="CJ31:CK31 CS31:CT31 CP31:CQ31 BZ31:CB31 O31 BJ31:BL31 R31:S31 AV31 DA31:DN31 CV31:CY31 BR31:BU31 U31:AA31 AT31 CE31:CF31" name="Rango2_99_3"/>
    <protectedRange algorithmName="SHA-512" hashValue="9+DNppQbWrLYYUMoJ+lyQctV2bX3Vq9kZnegLbpjTLP49It2ovUbcartuoQTeXgP+TGpY//7mDH/UQlFCKDGiA==" saltValue="KUnni6YEm00anzSSvyLqQA==" spinCount="100000" sqref="AD31" name="Rango2_24"/>
    <protectedRange algorithmName="SHA-512" hashValue="RQ91b7oAw60DVtcgB2vRpial2kSdzJx5guGCTYUwXYkKrtrUHfiYnLf9R+SNpYXlJDYpyEJLhcWwP0EqNN86dQ==" saltValue="W3RbH3zrcY9sy39xNwXNxg==" spinCount="100000" sqref="BA32:BI32 BV32:BY32" name="Rango2_88_99_4"/>
    <protectedRange algorithmName="SHA-512" hashValue="fMbmUM1DQ7FuAPRNvFL5mPdHUYjQnlLFhkuaxvHguaqR7aWyDxcmJs0jLYQfQKY+oyhsMb4Lew4VL6i7um3/ew==" saltValue="ydaTm0CeH8+/cYqoL/AMaQ==" spinCount="100000" sqref="AU32 AW32:AZ32" name="Rango2_88_91_4"/>
    <protectedRange algorithmName="SHA-512" hashValue="CHipOQaT63FWw628cQcXXJRZlrbNZ7OgmnEbDx38UmmH7z19GRYEzXFiVOzHAy1OAaAbST7g2bHZHDKQp2qm3w==" saltValue="iRVuL+373yLHv0ZHzS9qog==" spinCount="100000" sqref="AJ32 AG32:AH32 AL32" name="Rango2_88_7_5_4"/>
    <protectedRange algorithmName="SHA-512" hashValue="NkG6oHuDGvGBEiLAAq8MEJHEfLQUMyjihfH+DBXhT+eQW0r1yri7tOJEFRM9nbOejjjXiviq9RFo7KB7wF+xJA==" saltValue="bpjB0AAANu2X/PeR3eiFkA==" spinCount="100000" sqref="AM32:AS32" name="Rango2_88_65_4"/>
    <protectedRange algorithmName="SHA-512" hashValue="fPHvtIAf3pQeZUoAI9C2/vdXMHBpqqEq+67P5Ypyu4+9IWqs3yc9TZcMWQ0THLxUwqseQPyVvakuYFtCwJHsxA==" saltValue="QHIogSs2PrwAfdqa9PAOFQ==" spinCount="100000" sqref="AC32" name="Rango2_88_5_5_4"/>
    <protectedRange algorithmName="SHA-512" hashValue="LEEeiU6pKqm7TAP46VGlz0q+evvFwpT/0iLpRuWuQ7MacbP0OGL1/FSmrIEOg2rb6M+Jla2bPbVWiGag27j87w==" saltValue="HEVt+pS5OloNDlqSnzGLLw==" spinCount="100000" sqref="AI32" name="Rango2_8_7_4"/>
    <protectedRange algorithmName="SHA-512" hashValue="q2z5hEFmXS0v2chiPTC/VCoDWNlnhp+Xe6Ybfxe48vIsnB/KTJQxJv+pFUnCXfZ9T6vyJopuqFFNROfQTW/JUw==" saltValue="IctfdGJb5tOTpq+KPi9vww==" spinCount="100000" sqref="AE32:AF32" name="Rango2_88_39_4"/>
    <protectedRange algorithmName="SHA-512" hashValue="AYYX88LSDB6RDNMvSqt0KPGWPjBqTk56tMxTOlv5QD61MGTKAAQnSnudvNDWPN0Bbllh2qRQC+P5uq7goxjdrw==" saltValue="i/iPMewnks1FoXYOjKMEVg==" spinCount="100000" sqref="AB32" name="Rango2_87_6_4"/>
    <protectedRange algorithmName="SHA-512" hashValue="NUll9P9xh7KbSfMYpMxsRZLfDw/y/AzW2LSWlpXVscBDqiAxmzo71xjs+a2lh+jRa7pceOC849slke4+ZKx8LA==" saltValue="8qbkKpQ+CiQuLnqgShNvXA==" spinCount="100000" sqref="T32" name="Rango2_88_6_4"/>
    <protectedRange algorithmName="SHA-512" hashValue="KHhv3JU/LRdRrRTxxkgFceEHPZ5UzadmpZRZR3zmQRnPvkUJZuanRafIJ+qde0IWwLZSvFIQDyUAHq6v6k7XIg==" saltValue="2GKG1kCzVNNcn+vbOPuhJA==" spinCount="100000" sqref="Q32" name="Rango2_2_5_4"/>
    <protectedRange algorithmName="SHA-512" hashValue="XZw03RosI/l0z9FxmTtF29EdZ7P+4+ybhqoaAAUmURojSR5XbGfjC4f2i8gMqfY+RI9JvfdCA6PSh9TduXfUxA==" saltValue="5TPtLq2WoiRSae/yaDPnTw==" spinCount="100000" sqref="CJ32:CK32 CS32:CT32 CP32:CQ32 BZ32:CB32 O32 BJ32:BK32 R32:S32 AV32 DA32:DN32 CV32:CY32 BR32:BU32 U32:AA32 AT32 CE32:CF32" name="Rango2_99_4"/>
    <protectedRange algorithmName="SHA-512" hashValue="9+DNppQbWrLYYUMoJ+lyQctV2bX3Vq9kZnegLbpjTLP49It2ovUbcartuoQTeXgP+TGpY//7mDH/UQlFCKDGiA==" saltValue="KUnni6YEm00anzSSvyLqQA==" spinCount="100000" sqref="AD32" name="Rango2_25"/>
    <protectedRange algorithmName="SHA-512" hashValue="RQ91b7oAw60DVtcgB2vRpial2kSdzJx5guGCTYUwXYkKrtrUHfiYnLf9R+SNpYXlJDYpyEJLhcWwP0EqNN86dQ==" saltValue="W3RbH3zrcY9sy39xNwXNxg==" spinCount="100000" sqref="BA33:BI33 BV33:BY33" name="Rango2_88_99_5"/>
    <protectedRange algorithmName="SHA-512" hashValue="fMbmUM1DQ7FuAPRNvFL5mPdHUYjQnlLFhkuaxvHguaqR7aWyDxcmJs0jLYQfQKY+oyhsMb4Lew4VL6i7um3/ew==" saltValue="ydaTm0CeH8+/cYqoL/AMaQ==" spinCount="100000" sqref="AU33 AW33:AZ33" name="Rango2_88_91_5"/>
    <protectedRange algorithmName="SHA-512" hashValue="CHipOQaT63FWw628cQcXXJRZlrbNZ7OgmnEbDx38UmmH7z19GRYEzXFiVOzHAy1OAaAbST7g2bHZHDKQp2qm3w==" saltValue="iRVuL+373yLHv0ZHzS9qog==" spinCount="100000" sqref="AJ33 AG33:AH33 AL33" name="Rango2_88_7_5_5"/>
    <protectedRange algorithmName="SHA-512" hashValue="NkG6oHuDGvGBEiLAAq8MEJHEfLQUMyjihfH+DBXhT+eQW0r1yri7tOJEFRM9nbOejjjXiviq9RFo7KB7wF+xJA==" saltValue="bpjB0AAANu2X/PeR3eiFkA==" spinCount="100000" sqref="AM33:AS33" name="Rango2_88_65_5"/>
    <protectedRange algorithmName="SHA-512" hashValue="fPHvtIAf3pQeZUoAI9C2/vdXMHBpqqEq+67P5Ypyu4+9IWqs3yc9TZcMWQ0THLxUwqseQPyVvakuYFtCwJHsxA==" saltValue="QHIogSs2PrwAfdqa9PAOFQ==" spinCount="100000" sqref="AC33" name="Rango2_88_5_5_5"/>
    <protectedRange algorithmName="SHA-512" hashValue="LEEeiU6pKqm7TAP46VGlz0q+evvFwpT/0iLpRuWuQ7MacbP0OGL1/FSmrIEOg2rb6M+Jla2bPbVWiGag27j87w==" saltValue="HEVt+pS5OloNDlqSnzGLLw==" spinCount="100000" sqref="AI33" name="Rango2_8_7_5"/>
    <protectedRange algorithmName="SHA-512" hashValue="q2z5hEFmXS0v2chiPTC/VCoDWNlnhp+Xe6Ybfxe48vIsnB/KTJQxJv+pFUnCXfZ9T6vyJopuqFFNROfQTW/JUw==" saltValue="IctfdGJb5tOTpq+KPi9vww==" spinCount="100000" sqref="AE33:AF33" name="Rango2_88_39_5"/>
    <protectedRange algorithmName="SHA-512" hashValue="AYYX88LSDB6RDNMvSqt0KPGWPjBqTk56tMxTOlv5QD61MGTKAAQnSnudvNDWPN0Bbllh2qRQC+P5uq7goxjdrw==" saltValue="i/iPMewnks1FoXYOjKMEVg==" spinCount="100000" sqref="AB33" name="Rango2_87_6_5"/>
    <protectedRange algorithmName="SHA-512" hashValue="NUll9P9xh7KbSfMYpMxsRZLfDw/y/AzW2LSWlpXVscBDqiAxmzo71xjs+a2lh+jRa7pceOC849slke4+ZKx8LA==" saltValue="8qbkKpQ+CiQuLnqgShNvXA==" spinCount="100000" sqref="T33" name="Rango2_88_6_5"/>
    <protectedRange algorithmName="SHA-512" hashValue="KHhv3JU/LRdRrRTxxkgFceEHPZ5UzadmpZRZR3zmQRnPvkUJZuanRafIJ+qde0IWwLZSvFIQDyUAHq6v6k7XIg==" saltValue="2GKG1kCzVNNcn+vbOPuhJA==" spinCount="100000" sqref="Q33" name="Rango2_2_5_5"/>
    <protectedRange algorithmName="SHA-512" hashValue="XZw03RosI/l0z9FxmTtF29EdZ7P+4+ybhqoaAAUmURojSR5XbGfjC4f2i8gMqfY+RI9JvfdCA6PSh9TduXfUxA==" saltValue="5TPtLq2WoiRSae/yaDPnTw==" spinCount="100000" sqref="CJ33:CK33 CS33:CT33 CP33:CQ33 BZ33:CB33 O33 BJ33:BL33 R33:S33 AV33 DA33:DN33 CV33:CY33 BR33:BU33 U33:AA33 AT33 CE33:CF33" name="Rango2_99_5"/>
    <protectedRange algorithmName="SHA-512" hashValue="9+DNppQbWrLYYUMoJ+lyQctV2bX3Vq9kZnegLbpjTLP49It2ovUbcartuoQTeXgP+TGpY//7mDH/UQlFCKDGiA==" saltValue="KUnni6YEm00anzSSvyLqQA==" spinCount="100000" sqref="AD33" name="Rango2_26"/>
    <protectedRange algorithmName="SHA-512" hashValue="RQ91b7oAw60DVtcgB2vRpial2kSdzJx5guGCTYUwXYkKrtrUHfiYnLf9R+SNpYXlJDYpyEJLhcWwP0EqNN86dQ==" saltValue="W3RbH3zrcY9sy39xNwXNxg==" spinCount="100000" sqref="BA34:BI35 BV34:BY35" name="Rango2_88_99_6"/>
    <protectedRange algorithmName="SHA-512" hashValue="fMbmUM1DQ7FuAPRNvFL5mPdHUYjQnlLFhkuaxvHguaqR7aWyDxcmJs0jLYQfQKY+oyhsMb4Lew4VL6i7um3/ew==" saltValue="ydaTm0CeH8+/cYqoL/AMaQ==" spinCount="100000" sqref="AU34:AU35 AW34:AZ35" name="Rango2_88_91_6"/>
    <protectedRange algorithmName="SHA-512" hashValue="CHipOQaT63FWw628cQcXXJRZlrbNZ7OgmnEbDx38UmmH7z19GRYEzXFiVOzHAy1OAaAbST7g2bHZHDKQp2qm3w==" saltValue="iRVuL+373yLHv0ZHzS9qog==" spinCount="100000" sqref="AJ34:AJ35 AG34:AH35 AL34:AL35" name="Rango2_88_7_5_6"/>
    <protectedRange algorithmName="SHA-512" hashValue="NkG6oHuDGvGBEiLAAq8MEJHEfLQUMyjihfH+DBXhT+eQW0r1yri7tOJEFRM9nbOejjjXiviq9RFo7KB7wF+xJA==" saltValue="bpjB0AAANu2X/PeR3eiFkA==" spinCount="100000" sqref="AM34:AS35" name="Rango2_88_65_6"/>
    <protectedRange algorithmName="SHA-512" hashValue="fPHvtIAf3pQeZUoAI9C2/vdXMHBpqqEq+67P5Ypyu4+9IWqs3yc9TZcMWQ0THLxUwqseQPyVvakuYFtCwJHsxA==" saltValue="QHIogSs2PrwAfdqa9PAOFQ==" spinCount="100000" sqref="AC34:AC35" name="Rango2_88_5_5_6"/>
    <protectedRange algorithmName="SHA-512" hashValue="LEEeiU6pKqm7TAP46VGlz0q+evvFwpT/0iLpRuWuQ7MacbP0OGL1/FSmrIEOg2rb6M+Jla2bPbVWiGag27j87w==" saltValue="HEVt+pS5OloNDlqSnzGLLw==" spinCount="100000" sqref="AI34:AI35" name="Rango2_8_7_6"/>
    <protectedRange algorithmName="SHA-512" hashValue="q2z5hEFmXS0v2chiPTC/VCoDWNlnhp+Xe6Ybfxe48vIsnB/KTJQxJv+pFUnCXfZ9T6vyJopuqFFNROfQTW/JUw==" saltValue="IctfdGJb5tOTpq+KPi9vww==" spinCount="100000" sqref="AE34:AF35" name="Rango2_88_39_6"/>
    <protectedRange algorithmName="SHA-512" hashValue="AYYX88LSDB6RDNMvSqt0KPGWPjBqTk56tMxTOlv5QD61MGTKAAQnSnudvNDWPN0Bbllh2qRQC+P5uq7goxjdrw==" saltValue="i/iPMewnks1FoXYOjKMEVg==" spinCount="100000" sqref="AB34:AB35" name="Rango2_87_6_6"/>
    <protectedRange algorithmName="SHA-512" hashValue="NUll9P9xh7KbSfMYpMxsRZLfDw/y/AzW2LSWlpXVscBDqiAxmzo71xjs+a2lh+jRa7pceOC849slke4+ZKx8LA==" saltValue="8qbkKpQ+CiQuLnqgShNvXA==" spinCount="100000" sqref="T34:T35" name="Rango2_88_6_6"/>
    <protectedRange algorithmName="SHA-512" hashValue="KHhv3JU/LRdRrRTxxkgFceEHPZ5UzadmpZRZR3zmQRnPvkUJZuanRafIJ+qde0IWwLZSvFIQDyUAHq6v6k7XIg==" saltValue="2GKG1kCzVNNcn+vbOPuhJA==" spinCount="100000" sqref="Q34:Q35" name="Rango2_2_5_6"/>
    <protectedRange algorithmName="SHA-512" hashValue="XZw03RosI/l0z9FxmTtF29EdZ7P+4+ybhqoaAAUmURojSR5XbGfjC4f2i8gMqfY+RI9JvfdCA6PSh9TduXfUxA==" saltValue="5TPtLq2WoiRSae/yaDPnTw==" spinCount="100000" sqref="CJ34:CK35 CS34:CT35 CP34:CQ35 BZ34:CB35 O34:O35 BJ34:BL34 R34:S35 AV34:AV35 DA34:DN35 CV34:CY35 BR34:BU35 U34:AA35 AT34:AT35 CE34:CF35 BJ35:BK35" name="Rango2_99_6"/>
    <protectedRange algorithmName="SHA-512" hashValue="9+DNppQbWrLYYUMoJ+lyQctV2bX3Vq9kZnegLbpjTLP49It2ovUbcartuoQTeXgP+TGpY//7mDH/UQlFCKDGiA==" saltValue="KUnni6YEm00anzSSvyLqQA==" spinCount="100000" sqref="AD34:AD35" name="Rango2_32"/>
    <protectedRange algorithmName="SHA-512" hashValue="RQ91b7oAw60DVtcgB2vRpial2kSdzJx5guGCTYUwXYkKrtrUHfiYnLf9R+SNpYXlJDYpyEJLhcWwP0EqNN86dQ==" saltValue="W3RbH3zrcY9sy39xNwXNxg==" spinCount="100000" sqref="BA36:BI36 BV36:BY36" name="Rango2_88_99_7"/>
    <protectedRange algorithmName="SHA-512" hashValue="fMbmUM1DQ7FuAPRNvFL5mPdHUYjQnlLFhkuaxvHguaqR7aWyDxcmJs0jLYQfQKY+oyhsMb4Lew4VL6i7um3/ew==" saltValue="ydaTm0CeH8+/cYqoL/AMaQ==" spinCount="100000" sqref="AU36 AW36:AZ36" name="Rango2_88_91_7"/>
    <protectedRange algorithmName="SHA-512" hashValue="CHipOQaT63FWw628cQcXXJRZlrbNZ7OgmnEbDx38UmmH7z19GRYEzXFiVOzHAy1OAaAbST7g2bHZHDKQp2qm3w==" saltValue="iRVuL+373yLHv0ZHzS9qog==" spinCount="100000" sqref="AJ36 AG36:AH36 AL36" name="Rango2_88_7_5_7"/>
    <protectedRange algorithmName="SHA-512" hashValue="NkG6oHuDGvGBEiLAAq8MEJHEfLQUMyjihfH+DBXhT+eQW0r1yri7tOJEFRM9nbOejjjXiviq9RFo7KB7wF+xJA==" saltValue="bpjB0AAANu2X/PeR3eiFkA==" spinCount="100000" sqref="AM36:AS36" name="Rango2_88_65_7"/>
    <protectedRange algorithmName="SHA-512" hashValue="fPHvtIAf3pQeZUoAI9C2/vdXMHBpqqEq+67P5Ypyu4+9IWqs3yc9TZcMWQ0THLxUwqseQPyVvakuYFtCwJHsxA==" saltValue="QHIogSs2PrwAfdqa9PAOFQ==" spinCount="100000" sqref="AC36" name="Rango2_88_5_5_7"/>
    <protectedRange algorithmName="SHA-512" hashValue="LEEeiU6pKqm7TAP46VGlz0q+evvFwpT/0iLpRuWuQ7MacbP0OGL1/FSmrIEOg2rb6M+Jla2bPbVWiGag27j87w==" saltValue="HEVt+pS5OloNDlqSnzGLLw==" spinCount="100000" sqref="AI36" name="Rango2_8_7_7"/>
    <protectedRange algorithmName="SHA-512" hashValue="q2z5hEFmXS0v2chiPTC/VCoDWNlnhp+Xe6Ybfxe48vIsnB/KTJQxJv+pFUnCXfZ9T6vyJopuqFFNROfQTW/JUw==" saltValue="IctfdGJb5tOTpq+KPi9vww==" spinCount="100000" sqref="AE36:AF36" name="Rango2_88_39_7"/>
    <protectedRange algorithmName="SHA-512" hashValue="AYYX88LSDB6RDNMvSqt0KPGWPjBqTk56tMxTOlv5QD61MGTKAAQnSnudvNDWPN0Bbllh2qRQC+P5uq7goxjdrw==" saltValue="i/iPMewnks1FoXYOjKMEVg==" spinCount="100000" sqref="AB36" name="Rango2_87_6_7"/>
    <protectedRange algorithmName="SHA-512" hashValue="NUll9P9xh7KbSfMYpMxsRZLfDw/y/AzW2LSWlpXVscBDqiAxmzo71xjs+a2lh+jRa7pceOC849slke4+ZKx8LA==" saltValue="8qbkKpQ+CiQuLnqgShNvXA==" spinCount="100000" sqref="T36" name="Rango2_88_6_7"/>
    <protectedRange algorithmName="SHA-512" hashValue="KHhv3JU/LRdRrRTxxkgFceEHPZ5UzadmpZRZR3zmQRnPvkUJZuanRafIJ+qde0IWwLZSvFIQDyUAHq6v6k7XIg==" saltValue="2GKG1kCzVNNcn+vbOPuhJA==" spinCount="100000" sqref="Q36" name="Rango2_2_5_7"/>
    <protectedRange algorithmName="SHA-512" hashValue="XZw03RosI/l0z9FxmTtF29EdZ7P+4+ybhqoaAAUmURojSR5XbGfjC4f2i8gMqfY+RI9JvfdCA6PSh9TduXfUxA==" saltValue="5TPtLq2WoiRSae/yaDPnTw==" spinCount="100000" sqref="CJ36:CK36 CS36:CT36 CP36:CQ36 BZ36:CB36 O36 BJ36:BK36 R36:S36 AV36 DA36:DN36 CV36:CY36 BR36:BU36 U36:AA36 AT36 CE36:CF36" name="Rango2_99_7"/>
    <protectedRange algorithmName="SHA-512" hashValue="9+DNppQbWrLYYUMoJ+lyQctV2bX3Vq9kZnegLbpjTLP49It2ovUbcartuoQTeXgP+TGpY//7mDH/UQlFCKDGiA==" saltValue="KUnni6YEm00anzSSvyLqQA==" spinCount="100000" sqref="AD36" name="Rango2_34"/>
    <protectedRange algorithmName="SHA-512" hashValue="RQ91b7oAw60DVtcgB2vRpial2kSdzJx5guGCTYUwXYkKrtrUHfiYnLf9R+SNpYXlJDYpyEJLhcWwP0EqNN86dQ==" saltValue="W3RbH3zrcY9sy39xNwXNxg==" spinCount="100000" sqref="BA37:BI38 BV37:BY38" name="Rango2_88_99_8"/>
    <protectedRange algorithmName="SHA-512" hashValue="fMbmUM1DQ7FuAPRNvFL5mPdHUYjQnlLFhkuaxvHguaqR7aWyDxcmJs0jLYQfQKY+oyhsMb4Lew4VL6i7um3/ew==" saltValue="ydaTm0CeH8+/cYqoL/AMaQ==" spinCount="100000" sqref="AU37:AU38 AW37:AZ38" name="Rango2_88_91_8"/>
    <protectedRange algorithmName="SHA-512" hashValue="CHipOQaT63FWw628cQcXXJRZlrbNZ7OgmnEbDx38UmmH7z19GRYEzXFiVOzHAy1OAaAbST7g2bHZHDKQp2qm3w==" saltValue="iRVuL+373yLHv0ZHzS9qog==" spinCount="100000" sqref="AJ37:AJ38 AG37:AH38 AL37:AL38" name="Rango2_88_7_5_8"/>
    <protectedRange algorithmName="SHA-512" hashValue="NkG6oHuDGvGBEiLAAq8MEJHEfLQUMyjihfH+DBXhT+eQW0r1yri7tOJEFRM9nbOejjjXiviq9RFo7KB7wF+xJA==" saltValue="bpjB0AAANu2X/PeR3eiFkA==" spinCount="100000" sqref="AM37:AS38" name="Rango2_88_65_8"/>
    <protectedRange algorithmName="SHA-512" hashValue="fPHvtIAf3pQeZUoAI9C2/vdXMHBpqqEq+67P5Ypyu4+9IWqs3yc9TZcMWQ0THLxUwqseQPyVvakuYFtCwJHsxA==" saltValue="QHIogSs2PrwAfdqa9PAOFQ==" spinCount="100000" sqref="AC37:AC38" name="Rango2_88_5_5_8"/>
    <protectedRange algorithmName="SHA-512" hashValue="LEEeiU6pKqm7TAP46VGlz0q+evvFwpT/0iLpRuWuQ7MacbP0OGL1/FSmrIEOg2rb6M+Jla2bPbVWiGag27j87w==" saltValue="HEVt+pS5OloNDlqSnzGLLw==" spinCount="100000" sqref="AI37:AI38" name="Rango2_8_7_8"/>
    <protectedRange algorithmName="SHA-512" hashValue="q2z5hEFmXS0v2chiPTC/VCoDWNlnhp+Xe6Ybfxe48vIsnB/KTJQxJv+pFUnCXfZ9T6vyJopuqFFNROfQTW/JUw==" saltValue="IctfdGJb5tOTpq+KPi9vww==" spinCount="100000" sqref="AE37:AF38" name="Rango2_88_39_8"/>
    <protectedRange algorithmName="SHA-512" hashValue="AYYX88LSDB6RDNMvSqt0KPGWPjBqTk56tMxTOlv5QD61MGTKAAQnSnudvNDWPN0Bbllh2qRQC+P5uq7goxjdrw==" saltValue="i/iPMewnks1FoXYOjKMEVg==" spinCount="100000" sqref="AB37:AB38" name="Rango2_87_6_8"/>
    <protectedRange algorithmName="SHA-512" hashValue="NUll9P9xh7KbSfMYpMxsRZLfDw/y/AzW2LSWlpXVscBDqiAxmzo71xjs+a2lh+jRa7pceOC849slke4+ZKx8LA==" saltValue="8qbkKpQ+CiQuLnqgShNvXA==" spinCount="100000" sqref="T37:T38" name="Rango2_88_6_8"/>
    <protectedRange algorithmName="SHA-512" hashValue="KHhv3JU/LRdRrRTxxkgFceEHPZ5UzadmpZRZR3zmQRnPvkUJZuanRafIJ+qde0IWwLZSvFIQDyUAHq6v6k7XIg==" saltValue="2GKG1kCzVNNcn+vbOPuhJA==" spinCount="100000" sqref="Q37:Q38" name="Rango2_2_5_8"/>
    <protectedRange algorithmName="SHA-512" hashValue="XZw03RosI/l0z9FxmTtF29EdZ7P+4+ybhqoaAAUmURojSR5XbGfjC4f2i8gMqfY+RI9JvfdCA6PSh9TduXfUxA==" saltValue="5TPtLq2WoiRSae/yaDPnTw==" spinCount="100000" sqref="CJ37:CK38 CS37:CT38 CP37:CQ38 BZ37:CB38 O37:O38 BJ37:BL38 R37:S38 AV37:AV38 DA37:DN38 CV37:CY38 BR37:BU38 U37:AA38 AT37:AT38 CE37:CF38" name="Rango2_99_8"/>
    <protectedRange algorithmName="SHA-512" hashValue="9+DNppQbWrLYYUMoJ+lyQctV2bX3Vq9kZnegLbpjTLP49It2ovUbcartuoQTeXgP+TGpY//7mDH/UQlFCKDGiA==" saltValue="KUnni6YEm00anzSSvyLqQA==" spinCount="100000" sqref="AD37:AD38" name="Rango2_35"/>
    <protectedRange algorithmName="SHA-512" hashValue="RQ91b7oAw60DVtcgB2vRpial2kSdzJx5guGCTYUwXYkKrtrUHfiYnLf9R+SNpYXlJDYpyEJLhcWwP0EqNN86dQ==" saltValue="W3RbH3zrcY9sy39xNwXNxg==" spinCount="100000" sqref="BA39:BI40 BV39:BY40" name="Rango2_88_99_9"/>
    <protectedRange algorithmName="SHA-512" hashValue="fMbmUM1DQ7FuAPRNvFL5mPdHUYjQnlLFhkuaxvHguaqR7aWyDxcmJs0jLYQfQKY+oyhsMb4Lew4VL6i7um3/ew==" saltValue="ydaTm0CeH8+/cYqoL/AMaQ==" spinCount="100000" sqref="AU39:AU40 AW39:AZ40" name="Rango2_88_91_9"/>
    <protectedRange algorithmName="SHA-512" hashValue="CHipOQaT63FWw628cQcXXJRZlrbNZ7OgmnEbDx38UmmH7z19GRYEzXFiVOzHAy1OAaAbST7g2bHZHDKQp2qm3w==" saltValue="iRVuL+373yLHv0ZHzS9qog==" spinCount="100000" sqref="AJ39:AJ40 AG39:AH40 AL39:AL40" name="Rango2_88_7_5_9"/>
    <protectedRange algorithmName="SHA-512" hashValue="NkG6oHuDGvGBEiLAAq8MEJHEfLQUMyjihfH+DBXhT+eQW0r1yri7tOJEFRM9nbOejjjXiviq9RFo7KB7wF+xJA==" saltValue="bpjB0AAANu2X/PeR3eiFkA==" spinCount="100000" sqref="AM39:AS40" name="Rango2_88_65_9"/>
    <protectedRange algorithmName="SHA-512" hashValue="fPHvtIAf3pQeZUoAI9C2/vdXMHBpqqEq+67P5Ypyu4+9IWqs3yc9TZcMWQ0THLxUwqseQPyVvakuYFtCwJHsxA==" saltValue="QHIogSs2PrwAfdqa9PAOFQ==" spinCount="100000" sqref="AC39:AC40" name="Rango2_88_5_5_9"/>
    <protectedRange algorithmName="SHA-512" hashValue="LEEeiU6pKqm7TAP46VGlz0q+evvFwpT/0iLpRuWuQ7MacbP0OGL1/FSmrIEOg2rb6M+Jla2bPbVWiGag27j87w==" saltValue="HEVt+pS5OloNDlqSnzGLLw==" spinCount="100000" sqref="AI39:AI40" name="Rango2_8_7_9"/>
    <protectedRange algorithmName="SHA-512" hashValue="q2z5hEFmXS0v2chiPTC/VCoDWNlnhp+Xe6Ybfxe48vIsnB/KTJQxJv+pFUnCXfZ9T6vyJopuqFFNROfQTW/JUw==" saltValue="IctfdGJb5tOTpq+KPi9vww==" spinCount="100000" sqref="AE39:AF40" name="Rango2_88_39_9"/>
    <protectedRange algorithmName="SHA-512" hashValue="AYYX88LSDB6RDNMvSqt0KPGWPjBqTk56tMxTOlv5QD61MGTKAAQnSnudvNDWPN0Bbllh2qRQC+P5uq7goxjdrw==" saltValue="i/iPMewnks1FoXYOjKMEVg==" spinCount="100000" sqref="AB39:AB40" name="Rango2_87_6_9"/>
    <protectedRange algorithmName="SHA-512" hashValue="NUll9P9xh7KbSfMYpMxsRZLfDw/y/AzW2LSWlpXVscBDqiAxmzo71xjs+a2lh+jRa7pceOC849slke4+ZKx8LA==" saltValue="8qbkKpQ+CiQuLnqgShNvXA==" spinCount="100000" sqref="T39:T40" name="Rango2_88_6_9"/>
    <protectedRange algorithmName="SHA-512" hashValue="KHhv3JU/LRdRrRTxxkgFceEHPZ5UzadmpZRZR3zmQRnPvkUJZuanRafIJ+qde0IWwLZSvFIQDyUAHq6v6k7XIg==" saltValue="2GKG1kCzVNNcn+vbOPuhJA==" spinCount="100000" sqref="Q39:Q40" name="Rango2_2_5_9"/>
    <protectedRange algorithmName="SHA-512" hashValue="XZw03RosI/l0z9FxmTtF29EdZ7P+4+ybhqoaAAUmURojSR5XbGfjC4f2i8gMqfY+RI9JvfdCA6PSh9TduXfUxA==" saltValue="5TPtLq2WoiRSae/yaDPnTw==" spinCount="100000" sqref="CJ39:CK40 CS39:CT40 CP39:CQ40 BZ39:CB40 O39:O40 BJ40:BL40 R39:S40 AV39:AV40 DA39:DN40 CV39:CY40 BR39:BU40 U39:AA40 AT39:AT40 CE39:CF40 BJ39:BK39" name="Rango2_99_9"/>
    <protectedRange algorithmName="SHA-512" hashValue="9+DNppQbWrLYYUMoJ+lyQctV2bX3Vq9kZnegLbpjTLP49It2ovUbcartuoQTeXgP+TGpY//7mDH/UQlFCKDGiA==" saltValue="KUnni6YEm00anzSSvyLqQA==" spinCount="100000" sqref="AD39:AD40" name="Rango2_36"/>
    <protectedRange algorithmName="SHA-512" hashValue="RQ91b7oAw60DVtcgB2vRpial2kSdzJx5guGCTYUwXYkKrtrUHfiYnLf9R+SNpYXlJDYpyEJLhcWwP0EqNN86dQ==" saltValue="W3RbH3zrcY9sy39xNwXNxg==" spinCount="100000" sqref="BA41:BI42 BV41:BY42" name="Rango2_88_99_10"/>
    <protectedRange algorithmName="SHA-512" hashValue="fMbmUM1DQ7FuAPRNvFL5mPdHUYjQnlLFhkuaxvHguaqR7aWyDxcmJs0jLYQfQKY+oyhsMb4Lew4VL6i7um3/ew==" saltValue="ydaTm0CeH8+/cYqoL/AMaQ==" spinCount="100000" sqref="AU41:AU42 AW41:AZ42" name="Rango2_88_91_10"/>
    <protectedRange algorithmName="SHA-512" hashValue="CHipOQaT63FWw628cQcXXJRZlrbNZ7OgmnEbDx38UmmH7z19GRYEzXFiVOzHAy1OAaAbST7g2bHZHDKQp2qm3w==" saltValue="iRVuL+373yLHv0ZHzS9qog==" spinCount="100000" sqref="AJ41:AJ42 AG41:AH42 AL41:AL42" name="Rango2_88_7_5_10"/>
    <protectedRange algorithmName="SHA-512" hashValue="NkG6oHuDGvGBEiLAAq8MEJHEfLQUMyjihfH+DBXhT+eQW0r1yri7tOJEFRM9nbOejjjXiviq9RFo7KB7wF+xJA==" saltValue="bpjB0AAANu2X/PeR3eiFkA==" spinCount="100000" sqref="AM41:AS42" name="Rango2_88_65_10"/>
    <protectedRange algorithmName="SHA-512" hashValue="fPHvtIAf3pQeZUoAI9C2/vdXMHBpqqEq+67P5Ypyu4+9IWqs3yc9TZcMWQ0THLxUwqseQPyVvakuYFtCwJHsxA==" saltValue="QHIogSs2PrwAfdqa9PAOFQ==" spinCount="100000" sqref="AC41:AC42" name="Rango2_88_5_5_10"/>
    <protectedRange algorithmName="SHA-512" hashValue="LEEeiU6pKqm7TAP46VGlz0q+evvFwpT/0iLpRuWuQ7MacbP0OGL1/FSmrIEOg2rb6M+Jla2bPbVWiGag27j87w==" saltValue="HEVt+pS5OloNDlqSnzGLLw==" spinCount="100000" sqref="AI41:AI42" name="Rango2_8_7_10"/>
    <protectedRange algorithmName="SHA-512" hashValue="q2z5hEFmXS0v2chiPTC/VCoDWNlnhp+Xe6Ybfxe48vIsnB/KTJQxJv+pFUnCXfZ9T6vyJopuqFFNROfQTW/JUw==" saltValue="IctfdGJb5tOTpq+KPi9vww==" spinCount="100000" sqref="AE41:AF42" name="Rango2_88_39_10"/>
    <protectedRange algorithmName="SHA-512" hashValue="AYYX88LSDB6RDNMvSqt0KPGWPjBqTk56tMxTOlv5QD61MGTKAAQnSnudvNDWPN0Bbllh2qRQC+P5uq7goxjdrw==" saltValue="i/iPMewnks1FoXYOjKMEVg==" spinCount="100000" sqref="AB41:AB42" name="Rango2_87_6_10"/>
    <protectedRange algorithmName="SHA-512" hashValue="NUll9P9xh7KbSfMYpMxsRZLfDw/y/AzW2LSWlpXVscBDqiAxmzo71xjs+a2lh+jRa7pceOC849slke4+ZKx8LA==" saltValue="8qbkKpQ+CiQuLnqgShNvXA==" spinCount="100000" sqref="T41:T42" name="Rango2_88_6_10"/>
    <protectedRange algorithmName="SHA-512" hashValue="KHhv3JU/LRdRrRTxxkgFceEHPZ5UzadmpZRZR3zmQRnPvkUJZuanRafIJ+qde0IWwLZSvFIQDyUAHq6v6k7XIg==" saltValue="2GKG1kCzVNNcn+vbOPuhJA==" spinCount="100000" sqref="Q41:Q42" name="Rango2_2_5_10"/>
    <protectedRange algorithmName="SHA-512" hashValue="XZw03RosI/l0z9FxmTtF29EdZ7P+4+ybhqoaAAUmURojSR5XbGfjC4f2i8gMqfY+RI9JvfdCA6PSh9TduXfUxA==" saltValue="5TPtLq2WoiRSae/yaDPnTw==" spinCount="100000" sqref="CJ41:CK42 CS41:CT42 CP41:CQ42 BZ41:CB42 O41:O42 BJ41:BL41 R41:S42 AV41:AV42 DA41:DN42 CV41:CY42 BR41:BU42 U41:AA42 AT41:AT42 CE41:CF42 BJ42:BK42" name="Rango2_99_10"/>
    <protectedRange algorithmName="SHA-512" hashValue="9+DNppQbWrLYYUMoJ+lyQctV2bX3Vq9kZnegLbpjTLP49It2ovUbcartuoQTeXgP+TGpY//7mDH/UQlFCKDGiA==" saltValue="KUnni6YEm00anzSSvyLqQA==" spinCount="100000" sqref="AD41:AD42" name="Rango2_37"/>
    <protectedRange algorithmName="SHA-512" hashValue="RQ91b7oAw60DVtcgB2vRpial2kSdzJx5guGCTYUwXYkKrtrUHfiYnLf9R+SNpYXlJDYpyEJLhcWwP0EqNN86dQ==" saltValue="W3RbH3zrcY9sy39xNwXNxg==" spinCount="100000" sqref="BA43:BI43 BV43:BY43" name="Rango2_88_99_11"/>
    <protectedRange algorithmName="SHA-512" hashValue="fMbmUM1DQ7FuAPRNvFL5mPdHUYjQnlLFhkuaxvHguaqR7aWyDxcmJs0jLYQfQKY+oyhsMb4Lew4VL6i7um3/ew==" saltValue="ydaTm0CeH8+/cYqoL/AMaQ==" spinCount="100000" sqref="AU43 AW43:AZ43" name="Rango2_88_91_11"/>
    <protectedRange algorithmName="SHA-512" hashValue="CHipOQaT63FWw628cQcXXJRZlrbNZ7OgmnEbDx38UmmH7z19GRYEzXFiVOzHAy1OAaAbST7g2bHZHDKQp2qm3w==" saltValue="iRVuL+373yLHv0ZHzS9qog==" spinCount="100000" sqref="AJ43 AG43:AH43 AL43" name="Rango2_88_7_5_11"/>
    <protectedRange algorithmName="SHA-512" hashValue="NkG6oHuDGvGBEiLAAq8MEJHEfLQUMyjihfH+DBXhT+eQW0r1yri7tOJEFRM9nbOejjjXiviq9RFo7KB7wF+xJA==" saltValue="bpjB0AAANu2X/PeR3eiFkA==" spinCount="100000" sqref="AM43:AS43" name="Rango2_88_65_11"/>
    <protectedRange algorithmName="SHA-512" hashValue="fPHvtIAf3pQeZUoAI9C2/vdXMHBpqqEq+67P5Ypyu4+9IWqs3yc9TZcMWQ0THLxUwqseQPyVvakuYFtCwJHsxA==" saltValue="QHIogSs2PrwAfdqa9PAOFQ==" spinCount="100000" sqref="AC43" name="Rango2_88_5_5_11"/>
    <protectedRange algorithmName="SHA-512" hashValue="LEEeiU6pKqm7TAP46VGlz0q+evvFwpT/0iLpRuWuQ7MacbP0OGL1/FSmrIEOg2rb6M+Jla2bPbVWiGag27j87w==" saltValue="HEVt+pS5OloNDlqSnzGLLw==" spinCount="100000" sqref="AI43" name="Rango2_8_7_11"/>
    <protectedRange algorithmName="SHA-512" hashValue="q2z5hEFmXS0v2chiPTC/VCoDWNlnhp+Xe6Ybfxe48vIsnB/KTJQxJv+pFUnCXfZ9T6vyJopuqFFNROfQTW/JUw==" saltValue="IctfdGJb5tOTpq+KPi9vww==" spinCount="100000" sqref="AE43:AF43" name="Rango2_88_39_11"/>
    <protectedRange algorithmName="SHA-512" hashValue="AYYX88LSDB6RDNMvSqt0KPGWPjBqTk56tMxTOlv5QD61MGTKAAQnSnudvNDWPN0Bbllh2qRQC+P5uq7goxjdrw==" saltValue="i/iPMewnks1FoXYOjKMEVg==" spinCount="100000" sqref="AB43" name="Rango2_87_6_11"/>
    <protectedRange algorithmName="SHA-512" hashValue="NUll9P9xh7KbSfMYpMxsRZLfDw/y/AzW2LSWlpXVscBDqiAxmzo71xjs+a2lh+jRa7pceOC849slke4+ZKx8LA==" saltValue="8qbkKpQ+CiQuLnqgShNvXA==" spinCount="100000" sqref="T43" name="Rango2_88_6_11"/>
    <protectedRange algorithmName="SHA-512" hashValue="KHhv3JU/LRdRrRTxxkgFceEHPZ5UzadmpZRZR3zmQRnPvkUJZuanRafIJ+qde0IWwLZSvFIQDyUAHq6v6k7XIg==" saltValue="2GKG1kCzVNNcn+vbOPuhJA==" spinCount="100000" sqref="Q43" name="Rango2_2_5_11"/>
    <protectedRange algorithmName="SHA-512" hashValue="XZw03RosI/l0z9FxmTtF29EdZ7P+4+ybhqoaAAUmURojSR5XbGfjC4f2i8gMqfY+RI9JvfdCA6PSh9TduXfUxA==" saltValue="5TPtLq2WoiRSae/yaDPnTw==" spinCount="100000" sqref="CJ43:CK43 CS43:CT43 CP43:CQ43 BZ43:CB43 O43 BJ43:BK43 R43:S43 AV43 DA43:DN43 CV43:CY43 BR43:BU43 U43:AA43 AT43 CE43:CF43" name="Rango2_99_11"/>
    <protectedRange algorithmName="SHA-512" hashValue="9+DNppQbWrLYYUMoJ+lyQctV2bX3Vq9kZnegLbpjTLP49It2ovUbcartuoQTeXgP+TGpY//7mDH/UQlFCKDGiA==" saltValue="KUnni6YEm00anzSSvyLqQA==" spinCount="100000" sqref="AD43" name="Rango2_38"/>
    <protectedRange algorithmName="SHA-512" hashValue="RQ91b7oAw60DVtcgB2vRpial2kSdzJx5guGCTYUwXYkKrtrUHfiYnLf9R+SNpYXlJDYpyEJLhcWwP0EqNN86dQ==" saltValue="W3RbH3zrcY9sy39xNwXNxg==" spinCount="100000" sqref="BA44:BI44 BV44:BY44" name="Rango2_88_99_12"/>
    <protectedRange algorithmName="SHA-512" hashValue="fMbmUM1DQ7FuAPRNvFL5mPdHUYjQnlLFhkuaxvHguaqR7aWyDxcmJs0jLYQfQKY+oyhsMb4Lew4VL6i7um3/ew==" saltValue="ydaTm0CeH8+/cYqoL/AMaQ==" spinCount="100000" sqref="AU44 AW44:AZ44" name="Rango2_88_91_12"/>
    <protectedRange algorithmName="SHA-512" hashValue="CHipOQaT63FWw628cQcXXJRZlrbNZ7OgmnEbDx38UmmH7z19GRYEzXFiVOzHAy1OAaAbST7g2bHZHDKQp2qm3w==" saltValue="iRVuL+373yLHv0ZHzS9qog==" spinCount="100000" sqref="AJ44 AG44:AH44 AL44" name="Rango2_88_7_5_12"/>
    <protectedRange algorithmName="SHA-512" hashValue="NkG6oHuDGvGBEiLAAq8MEJHEfLQUMyjihfH+DBXhT+eQW0r1yri7tOJEFRM9nbOejjjXiviq9RFo7KB7wF+xJA==" saltValue="bpjB0AAANu2X/PeR3eiFkA==" spinCount="100000" sqref="AM44:AS44" name="Rango2_88_65_12"/>
    <protectedRange algorithmName="SHA-512" hashValue="fPHvtIAf3pQeZUoAI9C2/vdXMHBpqqEq+67P5Ypyu4+9IWqs3yc9TZcMWQ0THLxUwqseQPyVvakuYFtCwJHsxA==" saltValue="QHIogSs2PrwAfdqa9PAOFQ==" spinCount="100000" sqref="AC44" name="Rango2_88_5_5_12"/>
    <protectedRange algorithmName="SHA-512" hashValue="LEEeiU6pKqm7TAP46VGlz0q+evvFwpT/0iLpRuWuQ7MacbP0OGL1/FSmrIEOg2rb6M+Jla2bPbVWiGag27j87w==" saltValue="HEVt+pS5OloNDlqSnzGLLw==" spinCount="100000" sqref="AI44" name="Rango2_8_7_12"/>
    <protectedRange algorithmName="SHA-512" hashValue="q2z5hEFmXS0v2chiPTC/VCoDWNlnhp+Xe6Ybfxe48vIsnB/KTJQxJv+pFUnCXfZ9T6vyJopuqFFNROfQTW/JUw==" saltValue="IctfdGJb5tOTpq+KPi9vww==" spinCount="100000" sqref="AE44:AF44" name="Rango2_88_39_12"/>
    <protectedRange algorithmName="SHA-512" hashValue="AYYX88LSDB6RDNMvSqt0KPGWPjBqTk56tMxTOlv5QD61MGTKAAQnSnudvNDWPN0Bbllh2qRQC+P5uq7goxjdrw==" saltValue="i/iPMewnks1FoXYOjKMEVg==" spinCount="100000" sqref="AB44" name="Rango2_87_6_12"/>
    <protectedRange algorithmName="SHA-512" hashValue="NUll9P9xh7KbSfMYpMxsRZLfDw/y/AzW2LSWlpXVscBDqiAxmzo71xjs+a2lh+jRa7pceOC849slke4+ZKx8LA==" saltValue="8qbkKpQ+CiQuLnqgShNvXA==" spinCount="100000" sqref="T44" name="Rango2_88_6_12"/>
    <protectedRange algorithmName="SHA-512" hashValue="KHhv3JU/LRdRrRTxxkgFceEHPZ5UzadmpZRZR3zmQRnPvkUJZuanRafIJ+qde0IWwLZSvFIQDyUAHq6v6k7XIg==" saltValue="2GKG1kCzVNNcn+vbOPuhJA==" spinCount="100000" sqref="Q44" name="Rango2_2_5_12"/>
    <protectedRange algorithmName="SHA-512" hashValue="XZw03RosI/l0z9FxmTtF29EdZ7P+4+ybhqoaAAUmURojSR5XbGfjC4f2i8gMqfY+RI9JvfdCA6PSh9TduXfUxA==" saltValue="5TPtLq2WoiRSae/yaDPnTw==" spinCount="100000" sqref="CJ44:CK44 CS44:CT44 CP44:CQ44 BZ44:CB44 O44 BJ44:BK44 R44:S44 AV44 DA44:DN44 CV44:CY44 BR44:BU44 U44:AA44 AT44 CE44:CF44" name="Rango2_99_12"/>
    <protectedRange algorithmName="SHA-512" hashValue="9+DNppQbWrLYYUMoJ+lyQctV2bX3Vq9kZnegLbpjTLP49It2ovUbcartuoQTeXgP+TGpY//7mDH/UQlFCKDGiA==" saltValue="KUnni6YEm00anzSSvyLqQA==" spinCount="100000" sqref="AD44" name="Rango2_39"/>
    <protectedRange algorithmName="SHA-512" hashValue="RQ91b7oAw60DVtcgB2vRpial2kSdzJx5guGCTYUwXYkKrtrUHfiYnLf9R+SNpYXlJDYpyEJLhcWwP0EqNN86dQ==" saltValue="W3RbH3zrcY9sy39xNwXNxg==" spinCount="100000" sqref="BA45:BI45 BV45:BY45" name="Rango2_88_99_13"/>
    <protectedRange algorithmName="SHA-512" hashValue="fMbmUM1DQ7FuAPRNvFL5mPdHUYjQnlLFhkuaxvHguaqR7aWyDxcmJs0jLYQfQKY+oyhsMb4Lew4VL6i7um3/ew==" saltValue="ydaTm0CeH8+/cYqoL/AMaQ==" spinCount="100000" sqref="AU45 AW45:AZ45" name="Rango2_88_91_13"/>
    <protectedRange algorithmName="SHA-512" hashValue="CHipOQaT63FWw628cQcXXJRZlrbNZ7OgmnEbDx38UmmH7z19GRYEzXFiVOzHAy1OAaAbST7g2bHZHDKQp2qm3w==" saltValue="iRVuL+373yLHv0ZHzS9qog==" spinCount="100000" sqref="AJ45 AG45:AH45 AL45" name="Rango2_88_7_5_13"/>
    <protectedRange algorithmName="SHA-512" hashValue="NkG6oHuDGvGBEiLAAq8MEJHEfLQUMyjihfH+DBXhT+eQW0r1yri7tOJEFRM9nbOejjjXiviq9RFo7KB7wF+xJA==" saltValue="bpjB0AAANu2X/PeR3eiFkA==" spinCount="100000" sqref="AM45:AS45" name="Rango2_88_65_13"/>
    <protectedRange algorithmName="SHA-512" hashValue="fPHvtIAf3pQeZUoAI9C2/vdXMHBpqqEq+67P5Ypyu4+9IWqs3yc9TZcMWQ0THLxUwqseQPyVvakuYFtCwJHsxA==" saltValue="QHIogSs2PrwAfdqa9PAOFQ==" spinCount="100000" sqref="AC45" name="Rango2_88_5_5_13"/>
    <protectedRange algorithmName="SHA-512" hashValue="LEEeiU6pKqm7TAP46VGlz0q+evvFwpT/0iLpRuWuQ7MacbP0OGL1/FSmrIEOg2rb6M+Jla2bPbVWiGag27j87w==" saltValue="HEVt+pS5OloNDlqSnzGLLw==" spinCount="100000" sqref="AI45" name="Rango2_8_7_13"/>
    <protectedRange algorithmName="SHA-512" hashValue="q2z5hEFmXS0v2chiPTC/VCoDWNlnhp+Xe6Ybfxe48vIsnB/KTJQxJv+pFUnCXfZ9T6vyJopuqFFNROfQTW/JUw==" saltValue="IctfdGJb5tOTpq+KPi9vww==" spinCount="100000" sqref="AE45:AF45" name="Rango2_88_39_13"/>
    <protectedRange algorithmName="SHA-512" hashValue="AYYX88LSDB6RDNMvSqt0KPGWPjBqTk56tMxTOlv5QD61MGTKAAQnSnudvNDWPN0Bbllh2qRQC+P5uq7goxjdrw==" saltValue="i/iPMewnks1FoXYOjKMEVg==" spinCount="100000" sqref="AB45" name="Rango2_87_6_13"/>
    <protectedRange algorithmName="SHA-512" hashValue="NUll9P9xh7KbSfMYpMxsRZLfDw/y/AzW2LSWlpXVscBDqiAxmzo71xjs+a2lh+jRa7pceOC849slke4+ZKx8LA==" saltValue="8qbkKpQ+CiQuLnqgShNvXA==" spinCount="100000" sqref="T45" name="Rango2_88_6_13"/>
    <protectedRange algorithmName="SHA-512" hashValue="KHhv3JU/LRdRrRTxxkgFceEHPZ5UzadmpZRZR3zmQRnPvkUJZuanRafIJ+qde0IWwLZSvFIQDyUAHq6v6k7XIg==" saltValue="2GKG1kCzVNNcn+vbOPuhJA==" spinCount="100000" sqref="Q45" name="Rango2_2_5_13"/>
    <protectedRange algorithmName="SHA-512" hashValue="XZw03RosI/l0z9FxmTtF29EdZ7P+4+ybhqoaAAUmURojSR5XbGfjC4f2i8gMqfY+RI9JvfdCA6PSh9TduXfUxA==" saltValue="5TPtLq2WoiRSae/yaDPnTw==" spinCount="100000" sqref="CJ45:CK45 CS45:CT45 CP45:CQ45 BZ45:CB45 O45 BJ45:BL45 R45:S45 AV45 DA45:DN45 CV45:CY45 BR45:BU45 U45:AA45 AT45 CE45:CF45" name="Rango2_99_13"/>
    <protectedRange algorithmName="SHA-512" hashValue="9+DNppQbWrLYYUMoJ+lyQctV2bX3Vq9kZnegLbpjTLP49It2ovUbcartuoQTeXgP+TGpY//7mDH/UQlFCKDGiA==" saltValue="KUnni6YEm00anzSSvyLqQA==" spinCount="100000" sqref="AD45" name="Rango2_40"/>
    <protectedRange algorithmName="SHA-512" hashValue="RQ91b7oAw60DVtcgB2vRpial2kSdzJx5guGCTYUwXYkKrtrUHfiYnLf9R+SNpYXlJDYpyEJLhcWwP0EqNN86dQ==" saltValue="W3RbH3zrcY9sy39xNwXNxg==" spinCount="100000" sqref="BA46:BI46 BV46:BY46" name="Rango2_88_99_14"/>
    <protectedRange algorithmName="SHA-512" hashValue="fMbmUM1DQ7FuAPRNvFL5mPdHUYjQnlLFhkuaxvHguaqR7aWyDxcmJs0jLYQfQKY+oyhsMb4Lew4VL6i7um3/ew==" saltValue="ydaTm0CeH8+/cYqoL/AMaQ==" spinCount="100000" sqref="AU46 AW46:AZ46" name="Rango2_88_91_14"/>
    <protectedRange algorithmName="SHA-512" hashValue="CHipOQaT63FWw628cQcXXJRZlrbNZ7OgmnEbDx38UmmH7z19GRYEzXFiVOzHAy1OAaAbST7g2bHZHDKQp2qm3w==" saltValue="iRVuL+373yLHv0ZHzS9qog==" spinCount="100000" sqref="AJ46 AG46:AH46 AL46" name="Rango2_88_7_5_14"/>
    <protectedRange algorithmName="SHA-512" hashValue="NkG6oHuDGvGBEiLAAq8MEJHEfLQUMyjihfH+DBXhT+eQW0r1yri7tOJEFRM9nbOejjjXiviq9RFo7KB7wF+xJA==" saltValue="bpjB0AAANu2X/PeR3eiFkA==" spinCount="100000" sqref="AM46:AS46" name="Rango2_88_65_14"/>
    <protectedRange algorithmName="SHA-512" hashValue="fPHvtIAf3pQeZUoAI9C2/vdXMHBpqqEq+67P5Ypyu4+9IWqs3yc9TZcMWQ0THLxUwqseQPyVvakuYFtCwJHsxA==" saltValue="QHIogSs2PrwAfdqa9PAOFQ==" spinCount="100000" sqref="AC46" name="Rango2_88_5_5_14"/>
    <protectedRange algorithmName="SHA-512" hashValue="LEEeiU6pKqm7TAP46VGlz0q+evvFwpT/0iLpRuWuQ7MacbP0OGL1/FSmrIEOg2rb6M+Jla2bPbVWiGag27j87w==" saltValue="HEVt+pS5OloNDlqSnzGLLw==" spinCount="100000" sqref="AI46" name="Rango2_8_7_14"/>
    <protectedRange algorithmName="SHA-512" hashValue="q2z5hEFmXS0v2chiPTC/VCoDWNlnhp+Xe6Ybfxe48vIsnB/KTJQxJv+pFUnCXfZ9T6vyJopuqFFNROfQTW/JUw==" saltValue="IctfdGJb5tOTpq+KPi9vww==" spinCount="100000" sqref="AE46:AF46" name="Rango2_88_39_14"/>
    <protectedRange algorithmName="SHA-512" hashValue="AYYX88LSDB6RDNMvSqt0KPGWPjBqTk56tMxTOlv5QD61MGTKAAQnSnudvNDWPN0Bbllh2qRQC+P5uq7goxjdrw==" saltValue="i/iPMewnks1FoXYOjKMEVg==" spinCount="100000" sqref="AB46" name="Rango2_87_6_14"/>
    <protectedRange algorithmName="SHA-512" hashValue="NUll9P9xh7KbSfMYpMxsRZLfDw/y/AzW2LSWlpXVscBDqiAxmzo71xjs+a2lh+jRa7pceOC849slke4+ZKx8LA==" saltValue="8qbkKpQ+CiQuLnqgShNvXA==" spinCount="100000" sqref="T46" name="Rango2_88_6_14"/>
    <protectedRange algorithmName="SHA-512" hashValue="KHhv3JU/LRdRrRTxxkgFceEHPZ5UzadmpZRZR3zmQRnPvkUJZuanRafIJ+qde0IWwLZSvFIQDyUAHq6v6k7XIg==" saltValue="2GKG1kCzVNNcn+vbOPuhJA==" spinCount="100000" sqref="Q46" name="Rango2_2_5_14"/>
    <protectedRange algorithmName="SHA-512" hashValue="XZw03RosI/l0z9FxmTtF29EdZ7P+4+ybhqoaAAUmURojSR5XbGfjC4f2i8gMqfY+RI9JvfdCA6PSh9TduXfUxA==" saltValue="5TPtLq2WoiRSae/yaDPnTw==" spinCount="100000" sqref="CJ46:CK46 CS46:CT46 CP46:CQ46 BZ46:CB46 O46 BJ46:BL46 R46:S46 AV46 DA46:DN46 CV46:CY46 BR46:BU46 U46:AA46 AT46 CE46:CF46" name="Rango2_99_14"/>
    <protectedRange algorithmName="SHA-512" hashValue="9+DNppQbWrLYYUMoJ+lyQctV2bX3Vq9kZnegLbpjTLP49It2ovUbcartuoQTeXgP+TGpY//7mDH/UQlFCKDGiA==" saltValue="KUnni6YEm00anzSSvyLqQA==" spinCount="100000" sqref="AD46" name="Rango2_42"/>
    <protectedRange algorithmName="SHA-512" hashValue="RQ91b7oAw60DVtcgB2vRpial2kSdzJx5guGCTYUwXYkKrtrUHfiYnLf9R+SNpYXlJDYpyEJLhcWwP0EqNN86dQ==" saltValue="W3RbH3zrcY9sy39xNwXNxg==" spinCount="100000" sqref="BA47:BI50 BV47:BY50" name="Rango2_88_99_15"/>
    <protectedRange algorithmName="SHA-512" hashValue="fMbmUM1DQ7FuAPRNvFL5mPdHUYjQnlLFhkuaxvHguaqR7aWyDxcmJs0jLYQfQKY+oyhsMb4Lew4VL6i7um3/ew==" saltValue="ydaTm0CeH8+/cYqoL/AMaQ==" spinCount="100000" sqref="AU47:AU50 AW47:AZ50" name="Rango2_88_91_15"/>
    <protectedRange algorithmName="SHA-512" hashValue="CHipOQaT63FWw628cQcXXJRZlrbNZ7OgmnEbDx38UmmH7z19GRYEzXFiVOzHAy1OAaAbST7g2bHZHDKQp2qm3w==" saltValue="iRVuL+373yLHv0ZHzS9qog==" spinCount="100000" sqref="AJ47:AJ50 AG47:AH50 AL47:AL50" name="Rango2_88_7_5_15"/>
    <protectedRange algorithmName="SHA-512" hashValue="NkG6oHuDGvGBEiLAAq8MEJHEfLQUMyjihfH+DBXhT+eQW0r1yri7tOJEFRM9nbOejjjXiviq9RFo7KB7wF+xJA==" saltValue="bpjB0AAANu2X/PeR3eiFkA==" spinCount="100000" sqref="AM47:AS50" name="Rango2_88_65_15"/>
    <protectedRange algorithmName="SHA-512" hashValue="fPHvtIAf3pQeZUoAI9C2/vdXMHBpqqEq+67P5Ypyu4+9IWqs3yc9TZcMWQ0THLxUwqseQPyVvakuYFtCwJHsxA==" saltValue="QHIogSs2PrwAfdqa9PAOFQ==" spinCount="100000" sqref="AC47:AC50" name="Rango2_88_5_5_15"/>
    <protectedRange algorithmName="SHA-512" hashValue="LEEeiU6pKqm7TAP46VGlz0q+evvFwpT/0iLpRuWuQ7MacbP0OGL1/FSmrIEOg2rb6M+Jla2bPbVWiGag27j87w==" saltValue="HEVt+pS5OloNDlqSnzGLLw==" spinCount="100000" sqref="AI47:AI50" name="Rango2_8_7_15"/>
    <protectedRange algorithmName="SHA-512" hashValue="q2z5hEFmXS0v2chiPTC/VCoDWNlnhp+Xe6Ybfxe48vIsnB/KTJQxJv+pFUnCXfZ9T6vyJopuqFFNROfQTW/JUw==" saltValue="IctfdGJb5tOTpq+KPi9vww==" spinCount="100000" sqref="AE47:AF50" name="Rango2_88_39_15"/>
    <protectedRange algorithmName="SHA-512" hashValue="AYYX88LSDB6RDNMvSqt0KPGWPjBqTk56tMxTOlv5QD61MGTKAAQnSnudvNDWPN0Bbllh2qRQC+P5uq7goxjdrw==" saltValue="i/iPMewnks1FoXYOjKMEVg==" spinCount="100000" sqref="AB47:AB50" name="Rango2_87_6_15"/>
    <protectedRange algorithmName="SHA-512" hashValue="NUll9P9xh7KbSfMYpMxsRZLfDw/y/AzW2LSWlpXVscBDqiAxmzo71xjs+a2lh+jRa7pceOC849slke4+ZKx8LA==" saltValue="8qbkKpQ+CiQuLnqgShNvXA==" spinCount="100000" sqref="T47:T50" name="Rango2_88_6_15"/>
    <protectedRange algorithmName="SHA-512" hashValue="KHhv3JU/LRdRrRTxxkgFceEHPZ5UzadmpZRZR3zmQRnPvkUJZuanRafIJ+qde0IWwLZSvFIQDyUAHq6v6k7XIg==" saltValue="2GKG1kCzVNNcn+vbOPuhJA==" spinCount="100000" sqref="Q47:Q50" name="Rango2_2_5_15"/>
    <protectedRange algorithmName="SHA-512" hashValue="XZw03RosI/l0z9FxmTtF29EdZ7P+4+ybhqoaAAUmURojSR5XbGfjC4f2i8gMqfY+RI9JvfdCA6PSh9TduXfUxA==" saltValue="5TPtLq2WoiRSae/yaDPnTw==" spinCount="100000" sqref="CJ47:CK50 CS47:CT50 CP47:CQ50 BZ47:CB50 O47:O50 BJ47:BL47 R47:S50 AV47:AV50 DA47:DN50 CV47:CY50 BR47:BU50 U47:AA50 AT47:AT50 CE47:CF50 BJ49:BL50 BJ48:BK48" name="Rango2_99_15"/>
    <protectedRange algorithmName="SHA-512" hashValue="9+DNppQbWrLYYUMoJ+lyQctV2bX3Vq9kZnegLbpjTLP49It2ovUbcartuoQTeXgP+TGpY//7mDH/UQlFCKDGiA==" saltValue="KUnni6YEm00anzSSvyLqQA==" spinCount="100000" sqref="AD47:AD50" name="Rango2_43"/>
    <protectedRange algorithmName="SHA-512" hashValue="RQ91b7oAw60DVtcgB2vRpial2kSdzJx5guGCTYUwXYkKrtrUHfiYnLf9R+SNpYXlJDYpyEJLhcWwP0EqNN86dQ==" saltValue="W3RbH3zrcY9sy39xNwXNxg==" spinCount="100000" sqref="BA51:BI54 BV51:BY54" name="Rango2_88_99_16"/>
    <protectedRange algorithmName="SHA-512" hashValue="fMbmUM1DQ7FuAPRNvFL5mPdHUYjQnlLFhkuaxvHguaqR7aWyDxcmJs0jLYQfQKY+oyhsMb4Lew4VL6i7um3/ew==" saltValue="ydaTm0CeH8+/cYqoL/AMaQ==" spinCount="100000" sqref="AU51:AU54 AW51:AZ54" name="Rango2_88_91_16"/>
    <protectedRange algorithmName="SHA-512" hashValue="CHipOQaT63FWw628cQcXXJRZlrbNZ7OgmnEbDx38UmmH7z19GRYEzXFiVOzHAy1OAaAbST7g2bHZHDKQp2qm3w==" saltValue="iRVuL+373yLHv0ZHzS9qog==" spinCount="100000" sqref="AJ51:AJ54 AG51:AH54 AL51:AL54" name="Rango2_88_7_5_16"/>
    <protectedRange algorithmName="SHA-512" hashValue="NkG6oHuDGvGBEiLAAq8MEJHEfLQUMyjihfH+DBXhT+eQW0r1yri7tOJEFRM9nbOejjjXiviq9RFo7KB7wF+xJA==" saltValue="bpjB0AAANu2X/PeR3eiFkA==" spinCount="100000" sqref="AM51:AS54" name="Rango2_88_65_16"/>
    <protectedRange algorithmName="SHA-512" hashValue="fPHvtIAf3pQeZUoAI9C2/vdXMHBpqqEq+67P5Ypyu4+9IWqs3yc9TZcMWQ0THLxUwqseQPyVvakuYFtCwJHsxA==" saltValue="QHIogSs2PrwAfdqa9PAOFQ==" spinCount="100000" sqref="AC51:AC54" name="Rango2_88_5_5_16"/>
    <protectedRange algorithmName="SHA-512" hashValue="LEEeiU6pKqm7TAP46VGlz0q+evvFwpT/0iLpRuWuQ7MacbP0OGL1/FSmrIEOg2rb6M+Jla2bPbVWiGag27j87w==" saltValue="HEVt+pS5OloNDlqSnzGLLw==" spinCount="100000" sqref="AI51:AI54" name="Rango2_8_7_16"/>
    <protectedRange algorithmName="SHA-512" hashValue="q2z5hEFmXS0v2chiPTC/VCoDWNlnhp+Xe6Ybfxe48vIsnB/KTJQxJv+pFUnCXfZ9T6vyJopuqFFNROfQTW/JUw==" saltValue="IctfdGJb5tOTpq+KPi9vww==" spinCount="100000" sqref="AE51:AF54" name="Rango2_88_39_16"/>
    <protectedRange algorithmName="SHA-512" hashValue="AYYX88LSDB6RDNMvSqt0KPGWPjBqTk56tMxTOlv5QD61MGTKAAQnSnudvNDWPN0Bbllh2qRQC+P5uq7goxjdrw==" saltValue="i/iPMewnks1FoXYOjKMEVg==" spinCount="100000" sqref="AB51:AB54" name="Rango2_87_6_16"/>
    <protectedRange algorithmName="SHA-512" hashValue="NUll9P9xh7KbSfMYpMxsRZLfDw/y/AzW2LSWlpXVscBDqiAxmzo71xjs+a2lh+jRa7pceOC849slke4+ZKx8LA==" saltValue="8qbkKpQ+CiQuLnqgShNvXA==" spinCount="100000" sqref="T51:T54" name="Rango2_88_6_16"/>
    <protectedRange algorithmName="SHA-512" hashValue="KHhv3JU/LRdRrRTxxkgFceEHPZ5UzadmpZRZR3zmQRnPvkUJZuanRafIJ+qde0IWwLZSvFIQDyUAHq6v6k7XIg==" saltValue="2GKG1kCzVNNcn+vbOPuhJA==" spinCount="100000" sqref="Q51:Q54" name="Rango2_2_5_16"/>
    <protectedRange algorithmName="SHA-512" hashValue="XZw03RosI/l0z9FxmTtF29EdZ7P+4+ybhqoaAAUmURojSR5XbGfjC4f2i8gMqfY+RI9JvfdCA6PSh9TduXfUxA==" saltValue="5TPtLq2WoiRSae/yaDPnTw==" spinCount="100000" sqref="CJ51:CK54 CS51:CT54 CP51:CQ54 BZ51:CB54 O51:O54 BJ51:BK54 R51:S54 AV51:AV54 DA51:DN54 CV51:CY54 BR51:BU54 U51:AA54 AT51:AT54 CE51:CF54" name="Rango2_99_16"/>
    <protectedRange algorithmName="SHA-512" hashValue="9+DNppQbWrLYYUMoJ+lyQctV2bX3Vq9kZnegLbpjTLP49It2ovUbcartuoQTeXgP+TGpY//7mDH/UQlFCKDGiA==" saltValue="KUnni6YEm00anzSSvyLqQA==" spinCount="100000" sqref="AD51:AD54" name="Rango2_44"/>
    <protectedRange algorithmName="SHA-512" hashValue="EEHzbvEYwO1eufllBljOz0uf9BJ2ENtvOScQ7IsS321QhYbwKn7qhHKKP8cKj02rTDvVRMWvwQ1ZP0mZWsBprQ==" saltValue="CjXqBRFbKezlWOFV37MnDQ==" spinCount="100000" sqref="GQ29:GR29 GW29 GN29" name="Rango2_30_2_1"/>
    <protectedRange algorithmName="SHA-512" hashValue="Umj9+5Ys20VQPxBFtc6qE5LtKKSgPKwit+B8dd4XnEUaLfBM2ozpkEC4YxwK0SbBiAHDDex+pY+LomQ0lyuamQ==" saltValue="N2/MCRws+mmA+NXw0axolg==" spinCount="100000" sqref="GJ29 GH29 GE29 GL29 FY29" name="Rango2_31_2_1"/>
    <protectedRange algorithmName="SHA-512" hashValue="q2z5hEFmXS0v2chiPTC/VCoDWNlnhp+Xe6Ybfxe48vIsnB/KTJQxJv+pFUnCXfZ9T6vyJopuqFFNROfQTW/JUw==" saltValue="IctfdGJb5tOTpq+KPi9vww==" spinCount="100000" sqref="IA29 ID29:IJ29" name="Rango2_88_39_17"/>
    <protectedRange algorithmName="SHA-512" hashValue="XZw03RosI/l0z9FxmTtF29EdZ7P+4+ybhqoaAAUmURojSR5XbGfjC4f2i8gMqfY+RI9JvfdCA6PSh9TduXfUxA==" saltValue="5TPtLq2WoiRSae/yaDPnTw==" spinCount="100000" sqref="FQ29:FR29 ER29:ES29 EV29:EW29 FF29 GO29 GT29 FZ29 FW29:FX29 IB29 FU29 EO29 GM29 GK29 GY29:GZ29 HJ29 IL29:IM29 FI29 HU29:HZ29 EA29:EJ29 IO29" name="Rango2_99_17"/>
    <protectedRange algorithmName="SHA-512" hashValue="YXHanhqXL0e4jPrzkCF8r/22WmlCviFUW909WKuG1JOcU0mp0/Huh0aP3EaGYxV2ep0WGu48HsShAy4Ka2uOiw==" saltValue="h/7U5iwJm7DLR4tRVfwZYw==" spinCount="100000" sqref="GC29" name="Rango2_33_1"/>
    <protectedRange algorithmName="SHA-512" hashValue="pL4tgTKqwEsWSIEGFTBd+4pvEhE7d5Q99Eijs+L/Y1rhA0saQGGRJw5Pv2HLOP0quglztFwB6WVnQ1YGxd4AiQ==" saltValue="IF5mhk2RcoEjrcYppes1VA==" spinCount="100000" sqref="FT29" name="Rango2_30_1"/>
    <protectedRange algorithmName="SHA-512" hashValue="9+DNppQbWrLYYUMoJ+lyQctV2bX3Vq9kZnegLbpjTLP49It2ovUbcartuoQTeXgP+TGpY//7mDH/UQlFCKDGiA==" saltValue="KUnni6YEm00anzSSvyLqQA==" spinCount="100000" sqref="FE29 GX29 EY29:FA29 FC29 FH29 FK29:FL29 EN29 FN29:FO29 HS29:HT29 HD29:HI29 GF29 GI29" name="Rango2_45"/>
    <protectedRange algorithmName="SHA-512" hashValue="EEHzbvEYwO1eufllBljOz0uf9BJ2ENtvOScQ7IsS321QhYbwKn7qhHKKP8cKj02rTDvVRMWvwQ1ZP0mZWsBprQ==" saltValue="CjXqBRFbKezlWOFV37MnDQ==" spinCount="100000" sqref="GQ30:GR30 GW30 GN30" name="Rango2_30_2_2"/>
    <protectedRange algorithmName="SHA-512" hashValue="Rgskw+AQdeJ5qbJdarzTa3SCkJfDGziy0Uan5N0F3IWn/H3Z/e+VcB56R7Nes7MPxNHewNP1sSSucVjz3iTLeA==" saltValue="qKZH3DnwaZHBzy3cBZo1qQ==" spinCount="100000" sqref="GF30" name="Rango2_31_28_1"/>
    <protectedRange algorithmName="SHA-512" hashValue="Umj9+5Ys20VQPxBFtc6qE5LtKKSgPKwit+B8dd4XnEUaLfBM2ozpkEC4YxwK0SbBiAHDDex+pY+LomQ0lyuamQ==" saltValue="N2/MCRws+mmA+NXw0axolg==" spinCount="100000" sqref="GJ30 GH30 GE30 GL30 FY30" name="Rango2_31_2_2"/>
    <protectedRange algorithmName="SHA-512" hashValue="q2z5hEFmXS0v2chiPTC/VCoDWNlnhp+Xe6Ybfxe48vIsnB/KTJQxJv+pFUnCXfZ9T6vyJopuqFFNROfQTW/JUw==" saltValue="IctfdGJb5tOTpq+KPi9vww==" spinCount="100000" sqref="IA30 ID30:IJ30" name="Rango2_88_39_18"/>
    <protectedRange algorithmName="SHA-512" hashValue="XZw03RosI/l0z9FxmTtF29EdZ7P+4+ybhqoaAAUmURojSR5XbGfjC4f2i8gMqfY+RI9JvfdCA6PSh9TduXfUxA==" saltValue="5TPtLq2WoiRSae/yaDPnTw==" spinCount="100000" sqref="FQ30:FR30 ER30:ES30 EV30:EW30 FF30 GO30 GT30 FZ30 FW30:FX30 IB30 FU30 EO30 GM30 GK30 GY30:GZ30 HJ30 IL30:IM30 FI30 HU30:HZ30 EA30:EJ30 IO30" name="Rango2_99_18"/>
    <protectedRange algorithmName="SHA-512" hashValue="YXHanhqXL0e4jPrzkCF8r/22WmlCviFUW909WKuG1JOcU0mp0/Huh0aP3EaGYxV2ep0WGu48HsShAy4Ka2uOiw==" saltValue="h/7U5iwJm7DLR4tRVfwZYw==" spinCount="100000" sqref="GC30 GI30" name="Rango2_33_2"/>
    <protectedRange algorithmName="SHA-512" hashValue="pL4tgTKqwEsWSIEGFTBd+4pvEhE7d5Q99Eijs+L/Y1rhA0saQGGRJw5Pv2HLOP0quglztFwB6WVnQ1YGxd4AiQ==" saltValue="IF5mhk2RcoEjrcYppes1VA==" spinCount="100000" sqref="FT30" name="Rango2_30_3"/>
    <protectedRange algorithmName="SHA-512" hashValue="9+DNppQbWrLYYUMoJ+lyQctV2bX3Vq9kZnegLbpjTLP49It2ovUbcartuoQTeXgP+TGpY//7mDH/UQlFCKDGiA==" saltValue="KUnni6YEm00anzSSvyLqQA==" spinCount="100000" sqref="FE30 GX30 EY30:FA30 FC30 FH30 FK30:FL30 EN30 FN30:FO30 HS30:HT30 HD30:HI30" name="Rango2_46"/>
    <protectedRange algorithmName="SHA-512" hashValue="EEHzbvEYwO1eufllBljOz0uf9BJ2ENtvOScQ7IsS321QhYbwKn7qhHKKP8cKj02rTDvVRMWvwQ1ZP0mZWsBprQ==" saltValue="CjXqBRFbKezlWOFV37MnDQ==" spinCount="100000" sqref="GQ31:GR31 GW31 GN31" name="Rango2_30_2_3"/>
    <protectedRange algorithmName="SHA-512" hashValue="Rgskw+AQdeJ5qbJdarzTa3SCkJfDGziy0Uan5N0F3IWn/H3Z/e+VcB56R7Nes7MPxNHewNP1sSSucVjz3iTLeA==" saltValue="qKZH3DnwaZHBzy3cBZo1qQ==" spinCount="100000" sqref="GF31" name="Rango2_31_28_2"/>
    <protectedRange algorithmName="SHA-512" hashValue="Umj9+5Ys20VQPxBFtc6qE5LtKKSgPKwit+B8dd4XnEUaLfBM2ozpkEC4YxwK0SbBiAHDDex+pY+LomQ0lyuamQ==" saltValue="N2/MCRws+mmA+NXw0axolg==" spinCount="100000" sqref="GJ31 GH31 GE31 GL31 FY31" name="Rango2_31_2_3"/>
    <protectedRange algorithmName="SHA-512" hashValue="q2z5hEFmXS0v2chiPTC/VCoDWNlnhp+Xe6Ybfxe48vIsnB/KTJQxJv+pFUnCXfZ9T6vyJopuqFFNROfQTW/JUw==" saltValue="IctfdGJb5tOTpq+KPi9vww==" spinCount="100000" sqref="IA31 ID31:IJ31" name="Rango2_88_39_19"/>
    <protectedRange algorithmName="SHA-512" hashValue="XZw03RosI/l0z9FxmTtF29EdZ7P+4+ybhqoaAAUmURojSR5XbGfjC4f2i8gMqfY+RI9JvfdCA6PSh9TduXfUxA==" saltValue="5TPtLq2WoiRSae/yaDPnTw==" spinCount="100000" sqref="FQ31:FR31 ER31:ES31 EV31:EW31 FF31 GO31 GT31 FZ31 FW31:FX31 IB31 FU31 EO31 GM31 GK31 GY31:GZ31 HJ31 IL31:IM31 FI31 HU31:HZ31 EA31:EJ31 IO31" name="Rango2_99_19"/>
    <protectedRange algorithmName="SHA-512" hashValue="YXHanhqXL0e4jPrzkCF8r/22WmlCviFUW909WKuG1JOcU0mp0/Huh0aP3EaGYxV2ep0WGu48HsShAy4Ka2uOiw==" saltValue="h/7U5iwJm7DLR4tRVfwZYw==" spinCount="100000" sqref="GC31 GI31" name="Rango2_33_3"/>
    <protectedRange algorithmName="SHA-512" hashValue="pL4tgTKqwEsWSIEGFTBd+4pvEhE7d5Q99Eijs+L/Y1rhA0saQGGRJw5Pv2HLOP0quglztFwB6WVnQ1YGxd4AiQ==" saltValue="IF5mhk2RcoEjrcYppes1VA==" spinCount="100000" sqref="FT31" name="Rango2_30_4"/>
    <protectedRange algorithmName="SHA-512" hashValue="9+DNppQbWrLYYUMoJ+lyQctV2bX3Vq9kZnegLbpjTLP49It2ovUbcartuoQTeXgP+TGpY//7mDH/UQlFCKDGiA==" saltValue="KUnni6YEm00anzSSvyLqQA==" spinCount="100000" sqref="FE31 GX31 EY31:FA31 FC31 FH31 FK31:FL31 EN31 FN31:FO31 HS31:HT31 HD31:HI31" name="Rango2_47"/>
    <protectedRange algorithmName="SHA-512" hashValue="EEHzbvEYwO1eufllBljOz0uf9BJ2ENtvOScQ7IsS321QhYbwKn7qhHKKP8cKj02rTDvVRMWvwQ1ZP0mZWsBprQ==" saltValue="CjXqBRFbKezlWOFV37MnDQ==" spinCount="100000" sqref="GQ32:GR32 GW32 GN32" name="Rango2_30_2_4"/>
    <protectedRange algorithmName="SHA-512" hashValue="Rgskw+AQdeJ5qbJdarzTa3SCkJfDGziy0Uan5N0F3IWn/H3Z/e+VcB56R7Nes7MPxNHewNP1sSSucVjz3iTLeA==" saltValue="qKZH3DnwaZHBzy3cBZo1qQ==" spinCount="100000" sqref="GF32" name="Rango2_31_28_3"/>
    <protectedRange algorithmName="SHA-512" hashValue="Umj9+5Ys20VQPxBFtc6qE5LtKKSgPKwit+B8dd4XnEUaLfBM2ozpkEC4YxwK0SbBiAHDDex+pY+LomQ0lyuamQ==" saltValue="N2/MCRws+mmA+NXw0axolg==" spinCount="100000" sqref="GJ32 GH32 GE32 GL32 FY32" name="Rango2_31_2_4"/>
    <protectedRange algorithmName="SHA-512" hashValue="q2z5hEFmXS0v2chiPTC/VCoDWNlnhp+Xe6Ybfxe48vIsnB/KTJQxJv+pFUnCXfZ9T6vyJopuqFFNROfQTW/JUw==" saltValue="IctfdGJb5tOTpq+KPi9vww==" spinCount="100000" sqref="IA32 ID32:IJ32" name="Rango2_88_39_20"/>
    <protectedRange algorithmName="SHA-512" hashValue="XZw03RosI/l0z9FxmTtF29EdZ7P+4+ybhqoaAAUmURojSR5XbGfjC4f2i8gMqfY+RI9JvfdCA6PSh9TduXfUxA==" saltValue="5TPtLq2WoiRSae/yaDPnTw==" spinCount="100000" sqref="FQ32:FR32 ER32:ES32 EV32:EW32 FF32 GO32 GT32 FZ32 FW32:FX32 IB32 FU32 EO32 GM32 GK32 GY32:GZ32 HJ32 IL32:IM32 FI32 HU32:HZ32 EA32:EJ32 IO32" name="Rango2_99_20"/>
    <protectedRange algorithmName="SHA-512" hashValue="YXHanhqXL0e4jPrzkCF8r/22WmlCviFUW909WKuG1JOcU0mp0/Huh0aP3EaGYxV2ep0WGu48HsShAy4Ka2uOiw==" saltValue="h/7U5iwJm7DLR4tRVfwZYw==" spinCount="100000" sqref="GC32 GI32" name="Rango2_33_4"/>
    <protectedRange algorithmName="SHA-512" hashValue="pL4tgTKqwEsWSIEGFTBd+4pvEhE7d5Q99Eijs+L/Y1rhA0saQGGRJw5Pv2HLOP0quglztFwB6WVnQ1YGxd4AiQ==" saltValue="IF5mhk2RcoEjrcYppes1VA==" spinCount="100000" sqref="FT32" name="Rango2_30_5"/>
    <protectedRange algorithmName="SHA-512" hashValue="9+DNppQbWrLYYUMoJ+lyQctV2bX3Vq9kZnegLbpjTLP49It2ovUbcartuoQTeXgP+TGpY//7mDH/UQlFCKDGiA==" saltValue="KUnni6YEm00anzSSvyLqQA==" spinCount="100000" sqref="FE32 GX32 EY32:FA32 FC32 FH32 FK32:FL32 EN32 FN32:FO32 HS32:HT32 HD32:HI32" name="Rango2_48"/>
    <protectedRange algorithmName="SHA-512" hashValue="EEHzbvEYwO1eufllBljOz0uf9BJ2ENtvOScQ7IsS321QhYbwKn7qhHKKP8cKj02rTDvVRMWvwQ1ZP0mZWsBprQ==" saltValue="CjXqBRFbKezlWOFV37MnDQ==" spinCount="100000" sqref="GQ33:GR33 GW33 GN33" name="Rango2_30_2_5"/>
    <protectedRange algorithmName="SHA-512" hashValue="Rgskw+AQdeJ5qbJdarzTa3SCkJfDGziy0Uan5N0F3IWn/H3Z/e+VcB56R7Nes7MPxNHewNP1sSSucVjz3iTLeA==" saltValue="qKZH3DnwaZHBzy3cBZo1qQ==" spinCount="100000" sqref="GF33" name="Rango2_31_28_4"/>
    <protectedRange algorithmName="SHA-512" hashValue="Umj9+5Ys20VQPxBFtc6qE5LtKKSgPKwit+B8dd4XnEUaLfBM2ozpkEC4YxwK0SbBiAHDDex+pY+LomQ0lyuamQ==" saltValue="N2/MCRws+mmA+NXw0axolg==" spinCount="100000" sqref="GJ33 GH33 GE33 GL33 FY33" name="Rango2_31_2_5"/>
    <protectedRange algorithmName="SHA-512" hashValue="q2z5hEFmXS0v2chiPTC/VCoDWNlnhp+Xe6Ybfxe48vIsnB/KTJQxJv+pFUnCXfZ9T6vyJopuqFFNROfQTW/JUw==" saltValue="IctfdGJb5tOTpq+KPi9vww==" spinCount="100000" sqref="IA33 ID33:IJ33" name="Rango2_88_39_21"/>
    <protectedRange algorithmName="SHA-512" hashValue="XZw03RosI/l0z9FxmTtF29EdZ7P+4+ybhqoaAAUmURojSR5XbGfjC4f2i8gMqfY+RI9JvfdCA6PSh9TduXfUxA==" saltValue="5TPtLq2WoiRSae/yaDPnTw==" spinCount="100000" sqref="FQ33:FR33 ER33:ES33 EV33:EW33 FF33 GO33 GT33 FZ33 FW33:FX33 IB33 FU33 EO33 GM33 GK33 GY33:GZ33 HJ33 IL33:IM33 FI33 HU33:HZ33 EA33:EJ33 IO33" name="Rango2_99_21"/>
    <protectedRange algorithmName="SHA-512" hashValue="YXHanhqXL0e4jPrzkCF8r/22WmlCviFUW909WKuG1JOcU0mp0/Huh0aP3EaGYxV2ep0WGu48HsShAy4Ka2uOiw==" saltValue="h/7U5iwJm7DLR4tRVfwZYw==" spinCount="100000" sqref="GC33 GI33" name="Rango2_33_5"/>
    <protectedRange algorithmName="SHA-512" hashValue="pL4tgTKqwEsWSIEGFTBd+4pvEhE7d5Q99Eijs+L/Y1rhA0saQGGRJw5Pv2HLOP0quglztFwB6WVnQ1YGxd4AiQ==" saltValue="IF5mhk2RcoEjrcYppes1VA==" spinCount="100000" sqref="FT33" name="Rango2_30_6"/>
    <protectedRange algorithmName="SHA-512" hashValue="9+DNppQbWrLYYUMoJ+lyQctV2bX3Vq9kZnegLbpjTLP49It2ovUbcartuoQTeXgP+TGpY//7mDH/UQlFCKDGiA==" saltValue="KUnni6YEm00anzSSvyLqQA==" spinCount="100000" sqref="FE33 GX33 EY33:FA33 FC33 FH33 FK33:FL33 EN33 FN33:FO33 HS33:HT33 HD33:HI33" name="Rango2_49"/>
    <protectedRange algorithmName="SHA-512" hashValue="EEHzbvEYwO1eufllBljOz0uf9BJ2ENtvOScQ7IsS321QhYbwKn7qhHKKP8cKj02rTDvVRMWvwQ1ZP0mZWsBprQ==" saltValue="CjXqBRFbKezlWOFV37MnDQ==" spinCount="100000" sqref="GQ34:GR35 GW34:GW35 GN34:GN35" name="Rango2_30_2_6"/>
    <protectedRange algorithmName="SHA-512" hashValue="Rgskw+AQdeJ5qbJdarzTa3SCkJfDGziy0Uan5N0F3IWn/H3Z/e+VcB56R7Nes7MPxNHewNP1sSSucVjz3iTLeA==" saltValue="qKZH3DnwaZHBzy3cBZo1qQ==" spinCount="100000" sqref="GF34:GF35" name="Rango2_31_28_5"/>
    <protectedRange algorithmName="SHA-512" hashValue="Umj9+5Ys20VQPxBFtc6qE5LtKKSgPKwit+B8dd4XnEUaLfBM2ozpkEC4YxwK0SbBiAHDDex+pY+LomQ0lyuamQ==" saltValue="N2/MCRws+mmA+NXw0axolg==" spinCount="100000" sqref="GJ34:GJ35 GH34:GH35 GE34:GE35 GB34 GL34:GL35 FY34:FY35" name="Rango2_31_2_6"/>
    <protectedRange algorithmName="SHA-512" hashValue="q2z5hEFmXS0v2chiPTC/VCoDWNlnhp+Xe6Ybfxe48vIsnB/KTJQxJv+pFUnCXfZ9T6vyJopuqFFNROfQTW/JUw==" saltValue="IctfdGJb5tOTpq+KPi9vww==" spinCount="100000" sqref="IA34:IA35 ID34:IJ35" name="Rango2_88_39_22"/>
    <protectedRange algorithmName="SHA-512" hashValue="XZw03RosI/l0z9FxmTtF29EdZ7P+4+ybhqoaAAUmURojSR5XbGfjC4f2i8gMqfY+RI9JvfdCA6PSh9TduXfUxA==" saltValue="5TPtLq2WoiRSae/yaDPnTw==" spinCount="100000" sqref="FQ34:FR35 ER34:ES35 EV34:EW35 FF34:FF35 GO34:GO35 GT34:GT35 FZ34:FZ35 FW34:FX35 IB34:IB35 FU34:FU35 EO34:EO35 GM34:GM35 GK34:GK35 GY34:GZ35 HJ34:HJ35 IL34:IM35 FI34:FI35 HU34:HZ35 EA34:EJ35 IO34:IO35" name="Rango2_99_22"/>
    <protectedRange algorithmName="SHA-512" hashValue="YXHanhqXL0e4jPrzkCF8r/22WmlCviFUW909WKuG1JOcU0mp0/Huh0aP3EaGYxV2ep0WGu48HsShAy4Ka2uOiw==" saltValue="h/7U5iwJm7DLR4tRVfwZYw==" spinCount="100000" sqref="GC34:GC35 GI34:GI35" name="Rango2_33_6"/>
    <protectedRange algorithmName="SHA-512" hashValue="pL4tgTKqwEsWSIEGFTBd+4pvEhE7d5Q99Eijs+L/Y1rhA0saQGGRJw5Pv2HLOP0quglztFwB6WVnQ1YGxd4AiQ==" saltValue="IF5mhk2RcoEjrcYppes1VA==" spinCount="100000" sqref="FT34:FT35" name="Rango2_30_7"/>
    <protectedRange algorithmName="SHA-512" hashValue="9+DNppQbWrLYYUMoJ+lyQctV2bX3Vq9kZnegLbpjTLP49It2ovUbcartuoQTeXgP+TGpY//7mDH/UQlFCKDGiA==" saltValue="KUnni6YEm00anzSSvyLqQA==" spinCount="100000" sqref="FE34:FE35 GX34:GX35 EY34:FA35 FC34:FC35 FH34:FH35 FK34:FL35 EN34:EN35 FN34:FO35 HS34:HT35 HD34:HI35" name="Rango2_50"/>
    <protectedRange algorithmName="SHA-512" hashValue="EEHzbvEYwO1eufllBljOz0uf9BJ2ENtvOScQ7IsS321QhYbwKn7qhHKKP8cKj02rTDvVRMWvwQ1ZP0mZWsBprQ==" saltValue="CjXqBRFbKezlWOFV37MnDQ==" spinCount="100000" sqref="GQ36:GR36 GW36 GN36" name="Rango2_30_2_7"/>
    <protectedRange algorithmName="SHA-512" hashValue="Rgskw+AQdeJ5qbJdarzTa3SCkJfDGziy0Uan5N0F3IWn/H3Z/e+VcB56R7Nes7MPxNHewNP1sSSucVjz3iTLeA==" saltValue="qKZH3DnwaZHBzy3cBZo1qQ==" spinCount="100000" sqref="GF36" name="Rango2_31_28_6"/>
    <protectedRange algorithmName="SHA-512" hashValue="Umj9+5Ys20VQPxBFtc6qE5LtKKSgPKwit+B8dd4XnEUaLfBM2ozpkEC4YxwK0SbBiAHDDex+pY+LomQ0lyuamQ==" saltValue="N2/MCRws+mmA+NXw0axolg==" spinCount="100000" sqref="GJ36 GH36 GE36 GL36 FY36" name="Rango2_31_2_7"/>
    <protectedRange algorithmName="SHA-512" hashValue="q2z5hEFmXS0v2chiPTC/VCoDWNlnhp+Xe6Ybfxe48vIsnB/KTJQxJv+pFUnCXfZ9T6vyJopuqFFNROfQTW/JUw==" saltValue="IctfdGJb5tOTpq+KPi9vww==" spinCount="100000" sqref="IA36 ID36:IJ36" name="Rango2_88_39_23"/>
    <protectedRange algorithmName="SHA-512" hashValue="XZw03RosI/l0z9FxmTtF29EdZ7P+4+ybhqoaAAUmURojSR5XbGfjC4f2i8gMqfY+RI9JvfdCA6PSh9TduXfUxA==" saltValue="5TPtLq2WoiRSae/yaDPnTw==" spinCount="100000" sqref="FQ36:FR36 ER36:ES36 EV36:EW36 FF36 GO36 GT36 FZ36 FW36:FX36 IB36 FU36 EO36 GM36 GK36 GY36:GZ36 HJ36 IL36:IM36 FI36 HU36:HZ36 EA36:EJ36 IO36" name="Rango2_99_23"/>
    <protectedRange algorithmName="SHA-512" hashValue="YXHanhqXL0e4jPrzkCF8r/22WmlCviFUW909WKuG1JOcU0mp0/Huh0aP3EaGYxV2ep0WGu48HsShAy4Ka2uOiw==" saltValue="h/7U5iwJm7DLR4tRVfwZYw==" spinCount="100000" sqref="GC36" name="Rango2_33_7"/>
    <protectedRange algorithmName="SHA-512" hashValue="pL4tgTKqwEsWSIEGFTBd+4pvEhE7d5Q99Eijs+L/Y1rhA0saQGGRJw5Pv2HLOP0quglztFwB6WVnQ1YGxd4AiQ==" saltValue="IF5mhk2RcoEjrcYppes1VA==" spinCount="100000" sqref="FT36" name="Rango2_30_8"/>
    <protectedRange algorithmName="SHA-512" hashValue="9+DNppQbWrLYYUMoJ+lyQctV2bX3Vq9kZnegLbpjTLP49It2ovUbcartuoQTeXgP+TGpY//7mDH/UQlFCKDGiA==" saltValue="KUnni6YEm00anzSSvyLqQA==" spinCount="100000" sqref="FE36 GX36 EY36:FA36 FC36 FH36 FK36:FL36 EN36 FN36:FO36 HS36:HT36 HD36:HI36 GI36" name="Rango2_52"/>
    <protectedRange algorithmName="SHA-512" hashValue="EEHzbvEYwO1eufllBljOz0uf9BJ2ENtvOScQ7IsS321QhYbwKn7qhHKKP8cKj02rTDvVRMWvwQ1ZP0mZWsBprQ==" saltValue="CjXqBRFbKezlWOFV37MnDQ==" spinCount="100000" sqref="GQ37:GR38 GW37:GW38 GN37:GN38" name="Rango2_30_2_8"/>
    <protectedRange algorithmName="SHA-512" hashValue="Rgskw+AQdeJ5qbJdarzTa3SCkJfDGziy0Uan5N0F3IWn/H3Z/e+VcB56R7Nes7MPxNHewNP1sSSucVjz3iTLeA==" saltValue="qKZH3DnwaZHBzy3cBZo1qQ==" spinCount="100000" sqref="GF37:GF38" name="Rango2_31_28_7"/>
    <protectedRange algorithmName="SHA-512" hashValue="Umj9+5Ys20VQPxBFtc6qE5LtKKSgPKwit+B8dd4XnEUaLfBM2ozpkEC4YxwK0SbBiAHDDex+pY+LomQ0lyuamQ==" saltValue="N2/MCRws+mmA+NXw0axolg==" spinCount="100000" sqref="GJ37:GJ38 GH37:GH38 GE37:GE38 GL37:GL38 FY37:FY38" name="Rango2_31_2_8"/>
    <protectedRange algorithmName="SHA-512" hashValue="q2z5hEFmXS0v2chiPTC/VCoDWNlnhp+Xe6Ybfxe48vIsnB/KTJQxJv+pFUnCXfZ9T6vyJopuqFFNROfQTW/JUw==" saltValue="IctfdGJb5tOTpq+KPi9vww==" spinCount="100000" sqref="IA37:IA38 ID37:IJ38" name="Rango2_88_39_24"/>
    <protectedRange algorithmName="SHA-512" hashValue="XZw03RosI/l0z9FxmTtF29EdZ7P+4+ybhqoaAAUmURojSR5XbGfjC4f2i8gMqfY+RI9JvfdCA6PSh9TduXfUxA==" saltValue="5TPtLq2WoiRSae/yaDPnTw==" spinCount="100000" sqref="FQ37:FR38 ER37:ES38 EV37:EW38 FF37:FF38 GO37:GO38 GT37:GT38 FZ37:FZ38 FW37:FX38 IB37:IB38 FU37:FU38 EO37:EO38 GM37:GM38 GK37:GK38 GY37:GZ38 HJ37:HJ38 IL37:IM38 FI37:FI38 HU37:HZ38 EA37:EJ38 IO37:IO38" name="Rango2_99_24"/>
    <protectedRange algorithmName="SHA-512" hashValue="YXHanhqXL0e4jPrzkCF8r/22WmlCviFUW909WKuG1JOcU0mp0/Huh0aP3EaGYxV2ep0WGu48HsShAy4Ka2uOiw==" saltValue="h/7U5iwJm7DLR4tRVfwZYw==" spinCount="100000" sqref="GC37:GC38 GI37:GI38" name="Rango2_33_8"/>
    <protectedRange algorithmName="SHA-512" hashValue="pL4tgTKqwEsWSIEGFTBd+4pvEhE7d5Q99Eijs+L/Y1rhA0saQGGRJw5Pv2HLOP0quglztFwB6WVnQ1YGxd4AiQ==" saltValue="IF5mhk2RcoEjrcYppes1VA==" spinCount="100000" sqref="FT37:FT38" name="Rango2_30_9"/>
    <protectedRange algorithmName="SHA-512" hashValue="9+DNppQbWrLYYUMoJ+lyQctV2bX3Vq9kZnegLbpjTLP49It2ovUbcartuoQTeXgP+TGpY//7mDH/UQlFCKDGiA==" saltValue="KUnni6YEm00anzSSvyLqQA==" spinCount="100000" sqref="FE37:FE38 GX37:GX38 EY37:FA38 FC37:FC38 FH37:FH38 FK37:FL38 EN37:EN38 FN37:FO38 HS37:HT38 HD37:HI38" name="Rango2_62"/>
    <protectedRange algorithmName="SHA-512" hashValue="EEHzbvEYwO1eufllBljOz0uf9BJ2ENtvOScQ7IsS321QhYbwKn7qhHKKP8cKj02rTDvVRMWvwQ1ZP0mZWsBprQ==" saltValue="CjXqBRFbKezlWOFV37MnDQ==" spinCount="100000" sqref="GQ39:GR40 GW39:GW40 GN39:GN40" name="Rango2_30_2_9"/>
    <protectedRange algorithmName="SHA-512" hashValue="Rgskw+AQdeJ5qbJdarzTa3SCkJfDGziy0Uan5N0F3IWn/H3Z/e+VcB56R7Nes7MPxNHewNP1sSSucVjz3iTLeA==" saltValue="qKZH3DnwaZHBzy3cBZo1qQ==" spinCount="100000" sqref="GF39:GF40" name="Rango2_31_28_8"/>
    <protectedRange algorithmName="SHA-512" hashValue="Umj9+5Ys20VQPxBFtc6qE5LtKKSgPKwit+B8dd4XnEUaLfBM2ozpkEC4YxwK0SbBiAHDDex+pY+LomQ0lyuamQ==" saltValue="N2/MCRws+mmA+NXw0axolg==" spinCount="100000" sqref="GJ39:GJ40 GH39:GH40 GE39:GE40 GL39:GL40 FY39:FY40" name="Rango2_31_2_9"/>
    <protectedRange algorithmName="SHA-512" hashValue="q2z5hEFmXS0v2chiPTC/VCoDWNlnhp+Xe6Ybfxe48vIsnB/KTJQxJv+pFUnCXfZ9T6vyJopuqFFNROfQTW/JUw==" saltValue="IctfdGJb5tOTpq+KPi9vww==" spinCount="100000" sqref="IA39:IA40 ID39:IJ40" name="Rango2_88_39_25"/>
    <protectedRange algorithmName="SHA-512" hashValue="XZw03RosI/l0z9FxmTtF29EdZ7P+4+ybhqoaAAUmURojSR5XbGfjC4f2i8gMqfY+RI9JvfdCA6PSh9TduXfUxA==" saltValue="5TPtLq2WoiRSae/yaDPnTw==" spinCount="100000" sqref="FQ39:FR40 ER39:ES40 EV39:EW40 FF39:FF40 GO39:GO40 GT39:GT40 FZ39:FZ40 FW39:FX40 IB39:IB40 FU39:FU40 EO39:EO40 GM39:GM40 GK39:GK40 GY39:GZ40 HJ39:HJ40 IL39:IM40 FI39:FI40 HU39:HZ40 EA39:EJ40 IO39:IO40" name="Rango2_99_25"/>
    <protectedRange algorithmName="SHA-512" hashValue="YXHanhqXL0e4jPrzkCF8r/22WmlCviFUW909WKuG1JOcU0mp0/Huh0aP3EaGYxV2ep0WGu48HsShAy4Ka2uOiw==" saltValue="h/7U5iwJm7DLR4tRVfwZYw==" spinCount="100000" sqref="GC39:GC40 GI39:GI40" name="Rango2_33_9"/>
    <protectedRange algorithmName="SHA-512" hashValue="pL4tgTKqwEsWSIEGFTBd+4pvEhE7d5Q99Eijs+L/Y1rhA0saQGGRJw5Pv2HLOP0quglztFwB6WVnQ1YGxd4AiQ==" saltValue="IF5mhk2RcoEjrcYppes1VA==" spinCount="100000" sqref="FT39:FT40" name="Rango2_30_10"/>
    <protectedRange algorithmName="SHA-512" hashValue="9+DNppQbWrLYYUMoJ+lyQctV2bX3Vq9kZnegLbpjTLP49It2ovUbcartuoQTeXgP+TGpY//7mDH/UQlFCKDGiA==" saltValue="KUnni6YEm00anzSSvyLqQA==" spinCount="100000" sqref="FE39:FE40 GX39:GX40 EY39:FA40 FC39:FC40 FH39:FH40 FK39:FL40 EN39:EN40 FN39:FO40 HS39:HT40 HD39:HI40" name="Rango2_64"/>
    <protectedRange algorithmName="SHA-512" hashValue="EEHzbvEYwO1eufllBljOz0uf9BJ2ENtvOScQ7IsS321QhYbwKn7qhHKKP8cKj02rTDvVRMWvwQ1ZP0mZWsBprQ==" saltValue="CjXqBRFbKezlWOFV37MnDQ==" spinCount="100000" sqref="GQ41:GR42 GW41:GW42 GN41:GN42" name="Rango2_30_2_10"/>
    <protectedRange algorithmName="SHA-512" hashValue="Rgskw+AQdeJ5qbJdarzTa3SCkJfDGziy0Uan5N0F3IWn/H3Z/e+VcB56R7Nes7MPxNHewNP1sSSucVjz3iTLeA==" saltValue="qKZH3DnwaZHBzy3cBZo1qQ==" spinCount="100000" sqref="GF41:GF42" name="Rango2_31_28_9"/>
    <protectedRange algorithmName="SHA-512" hashValue="Umj9+5Ys20VQPxBFtc6qE5LtKKSgPKwit+B8dd4XnEUaLfBM2ozpkEC4YxwK0SbBiAHDDex+pY+LomQ0lyuamQ==" saltValue="N2/MCRws+mmA+NXw0axolg==" spinCount="100000" sqref="GJ41:GJ42 GH41:GH42 GE41:GE42 GB41 GL41:GL42 FY41:FY42" name="Rango2_31_2_10"/>
    <protectedRange algorithmName="SHA-512" hashValue="q2z5hEFmXS0v2chiPTC/VCoDWNlnhp+Xe6Ybfxe48vIsnB/KTJQxJv+pFUnCXfZ9T6vyJopuqFFNROfQTW/JUw==" saltValue="IctfdGJb5tOTpq+KPi9vww==" spinCount="100000" sqref="IA41:IA42 ID41:IJ42" name="Rango2_88_39_26"/>
    <protectedRange algorithmName="SHA-512" hashValue="XZw03RosI/l0z9FxmTtF29EdZ7P+4+ybhqoaAAUmURojSR5XbGfjC4f2i8gMqfY+RI9JvfdCA6PSh9TduXfUxA==" saltValue="5TPtLq2WoiRSae/yaDPnTw==" spinCount="100000" sqref="FQ41:FR42 ER41:ES42 EV41:EW42 FF41:FF42 GO41:GO42 GT41:GT42 FZ41:FZ42 FW41:FX42 IB41:IB42 FU41:FU42 EO41:EO42 GM41:GM42 GK41:GK42 GY41:GZ42 HJ41:HJ42 IL41:IM42 FI41:FI42 HU41:HZ42 EA41:EJ42 IO41:IO42" name="Rango2_99_26"/>
    <protectedRange algorithmName="SHA-512" hashValue="YXHanhqXL0e4jPrzkCF8r/22WmlCviFUW909WKuG1JOcU0mp0/Huh0aP3EaGYxV2ep0WGu48HsShAy4Ka2uOiw==" saltValue="h/7U5iwJm7DLR4tRVfwZYw==" spinCount="100000" sqref="GC41:GC42 GI41:GI42" name="Rango2_33_10"/>
    <protectedRange algorithmName="SHA-512" hashValue="pL4tgTKqwEsWSIEGFTBd+4pvEhE7d5Q99Eijs+L/Y1rhA0saQGGRJw5Pv2HLOP0quglztFwB6WVnQ1YGxd4AiQ==" saltValue="IF5mhk2RcoEjrcYppes1VA==" spinCount="100000" sqref="FT41:FT42" name="Rango2_30_11"/>
    <protectedRange algorithmName="SHA-512" hashValue="9+DNppQbWrLYYUMoJ+lyQctV2bX3Vq9kZnegLbpjTLP49It2ovUbcartuoQTeXgP+TGpY//7mDH/UQlFCKDGiA==" saltValue="KUnni6YEm00anzSSvyLqQA==" spinCount="100000" sqref="FE41:FE42 GX41:GX42 EY41:FA42 FC41:FC42 FH41:FH42 FK41:FL42 EN41:EN42 FN41:FO42 HS41:HT42 HD41:HI42" name="Rango2_65"/>
    <protectedRange algorithmName="SHA-512" hashValue="EEHzbvEYwO1eufllBljOz0uf9BJ2ENtvOScQ7IsS321QhYbwKn7qhHKKP8cKj02rTDvVRMWvwQ1ZP0mZWsBprQ==" saltValue="CjXqBRFbKezlWOFV37MnDQ==" spinCount="100000" sqref="GQ43:GR43 GW43 GN43" name="Rango2_30_2_11"/>
    <protectedRange algorithmName="SHA-512" hashValue="Rgskw+AQdeJ5qbJdarzTa3SCkJfDGziy0Uan5N0F3IWn/H3Z/e+VcB56R7Nes7MPxNHewNP1sSSucVjz3iTLeA==" saltValue="qKZH3DnwaZHBzy3cBZo1qQ==" spinCount="100000" sqref="GF43" name="Rango2_31_28_10"/>
    <protectedRange algorithmName="SHA-512" hashValue="Umj9+5Ys20VQPxBFtc6qE5LtKKSgPKwit+B8dd4XnEUaLfBM2ozpkEC4YxwK0SbBiAHDDex+pY+LomQ0lyuamQ==" saltValue="N2/MCRws+mmA+NXw0axolg==" spinCount="100000" sqref="GJ43 GH43 GE43 GL43 FY43" name="Rango2_31_2_11"/>
    <protectedRange algorithmName="SHA-512" hashValue="q2z5hEFmXS0v2chiPTC/VCoDWNlnhp+Xe6Ybfxe48vIsnB/KTJQxJv+pFUnCXfZ9T6vyJopuqFFNROfQTW/JUw==" saltValue="IctfdGJb5tOTpq+KPi9vww==" spinCount="100000" sqref="IA43 ID43:IJ43" name="Rango2_88_39_27"/>
    <protectedRange algorithmName="SHA-512" hashValue="XZw03RosI/l0z9FxmTtF29EdZ7P+4+ybhqoaAAUmURojSR5XbGfjC4f2i8gMqfY+RI9JvfdCA6PSh9TduXfUxA==" saltValue="5TPtLq2WoiRSae/yaDPnTw==" spinCount="100000" sqref="FQ43:FR43 ER43:ES43 EV43:EW43 FF43 GO43 GT43 FZ43 FW43:FX43 IB43 FU43 EO43 GM43 GK43 GY43:GZ43 HJ43 IL43:IM43 FI43 HU43:HZ43 EA43:EJ43 IO43" name="Rango2_99_27"/>
    <protectedRange algorithmName="SHA-512" hashValue="YXHanhqXL0e4jPrzkCF8r/22WmlCviFUW909WKuG1JOcU0mp0/Huh0aP3EaGYxV2ep0WGu48HsShAy4Ka2uOiw==" saltValue="h/7U5iwJm7DLR4tRVfwZYw==" spinCount="100000" sqref="GC43 GI43" name="Rango2_33_11"/>
    <protectedRange algorithmName="SHA-512" hashValue="pL4tgTKqwEsWSIEGFTBd+4pvEhE7d5Q99Eijs+L/Y1rhA0saQGGRJw5Pv2HLOP0quglztFwB6WVnQ1YGxd4AiQ==" saltValue="IF5mhk2RcoEjrcYppes1VA==" spinCount="100000" sqref="FT43" name="Rango2_30_12"/>
    <protectedRange algorithmName="SHA-512" hashValue="9+DNppQbWrLYYUMoJ+lyQctV2bX3Vq9kZnegLbpjTLP49It2ovUbcartuoQTeXgP+TGpY//7mDH/UQlFCKDGiA==" saltValue="KUnni6YEm00anzSSvyLqQA==" spinCount="100000" sqref="FE43 GX43 EY43:FA43 FC43 FH43 FK43:FL43 EN43 FN43:FO43 HS43:HT43 HD43:HI43" name="Rango2_66"/>
    <protectedRange algorithmName="SHA-512" hashValue="EEHzbvEYwO1eufllBljOz0uf9BJ2ENtvOScQ7IsS321QhYbwKn7qhHKKP8cKj02rTDvVRMWvwQ1ZP0mZWsBprQ==" saltValue="CjXqBRFbKezlWOFV37MnDQ==" spinCount="100000" sqref="GQ44:GR44 GW44 GN44" name="Rango2_30_2_12"/>
    <protectedRange algorithmName="SHA-512" hashValue="Rgskw+AQdeJ5qbJdarzTa3SCkJfDGziy0Uan5N0F3IWn/H3Z/e+VcB56R7Nes7MPxNHewNP1sSSucVjz3iTLeA==" saltValue="qKZH3DnwaZHBzy3cBZo1qQ==" spinCount="100000" sqref="GF44" name="Rango2_31_28_11"/>
    <protectedRange algorithmName="SHA-512" hashValue="Umj9+5Ys20VQPxBFtc6qE5LtKKSgPKwit+B8dd4XnEUaLfBM2ozpkEC4YxwK0SbBiAHDDex+pY+LomQ0lyuamQ==" saltValue="N2/MCRws+mmA+NXw0axolg==" spinCount="100000" sqref="GJ44 GH44 GE44 GB44 GL44 FY44" name="Rango2_31_2_12"/>
    <protectedRange algorithmName="SHA-512" hashValue="q2z5hEFmXS0v2chiPTC/VCoDWNlnhp+Xe6Ybfxe48vIsnB/KTJQxJv+pFUnCXfZ9T6vyJopuqFFNROfQTW/JUw==" saltValue="IctfdGJb5tOTpq+KPi9vww==" spinCount="100000" sqref="IA44 ID44:IJ44" name="Rango2_88_39_28"/>
    <protectedRange algorithmName="SHA-512" hashValue="XZw03RosI/l0z9FxmTtF29EdZ7P+4+ybhqoaAAUmURojSR5XbGfjC4f2i8gMqfY+RI9JvfdCA6PSh9TduXfUxA==" saltValue="5TPtLq2WoiRSae/yaDPnTw==" spinCount="100000" sqref="FQ44:FR44 ER44:ES44 EV44:EW44 FF44 GO44 GT44 FZ44 FW44:FX44 IB44 FU44 EO44 GM44 GK44 GY44:GZ44 HJ44 IL44:IM44 FI44 HU44:HZ44 EA44:EJ44 IO44" name="Rango2_99_28"/>
    <protectedRange algorithmName="SHA-512" hashValue="YXHanhqXL0e4jPrzkCF8r/22WmlCviFUW909WKuG1JOcU0mp0/Huh0aP3EaGYxV2ep0WGu48HsShAy4Ka2uOiw==" saltValue="h/7U5iwJm7DLR4tRVfwZYw==" spinCount="100000" sqref="GC44 GI44" name="Rango2_33_12"/>
    <protectedRange algorithmName="SHA-512" hashValue="pL4tgTKqwEsWSIEGFTBd+4pvEhE7d5Q99Eijs+L/Y1rhA0saQGGRJw5Pv2HLOP0quglztFwB6WVnQ1YGxd4AiQ==" saltValue="IF5mhk2RcoEjrcYppes1VA==" spinCount="100000" sqref="FT44" name="Rango2_30_13"/>
    <protectedRange algorithmName="SHA-512" hashValue="9+DNppQbWrLYYUMoJ+lyQctV2bX3Vq9kZnegLbpjTLP49It2ovUbcartuoQTeXgP+TGpY//7mDH/UQlFCKDGiA==" saltValue="KUnni6YEm00anzSSvyLqQA==" spinCount="100000" sqref="FE44 GX44 EY44:FA44 FC44 FH44 FK44:FL44 EN44 FN44:FO44 HS44:HT44 HD44:HI44" name="Rango2_67"/>
    <protectedRange algorithmName="SHA-512" hashValue="EEHzbvEYwO1eufllBljOz0uf9BJ2ENtvOScQ7IsS321QhYbwKn7qhHKKP8cKj02rTDvVRMWvwQ1ZP0mZWsBprQ==" saltValue="CjXqBRFbKezlWOFV37MnDQ==" spinCount="100000" sqref="GQ45:GR45 GW45 GN45" name="Rango2_30_2_13"/>
    <protectedRange algorithmName="SHA-512" hashValue="Rgskw+AQdeJ5qbJdarzTa3SCkJfDGziy0Uan5N0F3IWn/H3Z/e+VcB56R7Nes7MPxNHewNP1sSSucVjz3iTLeA==" saltValue="qKZH3DnwaZHBzy3cBZo1qQ==" spinCount="100000" sqref="GF45" name="Rango2_31_28_12"/>
    <protectedRange algorithmName="SHA-512" hashValue="Umj9+5Ys20VQPxBFtc6qE5LtKKSgPKwit+B8dd4XnEUaLfBM2ozpkEC4YxwK0SbBiAHDDex+pY+LomQ0lyuamQ==" saltValue="N2/MCRws+mmA+NXw0axolg==" spinCount="100000" sqref="GJ45 GH45 GE45 GB45 GL45 FY45" name="Rango2_31_2_13"/>
    <protectedRange algorithmName="SHA-512" hashValue="q2z5hEFmXS0v2chiPTC/VCoDWNlnhp+Xe6Ybfxe48vIsnB/KTJQxJv+pFUnCXfZ9T6vyJopuqFFNROfQTW/JUw==" saltValue="IctfdGJb5tOTpq+KPi9vww==" spinCount="100000" sqref="IA45 ID45:IJ45" name="Rango2_88_39_29"/>
    <protectedRange algorithmName="SHA-512" hashValue="XZw03RosI/l0z9FxmTtF29EdZ7P+4+ybhqoaAAUmURojSR5XbGfjC4f2i8gMqfY+RI9JvfdCA6PSh9TduXfUxA==" saltValue="5TPtLq2WoiRSae/yaDPnTw==" spinCount="100000" sqref="FQ45:FR45 ER45:ES45 EV45:EW45 FF45 GO45 GT45 FZ45 FW45:FX45 IB45 FU45 EO45 GM45 GK45 GY45:GZ45 HJ45 IL45:IM45 FI45 HU45:HZ45 EA45:EJ45 IO45" name="Rango2_99_29"/>
    <protectedRange algorithmName="SHA-512" hashValue="YXHanhqXL0e4jPrzkCF8r/22WmlCviFUW909WKuG1JOcU0mp0/Huh0aP3EaGYxV2ep0WGu48HsShAy4Ka2uOiw==" saltValue="h/7U5iwJm7DLR4tRVfwZYw==" spinCount="100000" sqref="GC45 GI45" name="Rango2_33_13"/>
    <protectedRange algorithmName="SHA-512" hashValue="pL4tgTKqwEsWSIEGFTBd+4pvEhE7d5Q99Eijs+L/Y1rhA0saQGGRJw5Pv2HLOP0quglztFwB6WVnQ1YGxd4AiQ==" saltValue="IF5mhk2RcoEjrcYppes1VA==" spinCount="100000" sqref="FT45" name="Rango2_30_14"/>
    <protectedRange algorithmName="SHA-512" hashValue="9+DNppQbWrLYYUMoJ+lyQctV2bX3Vq9kZnegLbpjTLP49It2ovUbcartuoQTeXgP+TGpY//7mDH/UQlFCKDGiA==" saltValue="KUnni6YEm00anzSSvyLqQA==" spinCount="100000" sqref="FE45 GX45 EY45:FA45 FC45 FH45 FK45:FL45 EN45 FN45:FO45 HS45:HT45 HD45:HI45" name="Rango2_68"/>
    <protectedRange algorithmName="SHA-512" hashValue="EEHzbvEYwO1eufllBljOz0uf9BJ2ENtvOScQ7IsS321QhYbwKn7qhHKKP8cKj02rTDvVRMWvwQ1ZP0mZWsBprQ==" saltValue="CjXqBRFbKezlWOFV37MnDQ==" spinCount="100000" sqref="GQ46:GR46 GW46 GN46" name="Rango2_30_2_14"/>
    <protectedRange algorithmName="SHA-512" hashValue="Rgskw+AQdeJ5qbJdarzTa3SCkJfDGziy0Uan5N0F3IWn/H3Z/e+VcB56R7Nes7MPxNHewNP1sSSucVjz3iTLeA==" saltValue="qKZH3DnwaZHBzy3cBZo1qQ==" spinCount="100000" sqref="GF46" name="Rango2_31_28_13"/>
    <protectedRange algorithmName="SHA-512" hashValue="Umj9+5Ys20VQPxBFtc6qE5LtKKSgPKwit+B8dd4XnEUaLfBM2ozpkEC4YxwK0SbBiAHDDex+pY+LomQ0lyuamQ==" saltValue="N2/MCRws+mmA+NXw0axolg==" spinCount="100000" sqref="GJ46 GH46 GE46 GB46 GL46 FY46" name="Rango2_31_2_14"/>
    <protectedRange algorithmName="SHA-512" hashValue="q2z5hEFmXS0v2chiPTC/VCoDWNlnhp+Xe6Ybfxe48vIsnB/KTJQxJv+pFUnCXfZ9T6vyJopuqFFNROfQTW/JUw==" saltValue="IctfdGJb5tOTpq+KPi9vww==" spinCount="100000" sqref="IA46 ID46:IJ46" name="Rango2_88_39_30"/>
    <protectedRange algorithmName="SHA-512" hashValue="XZw03RosI/l0z9FxmTtF29EdZ7P+4+ybhqoaAAUmURojSR5XbGfjC4f2i8gMqfY+RI9JvfdCA6PSh9TduXfUxA==" saltValue="5TPtLq2WoiRSae/yaDPnTw==" spinCount="100000" sqref="FQ46:FR46 ER46:ES46 EV46:EW46 FF46 GO46 GT46 FZ46 FW46:FX46 IB46 FU46 EO46 GM46 GK46 GY46:GZ46 HJ46 IL46:IM46 FI46 HU46:HZ46 EA46:EJ46 IO46" name="Rango2_99_30"/>
    <protectedRange algorithmName="SHA-512" hashValue="YXHanhqXL0e4jPrzkCF8r/22WmlCviFUW909WKuG1JOcU0mp0/Huh0aP3EaGYxV2ep0WGu48HsShAy4Ka2uOiw==" saltValue="h/7U5iwJm7DLR4tRVfwZYw==" spinCount="100000" sqref="GC46 GI46" name="Rango2_33_14"/>
    <protectedRange algorithmName="SHA-512" hashValue="pL4tgTKqwEsWSIEGFTBd+4pvEhE7d5Q99Eijs+L/Y1rhA0saQGGRJw5Pv2HLOP0quglztFwB6WVnQ1YGxd4AiQ==" saltValue="IF5mhk2RcoEjrcYppes1VA==" spinCount="100000" sqref="FT46" name="Rango2_30_15"/>
    <protectedRange algorithmName="SHA-512" hashValue="9+DNppQbWrLYYUMoJ+lyQctV2bX3Vq9kZnegLbpjTLP49It2ovUbcartuoQTeXgP+TGpY//7mDH/UQlFCKDGiA==" saltValue="KUnni6YEm00anzSSvyLqQA==" spinCount="100000" sqref="FE46 GX46 EY46:FA46 FC46 FH46 FK46:FL46 EN46 FN46:FO46 HS46:HT46 HD46:HI46" name="Rango2_69"/>
    <protectedRange algorithmName="SHA-512" hashValue="EEHzbvEYwO1eufllBljOz0uf9BJ2ENtvOScQ7IsS321QhYbwKn7qhHKKP8cKj02rTDvVRMWvwQ1ZP0mZWsBprQ==" saltValue="CjXqBRFbKezlWOFV37MnDQ==" spinCount="100000" sqref="GQ47:GR50 GW47:GW50 GN47:GN50" name="Rango2_30_2_15"/>
    <protectedRange algorithmName="SHA-512" hashValue="Rgskw+AQdeJ5qbJdarzTa3SCkJfDGziy0Uan5N0F3IWn/H3Z/e+VcB56R7Nes7MPxNHewNP1sSSucVjz3iTLeA==" saltValue="qKZH3DnwaZHBzy3cBZo1qQ==" spinCount="100000" sqref="GF47:GF50" name="Rango2_31_28_14"/>
    <protectedRange algorithmName="SHA-512" hashValue="Umj9+5Ys20VQPxBFtc6qE5LtKKSgPKwit+B8dd4XnEUaLfBM2ozpkEC4YxwK0SbBiAHDDex+pY+LomQ0lyuamQ==" saltValue="N2/MCRws+mmA+NXw0axolg==" spinCount="100000" sqref="GJ47:GJ50 GH47:GH50 GE47:GE50 GB47 GL47:GL50 FY47:FY50 GB49:GB50" name="Rango2_31_2_15"/>
    <protectedRange algorithmName="SHA-512" hashValue="q2z5hEFmXS0v2chiPTC/VCoDWNlnhp+Xe6Ybfxe48vIsnB/KTJQxJv+pFUnCXfZ9T6vyJopuqFFNROfQTW/JUw==" saltValue="IctfdGJb5tOTpq+KPi9vww==" spinCount="100000" sqref="IA47:IA50 ID47:IJ50" name="Rango2_88_39_31"/>
    <protectedRange algorithmName="SHA-512" hashValue="XZw03RosI/l0z9FxmTtF29EdZ7P+4+ybhqoaAAUmURojSR5XbGfjC4f2i8gMqfY+RI9JvfdCA6PSh9TduXfUxA==" saltValue="5TPtLq2WoiRSae/yaDPnTw==" spinCount="100000" sqref="FQ47:FR50 ER47:ES50 EV47:EW50 FF47:FF50 GO47:GO50 GT47:GT50 FZ47:FZ50 FW47:FX50 IB47:IB50 FU47:FU50 EO47:EO50 GM47:GM50 GK47:GK50 GY47:GZ50 HJ47:HJ50 IL47:IM50 FI47:FI50 HU47:HZ50 EA47:EJ50 IO47:IO50" name="Rango2_99_31"/>
    <protectedRange algorithmName="SHA-512" hashValue="YXHanhqXL0e4jPrzkCF8r/22WmlCviFUW909WKuG1JOcU0mp0/Huh0aP3EaGYxV2ep0WGu48HsShAy4Ka2uOiw==" saltValue="h/7U5iwJm7DLR4tRVfwZYw==" spinCount="100000" sqref="GC47:GC50 GI47:GI50" name="Rango2_33_15"/>
    <protectedRange algorithmName="SHA-512" hashValue="pL4tgTKqwEsWSIEGFTBd+4pvEhE7d5Q99Eijs+L/Y1rhA0saQGGRJw5Pv2HLOP0quglztFwB6WVnQ1YGxd4AiQ==" saltValue="IF5mhk2RcoEjrcYppes1VA==" spinCount="100000" sqref="FT47:FT50" name="Rango2_30_16"/>
    <protectedRange algorithmName="SHA-512" hashValue="9+DNppQbWrLYYUMoJ+lyQctV2bX3Vq9kZnegLbpjTLP49It2ovUbcartuoQTeXgP+TGpY//7mDH/UQlFCKDGiA==" saltValue="KUnni6YEm00anzSSvyLqQA==" spinCount="100000" sqref="FE47:FE50 GX47:GX50 EY47:FA50 FC47:FC50 FH47:FH50 FK47:FL50 EN47:EN50 FN47:FO50 HS47:HT50 HD47:HI50" name="Rango2_70"/>
    <protectedRange algorithmName="SHA-512" hashValue="EEHzbvEYwO1eufllBljOz0uf9BJ2ENtvOScQ7IsS321QhYbwKn7qhHKKP8cKj02rTDvVRMWvwQ1ZP0mZWsBprQ==" saltValue="CjXqBRFbKezlWOFV37MnDQ==" spinCount="100000" sqref="GQ51:GR54 GW51:GW54 GN51:GN54" name="Rango2_30_2_16"/>
    <protectedRange algorithmName="SHA-512" hashValue="Rgskw+AQdeJ5qbJdarzTa3SCkJfDGziy0Uan5N0F3IWn/H3Z/e+VcB56R7Nes7MPxNHewNP1sSSucVjz3iTLeA==" saltValue="qKZH3DnwaZHBzy3cBZo1qQ==" spinCount="100000" sqref="GF51:GF54" name="Rango2_31_28_15"/>
    <protectedRange algorithmName="SHA-512" hashValue="Umj9+5Ys20VQPxBFtc6qE5LtKKSgPKwit+B8dd4XnEUaLfBM2ozpkEC4YxwK0SbBiAHDDex+pY+LomQ0lyuamQ==" saltValue="N2/MCRws+mmA+NXw0axolg==" spinCount="100000" sqref="GJ51:GJ54 GH51:GH54 GE51:GE54 GB51 GL51:GL54 FY51:FY54 GB54" name="Rango2_31_2_16"/>
    <protectedRange algorithmName="SHA-512" hashValue="q2z5hEFmXS0v2chiPTC/VCoDWNlnhp+Xe6Ybfxe48vIsnB/KTJQxJv+pFUnCXfZ9T6vyJopuqFFNROfQTW/JUw==" saltValue="IctfdGJb5tOTpq+KPi9vww==" spinCount="100000" sqref="IA51:IA54 ID51:IJ54" name="Rango2_88_39_32"/>
    <protectedRange algorithmName="SHA-512" hashValue="XZw03RosI/l0z9FxmTtF29EdZ7P+4+ybhqoaAAUmURojSR5XbGfjC4f2i8gMqfY+RI9JvfdCA6PSh9TduXfUxA==" saltValue="5TPtLq2WoiRSae/yaDPnTw==" spinCount="100000" sqref="FQ51:FR54 ER51:ES54 EV51:EW54 FF51:FF54 GO51:GO54 GT51:GT54 FZ51:FZ54 FW51:FX54 IB51:IB54 FU51:FU54 EO51:EO54 GM51:GM54 GK51:GK54 GY51:GZ54 HJ51:HJ54 IL51:IM54 FI51:FI54 HU51:HZ54 EA51:EJ54 IO51:IO54" name="Rango2_99_32"/>
    <protectedRange algorithmName="SHA-512" hashValue="YXHanhqXL0e4jPrzkCF8r/22WmlCviFUW909WKuG1JOcU0mp0/Huh0aP3EaGYxV2ep0WGu48HsShAy4Ka2uOiw==" saltValue="h/7U5iwJm7DLR4tRVfwZYw==" spinCount="100000" sqref="GC51:GC54 GI51:GI54" name="Rango2_33_16"/>
    <protectedRange algorithmName="SHA-512" hashValue="pL4tgTKqwEsWSIEGFTBd+4pvEhE7d5Q99Eijs+L/Y1rhA0saQGGRJw5Pv2HLOP0quglztFwB6WVnQ1YGxd4AiQ==" saltValue="IF5mhk2RcoEjrcYppes1VA==" spinCount="100000" sqref="FT51:FT54" name="Rango2_30_17"/>
    <protectedRange algorithmName="SHA-512" hashValue="9+DNppQbWrLYYUMoJ+lyQctV2bX3Vq9kZnegLbpjTLP49It2ovUbcartuoQTeXgP+TGpY//7mDH/UQlFCKDGiA==" saltValue="KUnni6YEm00anzSSvyLqQA==" spinCount="100000" sqref="FE51:FE54 GX51:GX54 EY51:FA54 FC51:FC54 FH51:FH54 FK51:FL54 EN51:EN54 FN51:FO54 HS51:HT54 HD51:HI54" name="Rango2_71"/>
    <protectedRange algorithmName="SHA-512" hashValue="Gqwr8n5jYbCESAqCFk8dpOzViQICBV+k0xoqBoQaZ5lHaRlvT9TZDB4yXtm+qC6OhD064ZDBOFWkwo+LHXu1sg==" saltValue="gEL9PCN2ekF2IxW9yqAGYA==" spinCount="100000" sqref="IS29" name="Rango2_40_2_1"/>
    <protectedRange algorithmName="SHA-512" hashValue="D8TacORwT7iz0mF9GEucchnMHfB5er2FFjQsxyeWWyeJkM6Bt3gYQ3LbcHPxZXFpVAYtFOuTrzYOCJrlZDx16g==" saltValue="QtCzIBktdS4NZkOEGcLTRQ==" spinCount="100000" sqref="IW29" name="Rango2_41_1"/>
    <protectedRange algorithmName="SHA-512" hashValue="9+DNppQbWrLYYUMoJ+lyQctV2bX3Vq9kZnegLbpjTLP49It2ovUbcartuoQTeXgP+TGpY//7mDH/UQlFCKDGiA==" saltValue="KUnni6YEm00anzSSvyLqQA==" spinCount="100000" sqref="IT29:IV29 IX29 IZ29:JM29 JO29:JW29 JY29:KF29 KH29 KJ29:MP29" name="Rango2_72"/>
    <protectedRange algorithmName="SHA-512" hashValue="Gqwr8n5jYbCESAqCFk8dpOzViQICBV+k0xoqBoQaZ5lHaRlvT9TZDB4yXtm+qC6OhD064ZDBOFWkwo+LHXu1sg==" saltValue="gEL9PCN2ekF2IxW9yqAGYA==" spinCount="100000" sqref="IS30" name="Rango2_40_2_2"/>
    <protectedRange algorithmName="SHA-512" hashValue="D8TacORwT7iz0mF9GEucchnMHfB5er2FFjQsxyeWWyeJkM6Bt3gYQ3LbcHPxZXFpVAYtFOuTrzYOCJrlZDx16g==" saltValue="QtCzIBktdS4NZkOEGcLTRQ==" spinCount="100000" sqref="IW30" name="Rango2_41_2"/>
    <protectedRange algorithmName="SHA-512" hashValue="9+DNppQbWrLYYUMoJ+lyQctV2bX3Vq9kZnegLbpjTLP49It2ovUbcartuoQTeXgP+TGpY//7mDH/UQlFCKDGiA==" saltValue="KUnni6YEm00anzSSvyLqQA==" spinCount="100000" sqref="IT30:IV30 IX30 IZ30:JM30 JO30:JW30 JY30:KF30 KH30 KJ30:MP30" name="Rango2_73"/>
    <protectedRange algorithmName="SHA-512" hashValue="Gqwr8n5jYbCESAqCFk8dpOzViQICBV+k0xoqBoQaZ5lHaRlvT9TZDB4yXtm+qC6OhD064ZDBOFWkwo+LHXu1sg==" saltValue="gEL9PCN2ekF2IxW9yqAGYA==" spinCount="100000" sqref="IS31" name="Rango2_40_2_3"/>
    <protectedRange algorithmName="SHA-512" hashValue="D8TacORwT7iz0mF9GEucchnMHfB5er2FFjQsxyeWWyeJkM6Bt3gYQ3LbcHPxZXFpVAYtFOuTrzYOCJrlZDx16g==" saltValue="QtCzIBktdS4NZkOEGcLTRQ==" spinCount="100000" sqref="IW31" name="Rango2_41_3"/>
    <protectedRange algorithmName="SHA-512" hashValue="9+DNppQbWrLYYUMoJ+lyQctV2bX3Vq9kZnegLbpjTLP49It2ovUbcartuoQTeXgP+TGpY//7mDH/UQlFCKDGiA==" saltValue="KUnni6YEm00anzSSvyLqQA==" spinCount="100000" sqref="IT31:IV31 IX31 IZ31:JM31 JO31:JW31 JY31:KF31 KH31 KJ31:MP31" name="Rango2_74"/>
    <protectedRange algorithmName="SHA-512" hashValue="Gqwr8n5jYbCESAqCFk8dpOzViQICBV+k0xoqBoQaZ5lHaRlvT9TZDB4yXtm+qC6OhD064ZDBOFWkwo+LHXu1sg==" saltValue="gEL9PCN2ekF2IxW9yqAGYA==" spinCount="100000" sqref="IS32" name="Rango2_40_2_4"/>
    <protectedRange algorithmName="SHA-512" hashValue="D8TacORwT7iz0mF9GEucchnMHfB5er2FFjQsxyeWWyeJkM6Bt3gYQ3LbcHPxZXFpVAYtFOuTrzYOCJrlZDx16g==" saltValue="QtCzIBktdS4NZkOEGcLTRQ==" spinCount="100000" sqref="IW32" name="Rango2_41_4"/>
    <protectedRange algorithmName="SHA-512" hashValue="9+DNppQbWrLYYUMoJ+lyQctV2bX3Vq9kZnegLbpjTLP49It2ovUbcartuoQTeXgP+TGpY//7mDH/UQlFCKDGiA==" saltValue="KUnni6YEm00anzSSvyLqQA==" spinCount="100000" sqref="IT32:IV32 IX32 IZ32:JM32 JO32:JW32 JY32:KF32 KH32 KJ32:MP32" name="Rango2_76"/>
    <protectedRange algorithmName="SHA-512" hashValue="Gqwr8n5jYbCESAqCFk8dpOzViQICBV+k0xoqBoQaZ5lHaRlvT9TZDB4yXtm+qC6OhD064ZDBOFWkwo+LHXu1sg==" saltValue="gEL9PCN2ekF2IxW9yqAGYA==" spinCount="100000" sqref="IS33" name="Rango2_40_2_5"/>
    <protectedRange algorithmName="SHA-512" hashValue="D8TacORwT7iz0mF9GEucchnMHfB5er2FFjQsxyeWWyeJkM6Bt3gYQ3LbcHPxZXFpVAYtFOuTrzYOCJrlZDx16g==" saltValue="QtCzIBktdS4NZkOEGcLTRQ==" spinCount="100000" sqref="IW33" name="Rango2_41_5"/>
    <protectedRange algorithmName="SHA-512" hashValue="9+DNppQbWrLYYUMoJ+lyQctV2bX3Vq9kZnegLbpjTLP49It2ovUbcartuoQTeXgP+TGpY//7mDH/UQlFCKDGiA==" saltValue="KUnni6YEm00anzSSvyLqQA==" spinCount="100000" sqref="IT33:IV33 IX33 IZ33:JM33 JO33:JW33 JY33:KF33 KH33 KJ33:MP33" name="Rango2_80"/>
    <protectedRange algorithmName="SHA-512" hashValue="Gqwr8n5jYbCESAqCFk8dpOzViQICBV+k0xoqBoQaZ5lHaRlvT9TZDB4yXtm+qC6OhD064ZDBOFWkwo+LHXu1sg==" saltValue="gEL9PCN2ekF2IxW9yqAGYA==" spinCount="100000" sqref="IS34:IS35" name="Rango2_40_2_6"/>
    <protectedRange algorithmName="SHA-512" hashValue="D8TacORwT7iz0mF9GEucchnMHfB5er2FFjQsxyeWWyeJkM6Bt3gYQ3LbcHPxZXFpVAYtFOuTrzYOCJrlZDx16g==" saltValue="QtCzIBktdS4NZkOEGcLTRQ==" spinCount="100000" sqref="IW34:IW35" name="Rango2_41_6"/>
    <protectedRange algorithmName="SHA-512" hashValue="9+DNppQbWrLYYUMoJ+lyQctV2bX3Vq9kZnegLbpjTLP49It2ovUbcartuoQTeXgP+TGpY//7mDH/UQlFCKDGiA==" saltValue="KUnni6YEm00anzSSvyLqQA==" spinCount="100000" sqref="IT34:IV35 IX34:IX35 IZ34:JM35 JO34:JW35 JY34:KF35 KH34:KH35 KJ34:MP35" name="Rango2_81"/>
    <protectedRange algorithmName="SHA-512" hashValue="Gqwr8n5jYbCESAqCFk8dpOzViQICBV+k0xoqBoQaZ5lHaRlvT9TZDB4yXtm+qC6OhD064ZDBOFWkwo+LHXu1sg==" saltValue="gEL9PCN2ekF2IxW9yqAGYA==" spinCount="100000" sqref="IS36" name="Rango2_40_2_7"/>
    <protectedRange algorithmName="SHA-512" hashValue="D8TacORwT7iz0mF9GEucchnMHfB5er2FFjQsxyeWWyeJkM6Bt3gYQ3LbcHPxZXFpVAYtFOuTrzYOCJrlZDx16g==" saltValue="QtCzIBktdS4NZkOEGcLTRQ==" spinCount="100000" sqref="IW36" name="Rango2_41_7"/>
    <protectedRange algorithmName="SHA-512" hashValue="9+DNppQbWrLYYUMoJ+lyQctV2bX3Vq9kZnegLbpjTLP49It2ovUbcartuoQTeXgP+TGpY//7mDH/UQlFCKDGiA==" saltValue="KUnni6YEm00anzSSvyLqQA==" spinCount="100000" sqref="IT36:IV36 IX36 IZ36:JM36 JO36:JW36 JY36:KF36 KH36 KJ36:MP36" name="Rango2_82"/>
    <protectedRange algorithmName="SHA-512" hashValue="Gqwr8n5jYbCESAqCFk8dpOzViQICBV+k0xoqBoQaZ5lHaRlvT9TZDB4yXtm+qC6OhD064ZDBOFWkwo+LHXu1sg==" saltValue="gEL9PCN2ekF2IxW9yqAGYA==" spinCount="100000" sqref="IS37:IS38" name="Rango2_40_2_8"/>
    <protectedRange algorithmName="SHA-512" hashValue="D8TacORwT7iz0mF9GEucchnMHfB5er2FFjQsxyeWWyeJkM6Bt3gYQ3LbcHPxZXFpVAYtFOuTrzYOCJrlZDx16g==" saltValue="QtCzIBktdS4NZkOEGcLTRQ==" spinCount="100000" sqref="IW37:IW38" name="Rango2_41_8"/>
    <protectedRange algorithmName="SHA-512" hashValue="9+DNppQbWrLYYUMoJ+lyQctV2bX3Vq9kZnegLbpjTLP49It2ovUbcartuoQTeXgP+TGpY//7mDH/UQlFCKDGiA==" saltValue="KUnni6YEm00anzSSvyLqQA==" spinCount="100000" sqref="IT37:IV38 IX37:IX38 IZ37:JM38 JO37:JW38 JY37:KF38 KH37:KH38 KJ37:MP38" name="Rango2_83"/>
    <protectedRange algorithmName="SHA-512" hashValue="Gqwr8n5jYbCESAqCFk8dpOzViQICBV+k0xoqBoQaZ5lHaRlvT9TZDB4yXtm+qC6OhD064ZDBOFWkwo+LHXu1sg==" saltValue="gEL9PCN2ekF2IxW9yqAGYA==" spinCount="100000" sqref="IS39:IS40" name="Rango2_40_2_9"/>
    <protectedRange algorithmName="SHA-512" hashValue="D8TacORwT7iz0mF9GEucchnMHfB5er2FFjQsxyeWWyeJkM6Bt3gYQ3LbcHPxZXFpVAYtFOuTrzYOCJrlZDx16g==" saltValue="QtCzIBktdS4NZkOEGcLTRQ==" spinCount="100000" sqref="IW39:IW40" name="Rango2_41_9"/>
    <protectedRange algorithmName="SHA-512" hashValue="9+DNppQbWrLYYUMoJ+lyQctV2bX3Vq9kZnegLbpjTLP49It2ovUbcartuoQTeXgP+TGpY//7mDH/UQlFCKDGiA==" saltValue="KUnni6YEm00anzSSvyLqQA==" spinCount="100000" sqref="IT39:IV40 IX39:IX40 IZ39:JM40 JO39:JW40 JY39:KF40 KH39:KH40 KJ39:MP40" name="Rango2_85"/>
    <protectedRange algorithmName="SHA-512" hashValue="Gqwr8n5jYbCESAqCFk8dpOzViQICBV+k0xoqBoQaZ5lHaRlvT9TZDB4yXtm+qC6OhD064ZDBOFWkwo+LHXu1sg==" saltValue="gEL9PCN2ekF2IxW9yqAGYA==" spinCount="100000" sqref="IS41:IS42" name="Rango2_40_2_10"/>
    <protectedRange algorithmName="SHA-512" hashValue="D8TacORwT7iz0mF9GEucchnMHfB5er2FFjQsxyeWWyeJkM6Bt3gYQ3LbcHPxZXFpVAYtFOuTrzYOCJrlZDx16g==" saltValue="QtCzIBktdS4NZkOEGcLTRQ==" spinCount="100000" sqref="IW41:IW42" name="Rango2_41_10"/>
    <protectedRange algorithmName="SHA-512" hashValue="9+DNppQbWrLYYUMoJ+lyQctV2bX3Vq9kZnegLbpjTLP49It2ovUbcartuoQTeXgP+TGpY//7mDH/UQlFCKDGiA==" saltValue="KUnni6YEm00anzSSvyLqQA==" spinCount="100000" sqref="IT41:IV42 IX41:IX42 IZ41:JM42 JO41:JW42 JY41:KF42 KH41:KH42 KJ41:MP42" name="Rango2_86"/>
    <protectedRange algorithmName="SHA-512" hashValue="Gqwr8n5jYbCESAqCFk8dpOzViQICBV+k0xoqBoQaZ5lHaRlvT9TZDB4yXtm+qC6OhD064ZDBOFWkwo+LHXu1sg==" saltValue="gEL9PCN2ekF2IxW9yqAGYA==" spinCount="100000" sqref="IS43" name="Rango2_40_2_11"/>
    <protectedRange algorithmName="SHA-512" hashValue="D8TacORwT7iz0mF9GEucchnMHfB5er2FFjQsxyeWWyeJkM6Bt3gYQ3LbcHPxZXFpVAYtFOuTrzYOCJrlZDx16g==" saltValue="QtCzIBktdS4NZkOEGcLTRQ==" spinCount="100000" sqref="IW43" name="Rango2_41_11"/>
    <protectedRange algorithmName="SHA-512" hashValue="9+DNppQbWrLYYUMoJ+lyQctV2bX3Vq9kZnegLbpjTLP49It2ovUbcartuoQTeXgP+TGpY//7mDH/UQlFCKDGiA==" saltValue="KUnni6YEm00anzSSvyLqQA==" spinCount="100000" sqref="IT43:IV43 IX43 IZ43:JM43 JO43:JW43 JY43:KF43 KH43 KJ43:MP43" name="Rango2_87"/>
    <protectedRange algorithmName="SHA-512" hashValue="Gqwr8n5jYbCESAqCFk8dpOzViQICBV+k0xoqBoQaZ5lHaRlvT9TZDB4yXtm+qC6OhD064ZDBOFWkwo+LHXu1sg==" saltValue="gEL9PCN2ekF2IxW9yqAGYA==" spinCount="100000" sqref="IS44" name="Rango2_40_2_12"/>
    <protectedRange algorithmName="SHA-512" hashValue="D8TacORwT7iz0mF9GEucchnMHfB5er2FFjQsxyeWWyeJkM6Bt3gYQ3LbcHPxZXFpVAYtFOuTrzYOCJrlZDx16g==" saltValue="QtCzIBktdS4NZkOEGcLTRQ==" spinCount="100000" sqref="IW44" name="Rango2_41_12"/>
    <protectedRange algorithmName="SHA-512" hashValue="9+DNppQbWrLYYUMoJ+lyQctV2bX3Vq9kZnegLbpjTLP49It2ovUbcartuoQTeXgP+TGpY//7mDH/UQlFCKDGiA==" saltValue="KUnni6YEm00anzSSvyLqQA==" spinCount="100000" sqref="IT44:IV44 IX44 IZ44:JM44 JO44:JW44 JY44:KF44 KH44 KJ44:MP44" name="Rango2_90"/>
    <protectedRange algorithmName="SHA-512" hashValue="Gqwr8n5jYbCESAqCFk8dpOzViQICBV+k0xoqBoQaZ5lHaRlvT9TZDB4yXtm+qC6OhD064ZDBOFWkwo+LHXu1sg==" saltValue="gEL9PCN2ekF2IxW9yqAGYA==" spinCount="100000" sqref="IS45" name="Rango2_40_2_13"/>
    <protectedRange algorithmName="SHA-512" hashValue="D8TacORwT7iz0mF9GEucchnMHfB5er2FFjQsxyeWWyeJkM6Bt3gYQ3LbcHPxZXFpVAYtFOuTrzYOCJrlZDx16g==" saltValue="QtCzIBktdS4NZkOEGcLTRQ==" spinCount="100000" sqref="IW45" name="Rango2_41_13"/>
    <protectedRange algorithmName="SHA-512" hashValue="9+DNppQbWrLYYUMoJ+lyQctV2bX3Vq9kZnegLbpjTLP49It2ovUbcartuoQTeXgP+TGpY//7mDH/UQlFCKDGiA==" saltValue="KUnni6YEm00anzSSvyLqQA==" spinCount="100000" sqref="IT45:IV45 IX45 IZ45:JM45 JO45:JW45 JY45:KF45 KH45 KJ45:MP45" name="Rango2_91"/>
    <protectedRange algorithmName="SHA-512" hashValue="Gqwr8n5jYbCESAqCFk8dpOzViQICBV+k0xoqBoQaZ5lHaRlvT9TZDB4yXtm+qC6OhD064ZDBOFWkwo+LHXu1sg==" saltValue="gEL9PCN2ekF2IxW9yqAGYA==" spinCount="100000" sqref="IS46" name="Rango2_40_2_14"/>
    <protectedRange algorithmName="SHA-512" hashValue="D8TacORwT7iz0mF9GEucchnMHfB5er2FFjQsxyeWWyeJkM6Bt3gYQ3LbcHPxZXFpVAYtFOuTrzYOCJrlZDx16g==" saltValue="QtCzIBktdS4NZkOEGcLTRQ==" spinCount="100000" sqref="IW46" name="Rango2_41_14"/>
    <protectedRange algorithmName="SHA-512" hashValue="9+DNppQbWrLYYUMoJ+lyQctV2bX3Vq9kZnegLbpjTLP49It2ovUbcartuoQTeXgP+TGpY//7mDH/UQlFCKDGiA==" saltValue="KUnni6YEm00anzSSvyLqQA==" spinCount="100000" sqref="IT46:IV46 IX46 IZ46:JM46 JO46:JW46 JY46:KF46 KH46 KJ46:MP46" name="Rango2_92"/>
    <protectedRange algorithmName="SHA-512" hashValue="Gqwr8n5jYbCESAqCFk8dpOzViQICBV+k0xoqBoQaZ5lHaRlvT9TZDB4yXtm+qC6OhD064ZDBOFWkwo+LHXu1sg==" saltValue="gEL9PCN2ekF2IxW9yqAGYA==" spinCount="100000" sqref="IS47:IS50" name="Rango2_40_2_15"/>
    <protectedRange algorithmName="SHA-512" hashValue="D8TacORwT7iz0mF9GEucchnMHfB5er2FFjQsxyeWWyeJkM6Bt3gYQ3LbcHPxZXFpVAYtFOuTrzYOCJrlZDx16g==" saltValue="QtCzIBktdS4NZkOEGcLTRQ==" spinCount="100000" sqref="IW47:IW50" name="Rango2_41_15"/>
    <protectedRange algorithmName="SHA-512" hashValue="9+DNppQbWrLYYUMoJ+lyQctV2bX3Vq9kZnegLbpjTLP49It2ovUbcartuoQTeXgP+TGpY//7mDH/UQlFCKDGiA==" saltValue="KUnni6YEm00anzSSvyLqQA==" spinCount="100000" sqref="IT47:IV50 IX47:IX50 IZ47:JM50 JO47:JW50 JY47:KF50 KH47:KH50 KJ47:MP50" name="Rango2_93"/>
    <protectedRange algorithmName="SHA-512" hashValue="Gqwr8n5jYbCESAqCFk8dpOzViQICBV+k0xoqBoQaZ5lHaRlvT9TZDB4yXtm+qC6OhD064ZDBOFWkwo+LHXu1sg==" saltValue="gEL9PCN2ekF2IxW9yqAGYA==" spinCount="100000" sqref="IS51:IS54" name="Rango2_40_2_16"/>
    <protectedRange algorithmName="SHA-512" hashValue="D8TacORwT7iz0mF9GEucchnMHfB5er2FFjQsxyeWWyeJkM6Bt3gYQ3LbcHPxZXFpVAYtFOuTrzYOCJrlZDx16g==" saltValue="QtCzIBktdS4NZkOEGcLTRQ==" spinCount="100000" sqref="IW51:IW54" name="Rango2_41_16"/>
    <protectedRange algorithmName="SHA-512" hashValue="9+DNppQbWrLYYUMoJ+lyQctV2bX3Vq9kZnegLbpjTLP49It2ovUbcartuoQTeXgP+TGpY//7mDH/UQlFCKDGiA==" saltValue="KUnni6YEm00anzSSvyLqQA==" spinCount="100000" sqref="IT51:IV54 IX51:IX54 IZ51:JM54 JO51:JW54 JY51:KF54 KH51:KH54 KJ51:MP54" name="Rango2_94"/>
    <protectedRange algorithmName="SHA-512" hashValue="6a5oYwZw9WJcgjqXpleUXH8uaqNEuymPPpeOb7lKBc1WoM6IG/DNyDLWmj2lYwxnZO2yhl+B61kwrxD9m9AdhQ==" saltValue="tdNQPzLQd+n9Ww064QJIaQ==" spinCount="100000" sqref="I55" name="Rango2_61_1"/>
    <protectedRange algorithmName="SHA-512" hashValue="XM8+0Jh5zLWw02PI0Lt8dLqjTcW5ulySion19FAnruDN6QRp4UwcVqdfQxnOQAItgpWG7rNsELzjwy0iXOonxw==" saltValue="Sd4WFUedDfLKoMQTDrxJuQ==" spinCount="100000" sqref="K55" name="Rango2_88_4_4_1"/>
    <protectedRange algorithmName="SHA-512" hashValue="EMMPgE8t/az1rHHzaZAQIhz+GQV0k2O/tQGA96sJqEEMzz1efIRa4CcLzC7iY9CCscto3g7dwz41haOE28iXYg==" saltValue="CVzFsG4X4LXUMo7796PiDQ==" spinCount="100000" sqref="C55:H55 J55 L55:M55 C56:C61" name="Rango2_10_1"/>
    <protectedRange algorithmName="SHA-512" hashValue="6a5oYwZw9WJcgjqXpleUXH8uaqNEuymPPpeOb7lKBc1WoM6IG/DNyDLWmj2lYwxnZO2yhl+B61kwrxD9m9AdhQ==" saltValue="tdNQPzLQd+n9Ww064QJIaQ==" spinCount="100000" sqref="I56" name="Rango2_61_2"/>
    <protectedRange algorithmName="SHA-512" hashValue="XM8+0Jh5zLWw02PI0Lt8dLqjTcW5ulySion19FAnruDN6QRp4UwcVqdfQxnOQAItgpWG7rNsELzjwy0iXOonxw==" saltValue="Sd4WFUedDfLKoMQTDrxJuQ==" spinCount="100000" sqref="K56" name="Rango2_88_4_4_2"/>
    <protectedRange algorithmName="SHA-512" hashValue="EMMPgE8t/az1rHHzaZAQIhz+GQV0k2O/tQGA96sJqEEMzz1efIRa4CcLzC7iY9CCscto3g7dwz41haOE28iXYg==" saltValue="CVzFsG4X4LXUMo7796PiDQ==" spinCount="100000" sqref="D56:H56 J56 L56:M56" name="Rango2_10_2"/>
    <protectedRange algorithmName="SHA-512" hashValue="6a5oYwZw9WJcgjqXpleUXH8uaqNEuymPPpeOb7lKBc1WoM6IG/DNyDLWmj2lYwxnZO2yhl+B61kwrxD9m9AdhQ==" saltValue="tdNQPzLQd+n9Ww064QJIaQ==" spinCount="100000" sqref="I57" name="Rango2_61_3"/>
    <protectedRange algorithmName="SHA-512" hashValue="XM8+0Jh5zLWw02PI0Lt8dLqjTcW5ulySion19FAnruDN6QRp4UwcVqdfQxnOQAItgpWG7rNsELzjwy0iXOonxw==" saltValue="Sd4WFUedDfLKoMQTDrxJuQ==" spinCount="100000" sqref="K57" name="Rango2_88_4_4_3"/>
    <protectedRange algorithmName="SHA-512" hashValue="EMMPgE8t/az1rHHzaZAQIhz+GQV0k2O/tQGA96sJqEEMzz1efIRa4CcLzC7iY9CCscto3g7dwz41haOE28iXYg==" saltValue="CVzFsG4X4LXUMo7796PiDQ==" spinCount="100000" sqref="D57:H57 J57 L57:M57" name="Rango2_10_3"/>
    <protectedRange algorithmName="SHA-512" hashValue="6a5oYwZw9WJcgjqXpleUXH8uaqNEuymPPpeOb7lKBc1WoM6IG/DNyDLWmj2lYwxnZO2yhl+B61kwrxD9m9AdhQ==" saltValue="tdNQPzLQd+n9Ww064QJIaQ==" spinCount="100000" sqref="I58" name="Rango2_61_4"/>
    <protectedRange algorithmName="SHA-512" hashValue="XM8+0Jh5zLWw02PI0Lt8dLqjTcW5ulySion19FAnruDN6QRp4UwcVqdfQxnOQAItgpWG7rNsELzjwy0iXOonxw==" saltValue="Sd4WFUedDfLKoMQTDrxJuQ==" spinCount="100000" sqref="K58" name="Rango2_88_4_4_4"/>
    <protectedRange algorithmName="SHA-512" hashValue="EMMPgE8t/az1rHHzaZAQIhz+GQV0k2O/tQGA96sJqEEMzz1efIRa4CcLzC7iY9CCscto3g7dwz41haOE28iXYg==" saltValue="CVzFsG4X4LXUMo7796PiDQ==" spinCount="100000" sqref="D58:H58 J58 L58:M58" name="Rango2_10_4"/>
    <protectedRange algorithmName="SHA-512" hashValue="6a5oYwZw9WJcgjqXpleUXH8uaqNEuymPPpeOb7lKBc1WoM6IG/DNyDLWmj2lYwxnZO2yhl+B61kwrxD9m9AdhQ==" saltValue="tdNQPzLQd+n9Ww064QJIaQ==" spinCount="100000" sqref="I59" name="Rango2_61_5"/>
    <protectedRange algorithmName="SHA-512" hashValue="XM8+0Jh5zLWw02PI0Lt8dLqjTcW5ulySion19FAnruDN6QRp4UwcVqdfQxnOQAItgpWG7rNsELzjwy0iXOonxw==" saltValue="Sd4WFUedDfLKoMQTDrxJuQ==" spinCount="100000" sqref="K59" name="Rango2_88_4_4_5"/>
    <protectedRange algorithmName="SHA-512" hashValue="EMMPgE8t/az1rHHzaZAQIhz+GQV0k2O/tQGA96sJqEEMzz1efIRa4CcLzC7iY9CCscto3g7dwz41haOE28iXYg==" saltValue="CVzFsG4X4LXUMo7796PiDQ==" spinCount="100000" sqref="J59 E59:H59 L59:M59" name="Rango2_10_5"/>
    <protectedRange algorithmName="SHA-512" hashValue="6a5oYwZw9WJcgjqXpleUXH8uaqNEuymPPpeOb7lKBc1WoM6IG/DNyDLWmj2lYwxnZO2yhl+B61kwrxD9m9AdhQ==" saltValue="tdNQPzLQd+n9Ww064QJIaQ==" spinCount="100000" sqref="I60" name="Rango2_61_6"/>
    <protectedRange algorithmName="SHA-512" hashValue="XM8+0Jh5zLWw02PI0Lt8dLqjTcW5ulySion19FAnruDN6QRp4UwcVqdfQxnOQAItgpWG7rNsELzjwy0iXOonxw==" saltValue="Sd4WFUedDfLKoMQTDrxJuQ==" spinCount="100000" sqref="K60" name="Rango2_88_4_4_6"/>
    <protectedRange algorithmName="SHA-512" hashValue="EMMPgE8t/az1rHHzaZAQIhz+GQV0k2O/tQGA96sJqEEMzz1efIRa4CcLzC7iY9CCscto3g7dwz41haOE28iXYg==" saltValue="CVzFsG4X4LXUMo7796PiDQ==" spinCount="100000" sqref="L60 E60:H60" name="Rango2_10_6"/>
    <protectedRange algorithmName="SHA-512" hashValue="EMMPgE8t/az1rHHzaZAQIhz+GQV0k2O/tQGA96sJqEEMzz1efIRa4CcLzC7iY9CCscto3g7dwz41haOE28iXYg==" saltValue="CVzFsG4X4LXUMo7796PiDQ==" spinCount="100000" sqref="J60" name="Rango2_10_6_2"/>
    <protectedRange algorithmName="SHA-512" hashValue="EMMPgE8t/az1rHHzaZAQIhz+GQV0k2O/tQGA96sJqEEMzz1efIRa4CcLzC7iY9CCscto3g7dwz41haOE28iXYg==" saltValue="CVzFsG4X4LXUMo7796PiDQ==" spinCount="100000" sqref="M60" name="Rango2_10_7_2"/>
    <protectedRange algorithmName="SHA-512" hashValue="6a5oYwZw9WJcgjqXpleUXH8uaqNEuymPPpeOb7lKBc1WoM6IG/DNyDLWmj2lYwxnZO2yhl+B61kwrxD9m9AdhQ==" saltValue="tdNQPzLQd+n9Ww064QJIaQ==" spinCount="100000" sqref="I61" name="Rango2_61_7"/>
    <protectedRange algorithmName="SHA-512" hashValue="XM8+0Jh5zLWw02PI0Lt8dLqjTcW5ulySion19FAnruDN6QRp4UwcVqdfQxnOQAItgpWG7rNsELzjwy0iXOonxw==" saltValue="Sd4WFUedDfLKoMQTDrxJuQ==" spinCount="100000" sqref="K61" name="Rango2_88_4_4_7"/>
    <protectedRange algorithmName="SHA-512" hashValue="EMMPgE8t/az1rHHzaZAQIhz+GQV0k2O/tQGA96sJqEEMzz1efIRa4CcLzC7iY9CCscto3g7dwz41haOE28iXYg==" saltValue="CVzFsG4X4LXUMo7796PiDQ==" spinCount="100000" sqref="L61:M61 J61 D61:H61" name="Rango2_10_7"/>
    <protectedRange algorithmName="SHA-512" hashValue="RQ91b7oAw60DVtcgB2vRpial2kSdzJx5guGCTYUwXYkKrtrUHfiYnLf9R+SNpYXlJDYpyEJLhcWwP0EqNN86dQ==" saltValue="W3RbH3zrcY9sy39xNwXNxg==" spinCount="100000" sqref="BV55:BY55 BA55:BI55" name="Rango2_88_99_17"/>
    <protectedRange algorithmName="SHA-512" hashValue="fMbmUM1DQ7FuAPRNvFL5mPdHUYjQnlLFhkuaxvHguaqR7aWyDxcmJs0jLYQfQKY+oyhsMb4Lew4VL6i7um3/ew==" saltValue="ydaTm0CeH8+/cYqoL/AMaQ==" spinCount="100000" sqref="AW55:AZ55 AU55" name="Rango2_88_91_17"/>
    <protectedRange algorithmName="SHA-512" hashValue="CHipOQaT63FWw628cQcXXJRZlrbNZ7OgmnEbDx38UmmH7z19GRYEzXFiVOzHAy1OAaAbST7g2bHZHDKQp2qm3w==" saltValue="iRVuL+373yLHv0ZHzS9qog==" spinCount="100000" sqref="AG55:AH55 AJ55 AL55" name="Rango2_88_7_5_17"/>
    <protectedRange algorithmName="SHA-512" hashValue="NkG6oHuDGvGBEiLAAq8MEJHEfLQUMyjihfH+DBXhT+eQW0r1yri7tOJEFRM9nbOejjjXiviq9RFo7KB7wF+xJA==" saltValue="bpjB0AAANu2X/PeR3eiFkA==" spinCount="100000" sqref="AM55:AS55" name="Rango2_88_65_17"/>
    <protectedRange algorithmName="SHA-512" hashValue="fPHvtIAf3pQeZUoAI9C2/vdXMHBpqqEq+67P5Ypyu4+9IWqs3yc9TZcMWQ0THLxUwqseQPyVvakuYFtCwJHsxA==" saltValue="QHIogSs2PrwAfdqa9PAOFQ==" spinCount="100000" sqref="AC55" name="Rango2_88_5_5_17"/>
    <protectedRange algorithmName="SHA-512" hashValue="LEEeiU6pKqm7TAP46VGlz0q+evvFwpT/0iLpRuWuQ7MacbP0OGL1/FSmrIEOg2rb6M+Jla2bPbVWiGag27j87w==" saltValue="HEVt+pS5OloNDlqSnzGLLw==" spinCount="100000" sqref="AI55" name="Rango2_8_7_17"/>
    <protectedRange algorithmName="SHA-512" hashValue="q2z5hEFmXS0v2chiPTC/VCoDWNlnhp+Xe6Ybfxe48vIsnB/KTJQxJv+pFUnCXfZ9T6vyJopuqFFNROfQTW/JUw==" saltValue="IctfdGJb5tOTpq+KPi9vww==" spinCount="100000" sqref="AE55:AF55" name="Rango2_88_39_33"/>
    <protectedRange algorithmName="SHA-512" hashValue="AYYX88LSDB6RDNMvSqt0KPGWPjBqTk56tMxTOlv5QD61MGTKAAQnSnudvNDWPN0Bbllh2qRQC+P5uq7goxjdrw==" saltValue="i/iPMewnks1FoXYOjKMEVg==" spinCount="100000" sqref="AB55" name="Rango2_87_6_17"/>
    <protectedRange algorithmName="SHA-512" hashValue="NUll9P9xh7KbSfMYpMxsRZLfDw/y/AzW2LSWlpXVscBDqiAxmzo71xjs+a2lh+jRa7pceOC849slke4+ZKx8LA==" saltValue="8qbkKpQ+CiQuLnqgShNvXA==" spinCount="100000" sqref="T55" name="Rango2_88_6_17"/>
    <protectedRange algorithmName="SHA-512" hashValue="KHhv3JU/LRdRrRTxxkgFceEHPZ5UzadmpZRZR3zmQRnPvkUJZuanRafIJ+qde0IWwLZSvFIQDyUAHq6v6k7XIg==" saltValue="2GKG1kCzVNNcn+vbOPuhJA==" spinCount="100000" sqref="Q55" name="Rango2_2_5_17"/>
    <protectedRange algorithmName="SHA-512" hashValue="XZw03RosI/l0z9FxmTtF29EdZ7P+4+ybhqoaAAUmURojSR5XbGfjC4f2i8gMqfY+RI9JvfdCA6PSh9TduXfUxA==" saltValue="5TPtLq2WoiRSae/yaDPnTw==" spinCount="100000" sqref="AT55 CV55:CY55 CP55:CQ55 CS55:CT55 BZ55:CB55 CJ55:CK55 AV55 O55 R55:S55 U55:AA55 BR55:BU55 CE55:CF55 DA55:DN55 BJ55:BL55" name="Rango2_99_33"/>
    <protectedRange algorithmName="SHA-512" hashValue="9+DNppQbWrLYYUMoJ+lyQctV2bX3Vq9kZnegLbpjTLP49It2ovUbcartuoQTeXgP+TGpY//7mDH/UQlFCKDGiA==" saltValue="KUnni6YEm00anzSSvyLqQA==" spinCount="100000" sqref="AD55" name="Rango2_95"/>
    <protectedRange algorithmName="SHA-512" hashValue="RQ91b7oAw60DVtcgB2vRpial2kSdzJx5guGCTYUwXYkKrtrUHfiYnLf9R+SNpYXlJDYpyEJLhcWwP0EqNN86dQ==" saltValue="W3RbH3zrcY9sy39xNwXNxg==" spinCount="100000" sqref="BV56:BY56 BA56:BI56" name="Rango2_88_99_18"/>
    <protectedRange algorithmName="SHA-512" hashValue="fMbmUM1DQ7FuAPRNvFL5mPdHUYjQnlLFhkuaxvHguaqR7aWyDxcmJs0jLYQfQKY+oyhsMb4Lew4VL6i7um3/ew==" saltValue="ydaTm0CeH8+/cYqoL/AMaQ==" spinCount="100000" sqref="AW56:AZ56 AU56" name="Rango2_88_91_18"/>
    <protectedRange algorithmName="SHA-512" hashValue="CHipOQaT63FWw628cQcXXJRZlrbNZ7OgmnEbDx38UmmH7z19GRYEzXFiVOzHAy1OAaAbST7g2bHZHDKQp2qm3w==" saltValue="iRVuL+373yLHv0ZHzS9qog==" spinCount="100000" sqref="AG56:AH56 AJ56 AL56" name="Rango2_88_7_5_18"/>
    <protectedRange algorithmName="SHA-512" hashValue="NkG6oHuDGvGBEiLAAq8MEJHEfLQUMyjihfH+DBXhT+eQW0r1yri7tOJEFRM9nbOejjjXiviq9RFo7KB7wF+xJA==" saltValue="bpjB0AAANu2X/PeR3eiFkA==" spinCount="100000" sqref="AM56:AS56" name="Rango2_88_65_18"/>
    <protectedRange algorithmName="SHA-512" hashValue="fPHvtIAf3pQeZUoAI9C2/vdXMHBpqqEq+67P5Ypyu4+9IWqs3yc9TZcMWQ0THLxUwqseQPyVvakuYFtCwJHsxA==" saltValue="QHIogSs2PrwAfdqa9PAOFQ==" spinCount="100000" sqref="AC56" name="Rango2_88_5_5_18"/>
    <protectedRange algorithmName="SHA-512" hashValue="LEEeiU6pKqm7TAP46VGlz0q+evvFwpT/0iLpRuWuQ7MacbP0OGL1/FSmrIEOg2rb6M+Jla2bPbVWiGag27j87w==" saltValue="HEVt+pS5OloNDlqSnzGLLw==" spinCount="100000" sqref="AI56" name="Rango2_8_7_18"/>
    <protectedRange algorithmName="SHA-512" hashValue="q2z5hEFmXS0v2chiPTC/VCoDWNlnhp+Xe6Ybfxe48vIsnB/KTJQxJv+pFUnCXfZ9T6vyJopuqFFNROfQTW/JUw==" saltValue="IctfdGJb5tOTpq+KPi9vww==" spinCount="100000" sqref="AE56:AF56" name="Rango2_88_39_34"/>
    <protectedRange algorithmName="SHA-512" hashValue="AYYX88LSDB6RDNMvSqt0KPGWPjBqTk56tMxTOlv5QD61MGTKAAQnSnudvNDWPN0Bbllh2qRQC+P5uq7goxjdrw==" saltValue="i/iPMewnks1FoXYOjKMEVg==" spinCount="100000" sqref="AB56" name="Rango2_87_6_18"/>
    <protectedRange algorithmName="SHA-512" hashValue="NUll9P9xh7KbSfMYpMxsRZLfDw/y/AzW2LSWlpXVscBDqiAxmzo71xjs+a2lh+jRa7pceOC849slke4+ZKx8LA==" saltValue="8qbkKpQ+CiQuLnqgShNvXA==" spinCount="100000" sqref="T56" name="Rango2_88_6_18"/>
    <protectedRange algorithmName="SHA-512" hashValue="KHhv3JU/LRdRrRTxxkgFceEHPZ5UzadmpZRZR3zmQRnPvkUJZuanRafIJ+qde0IWwLZSvFIQDyUAHq6v6k7XIg==" saltValue="2GKG1kCzVNNcn+vbOPuhJA==" spinCount="100000" sqref="Q56" name="Rango2_2_5_18"/>
    <protectedRange algorithmName="SHA-512" hashValue="XZw03RosI/l0z9FxmTtF29EdZ7P+4+ybhqoaAAUmURojSR5XbGfjC4f2i8gMqfY+RI9JvfdCA6PSh9TduXfUxA==" saltValue="5TPtLq2WoiRSae/yaDPnTw==" spinCount="100000" sqref="AT56 CV56:CY56 CP56:CQ56 CS56:CT56 BZ56:CB56 CJ56:CK56 AV56 O56 R56:S56 U56:AA56 BR56:BU56 CE56:CF56 DA56:DN56 BJ56:BK56" name="Rango2_99_34"/>
    <protectedRange algorithmName="SHA-512" hashValue="9+DNppQbWrLYYUMoJ+lyQctV2bX3Vq9kZnegLbpjTLP49It2ovUbcartuoQTeXgP+TGpY//7mDH/UQlFCKDGiA==" saltValue="KUnni6YEm00anzSSvyLqQA==" spinCount="100000" sqref="AD56" name="Rango2_98"/>
    <protectedRange algorithmName="SHA-512" hashValue="RQ91b7oAw60DVtcgB2vRpial2kSdzJx5guGCTYUwXYkKrtrUHfiYnLf9R+SNpYXlJDYpyEJLhcWwP0EqNN86dQ==" saltValue="W3RbH3zrcY9sy39xNwXNxg==" spinCount="100000" sqref="BV57:BY57 BC57:BI57" name="Rango2_88_99_19"/>
    <protectedRange algorithmName="SHA-512" hashValue="fMbmUM1DQ7FuAPRNvFL5mPdHUYjQnlLFhkuaxvHguaqR7aWyDxcmJs0jLYQfQKY+oyhsMb4Lew4VL6i7um3/ew==" saltValue="ydaTm0CeH8+/cYqoL/AMaQ==" spinCount="100000" sqref="AU57 AW57:BB57" name="Rango2_88_91_19"/>
    <protectedRange algorithmName="SHA-512" hashValue="CHipOQaT63FWw628cQcXXJRZlrbNZ7OgmnEbDx38UmmH7z19GRYEzXFiVOzHAy1OAaAbST7g2bHZHDKQp2qm3w==" saltValue="iRVuL+373yLHv0ZHzS9qog==" spinCount="100000" sqref="AG57:AH57 AJ57 AL57" name="Rango2_88_7_5_19"/>
    <protectedRange algorithmName="SHA-512" hashValue="NkG6oHuDGvGBEiLAAq8MEJHEfLQUMyjihfH+DBXhT+eQW0r1yri7tOJEFRM9nbOejjjXiviq9RFo7KB7wF+xJA==" saltValue="bpjB0AAANu2X/PeR3eiFkA==" spinCount="100000" sqref="AM57:AS57" name="Rango2_88_65_19"/>
    <protectedRange algorithmName="SHA-512" hashValue="fPHvtIAf3pQeZUoAI9C2/vdXMHBpqqEq+67P5Ypyu4+9IWqs3yc9TZcMWQ0THLxUwqseQPyVvakuYFtCwJHsxA==" saltValue="QHIogSs2PrwAfdqa9PAOFQ==" spinCount="100000" sqref="AC57" name="Rango2_88_5_5_19"/>
    <protectedRange algorithmName="SHA-512" hashValue="LEEeiU6pKqm7TAP46VGlz0q+evvFwpT/0iLpRuWuQ7MacbP0OGL1/FSmrIEOg2rb6M+Jla2bPbVWiGag27j87w==" saltValue="HEVt+pS5OloNDlqSnzGLLw==" spinCount="100000" sqref="AI57" name="Rango2_8_7_19"/>
    <protectedRange algorithmName="SHA-512" hashValue="q2z5hEFmXS0v2chiPTC/VCoDWNlnhp+Xe6Ybfxe48vIsnB/KTJQxJv+pFUnCXfZ9T6vyJopuqFFNROfQTW/JUw==" saltValue="IctfdGJb5tOTpq+KPi9vww==" spinCount="100000" sqref="AE57:AF57" name="Rango2_88_39_35"/>
    <protectedRange algorithmName="SHA-512" hashValue="AYYX88LSDB6RDNMvSqt0KPGWPjBqTk56tMxTOlv5QD61MGTKAAQnSnudvNDWPN0Bbllh2qRQC+P5uq7goxjdrw==" saltValue="i/iPMewnks1FoXYOjKMEVg==" spinCount="100000" sqref="AB57" name="Rango2_87_6_19"/>
    <protectedRange algorithmName="SHA-512" hashValue="NUll9P9xh7KbSfMYpMxsRZLfDw/y/AzW2LSWlpXVscBDqiAxmzo71xjs+a2lh+jRa7pceOC849slke4+ZKx8LA==" saltValue="8qbkKpQ+CiQuLnqgShNvXA==" spinCount="100000" sqref="T57" name="Rango2_88_6_19"/>
    <protectedRange algorithmName="SHA-512" hashValue="KHhv3JU/LRdRrRTxxkgFceEHPZ5UzadmpZRZR3zmQRnPvkUJZuanRafIJ+qde0IWwLZSvFIQDyUAHq6v6k7XIg==" saltValue="2GKG1kCzVNNcn+vbOPuhJA==" spinCount="100000" sqref="Q57" name="Rango2_2_5_19"/>
    <protectedRange algorithmName="SHA-512" hashValue="XZw03RosI/l0z9FxmTtF29EdZ7P+4+ybhqoaAAUmURojSR5XbGfjC4f2i8gMqfY+RI9JvfdCA6PSh9TduXfUxA==" saltValue="5TPtLq2WoiRSae/yaDPnTw==" spinCount="100000" sqref="AT57 CV57:CY57 CP57:CQ57 CS57:CT57 BZ57:CB57 CJ57:CK57 AV57 O57 R57:S57 U57:AA57 CE57:CF57 BR57:BU57 DA57:DN57 BJ57:BK57" name="Rango2_99_35"/>
    <protectedRange algorithmName="SHA-512" hashValue="RQ91b7oAw60DVtcgB2vRpial2kSdzJx5guGCTYUwXYkKrtrUHfiYnLf9R+SNpYXlJDYpyEJLhcWwP0EqNN86dQ==" saltValue="W3RbH3zrcY9sy39xNwXNxg==" spinCount="100000" sqref="BV58:BY58 BC58:BI58" name="Rango2_88_99_20"/>
    <protectedRange algorithmName="SHA-512" hashValue="fMbmUM1DQ7FuAPRNvFL5mPdHUYjQnlLFhkuaxvHguaqR7aWyDxcmJs0jLYQfQKY+oyhsMb4Lew4VL6i7um3/ew==" saltValue="ydaTm0CeH8+/cYqoL/AMaQ==" spinCount="100000" sqref="AU58 AW58:BB58" name="Rango2_88_91_20"/>
    <protectedRange algorithmName="SHA-512" hashValue="CHipOQaT63FWw628cQcXXJRZlrbNZ7OgmnEbDx38UmmH7z19GRYEzXFiVOzHAy1OAaAbST7g2bHZHDKQp2qm3w==" saltValue="iRVuL+373yLHv0ZHzS9qog==" spinCount="100000" sqref="AG58:AH58 AJ58 AL58" name="Rango2_88_7_5_20"/>
    <protectedRange algorithmName="SHA-512" hashValue="NkG6oHuDGvGBEiLAAq8MEJHEfLQUMyjihfH+DBXhT+eQW0r1yri7tOJEFRM9nbOejjjXiviq9RFo7KB7wF+xJA==" saltValue="bpjB0AAANu2X/PeR3eiFkA==" spinCount="100000" sqref="AM58:AS58" name="Rango2_88_65_20"/>
    <protectedRange algorithmName="SHA-512" hashValue="fPHvtIAf3pQeZUoAI9C2/vdXMHBpqqEq+67P5Ypyu4+9IWqs3yc9TZcMWQ0THLxUwqseQPyVvakuYFtCwJHsxA==" saltValue="QHIogSs2PrwAfdqa9PAOFQ==" spinCount="100000" sqref="AC58" name="Rango2_88_5_5_20"/>
    <protectedRange algorithmName="SHA-512" hashValue="LEEeiU6pKqm7TAP46VGlz0q+evvFwpT/0iLpRuWuQ7MacbP0OGL1/FSmrIEOg2rb6M+Jla2bPbVWiGag27j87w==" saltValue="HEVt+pS5OloNDlqSnzGLLw==" spinCount="100000" sqref="AI58" name="Rango2_8_7_20"/>
    <protectedRange algorithmName="SHA-512" hashValue="q2z5hEFmXS0v2chiPTC/VCoDWNlnhp+Xe6Ybfxe48vIsnB/KTJQxJv+pFUnCXfZ9T6vyJopuqFFNROfQTW/JUw==" saltValue="IctfdGJb5tOTpq+KPi9vww==" spinCount="100000" sqref="AE58:AF58" name="Rango2_88_39_36"/>
    <protectedRange algorithmName="SHA-512" hashValue="AYYX88LSDB6RDNMvSqt0KPGWPjBqTk56tMxTOlv5QD61MGTKAAQnSnudvNDWPN0Bbllh2qRQC+P5uq7goxjdrw==" saltValue="i/iPMewnks1FoXYOjKMEVg==" spinCount="100000" sqref="AB58" name="Rango2_87_6_20"/>
    <protectedRange algorithmName="SHA-512" hashValue="NUll9P9xh7KbSfMYpMxsRZLfDw/y/AzW2LSWlpXVscBDqiAxmzo71xjs+a2lh+jRa7pceOC849slke4+ZKx8LA==" saltValue="8qbkKpQ+CiQuLnqgShNvXA==" spinCount="100000" sqref="T58" name="Rango2_88_6_20"/>
    <protectedRange algorithmName="SHA-512" hashValue="KHhv3JU/LRdRrRTxxkgFceEHPZ5UzadmpZRZR3zmQRnPvkUJZuanRafIJ+qde0IWwLZSvFIQDyUAHq6v6k7XIg==" saltValue="2GKG1kCzVNNcn+vbOPuhJA==" spinCount="100000" sqref="Q58" name="Rango2_2_5_20"/>
    <protectedRange algorithmName="SHA-512" hashValue="XZw03RosI/l0z9FxmTtF29EdZ7P+4+ybhqoaAAUmURojSR5XbGfjC4f2i8gMqfY+RI9JvfdCA6PSh9TduXfUxA==" saltValue="5TPtLq2WoiRSae/yaDPnTw==" spinCount="100000" sqref="AT58 CV58:CY58 CP58:CQ58 CS58:CT58 BZ58:CB58 CJ58:CK58 AV58 O58 R58:S58 U58:AA58 CE58:CF58 BR58:BU58 DA58:DN58 BJ58:BK58" name="Rango2_99_36"/>
    <protectedRange algorithmName="SHA-512" hashValue="RQ91b7oAw60DVtcgB2vRpial2kSdzJx5guGCTYUwXYkKrtrUHfiYnLf9R+SNpYXlJDYpyEJLhcWwP0EqNN86dQ==" saltValue="W3RbH3zrcY9sy39xNwXNxg==" spinCount="100000" sqref="BA59:BI59 BV59:BY59" name="Rango2_88_99_21"/>
    <protectedRange algorithmName="SHA-512" hashValue="fMbmUM1DQ7FuAPRNvFL5mPdHUYjQnlLFhkuaxvHguaqR7aWyDxcmJs0jLYQfQKY+oyhsMb4Lew4VL6i7um3/ew==" saltValue="ydaTm0CeH8+/cYqoL/AMaQ==" spinCount="100000" sqref="AW59:AZ59 AU59" name="Rango2_88_91_21"/>
    <protectedRange algorithmName="SHA-512" hashValue="CHipOQaT63FWw628cQcXXJRZlrbNZ7OgmnEbDx38UmmH7z19GRYEzXFiVOzHAy1OAaAbST7g2bHZHDKQp2qm3w==" saltValue="iRVuL+373yLHv0ZHzS9qog==" spinCount="100000" sqref="AG59:AH59 AJ59 AL59" name="Rango2_88_7_5_21"/>
    <protectedRange algorithmName="SHA-512" hashValue="NkG6oHuDGvGBEiLAAq8MEJHEfLQUMyjihfH+DBXhT+eQW0r1yri7tOJEFRM9nbOejjjXiviq9RFo7KB7wF+xJA==" saltValue="bpjB0AAANu2X/PeR3eiFkA==" spinCount="100000" sqref="AM59:AS59" name="Rango2_88_65_21"/>
    <protectedRange algorithmName="SHA-512" hashValue="fPHvtIAf3pQeZUoAI9C2/vdXMHBpqqEq+67P5Ypyu4+9IWqs3yc9TZcMWQ0THLxUwqseQPyVvakuYFtCwJHsxA==" saltValue="QHIogSs2PrwAfdqa9PAOFQ==" spinCount="100000" sqref="AC59" name="Rango2_88_5_5_21"/>
    <protectedRange algorithmName="SHA-512" hashValue="LEEeiU6pKqm7TAP46VGlz0q+evvFwpT/0iLpRuWuQ7MacbP0OGL1/FSmrIEOg2rb6M+Jla2bPbVWiGag27j87w==" saltValue="HEVt+pS5OloNDlqSnzGLLw==" spinCount="100000" sqref="AI59" name="Rango2_8_7_21"/>
    <protectedRange algorithmName="SHA-512" hashValue="q2z5hEFmXS0v2chiPTC/VCoDWNlnhp+Xe6Ybfxe48vIsnB/KTJQxJv+pFUnCXfZ9T6vyJopuqFFNROfQTW/JUw==" saltValue="IctfdGJb5tOTpq+KPi9vww==" spinCount="100000" sqref="AE59:AF59" name="Rango2_88_39_37"/>
    <protectedRange algorithmName="SHA-512" hashValue="AYYX88LSDB6RDNMvSqt0KPGWPjBqTk56tMxTOlv5QD61MGTKAAQnSnudvNDWPN0Bbllh2qRQC+P5uq7goxjdrw==" saltValue="i/iPMewnks1FoXYOjKMEVg==" spinCount="100000" sqref="AB59" name="Rango2_87_6_21"/>
    <protectedRange algorithmName="SHA-512" hashValue="NUll9P9xh7KbSfMYpMxsRZLfDw/y/AzW2LSWlpXVscBDqiAxmzo71xjs+a2lh+jRa7pceOC849slke4+ZKx8LA==" saltValue="8qbkKpQ+CiQuLnqgShNvXA==" spinCount="100000" sqref="T59" name="Rango2_88_6_21"/>
    <protectedRange algorithmName="SHA-512" hashValue="KHhv3JU/LRdRrRTxxkgFceEHPZ5UzadmpZRZR3zmQRnPvkUJZuanRafIJ+qde0IWwLZSvFIQDyUAHq6v6k7XIg==" saltValue="2GKG1kCzVNNcn+vbOPuhJA==" spinCount="100000" sqref="Q59" name="Rango2_2_5_21"/>
    <protectedRange algorithmName="SHA-512" hashValue="XZw03RosI/l0z9FxmTtF29EdZ7P+4+ybhqoaAAUmURojSR5XbGfjC4f2i8gMqfY+RI9JvfdCA6PSh9TduXfUxA==" saltValue="5TPtLq2WoiRSae/yaDPnTw==" spinCount="100000" sqref="O59 BZ59:CB59 U59:AA59 R59:S59 DA59:DN59 AT59 AV59 CV59:CY59 CP59:CQ59 CS59:CT59 CJ59:CK59 BR59:BU59 CE59:CF59 BJ59:BL59" name="Rango2_99_37"/>
    <protectedRange algorithmName="SHA-512" hashValue="RQ91b7oAw60DVtcgB2vRpial2kSdzJx5guGCTYUwXYkKrtrUHfiYnLf9R+SNpYXlJDYpyEJLhcWwP0EqNN86dQ==" saltValue="W3RbH3zrcY9sy39xNwXNxg==" spinCount="100000" sqref="BA60:BI60 BV60:BY60" name="Rango2_88_99_22"/>
    <protectedRange algorithmName="SHA-512" hashValue="fMbmUM1DQ7FuAPRNvFL5mPdHUYjQnlLFhkuaxvHguaqR7aWyDxcmJs0jLYQfQKY+oyhsMb4Lew4VL6i7um3/ew==" saltValue="ydaTm0CeH8+/cYqoL/AMaQ==" spinCount="100000" sqref="AW60:AZ60 AU60" name="Rango2_88_91_22"/>
    <protectedRange algorithmName="SHA-512" hashValue="CHipOQaT63FWw628cQcXXJRZlrbNZ7OgmnEbDx38UmmH7z19GRYEzXFiVOzHAy1OAaAbST7g2bHZHDKQp2qm3w==" saltValue="iRVuL+373yLHv0ZHzS9qog==" spinCount="100000" sqref="AG60:AH60 AJ60 AL60" name="Rango2_88_7_5_22"/>
    <protectedRange algorithmName="SHA-512" hashValue="NkG6oHuDGvGBEiLAAq8MEJHEfLQUMyjihfH+DBXhT+eQW0r1yri7tOJEFRM9nbOejjjXiviq9RFo7KB7wF+xJA==" saltValue="bpjB0AAANu2X/PeR3eiFkA==" spinCount="100000" sqref="AM60:AS60" name="Rango2_88_65_22"/>
    <protectedRange algorithmName="SHA-512" hashValue="LEEeiU6pKqm7TAP46VGlz0q+evvFwpT/0iLpRuWuQ7MacbP0OGL1/FSmrIEOg2rb6M+Jla2bPbVWiGag27j87w==" saltValue="HEVt+pS5OloNDlqSnzGLLw==" spinCount="100000" sqref="AI60" name="Rango2_8_7_22"/>
    <protectedRange algorithmName="SHA-512" hashValue="q2z5hEFmXS0v2chiPTC/VCoDWNlnhp+Xe6Ybfxe48vIsnB/KTJQxJv+pFUnCXfZ9T6vyJopuqFFNROfQTW/JUw==" saltValue="IctfdGJb5tOTpq+KPi9vww==" spinCount="100000" sqref="AE60:AF60" name="Rango2_88_39_38"/>
    <protectedRange algorithmName="SHA-512" hashValue="AYYX88LSDB6RDNMvSqt0KPGWPjBqTk56tMxTOlv5QD61MGTKAAQnSnudvNDWPN0Bbllh2qRQC+P5uq7goxjdrw==" saltValue="i/iPMewnks1FoXYOjKMEVg==" spinCount="100000" sqref="AB60" name="Rango2_87_6_22"/>
    <protectedRange algorithmName="SHA-512" hashValue="NUll9P9xh7KbSfMYpMxsRZLfDw/y/AzW2LSWlpXVscBDqiAxmzo71xjs+a2lh+jRa7pceOC849slke4+ZKx8LA==" saltValue="8qbkKpQ+CiQuLnqgShNvXA==" spinCount="100000" sqref="T60" name="Rango2_88_6_22"/>
    <protectedRange algorithmName="SHA-512" hashValue="KHhv3JU/LRdRrRTxxkgFceEHPZ5UzadmpZRZR3zmQRnPvkUJZuanRafIJ+qde0IWwLZSvFIQDyUAHq6v6k7XIg==" saltValue="2GKG1kCzVNNcn+vbOPuhJA==" spinCount="100000" sqref="Q60" name="Rango2_2_5_22"/>
    <protectedRange algorithmName="SHA-512" hashValue="XZw03RosI/l0z9FxmTtF29EdZ7P+4+ybhqoaAAUmURojSR5XbGfjC4f2i8gMqfY+RI9JvfdCA6PSh9TduXfUxA==" saltValue="5TPtLq2WoiRSae/yaDPnTw==" spinCount="100000" sqref="U60:Y60 AA60 O60 R60:S60 AT60 AV60 CV60:CY60 CP60:CQ60 CS60:CT60 BZ60:CB60 CJ60:CK60 BR60:BU60 CE60:CF60 DA60:DN60" name="Rango2_99_38"/>
    <protectedRange algorithmName="SHA-512" hashValue="XZw03RosI/l0z9FxmTtF29EdZ7P+4+ybhqoaAAUmURojSR5XbGfjC4f2i8gMqfY+RI9JvfdCA6PSh9TduXfUxA==" saltValue="5TPtLq2WoiRSae/yaDPnTw==" spinCount="100000" sqref="Z60" name="Rango2_99_7_1"/>
    <protectedRange algorithmName="SHA-512" hashValue="fPHvtIAf3pQeZUoAI9C2/vdXMHBpqqEq+67P5Ypyu4+9IWqs3yc9TZcMWQ0THLxUwqseQPyVvakuYFtCwJHsxA==" saltValue="QHIogSs2PrwAfdqa9PAOFQ==" spinCount="100000" sqref="AC60" name="Rango2_88_5_5_4_1"/>
    <protectedRange algorithmName="SHA-512" hashValue="XZw03RosI/l0z9FxmTtF29EdZ7P+4+ybhqoaAAUmURojSR5XbGfjC4f2i8gMqfY+RI9JvfdCA6PSh9TduXfUxA==" saltValue="5TPtLq2WoiRSae/yaDPnTw==" spinCount="100000" sqref="BJ60" name="Rango2_99_23_1"/>
    <protectedRange algorithmName="SHA-512" hashValue="XZw03RosI/l0z9FxmTtF29EdZ7P+4+ybhqoaAAUmURojSR5XbGfjC4f2i8gMqfY+RI9JvfdCA6PSh9TduXfUxA==" saltValue="5TPtLq2WoiRSae/yaDPnTw==" spinCount="100000" sqref="BK60" name="Rango2_99_24_1"/>
    <protectedRange algorithmName="SHA-512" hashValue="RQ91b7oAw60DVtcgB2vRpial2kSdzJx5guGCTYUwXYkKrtrUHfiYnLf9R+SNpYXlJDYpyEJLhcWwP0EqNN86dQ==" saltValue="W3RbH3zrcY9sy39xNwXNxg==" spinCount="100000" sqref="BV61:BY61 BA61:BI61" name="Rango2_88_99_23"/>
    <protectedRange algorithmName="SHA-512" hashValue="fMbmUM1DQ7FuAPRNvFL5mPdHUYjQnlLFhkuaxvHguaqR7aWyDxcmJs0jLYQfQKY+oyhsMb4Lew4VL6i7um3/ew==" saltValue="ydaTm0CeH8+/cYqoL/AMaQ==" spinCount="100000" sqref="AW61:AZ61 AU61" name="Rango2_88_91_23"/>
    <protectedRange algorithmName="SHA-512" hashValue="CHipOQaT63FWw628cQcXXJRZlrbNZ7OgmnEbDx38UmmH7z19GRYEzXFiVOzHAy1OAaAbST7g2bHZHDKQp2qm3w==" saltValue="iRVuL+373yLHv0ZHzS9qog==" spinCount="100000" sqref="AG61:AH61 AJ61 AL61" name="Rango2_88_7_5_23"/>
    <protectedRange algorithmName="SHA-512" hashValue="NkG6oHuDGvGBEiLAAq8MEJHEfLQUMyjihfH+DBXhT+eQW0r1yri7tOJEFRM9nbOejjjXiviq9RFo7KB7wF+xJA==" saltValue="bpjB0AAANu2X/PeR3eiFkA==" spinCount="100000" sqref="AM61:AS61" name="Rango2_88_65_23"/>
    <protectedRange algorithmName="SHA-512" hashValue="fPHvtIAf3pQeZUoAI9C2/vdXMHBpqqEq+67P5Ypyu4+9IWqs3yc9TZcMWQ0THLxUwqseQPyVvakuYFtCwJHsxA==" saltValue="QHIogSs2PrwAfdqa9PAOFQ==" spinCount="100000" sqref="AC61" name="Rango2_88_5_5_22"/>
    <protectedRange algorithmName="SHA-512" hashValue="LEEeiU6pKqm7TAP46VGlz0q+evvFwpT/0iLpRuWuQ7MacbP0OGL1/FSmrIEOg2rb6M+Jla2bPbVWiGag27j87w==" saltValue="HEVt+pS5OloNDlqSnzGLLw==" spinCount="100000" sqref="AI61" name="Rango2_8_7_23"/>
    <protectedRange algorithmName="SHA-512" hashValue="q2z5hEFmXS0v2chiPTC/VCoDWNlnhp+Xe6Ybfxe48vIsnB/KTJQxJv+pFUnCXfZ9T6vyJopuqFFNROfQTW/JUw==" saltValue="IctfdGJb5tOTpq+KPi9vww==" spinCount="100000" sqref="AE61:AF61" name="Rango2_88_39_39"/>
    <protectedRange algorithmName="SHA-512" hashValue="AYYX88LSDB6RDNMvSqt0KPGWPjBqTk56tMxTOlv5QD61MGTKAAQnSnudvNDWPN0Bbllh2qRQC+P5uq7goxjdrw==" saltValue="i/iPMewnks1FoXYOjKMEVg==" spinCount="100000" sqref="AB61" name="Rango2_87_6_23"/>
    <protectedRange algorithmName="SHA-512" hashValue="NUll9P9xh7KbSfMYpMxsRZLfDw/y/AzW2LSWlpXVscBDqiAxmzo71xjs+a2lh+jRa7pceOC849slke4+ZKx8LA==" saltValue="8qbkKpQ+CiQuLnqgShNvXA==" spinCount="100000" sqref="T61" name="Rango2_88_6_23"/>
    <protectedRange algorithmName="SHA-512" hashValue="KHhv3JU/LRdRrRTxxkgFceEHPZ5UzadmpZRZR3zmQRnPvkUJZuanRafIJ+qde0IWwLZSvFIQDyUAHq6v6k7XIg==" saltValue="2GKG1kCzVNNcn+vbOPuhJA==" spinCount="100000" sqref="Q61" name="Rango2_2_5_23"/>
    <protectedRange algorithmName="SHA-512" hashValue="XZw03RosI/l0z9FxmTtF29EdZ7P+4+ybhqoaAAUmURojSR5XbGfjC4f2i8gMqfY+RI9JvfdCA6PSh9TduXfUxA==" saltValue="5TPtLq2WoiRSae/yaDPnTw==" spinCount="100000" sqref="R61:S61 CV61:CY61 CP61:CQ61 CS61:CT61 BZ61:CB61 CJ61:CK61 BR61:BU61 CE61:CF61 O61 AT61 AV61 U61:AA61 BJ61:BK61 DA61:DN61" name="Rango2_99_39"/>
    <protectedRange algorithmName="SHA-512" hashValue="EEHzbvEYwO1eufllBljOz0uf9BJ2ENtvOScQ7IsS321QhYbwKn7qhHKKP8cKj02rTDvVRMWvwQ1ZP0mZWsBprQ==" saltValue="CjXqBRFbKezlWOFV37MnDQ==" spinCount="100000" sqref="GN55 GW55 GQ55:GR55" name="Rango2_30_2_17"/>
    <protectedRange algorithmName="SHA-512" hashValue="Rgskw+AQdeJ5qbJdarzTa3SCkJfDGziy0Uan5N0F3IWn/H3Z/e+VcB56R7Nes7MPxNHewNP1sSSucVjz3iTLeA==" saltValue="qKZH3DnwaZHBzy3cBZo1qQ==" spinCount="100000" sqref="GF55" name="Rango2_31_28_16"/>
    <protectedRange algorithmName="SHA-512" hashValue="Umj9+5Ys20VQPxBFtc6qE5LtKKSgPKwit+B8dd4XnEUaLfBM2ozpkEC4YxwK0SbBiAHDDex+pY+LomQ0lyuamQ==" saltValue="N2/MCRws+mmA+NXw0axolg==" spinCount="100000" sqref="FY55 GL55 GE55 GH55 GJ55" name="Rango2_31_2_17"/>
    <protectedRange algorithmName="SHA-512" hashValue="q2z5hEFmXS0v2chiPTC/VCoDWNlnhp+Xe6Ybfxe48vIsnB/KTJQxJv+pFUnCXfZ9T6vyJopuqFFNROfQTW/JUw==" saltValue="IctfdGJb5tOTpq+KPi9vww==" spinCount="100000" sqref="IA55 ID55:IJ55" name="Rango2_88_39_40"/>
    <protectedRange algorithmName="SHA-512" hashValue="XZw03RosI/l0z9FxmTtF29EdZ7P+4+ybhqoaAAUmURojSR5XbGfjC4f2i8gMqfY+RI9JvfdCA6PSh9TduXfUxA==" saltValue="5TPtLq2WoiRSae/yaDPnTw==" spinCount="100000" sqref="FI55 EO55 FU55 FF55 EV55:EW55 ER55:ES55 FQ55:FR55 FZ55 GY55:GZ55 GK55 GM55 GO55 GT55 EA55:EJ55 IB55 FW55:FX55 IL55:IM55 HJ55 HU55:HZ55 IO55" name="Rango2_99_40"/>
    <protectedRange algorithmName="SHA-512" hashValue="YXHanhqXL0e4jPrzkCF8r/22WmlCviFUW909WKuG1JOcU0mp0/Huh0aP3EaGYxV2ep0WGu48HsShAy4Ka2uOiw==" saltValue="h/7U5iwJm7DLR4tRVfwZYw==" spinCount="100000" sqref="GI55 GC55" name="Rango2_33_17"/>
    <protectedRange algorithmName="SHA-512" hashValue="pL4tgTKqwEsWSIEGFTBd+4pvEhE7d5Q99Eijs+L/Y1rhA0saQGGRJw5Pv2HLOP0quglztFwB6WVnQ1YGxd4AiQ==" saltValue="IF5mhk2RcoEjrcYppes1VA==" spinCount="100000" sqref="FT55" name="Rango2_30_18"/>
    <protectedRange algorithmName="SHA-512" hashValue="EEHzbvEYwO1eufllBljOz0uf9BJ2ENtvOScQ7IsS321QhYbwKn7qhHKKP8cKj02rTDvVRMWvwQ1ZP0mZWsBprQ==" saltValue="CjXqBRFbKezlWOFV37MnDQ==" spinCount="100000" sqref="GN56 GW56 GQ56:GR56" name="Rango2_30_2_18"/>
    <protectedRange algorithmName="SHA-512" hashValue="Rgskw+AQdeJ5qbJdarzTa3SCkJfDGziy0Uan5N0F3IWn/H3Z/e+VcB56R7Nes7MPxNHewNP1sSSucVjz3iTLeA==" saltValue="qKZH3DnwaZHBzy3cBZo1qQ==" spinCount="100000" sqref="GF56" name="Rango2_31_28_17"/>
    <protectedRange algorithmName="SHA-512" hashValue="Umj9+5Ys20VQPxBFtc6qE5LtKKSgPKwit+B8dd4XnEUaLfBM2ozpkEC4YxwK0SbBiAHDDex+pY+LomQ0lyuamQ==" saltValue="N2/MCRws+mmA+NXw0axolg==" spinCount="100000" sqref="FY56 GL56 GB56 GE56 GH56 GJ56" name="Rango2_31_2_18"/>
    <protectedRange algorithmName="SHA-512" hashValue="q2z5hEFmXS0v2chiPTC/VCoDWNlnhp+Xe6Ybfxe48vIsnB/KTJQxJv+pFUnCXfZ9T6vyJopuqFFNROfQTW/JUw==" saltValue="IctfdGJb5tOTpq+KPi9vww==" spinCount="100000" sqref="IA56 ID56:IJ56" name="Rango2_88_39_41"/>
    <protectedRange algorithmName="SHA-512" hashValue="XZw03RosI/l0z9FxmTtF29EdZ7P+4+ybhqoaAAUmURojSR5XbGfjC4f2i8gMqfY+RI9JvfdCA6PSh9TduXfUxA==" saltValue="5TPtLq2WoiRSae/yaDPnTw==" spinCount="100000" sqref="FI56 EO56 FU56 FF56 EV56:EW56 ER56:ES56 FQ56:FR56 FZ56 GY56:GZ56 GK56 GM56 GO56 GT56 EA56:EJ56 IB56 FW56:FX56 IL56:IM56 HJ56 HU56:HZ56 IO56" name="Rango2_99_41"/>
    <protectedRange algorithmName="SHA-512" hashValue="YXHanhqXL0e4jPrzkCF8r/22WmlCviFUW909WKuG1JOcU0mp0/Huh0aP3EaGYxV2ep0WGu48HsShAy4Ka2uOiw==" saltValue="h/7U5iwJm7DLR4tRVfwZYw==" spinCount="100000" sqref="GI56 GC56" name="Rango2_33_18"/>
    <protectedRange algorithmName="SHA-512" hashValue="pL4tgTKqwEsWSIEGFTBd+4pvEhE7d5Q99Eijs+L/Y1rhA0saQGGRJw5Pv2HLOP0quglztFwB6WVnQ1YGxd4AiQ==" saltValue="IF5mhk2RcoEjrcYppes1VA==" spinCount="100000" sqref="FT56" name="Rango2_30_19"/>
    <protectedRange algorithmName="SHA-512" hashValue="EEHzbvEYwO1eufllBljOz0uf9BJ2ENtvOScQ7IsS321QhYbwKn7qhHKKP8cKj02rTDvVRMWvwQ1ZP0mZWsBprQ==" saltValue="CjXqBRFbKezlWOFV37MnDQ==" spinCount="100000" sqref="GN57 GW57 GQ57:GR57" name="Rango2_30_2_19"/>
    <protectedRange algorithmName="SHA-512" hashValue="Rgskw+AQdeJ5qbJdarzTa3SCkJfDGziy0Uan5N0F3IWn/H3Z/e+VcB56R7Nes7MPxNHewNP1sSSucVjz3iTLeA==" saltValue="qKZH3DnwaZHBzy3cBZo1qQ==" spinCount="100000" sqref="GF57" name="Rango2_31_28_18"/>
    <protectedRange algorithmName="SHA-512" hashValue="Umj9+5Ys20VQPxBFtc6qE5LtKKSgPKwit+B8dd4XnEUaLfBM2ozpkEC4YxwK0SbBiAHDDex+pY+LomQ0lyuamQ==" saltValue="N2/MCRws+mmA+NXw0axolg==" spinCount="100000" sqref="FY57 GL57 GE57 GH57 GJ57" name="Rango2_31_2_19"/>
    <protectedRange algorithmName="SHA-512" hashValue="q2z5hEFmXS0v2chiPTC/VCoDWNlnhp+Xe6Ybfxe48vIsnB/KTJQxJv+pFUnCXfZ9T6vyJopuqFFNROfQTW/JUw==" saltValue="IctfdGJb5tOTpq+KPi9vww==" spinCount="100000" sqref="IA57 ID57:IJ57" name="Rango2_88_39_42"/>
    <protectedRange algorithmName="SHA-512" hashValue="XZw03RosI/l0z9FxmTtF29EdZ7P+4+ybhqoaAAUmURojSR5XbGfjC4f2i8gMqfY+RI9JvfdCA6PSh9TduXfUxA==" saltValue="5TPtLq2WoiRSae/yaDPnTw==" spinCount="100000" sqref="EO57 FI57 FU57 FF57 EV57:EW57 ER57:ES57 FQ57:FR57 FZ57 GY57:GZ57 GK57 GM57 GO57 GT57 EA57:EJ57 IB57 FW57:FX57 IL57:IM57 HJ57 HU57:HZ57 IO57" name="Rango2_99_42"/>
    <protectedRange algorithmName="SHA-512" hashValue="YXHanhqXL0e4jPrzkCF8r/22WmlCviFUW909WKuG1JOcU0mp0/Huh0aP3EaGYxV2ep0WGu48HsShAy4Ka2uOiw==" saltValue="h/7U5iwJm7DLR4tRVfwZYw==" spinCount="100000" sqref="GI57 GC57" name="Rango2_33_19"/>
    <protectedRange algorithmName="SHA-512" hashValue="pL4tgTKqwEsWSIEGFTBd+4pvEhE7d5Q99Eijs+L/Y1rhA0saQGGRJw5Pv2HLOP0quglztFwB6WVnQ1YGxd4AiQ==" saltValue="IF5mhk2RcoEjrcYppes1VA==" spinCount="100000" sqref="FT57" name="Rango2_30_20"/>
    <protectedRange algorithmName="SHA-512" hashValue="EEHzbvEYwO1eufllBljOz0uf9BJ2ENtvOScQ7IsS321QhYbwKn7qhHKKP8cKj02rTDvVRMWvwQ1ZP0mZWsBprQ==" saltValue="CjXqBRFbKezlWOFV37MnDQ==" spinCount="100000" sqref="GN58 GW58 GQ58:GR58" name="Rango2_30_2_20"/>
    <protectedRange algorithmName="SHA-512" hashValue="Rgskw+AQdeJ5qbJdarzTa3SCkJfDGziy0Uan5N0F3IWn/H3Z/e+VcB56R7Nes7MPxNHewNP1sSSucVjz3iTLeA==" saltValue="qKZH3DnwaZHBzy3cBZo1qQ==" spinCount="100000" sqref="GF58" name="Rango2_31_28_19"/>
    <protectedRange algorithmName="SHA-512" hashValue="Umj9+5Ys20VQPxBFtc6qE5LtKKSgPKwit+B8dd4XnEUaLfBM2ozpkEC4YxwK0SbBiAHDDex+pY+LomQ0lyuamQ==" saltValue="N2/MCRws+mmA+NXw0axolg==" spinCount="100000" sqref="FY58 GL58 GB58 GE58 GH58 GJ58" name="Rango2_31_2_20"/>
    <protectedRange algorithmName="SHA-512" hashValue="q2z5hEFmXS0v2chiPTC/VCoDWNlnhp+Xe6Ybfxe48vIsnB/KTJQxJv+pFUnCXfZ9T6vyJopuqFFNROfQTW/JUw==" saltValue="IctfdGJb5tOTpq+KPi9vww==" spinCount="100000" sqref="IA58 ID58:IJ58" name="Rango2_88_39_43"/>
    <protectedRange algorithmName="SHA-512" hashValue="XZw03RosI/l0z9FxmTtF29EdZ7P+4+ybhqoaAAUmURojSR5XbGfjC4f2i8gMqfY+RI9JvfdCA6PSh9TduXfUxA==" saltValue="5TPtLq2WoiRSae/yaDPnTw==" spinCount="100000" sqref="EO58 FI58 FU58 FF58 EV58:EW58 ER58:ES58 FQ58:FR58 FZ58 GY58:GZ58 GK58 GM58 GO58 GT58 EA58:EJ58 IB58 FW58:FX58 IL58:IM58 HJ58 HU58:HZ58 IO58" name="Rango2_99_43"/>
    <protectedRange algorithmName="SHA-512" hashValue="YXHanhqXL0e4jPrzkCF8r/22WmlCviFUW909WKuG1JOcU0mp0/Huh0aP3EaGYxV2ep0WGu48HsShAy4Ka2uOiw==" saltValue="h/7U5iwJm7DLR4tRVfwZYw==" spinCount="100000" sqref="GI58 GC58" name="Rango2_33_20"/>
    <protectedRange algorithmName="SHA-512" hashValue="pL4tgTKqwEsWSIEGFTBd+4pvEhE7d5Q99Eijs+L/Y1rhA0saQGGRJw5Pv2HLOP0quglztFwB6WVnQ1YGxd4AiQ==" saltValue="IF5mhk2RcoEjrcYppes1VA==" spinCount="100000" sqref="FT58" name="Rango2_30_21"/>
    <protectedRange algorithmName="SHA-512" hashValue="EEHzbvEYwO1eufllBljOz0uf9BJ2ENtvOScQ7IsS321QhYbwKn7qhHKKP8cKj02rTDvVRMWvwQ1ZP0mZWsBprQ==" saltValue="CjXqBRFbKezlWOFV37MnDQ==" spinCount="100000" sqref="GN59 GW59 GQ59:GR59" name="Rango2_30_2_21"/>
    <protectedRange algorithmName="SHA-512" hashValue="Rgskw+AQdeJ5qbJdarzTa3SCkJfDGziy0Uan5N0F3IWn/H3Z/e+VcB56R7Nes7MPxNHewNP1sSSucVjz3iTLeA==" saltValue="qKZH3DnwaZHBzy3cBZo1qQ==" spinCount="100000" sqref="GF59" name="Rango2_31_28_20"/>
    <protectedRange algorithmName="SHA-512" hashValue="Umj9+5Ys20VQPxBFtc6qE5LtKKSgPKwit+B8dd4XnEUaLfBM2ozpkEC4YxwK0SbBiAHDDex+pY+LomQ0lyuamQ==" saltValue="N2/MCRws+mmA+NXw0axolg==" spinCount="100000" sqref="FY59 GL59 GE59 GH59 GJ59" name="Rango2_31_2_21"/>
    <protectedRange algorithmName="SHA-512" hashValue="q2z5hEFmXS0v2chiPTC/VCoDWNlnhp+Xe6Ybfxe48vIsnB/KTJQxJv+pFUnCXfZ9T6vyJopuqFFNROfQTW/JUw==" saltValue="IctfdGJb5tOTpq+KPi9vww==" spinCount="100000" sqref="IA59 ID59:IJ59" name="Rango2_88_39_44"/>
    <protectedRange algorithmName="SHA-512" hashValue="XZw03RosI/l0z9FxmTtF29EdZ7P+4+ybhqoaAAUmURojSR5XbGfjC4f2i8gMqfY+RI9JvfdCA6PSh9TduXfUxA==" saltValue="5TPtLq2WoiRSae/yaDPnTw==" spinCount="100000" sqref="EA59:EJ59 FI59 FW59:FX59 EO59 FU59 FF59 EV59:EW59 ER59:ES59 FQ59:FR59 FZ59 GY59:GZ59 GK59 GM59 GO59 GT59 IL59:IM59 HJ59 IB59 HU59:HZ59 IO59" name="Rango2_99_44"/>
    <protectedRange algorithmName="SHA-512" hashValue="YXHanhqXL0e4jPrzkCF8r/22WmlCviFUW909WKuG1JOcU0mp0/Huh0aP3EaGYxV2ep0WGu48HsShAy4Ka2uOiw==" saltValue="h/7U5iwJm7DLR4tRVfwZYw==" spinCount="100000" sqref="GI59 GC59" name="Rango2_33_21"/>
    <protectedRange algorithmName="SHA-512" hashValue="pL4tgTKqwEsWSIEGFTBd+4pvEhE7d5Q99Eijs+L/Y1rhA0saQGGRJw5Pv2HLOP0quglztFwB6WVnQ1YGxd4AiQ==" saltValue="IF5mhk2RcoEjrcYppes1VA==" spinCount="100000" sqref="FT59" name="Rango2_30_22"/>
    <protectedRange algorithmName="SHA-512" hashValue="9+DNppQbWrLYYUMoJ+lyQctV2bX3Vq9kZnegLbpjTLP49It2ovUbcartuoQTeXgP+TGpY//7mDH/UQlFCKDGiA==" saltValue="KUnni6YEm00anzSSvyLqQA==" spinCount="100000" sqref="FN60" name="Rango2_20_1"/>
    <protectedRange algorithmName="SHA-512" hashValue="9+DNppQbWrLYYUMoJ+lyQctV2bX3Vq9kZnegLbpjTLP49It2ovUbcartuoQTeXgP+TGpY//7mDH/UQlFCKDGiA==" saltValue="KUnni6YEm00anzSSvyLqQA==" spinCount="100000" sqref="FK60" name="Rango2_19_1"/>
    <protectedRange algorithmName="SHA-512" hashValue="9+DNppQbWrLYYUMoJ+lyQctV2bX3Vq9kZnegLbpjTLP49It2ovUbcartuoQTeXgP+TGpY//7mDH/UQlFCKDGiA==" saltValue="KUnni6YEm00anzSSvyLqQA==" spinCount="100000" sqref="FH60" name="Rango2_18_1"/>
    <protectedRange algorithmName="SHA-512" hashValue="9+DNppQbWrLYYUMoJ+lyQctV2bX3Vq9kZnegLbpjTLP49It2ovUbcartuoQTeXgP+TGpY//7mDH/UQlFCKDGiA==" saltValue="KUnni6YEm00anzSSvyLqQA==" spinCount="100000" sqref="FE60" name="Rango2_17_1"/>
    <protectedRange algorithmName="SHA-512" hashValue="9+DNppQbWrLYYUMoJ+lyQctV2bX3Vq9kZnegLbpjTLP49It2ovUbcartuoQTeXgP+TGpY//7mDH/UQlFCKDGiA==" saltValue="KUnni6YEm00anzSSvyLqQA==" spinCount="100000" sqref="HD60:HI60" name="Rango2_15_1"/>
    <protectedRange algorithmName="SHA-512" hashValue="EEHzbvEYwO1eufllBljOz0uf9BJ2ENtvOScQ7IsS321QhYbwKn7qhHKKP8cKj02rTDvVRMWvwQ1ZP0mZWsBprQ==" saltValue="CjXqBRFbKezlWOFV37MnDQ==" spinCount="100000" sqref="GN60 GW60 GQ60:GR60" name="Rango2_30_2_22"/>
    <protectedRange algorithmName="SHA-512" hashValue="Rgskw+AQdeJ5qbJdarzTa3SCkJfDGziy0Uan5N0F3IWn/H3Z/e+VcB56R7Nes7MPxNHewNP1sSSucVjz3iTLeA==" saltValue="qKZH3DnwaZHBzy3cBZo1qQ==" spinCount="100000" sqref="GF60" name="Rango2_31_28_21"/>
    <protectedRange algorithmName="SHA-512" hashValue="Umj9+5Ys20VQPxBFtc6qE5LtKKSgPKwit+B8dd4XnEUaLfBM2ozpkEC4YxwK0SbBiAHDDex+pY+LomQ0lyuamQ==" saltValue="N2/MCRws+mmA+NXw0axolg==" spinCount="100000" sqref="FY60 GL60 GE60 GH60 GJ60" name="Rango2_31_2_22"/>
    <protectedRange algorithmName="SHA-512" hashValue="q2z5hEFmXS0v2chiPTC/VCoDWNlnhp+Xe6Ybfxe48vIsnB/KTJQxJv+pFUnCXfZ9T6vyJopuqFFNROfQTW/JUw==" saltValue="IctfdGJb5tOTpq+KPi9vww==" spinCount="100000" sqref="ID60:IE60 IA60 IH60:IJ60" name="Rango2_88_39_45"/>
    <protectedRange algorithmName="SHA-512" hashValue="XZw03RosI/l0z9FxmTtF29EdZ7P+4+ybhqoaAAUmURojSR5XbGfjC4f2i8gMqfY+RI9JvfdCA6PSh9TduXfUxA==" saltValue="5TPtLq2WoiRSae/yaDPnTw==" spinCount="100000" sqref="FI60 FW60:FX60 EO60 FU60 FF60 EV60:EW60 ER60:ES60 FQ60:FR60 FZ60 GY60:GZ60 GK60 GM60 GO60 GT60 IL60:IM60 HJ60 IB60 EA60:EJ60 HU60:HZ60 IO60" name="Rango2_99_45"/>
    <protectedRange algorithmName="SHA-512" hashValue="YXHanhqXL0e4jPrzkCF8r/22WmlCviFUW909WKuG1JOcU0mp0/Huh0aP3EaGYxV2ep0WGu48HsShAy4Ka2uOiw==" saltValue="h/7U5iwJm7DLR4tRVfwZYw==" spinCount="100000" sqref="GI60 GC60" name="Rango2_33_22"/>
    <protectedRange algorithmName="SHA-512" hashValue="pL4tgTKqwEsWSIEGFTBd+4pvEhE7d5Q99Eijs+L/Y1rhA0saQGGRJw5Pv2HLOP0quglztFwB6WVnQ1YGxd4AiQ==" saltValue="IF5mhk2RcoEjrcYppes1VA==" spinCount="100000" sqref="FT60" name="Rango2_30_23"/>
    <protectedRange algorithmName="SHA-512" hashValue="EEHzbvEYwO1eufllBljOz0uf9BJ2ENtvOScQ7IsS321QhYbwKn7qhHKKP8cKj02rTDvVRMWvwQ1ZP0mZWsBprQ==" saltValue="CjXqBRFbKezlWOFV37MnDQ==" spinCount="100000" sqref="GN61 GW61 GQ61:GR61" name="Rango2_30_2_23"/>
    <protectedRange algorithmName="SHA-512" hashValue="Rgskw+AQdeJ5qbJdarzTa3SCkJfDGziy0Uan5N0F3IWn/H3Z/e+VcB56R7Nes7MPxNHewNP1sSSucVjz3iTLeA==" saltValue="qKZH3DnwaZHBzy3cBZo1qQ==" spinCount="100000" sqref="GF61" name="Rango2_31_28_22"/>
    <protectedRange algorithmName="SHA-512" hashValue="Umj9+5Ys20VQPxBFtc6qE5LtKKSgPKwit+B8dd4XnEUaLfBM2ozpkEC4YxwK0SbBiAHDDex+pY+LomQ0lyuamQ==" saltValue="N2/MCRws+mmA+NXw0axolg==" spinCount="100000" sqref="FY61 GL61 GE61 GH61 GJ61" name="Rango2_31_2_23"/>
    <protectedRange algorithmName="SHA-512" hashValue="q2z5hEFmXS0v2chiPTC/VCoDWNlnhp+Xe6Ybfxe48vIsnB/KTJQxJv+pFUnCXfZ9T6vyJopuqFFNROfQTW/JUw==" saltValue="IctfdGJb5tOTpq+KPi9vww==" spinCount="100000" sqref="IA61 ID61:IJ61" name="Rango2_88_39_46"/>
    <protectedRange algorithmName="SHA-512" hashValue="XZw03RosI/l0z9FxmTtF29EdZ7P+4+ybhqoaAAUmURojSR5XbGfjC4f2i8gMqfY+RI9JvfdCA6PSh9TduXfUxA==" saltValue="5TPtLq2WoiRSae/yaDPnTw==" spinCount="100000" sqref="FI61 FW61:FX61 EO61 FU61 FF61 EV61:EW61 ER61:ES61 FQ61:FR61 FZ61 GY61:GZ61 GK61 GM61 GO61 GT61 IL61:IM61 HJ61 IB61 EA61:EJ61 HU61:HZ61 IO61" name="Rango2_99_46"/>
    <protectedRange algorithmName="SHA-512" hashValue="YXHanhqXL0e4jPrzkCF8r/22WmlCviFUW909WKuG1JOcU0mp0/Huh0aP3EaGYxV2ep0WGu48HsShAy4Ka2uOiw==" saltValue="h/7U5iwJm7DLR4tRVfwZYw==" spinCount="100000" sqref="GI61 GC61" name="Rango2_33_23"/>
    <protectedRange algorithmName="SHA-512" hashValue="pL4tgTKqwEsWSIEGFTBd+4pvEhE7d5Q99Eijs+L/Y1rhA0saQGGRJw5Pv2HLOP0quglztFwB6WVnQ1YGxd4AiQ==" saltValue="IF5mhk2RcoEjrcYppes1VA==" spinCount="100000" sqref="FT61" name="Rango2_30_24"/>
    <protectedRange algorithmName="SHA-512" hashValue="Gqwr8n5jYbCESAqCFk8dpOzViQICBV+k0xoqBoQaZ5lHaRlvT9TZDB4yXtm+qC6OhD064ZDBOFWkwo+LHXu1sg==" saltValue="gEL9PCN2ekF2IxW9yqAGYA==" spinCount="100000" sqref="IS55" name="Rango2_40_2_17"/>
    <protectedRange algorithmName="SHA-512" hashValue="D8TacORwT7iz0mF9GEucchnMHfB5er2FFjQsxyeWWyeJkM6Bt3gYQ3LbcHPxZXFpVAYtFOuTrzYOCJrlZDx16g==" saltValue="QtCzIBktdS4NZkOEGcLTRQ==" spinCount="100000" sqref="IW55" name="Rango2_41_17"/>
    <protectedRange algorithmName="SHA-512" hashValue="Gqwr8n5jYbCESAqCFk8dpOzViQICBV+k0xoqBoQaZ5lHaRlvT9TZDB4yXtm+qC6OhD064ZDBOFWkwo+LHXu1sg==" saltValue="gEL9PCN2ekF2IxW9yqAGYA==" spinCount="100000" sqref="IS56" name="Rango2_40_2_18"/>
    <protectedRange algorithmName="SHA-512" hashValue="D8TacORwT7iz0mF9GEucchnMHfB5er2FFjQsxyeWWyeJkM6Bt3gYQ3LbcHPxZXFpVAYtFOuTrzYOCJrlZDx16g==" saltValue="QtCzIBktdS4NZkOEGcLTRQ==" spinCount="100000" sqref="IW56" name="Rango2_41_18"/>
    <protectedRange algorithmName="SHA-512" hashValue="Gqwr8n5jYbCESAqCFk8dpOzViQICBV+k0xoqBoQaZ5lHaRlvT9TZDB4yXtm+qC6OhD064ZDBOFWkwo+LHXu1sg==" saltValue="gEL9PCN2ekF2IxW9yqAGYA==" spinCount="100000" sqref="IS57" name="Rango2_40_2_19"/>
    <protectedRange algorithmName="SHA-512" hashValue="D8TacORwT7iz0mF9GEucchnMHfB5er2FFjQsxyeWWyeJkM6Bt3gYQ3LbcHPxZXFpVAYtFOuTrzYOCJrlZDx16g==" saltValue="QtCzIBktdS4NZkOEGcLTRQ==" spinCount="100000" sqref="IW57" name="Rango2_41_19"/>
    <protectedRange algorithmName="SHA-512" hashValue="Gqwr8n5jYbCESAqCFk8dpOzViQICBV+k0xoqBoQaZ5lHaRlvT9TZDB4yXtm+qC6OhD064ZDBOFWkwo+LHXu1sg==" saltValue="gEL9PCN2ekF2IxW9yqAGYA==" spinCount="100000" sqref="IS58" name="Rango2_40_2_20"/>
    <protectedRange algorithmName="SHA-512" hashValue="D8TacORwT7iz0mF9GEucchnMHfB5er2FFjQsxyeWWyeJkM6Bt3gYQ3LbcHPxZXFpVAYtFOuTrzYOCJrlZDx16g==" saltValue="QtCzIBktdS4NZkOEGcLTRQ==" spinCount="100000" sqref="IW58" name="Rango2_41_20"/>
    <protectedRange algorithmName="SHA-512" hashValue="Gqwr8n5jYbCESAqCFk8dpOzViQICBV+k0xoqBoQaZ5lHaRlvT9TZDB4yXtm+qC6OhD064ZDBOFWkwo+LHXu1sg==" saltValue="gEL9PCN2ekF2IxW9yqAGYA==" spinCount="100000" sqref="IS59" name="Rango2_40_2_21"/>
    <protectedRange algorithmName="SHA-512" hashValue="D8TacORwT7iz0mF9GEucchnMHfB5er2FFjQsxyeWWyeJkM6Bt3gYQ3LbcHPxZXFpVAYtFOuTrzYOCJrlZDx16g==" saltValue="QtCzIBktdS4NZkOEGcLTRQ==" spinCount="100000" sqref="IW59" name="Rango2_41_21"/>
    <protectedRange algorithmName="SHA-512" hashValue="9+DNppQbWrLYYUMoJ+lyQctV2bX3Vq9kZnegLbpjTLP49It2ovUbcartuoQTeXgP+TGpY//7mDH/UQlFCKDGiA==" saltValue="KUnni6YEm00anzSSvyLqQA==" spinCount="100000" sqref="JC60" name="Rango2_21_1"/>
    <protectedRange algorithmName="SHA-512" hashValue="Gqwr8n5jYbCESAqCFk8dpOzViQICBV+k0xoqBoQaZ5lHaRlvT9TZDB4yXtm+qC6OhD064ZDBOFWkwo+LHXu1sg==" saltValue="gEL9PCN2ekF2IxW9yqAGYA==" spinCount="100000" sqref="IS60" name="Rango2_40_2_22"/>
    <protectedRange algorithmName="SHA-512" hashValue="D8TacORwT7iz0mF9GEucchnMHfB5er2FFjQsxyeWWyeJkM6Bt3gYQ3LbcHPxZXFpVAYtFOuTrzYOCJrlZDx16g==" saltValue="QtCzIBktdS4NZkOEGcLTRQ==" spinCount="100000" sqref="IW60" name="Rango2_41_22"/>
    <protectedRange algorithmName="SHA-512" hashValue="Gqwr8n5jYbCESAqCFk8dpOzViQICBV+k0xoqBoQaZ5lHaRlvT9TZDB4yXtm+qC6OhD064ZDBOFWkwo+LHXu1sg==" saltValue="gEL9PCN2ekF2IxW9yqAGYA==" spinCount="100000" sqref="IS61" name="Rango2_40_2_23"/>
    <protectedRange algorithmName="SHA-512" hashValue="D8TacORwT7iz0mF9GEucchnMHfB5er2FFjQsxyeWWyeJkM6Bt3gYQ3LbcHPxZXFpVAYtFOuTrzYOCJrlZDx16g==" saltValue="QtCzIBktdS4NZkOEGcLTRQ==" spinCount="100000" sqref="IW61" name="Rango2_41_23"/>
    <protectedRange algorithmName="SHA-512" hashValue="6a5oYwZw9WJcgjqXpleUXH8uaqNEuymPPpeOb7lKBc1WoM6IG/DNyDLWmj2lYwxnZO2yhl+B61kwrxD9m9AdhQ==" saltValue="tdNQPzLQd+n9Ww064QJIaQ==" spinCount="100000" sqref="I62" name="Rango2_61_4_1"/>
    <protectedRange algorithmName="SHA-512" hashValue="XM8+0Jh5zLWw02PI0Lt8dLqjTcW5ulySion19FAnruDN6QRp4UwcVqdfQxnOQAItgpWG7rNsELzjwy0iXOonxw==" saltValue="Sd4WFUedDfLKoMQTDrxJuQ==" spinCount="100000" sqref="K62" name="Rango2_88_4_4_4_1"/>
    <protectedRange algorithmName="SHA-512" hashValue="EMMPgE8t/az1rHHzaZAQIhz+GQV0k2O/tQGA96sJqEEMzz1efIRa4CcLzC7iY9CCscto3g7dwz41haOE28iXYg==" saltValue="CVzFsG4X4LXUMo7796PiDQ==" spinCount="100000" sqref="B62:H62 J62 L62:M62 C63:C87" name="Rango2_10_4_1"/>
    <protectedRange algorithmName="SHA-512" hashValue="6a5oYwZw9WJcgjqXpleUXH8uaqNEuymPPpeOb7lKBc1WoM6IG/DNyDLWmj2lYwxnZO2yhl+B61kwrxD9m9AdhQ==" saltValue="tdNQPzLQd+n9Ww064QJIaQ==" spinCount="100000" sqref="I63" name="Rango2_61_5_1"/>
    <protectedRange algorithmName="SHA-512" hashValue="XM8+0Jh5zLWw02PI0Lt8dLqjTcW5ulySion19FAnruDN6QRp4UwcVqdfQxnOQAItgpWG7rNsELzjwy0iXOonxw==" saltValue="Sd4WFUedDfLKoMQTDrxJuQ==" spinCount="100000" sqref="K63" name="Rango2_88_4_4_5_1"/>
    <protectedRange algorithmName="SHA-512" hashValue="EMMPgE8t/az1rHHzaZAQIhz+GQV0k2O/tQGA96sJqEEMzz1efIRa4CcLzC7iY9CCscto3g7dwz41haOE28iXYg==" saltValue="CVzFsG4X4LXUMo7796PiDQ==" spinCount="100000" sqref="B63 J63 L63:M63 D63:H63" name="Rango2_10_5_1"/>
    <protectedRange algorithmName="SHA-512" hashValue="6a5oYwZw9WJcgjqXpleUXH8uaqNEuymPPpeOb7lKBc1WoM6IG/DNyDLWmj2lYwxnZO2yhl+B61kwrxD9m9AdhQ==" saltValue="tdNQPzLQd+n9Ww064QJIaQ==" spinCount="100000" sqref="I64:I66" name="Rango2_61_7_1"/>
    <protectedRange algorithmName="SHA-512" hashValue="XM8+0Jh5zLWw02PI0Lt8dLqjTcW5ulySion19FAnruDN6QRp4UwcVqdfQxnOQAItgpWG7rNsELzjwy0iXOonxw==" saltValue="Sd4WFUedDfLKoMQTDrxJuQ==" spinCount="100000" sqref="K64:K66" name="Rango2_88_4_4_7_1"/>
    <protectedRange algorithmName="SHA-512" hashValue="EMMPgE8t/az1rHHzaZAQIhz+GQV0k2O/tQGA96sJqEEMzz1efIRa4CcLzC7iY9CCscto3g7dwz41haOE28iXYg==" saltValue="CVzFsG4X4LXUMo7796PiDQ==" spinCount="100000" sqref="B64:B66 J64:J66 L64:M66 D64:H66" name="Rango2_10_7_1"/>
    <protectedRange algorithmName="SHA-512" hashValue="6a5oYwZw9WJcgjqXpleUXH8uaqNEuymPPpeOb7lKBc1WoM6IG/DNyDLWmj2lYwxnZO2yhl+B61kwrxD9m9AdhQ==" saltValue="tdNQPzLQd+n9Ww064QJIaQ==" spinCount="100000" sqref="I67" name="Rango2_61_8"/>
    <protectedRange algorithmName="SHA-512" hashValue="XM8+0Jh5zLWw02PI0Lt8dLqjTcW5ulySion19FAnruDN6QRp4UwcVqdfQxnOQAItgpWG7rNsELzjwy0iXOonxw==" saltValue="Sd4WFUedDfLKoMQTDrxJuQ==" spinCount="100000" sqref="K67" name="Rango2_88_4_4_8"/>
    <protectedRange algorithmName="SHA-512" hashValue="EMMPgE8t/az1rHHzaZAQIhz+GQV0k2O/tQGA96sJqEEMzz1efIRa4CcLzC7iY9CCscto3g7dwz41haOE28iXYg==" saltValue="CVzFsG4X4LXUMo7796PiDQ==" spinCount="100000" sqref="B67 J67 L67:M67 D67:H67" name="Rango2_10_8"/>
    <protectedRange algorithmName="SHA-512" hashValue="6a5oYwZw9WJcgjqXpleUXH8uaqNEuymPPpeOb7lKBc1WoM6IG/DNyDLWmj2lYwxnZO2yhl+B61kwrxD9m9AdhQ==" saltValue="tdNQPzLQd+n9Ww064QJIaQ==" spinCount="100000" sqref="I68:I69" name="Rango2_61_9"/>
    <protectedRange algorithmName="SHA-512" hashValue="XM8+0Jh5zLWw02PI0Lt8dLqjTcW5ulySion19FAnruDN6QRp4UwcVqdfQxnOQAItgpWG7rNsELzjwy0iXOonxw==" saltValue="Sd4WFUedDfLKoMQTDrxJuQ==" spinCount="100000" sqref="K68:K69" name="Rango2_88_4_4_9"/>
    <protectedRange algorithmName="SHA-512" hashValue="EMMPgE8t/az1rHHzaZAQIhz+GQV0k2O/tQGA96sJqEEMzz1efIRa4CcLzC7iY9CCscto3g7dwz41haOE28iXYg==" saltValue="CVzFsG4X4LXUMo7796PiDQ==" spinCount="100000" sqref="B68:B69 J68:J69 L68:M69 D68:H69" name="Rango2_10_9"/>
    <protectedRange algorithmName="SHA-512" hashValue="6a5oYwZw9WJcgjqXpleUXH8uaqNEuymPPpeOb7lKBc1WoM6IG/DNyDLWmj2lYwxnZO2yhl+B61kwrxD9m9AdhQ==" saltValue="tdNQPzLQd+n9Ww064QJIaQ==" spinCount="100000" sqref="I70" name="Rango2_61_10"/>
    <protectedRange algorithmName="SHA-512" hashValue="XM8+0Jh5zLWw02PI0Lt8dLqjTcW5ulySion19FAnruDN6QRp4UwcVqdfQxnOQAItgpWG7rNsELzjwy0iXOonxw==" saltValue="Sd4WFUedDfLKoMQTDrxJuQ==" spinCount="100000" sqref="K70" name="Rango2_88_4_4_10"/>
    <protectedRange algorithmName="SHA-512" hashValue="EMMPgE8t/az1rHHzaZAQIhz+GQV0k2O/tQGA96sJqEEMzz1efIRa4CcLzC7iY9CCscto3g7dwz41haOE28iXYg==" saltValue="CVzFsG4X4LXUMo7796PiDQ==" spinCount="100000" sqref="B70 J70 L70:M70 D70:H70" name="Rango2_10_10"/>
    <protectedRange algorithmName="SHA-512" hashValue="6a5oYwZw9WJcgjqXpleUXH8uaqNEuymPPpeOb7lKBc1WoM6IG/DNyDLWmj2lYwxnZO2yhl+B61kwrxD9m9AdhQ==" saltValue="tdNQPzLQd+n9Ww064QJIaQ==" spinCount="100000" sqref="I71" name="Rango2_61_11"/>
    <protectedRange algorithmName="SHA-512" hashValue="XM8+0Jh5zLWw02PI0Lt8dLqjTcW5ulySion19FAnruDN6QRp4UwcVqdfQxnOQAItgpWG7rNsELzjwy0iXOonxw==" saltValue="Sd4WFUedDfLKoMQTDrxJuQ==" spinCount="100000" sqref="K71" name="Rango2_88_4_4_11"/>
    <protectedRange algorithmName="SHA-512" hashValue="EMMPgE8t/az1rHHzaZAQIhz+GQV0k2O/tQGA96sJqEEMzz1efIRa4CcLzC7iY9CCscto3g7dwz41haOE28iXYg==" saltValue="CVzFsG4X4LXUMo7796PiDQ==" spinCount="100000" sqref="B71 J71 L71:M71 D71:H71" name="Rango2_10_11"/>
    <protectedRange algorithmName="SHA-512" hashValue="6a5oYwZw9WJcgjqXpleUXH8uaqNEuymPPpeOb7lKBc1WoM6IG/DNyDLWmj2lYwxnZO2yhl+B61kwrxD9m9AdhQ==" saltValue="tdNQPzLQd+n9Ww064QJIaQ==" spinCount="100000" sqref="I72:I75" name="Rango2_61_23"/>
    <protectedRange algorithmName="SHA-512" hashValue="XM8+0Jh5zLWw02PI0Lt8dLqjTcW5ulySion19FAnruDN6QRp4UwcVqdfQxnOQAItgpWG7rNsELzjwy0iXOonxw==" saltValue="Sd4WFUedDfLKoMQTDrxJuQ==" spinCount="100000" sqref="K72:K75" name="Rango2_88_4_4_23"/>
    <protectedRange algorithmName="SHA-512" hashValue="EMMPgE8t/az1rHHzaZAQIhz+GQV0k2O/tQGA96sJqEEMzz1efIRa4CcLzC7iY9CCscto3g7dwz41haOE28iXYg==" saltValue="CVzFsG4X4LXUMo7796PiDQ==" spinCount="100000" sqref="B72:B75 J72:J75 L72:M75 D72:H75" name="Rango2_10_23"/>
    <protectedRange algorithmName="SHA-512" hashValue="6a5oYwZw9WJcgjqXpleUXH8uaqNEuymPPpeOb7lKBc1WoM6IG/DNyDLWmj2lYwxnZO2yhl+B61kwrxD9m9AdhQ==" saltValue="tdNQPzLQd+n9Ww064QJIaQ==" spinCount="100000" sqref="I76" name="Rango2_61_23_1"/>
    <protectedRange algorithmName="SHA-512" hashValue="XM8+0Jh5zLWw02PI0Lt8dLqjTcW5ulySion19FAnruDN6QRp4UwcVqdfQxnOQAItgpWG7rNsELzjwy0iXOonxw==" saltValue="Sd4WFUedDfLKoMQTDrxJuQ==" spinCount="100000" sqref="K76" name="Rango2_88_4_4_23_1"/>
    <protectedRange algorithmName="SHA-512" hashValue="EMMPgE8t/az1rHHzaZAQIhz+GQV0k2O/tQGA96sJqEEMzz1efIRa4CcLzC7iY9CCscto3g7dwz41haOE28iXYg==" saltValue="CVzFsG4X4LXUMo7796PiDQ==" spinCount="100000" sqref="L76:M76 J76 B76 D76:H76" name="Rango2_10_23_1"/>
    <protectedRange algorithmName="SHA-512" hashValue="6a5oYwZw9WJcgjqXpleUXH8uaqNEuymPPpeOb7lKBc1WoM6IG/DNyDLWmj2lYwxnZO2yhl+B61kwrxD9m9AdhQ==" saltValue="tdNQPzLQd+n9Ww064QJIaQ==" spinCount="100000" sqref="I77:I78" name="Rango2_61_23_2"/>
    <protectedRange algorithmName="SHA-512" hashValue="XM8+0Jh5zLWw02PI0Lt8dLqjTcW5ulySion19FAnruDN6QRp4UwcVqdfQxnOQAItgpWG7rNsELzjwy0iXOonxw==" saltValue="Sd4WFUedDfLKoMQTDrxJuQ==" spinCount="100000" sqref="K77:K78" name="Rango2_88_4_4_23_2"/>
    <protectedRange algorithmName="SHA-512" hashValue="EMMPgE8t/az1rHHzaZAQIhz+GQV0k2O/tQGA96sJqEEMzz1efIRa4CcLzC7iY9CCscto3g7dwz41haOE28iXYg==" saltValue="CVzFsG4X4LXUMo7796PiDQ==" spinCount="100000" sqref="L77:M78 J77:J78 B77:B78 D77:H78" name="Rango2_10_23_2"/>
    <protectedRange algorithmName="SHA-512" hashValue="6a5oYwZw9WJcgjqXpleUXH8uaqNEuymPPpeOb7lKBc1WoM6IG/DNyDLWmj2lYwxnZO2yhl+B61kwrxD9m9AdhQ==" saltValue="tdNQPzLQd+n9Ww064QJIaQ==" spinCount="100000" sqref="I79:I80" name="Rango2_61_23_3"/>
    <protectedRange algorithmName="SHA-512" hashValue="XM8+0Jh5zLWw02PI0Lt8dLqjTcW5ulySion19FAnruDN6QRp4UwcVqdfQxnOQAItgpWG7rNsELzjwy0iXOonxw==" saltValue="Sd4WFUedDfLKoMQTDrxJuQ==" spinCount="100000" sqref="K79:K80" name="Rango2_88_4_4_23_3"/>
    <protectedRange algorithmName="SHA-512" hashValue="EMMPgE8t/az1rHHzaZAQIhz+GQV0k2O/tQGA96sJqEEMzz1efIRa4CcLzC7iY9CCscto3g7dwz41haOE28iXYg==" saltValue="CVzFsG4X4LXUMo7796PiDQ==" spinCount="100000" sqref="L79:M80 J79:J80 B79:B80 D79:H80" name="Rango2_10_23_3"/>
    <protectedRange algorithmName="SHA-512" hashValue="6a5oYwZw9WJcgjqXpleUXH8uaqNEuymPPpeOb7lKBc1WoM6IG/DNyDLWmj2lYwxnZO2yhl+B61kwrxD9m9AdhQ==" saltValue="tdNQPzLQd+n9Ww064QJIaQ==" spinCount="100000" sqref="I82:I83" name="Rango2_61_12"/>
    <protectedRange algorithmName="SHA-512" hashValue="XM8+0Jh5zLWw02PI0Lt8dLqjTcW5ulySion19FAnruDN6QRp4UwcVqdfQxnOQAItgpWG7rNsELzjwy0iXOonxw==" saltValue="Sd4WFUedDfLKoMQTDrxJuQ==" spinCount="100000" sqref="K82:K83" name="Rango2_88_4_4_12"/>
    <protectedRange algorithmName="SHA-512" hashValue="EMMPgE8t/az1rHHzaZAQIhz+GQV0k2O/tQGA96sJqEEMzz1efIRa4CcLzC7iY9CCscto3g7dwz41haOE28iXYg==" saltValue="CVzFsG4X4LXUMo7796PiDQ==" spinCount="100000" sqref="L82:M83 J82:J83 B82:B83 D82:H83" name="Rango2_10_12"/>
    <protectedRange algorithmName="SHA-512" hashValue="6a5oYwZw9WJcgjqXpleUXH8uaqNEuymPPpeOb7lKBc1WoM6IG/DNyDLWmj2lYwxnZO2yhl+B61kwrxD9m9AdhQ==" saltValue="tdNQPzLQd+n9Ww064QJIaQ==" spinCount="100000" sqref="I81" name="Rango2_61_23_4"/>
    <protectedRange algorithmName="SHA-512" hashValue="XM8+0Jh5zLWw02PI0Lt8dLqjTcW5ulySion19FAnruDN6QRp4UwcVqdfQxnOQAItgpWG7rNsELzjwy0iXOonxw==" saltValue="Sd4WFUedDfLKoMQTDrxJuQ==" spinCount="100000" sqref="K81" name="Rango2_88_4_4_23_4"/>
    <protectedRange algorithmName="SHA-512" hashValue="EMMPgE8t/az1rHHzaZAQIhz+GQV0k2O/tQGA96sJqEEMzz1efIRa4CcLzC7iY9CCscto3g7dwz41haOE28iXYg==" saltValue="CVzFsG4X4LXUMo7796PiDQ==" spinCount="100000" sqref="L81:M81 J81 B81 D81:H81" name="Rango2_10_23_4"/>
    <protectedRange algorithmName="SHA-512" hashValue="6a5oYwZw9WJcgjqXpleUXH8uaqNEuymPPpeOb7lKBc1WoM6IG/DNyDLWmj2lYwxnZO2yhl+B61kwrxD9m9AdhQ==" saltValue="tdNQPzLQd+n9Ww064QJIaQ==" spinCount="100000" sqref="I84:I85" name="Rango2_61_13"/>
    <protectedRange algorithmName="SHA-512" hashValue="XM8+0Jh5zLWw02PI0Lt8dLqjTcW5ulySion19FAnruDN6QRp4UwcVqdfQxnOQAItgpWG7rNsELzjwy0iXOonxw==" saltValue="Sd4WFUedDfLKoMQTDrxJuQ==" spinCount="100000" sqref="K84:K85" name="Rango2_88_4_4_13"/>
    <protectedRange algorithmName="SHA-512" hashValue="EMMPgE8t/az1rHHzaZAQIhz+GQV0k2O/tQGA96sJqEEMzz1efIRa4CcLzC7iY9CCscto3g7dwz41haOE28iXYg==" saltValue="CVzFsG4X4LXUMo7796PiDQ==" spinCount="100000" sqref="L84:M85 J84:J85 B84:B85 D84:H85" name="Rango2_10_13"/>
    <protectedRange algorithmName="SHA-512" hashValue="6a5oYwZw9WJcgjqXpleUXH8uaqNEuymPPpeOb7lKBc1WoM6IG/DNyDLWmj2lYwxnZO2yhl+B61kwrxD9m9AdhQ==" saltValue="tdNQPzLQd+n9Ww064QJIaQ==" spinCount="100000" sqref="I86" name="Rango2_61_14"/>
    <protectedRange algorithmName="SHA-512" hashValue="XM8+0Jh5zLWw02PI0Lt8dLqjTcW5ulySion19FAnruDN6QRp4UwcVqdfQxnOQAItgpWG7rNsELzjwy0iXOonxw==" saltValue="Sd4WFUedDfLKoMQTDrxJuQ==" spinCount="100000" sqref="K86" name="Rango2_88_4_4_14"/>
    <protectedRange algorithmName="SHA-512" hashValue="EMMPgE8t/az1rHHzaZAQIhz+GQV0k2O/tQGA96sJqEEMzz1efIRa4CcLzC7iY9CCscto3g7dwz41haOE28iXYg==" saltValue="CVzFsG4X4LXUMo7796PiDQ==" spinCount="100000" sqref="L86:M86 J86 B86 D86:H86" name="Rango2_10_14"/>
    <protectedRange algorithmName="SHA-512" hashValue="6a5oYwZw9WJcgjqXpleUXH8uaqNEuymPPpeOb7lKBc1WoM6IG/DNyDLWmj2lYwxnZO2yhl+B61kwrxD9m9AdhQ==" saltValue="tdNQPzLQd+n9Ww064QJIaQ==" spinCount="100000" sqref="I87" name="Rango2_61_15"/>
    <protectedRange algorithmName="SHA-512" hashValue="XM8+0Jh5zLWw02PI0Lt8dLqjTcW5ulySion19FAnruDN6QRp4UwcVqdfQxnOQAItgpWG7rNsELzjwy0iXOonxw==" saltValue="Sd4WFUedDfLKoMQTDrxJuQ==" spinCount="100000" sqref="K87" name="Rango2_88_4_4_15"/>
    <protectedRange algorithmName="SHA-512" hashValue="EMMPgE8t/az1rHHzaZAQIhz+GQV0k2O/tQGA96sJqEEMzz1efIRa4CcLzC7iY9CCscto3g7dwz41haOE28iXYg==" saltValue="CVzFsG4X4LXUMo7796PiDQ==" spinCount="100000" sqref="L87:M87 J87 B87 D87:H87" name="Rango2_10_15"/>
    <protectedRange algorithmName="SHA-512" hashValue="XZw03RosI/l0z9FxmTtF29EdZ7P+4+ybhqoaAAUmURojSR5XbGfjC4f2i8gMqfY+RI9JvfdCA6PSh9TduXfUxA==" saltValue="5TPtLq2WoiRSae/yaDPnTw==" spinCount="100000" sqref="O62" name="Rango2_99_4_1"/>
    <protectedRange algorithmName="SHA-512" hashValue="XZw03RosI/l0z9FxmTtF29EdZ7P+4+ybhqoaAAUmURojSR5XbGfjC4f2i8gMqfY+RI9JvfdCA6PSh9TduXfUxA==" saltValue="5TPtLq2WoiRSae/yaDPnTw==" spinCount="100000" sqref="O63" name="Rango2_99_5_1"/>
    <protectedRange algorithmName="SHA-512" hashValue="CHipOQaT63FWw628cQcXXJRZlrbNZ7OgmnEbDx38UmmH7z19GRYEzXFiVOzHAy1OAaAbST7g2bHZHDKQp2qm3w==" saltValue="iRVuL+373yLHv0ZHzS9qog==" spinCount="100000" sqref="AJ62 AG62:AH62" name="Rango2_88_7_5_4_1"/>
    <protectedRange algorithmName="SHA-512" hashValue="fPHvtIAf3pQeZUoAI9C2/vdXMHBpqqEq+67P5Ypyu4+9IWqs3yc9TZcMWQ0THLxUwqseQPyVvakuYFtCwJHsxA==" saltValue="QHIogSs2PrwAfdqa9PAOFQ==" spinCount="100000" sqref="AC62" name="Rango2_88_5_5_4_2"/>
    <protectedRange algorithmName="SHA-512" hashValue="LEEeiU6pKqm7TAP46VGlz0q+evvFwpT/0iLpRuWuQ7MacbP0OGL1/FSmrIEOg2rb6M+Jla2bPbVWiGag27j87w==" saltValue="HEVt+pS5OloNDlqSnzGLLw==" spinCount="100000" sqref="AI62" name="Rango2_8_7_4_1"/>
    <protectedRange algorithmName="SHA-512" hashValue="q2z5hEFmXS0v2chiPTC/VCoDWNlnhp+Xe6Ybfxe48vIsnB/KTJQxJv+pFUnCXfZ9T6vyJopuqFFNROfQTW/JUw==" saltValue="IctfdGJb5tOTpq+KPi9vww==" spinCount="100000" sqref="AE62:AF62" name="Rango2_88_39_4_1"/>
    <protectedRange algorithmName="SHA-512" hashValue="AYYX88LSDB6RDNMvSqt0KPGWPjBqTk56tMxTOlv5QD61MGTKAAQnSnudvNDWPN0Bbllh2qRQC+P5uq7goxjdrw==" saltValue="i/iPMewnks1FoXYOjKMEVg==" spinCount="100000" sqref="AB62" name="Rango2_87_6_4_1"/>
    <protectedRange algorithmName="SHA-512" hashValue="NUll9P9xh7KbSfMYpMxsRZLfDw/y/AzW2LSWlpXVscBDqiAxmzo71xjs+a2lh+jRa7pceOC849slke4+ZKx8LA==" saltValue="8qbkKpQ+CiQuLnqgShNvXA==" spinCount="100000" sqref="T62" name="Rango2_88_6_4_1"/>
    <protectedRange algorithmName="SHA-512" hashValue="KHhv3JU/LRdRrRTxxkgFceEHPZ5UzadmpZRZR3zmQRnPvkUJZuanRafIJ+qde0IWwLZSvFIQDyUAHq6v6k7XIg==" saltValue="2GKG1kCzVNNcn+vbOPuhJA==" spinCount="100000" sqref="Q62" name="Rango2_2_5_4_1"/>
    <protectedRange algorithmName="SHA-512" hashValue="XZw03RosI/l0z9FxmTtF29EdZ7P+4+ybhqoaAAUmURojSR5XbGfjC4f2i8gMqfY+RI9JvfdCA6PSh9TduXfUxA==" saltValue="5TPtLq2WoiRSae/yaDPnTw==" spinCount="100000" sqref="U62:AA62 R62:S62" name="Rango2_99_18_1"/>
    <protectedRange algorithmName="SHA-512" hashValue="9+DNppQbWrLYYUMoJ+lyQctV2bX3Vq9kZnegLbpjTLP49It2ovUbcartuoQTeXgP+TGpY//7mDH/UQlFCKDGiA==" saltValue="KUnni6YEm00anzSSvyLqQA==" spinCount="100000" sqref="AD62" name="Rango2_25_1"/>
    <protectedRange algorithmName="SHA-512" hashValue="CHipOQaT63FWw628cQcXXJRZlrbNZ7OgmnEbDx38UmmH7z19GRYEzXFiVOzHAy1OAaAbST7g2bHZHDKQp2qm3w==" saltValue="iRVuL+373yLHv0ZHzS9qog==" spinCount="100000" sqref="AJ63 AG63:AH63" name="Rango2_88_7_5_5_1"/>
    <protectedRange algorithmName="SHA-512" hashValue="fPHvtIAf3pQeZUoAI9C2/vdXMHBpqqEq+67P5Ypyu4+9IWqs3yc9TZcMWQ0THLxUwqseQPyVvakuYFtCwJHsxA==" saltValue="QHIogSs2PrwAfdqa9PAOFQ==" spinCount="100000" sqref="AC63" name="Rango2_88_5_5_5_1"/>
    <protectedRange algorithmName="SHA-512" hashValue="LEEeiU6pKqm7TAP46VGlz0q+evvFwpT/0iLpRuWuQ7MacbP0OGL1/FSmrIEOg2rb6M+Jla2bPbVWiGag27j87w==" saltValue="HEVt+pS5OloNDlqSnzGLLw==" spinCount="100000" sqref="AI63" name="Rango2_8_7_5_1"/>
    <protectedRange algorithmName="SHA-512" hashValue="q2z5hEFmXS0v2chiPTC/VCoDWNlnhp+Xe6Ybfxe48vIsnB/KTJQxJv+pFUnCXfZ9T6vyJopuqFFNROfQTW/JUw==" saltValue="IctfdGJb5tOTpq+KPi9vww==" spinCount="100000" sqref="AE63:AF63" name="Rango2_88_39_5_1"/>
    <protectedRange algorithmName="SHA-512" hashValue="AYYX88LSDB6RDNMvSqt0KPGWPjBqTk56tMxTOlv5QD61MGTKAAQnSnudvNDWPN0Bbllh2qRQC+P5uq7goxjdrw==" saltValue="i/iPMewnks1FoXYOjKMEVg==" spinCount="100000" sqref="AB63" name="Rango2_87_6_5_1"/>
    <protectedRange algorithmName="SHA-512" hashValue="NUll9P9xh7KbSfMYpMxsRZLfDw/y/AzW2LSWlpXVscBDqiAxmzo71xjs+a2lh+jRa7pceOC849slke4+ZKx8LA==" saltValue="8qbkKpQ+CiQuLnqgShNvXA==" spinCount="100000" sqref="T63" name="Rango2_88_6_5_1"/>
    <protectedRange algorithmName="SHA-512" hashValue="KHhv3JU/LRdRrRTxxkgFceEHPZ5UzadmpZRZR3zmQRnPvkUJZuanRafIJ+qde0IWwLZSvFIQDyUAHq6v6k7XIg==" saltValue="2GKG1kCzVNNcn+vbOPuhJA==" spinCount="100000" sqref="Q63" name="Rango2_2_5_5_1"/>
    <protectedRange algorithmName="SHA-512" hashValue="XZw03RosI/l0z9FxmTtF29EdZ7P+4+ybhqoaAAUmURojSR5XbGfjC4f2i8gMqfY+RI9JvfdCA6PSh9TduXfUxA==" saltValue="5TPtLq2WoiRSae/yaDPnTw==" spinCount="100000" sqref="U63:AA63 R63:S63" name="Rango2_99_19_1"/>
    <protectedRange algorithmName="SHA-512" hashValue="9+DNppQbWrLYYUMoJ+lyQctV2bX3Vq9kZnegLbpjTLP49It2ovUbcartuoQTeXgP+TGpY//7mDH/UQlFCKDGiA==" saltValue="KUnni6YEm00anzSSvyLqQA==" spinCount="100000" sqref="AD63" name="Rango2_26_1"/>
    <protectedRange algorithmName="SHA-512" hashValue="RQ91b7oAw60DVtcgB2vRpial2kSdzJx5guGCTYUwXYkKrtrUHfiYnLf9R+SNpYXlJDYpyEJLhcWwP0EqNN86dQ==" saltValue="W3RbH3zrcY9sy39xNwXNxg==" spinCount="100000" sqref="BA62:BI62" name="Rango2_88_99_4_1"/>
    <protectedRange algorithmName="SHA-512" hashValue="fMbmUM1DQ7FuAPRNvFL5mPdHUYjQnlLFhkuaxvHguaqR7aWyDxcmJs0jLYQfQKY+oyhsMb4Lew4VL6i7um3/ew==" saltValue="ydaTm0CeH8+/cYqoL/AMaQ==" spinCount="100000" sqref="AW62:AZ62 AU62" name="Rango2_88_91_4_1"/>
    <protectedRange algorithmName="SHA-512" hashValue="CHipOQaT63FWw628cQcXXJRZlrbNZ7OgmnEbDx38UmmH7z19GRYEzXFiVOzHAy1OAaAbST7g2bHZHDKQp2qm3w==" saltValue="iRVuL+373yLHv0ZHzS9qog==" spinCount="100000" sqref="AL62" name="Rango2_88_7_5_18_1"/>
    <protectedRange algorithmName="SHA-512" hashValue="NkG6oHuDGvGBEiLAAq8MEJHEfLQUMyjihfH+DBXhT+eQW0r1yri7tOJEFRM9nbOejjjXiviq9RFo7KB7wF+xJA==" saltValue="bpjB0AAANu2X/PeR3eiFkA==" spinCount="100000" sqref="AM62:AS62" name="Rango2_88_65_4_1"/>
    <protectedRange algorithmName="SHA-512" hashValue="XZw03RosI/l0z9FxmTtF29EdZ7P+4+ybhqoaAAUmURojSR5XbGfjC4f2i8gMqfY+RI9JvfdCA6PSh9TduXfUxA==" saltValue="5TPtLq2WoiRSae/yaDPnTw==" spinCount="100000" sqref="AV62 BJ62:BK62 AT62" name="Rango2_99_32_1"/>
    <protectedRange algorithmName="SHA-512" hashValue="RQ91b7oAw60DVtcgB2vRpial2kSdzJx5guGCTYUwXYkKrtrUHfiYnLf9R+SNpYXlJDYpyEJLhcWwP0EqNN86dQ==" saltValue="W3RbH3zrcY9sy39xNwXNxg==" spinCount="100000" sqref="BA63:BI63" name="Rango2_88_99_5_1"/>
    <protectedRange algorithmName="SHA-512" hashValue="fMbmUM1DQ7FuAPRNvFL5mPdHUYjQnlLFhkuaxvHguaqR7aWyDxcmJs0jLYQfQKY+oyhsMb4Lew4VL6i7um3/ew==" saltValue="ydaTm0CeH8+/cYqoL/AMaQ==" spinCount="100000" sqref="AW63:AZ63 AU63" name="Rango2_88_91_5_1"/>
    <protectedRange algorithmName="SHA-512" hashValue="CHipOQaT63FWw628cQcXXJRZlrbNZ7OgmnEbDx38UmmH7z19GRYEzXFiVOzHAy1OAaAbST7g2bHZHDKQp2qm3w==" saltValue="iRVuL+373yLHv0ZHzS9qog==" spinCount="100000" sqref="AL63" name="Rango2_88_7_5_19_1"/>
    <protectedRange algorithmName="SHA-512" hashValue="NkG6oHuDGvGBEiLAAq8MEJHEfLQUMyjihfH+DBXhT+eQW0r1yri7tOJEFRM9nbOejjjXiviq9RFo7KB7wF+xJA==" saltValue="bpjB0AAANu2X/PeR3eiFkA==" spinCount="100000" sqref="AM63:AS63" name="Rango2_88_65_5_1"/>
    <protectedRange algorithmName="SHA-512" hashValue="XZw03RosI/l0z9FxmTtF29EdZ7P+4+ybhqoaAAUmURojSR5XbGfjC4f2i8gMqfY+RI9JvfdCA6PSh9TduXfUxA==" saltValue="5TPtLq2WoiRSae/yaDPnTw==" spinCount="100000" sqref="AV63 BJ63:BK63 AT63" name="Rango2_99_33_1"/>
    <protectedRange algorithmName="SHA-512" hashValue="RQ91b7oAw60DVtcgB2vRpial2kSdzJx5guGCTYUwXYkKrtrUHfiYnLf9R+SNpYXlJDYpyEJLhcWwP0EqNN86dQ==" saltValue="W3RbH3zrcY9sy39xNwXNxg==" spinCount="100000" sqref="BV62:BY62" name="Rango2_88_99_18_1"/>
    <protectedRange algorithmName="SHA-512" hashValue="XZw03RosI/l0z9FxmTtF29EdZ7P+4+ybhqoaAAUmURojSR5XbGfjC4f2i8gMqfY+RI9JvfdCA6PSh9TduXfUxA==" saltValue="5TPtLq2WoiRSae/yaDPnTw==" spinCount="100000" sqref="BZ62:CB62 BR62:BU62" name="Rango2_99_46_1"/>
    <protectedRange algorithmName="SHA-512" hashValue="RQ91b7oAw60DVtcgB2vRpial2kSdzJx5guGCTYUwXYkKrtrUHfiYnLf9R+SNpYXlJDYpyEJLhcWwP0EqNN86dQ==" saltValue="W3RbH3zrcY9sy39xNwXNxg==" spinCount="100000" sqref="BV63:BY63" name="Rango2_88_99_19_1"/>
    <protectedRange algorithmName="SHA-512" hashValue="XZw03RosI/l0z9FxmTtF29EdZ7P+4+ybhqoaAAUmURojSR5XbGfjC4f2i8gMqfY+RI9JvfdCA6PSh9TduXfUxA==" saltValue="5TPtLq2WoiRSae/yaDPnTw==" spinCount="100000" sqref="BZ63:CB63 BR63:BU63" name="Rango2_99_47_1"/>
    <protectedRange algorithmName="SHA-512" hashValue="XZw03RosI/l0z9FxmTtF29EdZ7P+4+ybhqoaAAUmURojSR5XbGfjC4f2i8gMqfY+RI9JvfdCA6PSh9TduXfUxA==" saltValue="5TPtLq2WoiRSae/yaDPnTw==" spinCount="100000" sqref="CE62:CF62" name="Rango2_99_60"/>
    <protectedRange algorithmName="SHA-512" hashValue="XZw03RosI/l0z9FxmTtF29EdZ7P+4+ybhqoaAAUmURojSR5XbGfjC4f2i8gMqfY+RI9JvfdCA6PSh9TduXfUxA==" saltValue="5TPtLq2WoiRSae/yaDPnTw==" spinCount="100000" sqref="CE63:CF63" name="Rango2_99_61"/>
    <protectedRange algorithmName="SHA-512" hashValue="XZw03RosI/l0z9FxmTtF29EdZ7P+4+ybhqoaAAUmURojSR5XbGfjC4f2i8gMqfY+RI9JvfdCA6PSh9TduXfUxA==" saltValue="5TPtLq2WoiRSae/yaDPnTw==" spinCount="100000" sqref="CJ62:CK62" name="Rango2_99_74"/>
    <protectedRange algorithmName="SHA-512" hashValue="XZw03RosI/l0z9FxmTtF29EdZ7P+4+ybhqoaAAUmURojSR5XbGfjC4f2i8gMqfY+RI9JvfdCA6PSh9TduXfUxA==" saltValue="5TPtLq2WoiRSae/yaDPnTw==" spinCount="100000" sqref="CJ63:CK63" name="Rango2_99_75"/>
    <protectedRange algorithmName="SHA-512" hashValue="XZw03RosI/l0z9FxmTtF29EdZ7P+4+ybhqoaAAUmURojSR5XbGfjC4f2i8gMqfY+RI9JvfdCA6PSh9TduXfUxA==" saltValue="5TPtLq2WoiRSae/yaDPnTw==" spinCount="100000" sqref="CP62:CQ62" name="Rango2_99_88"/>
    <protectedRange algorithmName="SHA-512" hashValue="XZw03RosI/l0z9FxmTtF29EdZ7P+4+ybhqoaAAUmURojSR5XbGfjC4f2i8gMqfY+RI9JvfdCA6PSh9TduXfUxA==" saltValue="5TPtLq2WoiRSae/yaDPnTw==" spinCount="100000" sqref="CP63:CQ63" name="Rango2_99_89"/>
    <protectedRange algorithmName="SHA-512" hashValue="XZw03RosI/l0z9FxmTtF29EdZ7P+4+ybhqoaAAUmURojSR5XbGfjC4f2i8gMqfY+RI9JvfdCA6PSh9TduXfUxA==" saltValue="5TPtLq2WoiRSae/yaDPnTw==" spinCount="100000" sqref="O64:O66" name="Rango2_99_7_2"/>
    <protectedRange algorithmName="SHA-512" hashValue="XZw03RosI/l0z9FxmTtF29EdZ7P+4+ybhqoaAAUmURojSR5XbGfjC4f2i8gMqfY+RI9JvfdCA6PSh9TduXfUxA==" saltValue="5TPtLq2WoiRSae/yaDPnTw==" spinCount="100000" sqref="O67" name="Rango2_99_8_1"/>
    <protectedRange algorithmName="SHA-512" hashValue="XZw03RosI/l0z9FxmTtF29EdZ7P+4+ybhqoaAAUmURojSR5XbGfjC4f2i8gMqfY+RI9JvfdCA6PSh9TduXfUxA==" saltValue="5TPtLq2WoiRSae/yaDPnTw==" spinCount="100000" sqref="O68:O69" name="Rango2_99_9_1"/>
    <protectedRange algorithmName="SHA-512" hashValue="CHipOQaT63FWw628cQcXXJRZlrbNZ7OgmnEbDx38UmmH7z19GRYEzXFiVOzHAy1OAaAbST7g2bHZHDKQp2qm3w==" saltValue="iRVuL+373yLHv0ZHzS9qog==" spinCount="100000" sqref="AJ64:AJ66 AG64:AH66" name="Rango2_88_7_5_7_1"/>
    <protectedRange algorithmName="SHA-512" hashValue="fPHvtIAf3pQeZUoAI9C2/vdXMHBpqqEq+67P5Ypyu4+9IWqs3yc9TZcMWQ0THLxUwqseQPyVvakuYFtCwJHsxA==" saltValue="QHIogSs2PrwAfdqa9PAOFQ==" spinCount="100000" sqref="AC64:AC66" name="Rango2_88_5_5_7_1"/>
    <protectedRange algorithmName="SHA-512" hashValue="LEEeiU6pKqm7TAP46VGlz0q+evvFwpT/0iLpRuWuQ7MacbP0OGL1/FSmrIEOg2rb6M+Jla2bPbVWiGag27j87w==" saltValue="HEVt+pS5OloNDlqSnzGLLw==" spinCount="100000" sqref="AI64:AI66" name="Rango2_8_7_7_1"/>
    <protectedRange algorithmName="SHA-512" hashValue="q2z5hEFmXS0v2chiPTC/VCoDWNlnhp+Xe6Ybfxe48vIsnB/KTJQxJv+pFUnCXfZ9T6vyJopuqFFNROfQTW/JUw==" saltValue="IctfdGJb5tOTpq+KPi9vww==" spinCount="100000" sqref="AE64:AF66" name="Rango2_88_39_7_1"/>
    <protectedRange algorithmName="SHA-512" hashValue="AYYX88LSDB6RDNMvSqt0KPGWPjBqTk56tMxTOlv5QD61MGTKAAQnSnudvNDWPN0Bbllh2qRQC+P5uq7goxjdrw==" saltValue="i/iPMewnks1FoXYOjKMEVg==" spinCount="100000" sqref="AB64:AB66" name="Rango2_87_6_7_1"/>
    <protectedRange algorithmName="SHA-512" hashValue="NUll9P9xh7KbSfMYpMxsRZLfDw/y/AzW2LSWlpXVscBDqiAxmzo71xjs+a2lh+jRa7pceOC849slke4+ZKx8LA==" saltValue="8qbkKpQ+CiQuLnqgShNvXA==" spinCount="100000" sqref="T64:T66" name="Rango2_88_6_7_1"/>
    <protectedRange algorithmName="SHA-512" hashValue="KHhv3JU/LRdRrRTxxkgFceEHPZ5UzadmpZRZR3zmQRnPvkUJZuanRafIJ+qde0IWwLZSvFIQDyUAHq6v6k7XIg==" saltValue="2GKG1kCzVNNcn+vbOPuhJA==" spinCount="100000" sqref="Q64:Q66" name="Rango2_2_5_7_1"/>
    <protectedRange algorithmName="SHA-512" hashValue="XZw03RosI/l0z9FxmTtF29EdZ7P+4+ybhqoaAAUmURojSR5XbGfjC4f2i8gMqfY+RI9JvfdCA6PSh9TduXfUxA==" saltValue="5TPtLq2WoiRSae/yaDPnTw==" spinCount="100000" sqref="U64:AA66 R64:S66" name="Rango2_99_21_1"/>
    <protectedRange algorithmName="SHA-512" hashValue="9+DNppQbWrLYYUMoJ+lyQctV2bX3Vq9kZnegLbpjTLP49It2ovUbcartuoQTeXgP+TGpY//7mDH/UQlFCKDGiA==" saltValue="KUnni6YEm00anzSSvyLqQA==" spinCount="100000" sqref="AD64:AD66" name="Rango2_34_1"/>
    <protectedRange algorithmName="SHA-512" hashValue="CHipOQaT63FWw628cQcXXJRZlrbNZ7OgmnEbDx38UmmH7z19GRYEzXFiVOzHAy1OAaAbST7g2bHZHDKQp2qm3w==" saltValue="iRVuL+373yLHv0ZHzS9qog==" spinCount="100000" sqref="AJ67 AG67:AH67" name="Rango2_88_7_5_8_1"/>
    <protectedRange algorithmName="SHA-512" hashValue="fPHvtIAf3pQeZUoAI9C2/vdXMHBpqqEq+67P5Ypyu4+9IWqs3yc9TZcMWQ0THLxUwqseQPyVvakuYFtCwJHsxA==" saltValue="QHIogSs2PrwAfdqa9PAOFQ==" spinCount="100000" sqref="AC67" name="Rango2_88_5_5_8_1"/>
    <protectedRange algorithmName="SHA-512" hashValue="LEEeiU6pKqm7TAP46VGlz0q+evvFwpT/0iLpRuWuQ7MacbP0OGL1/FSmrIEOg2rb6M+Jla2bPbVWiGag27j87w==" saltValue="HEVt+pS5OloNDlqSnzGLLw==" spinCount="100000" sqref="AI67" name="Rango2_8_7_8_1"/>
    <protectedRange algorithmName="SHA-512" hashValue="q2z5hEFmXS0v2chiPTC/VCoDWNlnhp+Xe6Ybfxe48vIsnB/KTJQxJv+pFUnCXfZ9T6vyJopuqFFNROfQTW/JUw==" saltValue="IctfdGJb5tOTpq+KPi9vww==" spinCount="100000" sqref="AE67:AF67" name="Rango2_88_39_8_1"/>
    <protectedRange algorithmName="SHA-512" hashValue="AYYX88LSDB6RDNMvSqt0KPGWPjBqTk56tMxTOlv5QD61MGTKAAQnSnudvNDWPN0Bbllh2qRQC+P5uq7goxjdrw==" saltValue="i/iPMewnks1FoXYOjKMEVg==" spinCount="100000" sqref="AB67" name="Rango2_87_6_8_1"/>
    <protectedRange algorithmName="SHA-512" hashValue="NUll9P9xh7KbSfMYpMxsRZLfDw/y/AzW2LSWlpXVscBDqiAxmzo71xjs+a2lh+jRa7pceOC849slke4+ZKx8LA==" saltValue="8qbkKpQ+CiQuLnqgShNvXA==" spinCount="100000" sqref="T67" name="Rango2_88_6_8_1"/>
    <protectedRange algorithmName="SHA-512" hashValue="KHhv3JU/LRdRrRTxxkgFceEHPZ5UzadmpZRZR3zmQRnPvkUJZuanRafIJ+qde0IWwLZSvFIQDyUAHq6v6k7XIg==" saltValue="2GKG1kCzVNNcn+vbOPuhJA==" spinCount="100000" sqref="Q67" name="Rango2_2_5_8_1"/>
    <protectedRange algorithmName="SHA-512" hashValue="XZw03RosI/l0z9FxmTtF29EdZ7P+4+ybhqoaAAUmURojSR5XbGfjC4f2i8gMqfY+RI9JvfdCA6PSh9TduXfUxA==" saltValue="5TPtLq2WoiRSae/yaDPnTw==" spinCount="100000" sqref="U67:AA67 R67:S67" name="Rango2_99_22_1"/>
    <protectedRange algorithmName="SHA-512" hashValue="9+DNppQbWrLYYUMoJ+lyQctV2bX3Vq9kZnegLbpjTLP49It2ovUbcartuoQTeXgP+TGpY//7mDH/UQlFCKDGiA==" saltValue="KUnni6YEm00anzSSvyLqQA==" spinCount="100000" sqref="AD67" name="Rango2_35_1"/>
    <protectedRange algorithmName="SHA-512" hashValue="CHipOQaT63FWw628cQcXXJRZlrbNZ7OgmnEbDx38UmmH7z19GRYEzXFiVOzHAy1OAaAbST7g2bHZHDKQp2qm3w==" saltValue="iRVuL+373yLHv0ZHzS9qog==" spinCount="100000" sqref="AJ68:AJ69 AG68:AH69" name="Rango2_88_7_5_9_1"/>
    <protectedRange algorithmName="SHA-512" hashValue="fPHvtIAf3pQeZUoAI9C2/vdXMHBpqqEq+67P5Ypyu4+9IWqs3yc9TZcMWQ0THLxUwqseQPyVvakuYFtCwJHsxA==" saltValue="QHIogSs2PrwAfdqa9PAOFQ==" spinCount="100000" sqref="AC68:AC69" name="Rango2_88_5_5_9_1"/>
    <protectedRange algorithmName="SHA-512" hashValue="LEEeiU6pKqm7TAP46VGlz0q+evvFwpT/0iLpRuWuQ7MacbP0OGL1/FSmrIEOg2rb6M+Jla2bPbVWiGag27j87w==" saltValue="HEVt+pS5OloNDlqSnzGLLw==" spinCount="100000" sqref="AI68:AI69" name="Rango2_8_7_9_1"/>
    <protectedRange algorithmName="SHA-512" hashValue="q2z5hEFmXS0v2chiPTC/VCoDWNlnhp+Xe6Ybfxe48vIsnB/KTJQxJv+pFUnCXfZ9T6vyJopuqFFNROfQTW/JUw==" saltValue="IctfdGJb5tOTpq+KPi9vww==" spinCount="100000" sqref="AE68:AF69" name="Rango2_88_39_9_1"/>
    <protectedRange algorithmName="SHA-512" hashValue="AYYX88LSDB6RDNMvSqt0KPGWPjBqTk56tMxTOlv5QD61MGTKAAQnSnudvNDWPN0Bbllh2qRQC+P5uq7goxjdrw==" saltValue="i/iPMewnks1FoXYOjKMEVg==" spinCount="100000" sqref="AB68:AB69" name="Rango2_87_6_9_1"/>
    <protectedRange algorithmName="SHA-512" hashValue="NUll9P9xh7KbSfMYpMxsRZLfDw/y/AzW2LSWlpXVscBDqiAxmzo71xjs+a2lh+jRa7pceOC849slke4+ZKx8LA==" saltValue="8qbkKpQ+CiQuLnqgShNvXA==" spinCount="100000" sqref="T68:T69" name="Rango2_88_6_9_1"/>
    <protectedRange algorithmName="SHA-512" hashValue="KHhv3JU/LRdRrRTxxkgFceEHPZ5UzadmpZRZR3zmQRnPvkUJZuanRafIJ+qde0IWwLZSvFIQDyUAHq6v6k7XIg==" saltValue="2GKG1kCzVNNcn+vbOPuhJA==" spinCount="100000" sqref="Q68:Q69" name="Rango2_2_5_9_1"/>
    <protectedRange algorithmName="SHA-512" hashValue="XZw03RosI/l0z9FxmTtF29EdZ7P+4+ybhqoaAAUmURojSR5XbGfjC4f2i8gMqfY+RI9JvfdCA6PSh9TduXfUxA==" saltValue="5TPtLq2WoiRSae/yaDPnTw==" spinCount="100000" sqref="U68:AA69 R68:S69" name="Rango2_99_23_2"/>
    <protectedRange algorithmName="SHA-512" hashValue="9+DNppQbWrLYYUMoJ+lyQctV2bX3Vq9kZnegLbpjTLP49It2ovUbcartuoQTeXgP+TGpY//7mDH/UQlFCKDGiA==" saltValue="KUnni6YEm00anzSSvyLqQA==" spinCount="100000" sqref="AD68:AD69" name="Rango2_36_1"/>
    <protectedRange algorithmName="SHA-512" hashValue="RQ91b7oAw60DVtcgB2vRpial2kSdzJx5guGCTYUwXYkKrtrUHfiYnLf9R+SNpYXlJDYpyEJLhcWwP0EqNN86dQ==" saltValue="W3RbH3zrcY9sy39xNwXNxg==" spinCount="100000" sqref="BA64:BI66" name="Rango2_88_99_7_1"/>
    <protectedRange algorithmName="SHA-512" hashValue="fMbmUM1DQ7FuAPRNvFL5mPdHUYjQnlLFhkuaxvHguaqR7aWyDxcmJs0jLYQfQKY+oyhsMb4Lew4VL6i7um3/ew==" saltValue="ydaTm0CeH8+/cYqoL/AMaQ==" spinCount="100000" sqref="AW64:AZ66 AU64:AU66" name="Rango2_88_91_7_1"/>
    <protectedRange algorithmName="SHA-512" hashValue="CHipOQaT63FWw628cQcXXJRZlrbNZ7OgmnEbDx38UmmH7z19GRYEzXFiVOzHAy1OAaAbST7g2bHZHDKQp2qm3w==" saltValue="iRVuL+373yLHv0ZHzS9qog==" spinCount="100000" sqref="AL64:AL66" name="Rango2_88_7_5_21_1"/>
    <protectedRange algorithmName="SHA-512" hashValue="NkG6oHuDGvGBEiLAAq8MEJHEfLQUMyjihfH+DBXhT+eQW0r1yri7tOJEFRM9nbOejjjXiviq9RFo7KB7wF+xJA==" saltValue="bpjB0AAANu2X/PeR3eiFkA==" spinCount="100000" sqref="AM64:AS66" name="Rango2_88_65_7_1"/>
    <protectedRange algorithmName="SHA-512" hashValue="XZw03RosI/l0z9FxmTtF29EdZ7P+4+ybhqoaAAUmURojSR5XbGfjC4f2i8gMqfY+RI9JvfdCA6PSh9TduXfUxA==" saltValue="5TPtLq2WoiRSae/yaDPnTw==" spinCount="100000" sqref="AV64:AV66 BJ65:BL66 AT64:AT66 BJ64:BK64" name="Rango2_99_35_1"/>
    <protectedRange algorithmName="SHA-512" hashValue="RQ91b7oAw60DVtcgB2vRpial2kSdzJx5guGCTYUwXYkKrtrUHfiYnLf9R+SNpYXlJDYpyEJLhcWwP0EqNN86dQ==" saltValue="W3RbH3zrcY9sy39xNwXNxg==" spinCount="100000" sqref="BA67:BI67" name="Rango2_88_99_8_1"/>
    <protectedRange algorithmName="SHA-512" hashValue="fMbmUM1DQ7FuAPRNvFL5mPdHUYjQnlLFhkuaxvHguaqR7aWyDxcmJs0jLYQfQKY+oyhsMb4Lew4VL6i7um3/ew==" saltValue="ydaTm0CeH8+/cYqoL/AMaQ==" spinCount="100000" sqref="AW67:AZ67 AU67" name="Rango2_88_91_8_1"/>
    <protectedRange algorithmName="SHA-512" hashValue="CHipOQaT63FWw628cQcXXJRZlrbNZ7OgmnEbDx38UmmH7z19GRYEzXFiVOzHAy1OAaAbST7g2bHZHDKQp2qm3w==" saltValue="iRVuL+373yLHv0ZHzS9qog==" spinCount="100000" sqref="AL67" name="Rango2_88_7_5_22_1"/>
    <protectedRange algorithmName="SHA-512" hashValue="NkG6oHuDGvGBEiLAAq8MEJHEfLQUMyjihfH+DBXhT+eQW0r1yri7tOJEFRM9nbOejjjXiviq9RFo7KB7wF+xJA==" saltValue="bpjB0AAANu2X/PeR3eiFkA==" spinCount="100000" sqref="AM67:AS67" name="Rango2_88_65_8_1"/>
    <protectedRange algorithmName="SHA-512" hashValue="XZw03RosI/l0z9FxmTtF29EdZ7P+4+ybhqoaAAUmURojSR5XbGfjC4f2i8gMqfY+RI9JvfdCA6PSh9TduXfUxA==" saltValue="5TPtLq2WoiRSae/yaDPnTw==" spinCount="100000" sqref="AV67 BJ67:BK67 AT67" name="Rango2_99_36_1"/>
    <protectedRange algorithmName="SHA-512" hashValue="RQ91b7oAw60DVtcgB2vRpial2kSdzJx5guGCTYUwXYkKrtrUHfiYnLf9R+SNpYXlJDYpyEJLhcWwP0EqNN86dQ==" saltValue="W3RbH3zrcY9sy39xNwXNxg==" spinCount="100000" sqref="BA68:BI69" name="Rango2_88_99_9_1"/>
    <protectedRange algorithmName="SHA-512" hashValue="fMbmUM1DQ7FuAPRNvFL5mPdHUYjQnlLFhkuaxvHguaqR7aWyDxcmJs0jLYQfQKY+oyhsMb4Lew4VL6i7um3/ew==" saltValue="ydaTm0CeH8+/cYqoL/AMaQ==" spinCount="100000" sqref="AW68:AZ69 AU68:AU69" name="Rango2_88_91_9_1"/>
    <protectedRange algorithmName="SHA-512" hashValue="CHipOQaT63FWw628cQcXXJRZlrbNZ7OgmnEbDx38UmmH7z19GRYEzXFiVOzHAy1OAaAbST7g2bHZHDKQp2qm3w==" saltValue="iRVuL+373yLHv0ZHzS9qog==" spinCount="100000" sqref="AL68:AL69" name="Rango2_88_7_5_23_1"/>
    <protectedRange algorithmName="SHA-512" hashValue="NkG6oHuDGvGBEiLAAq8MEJHEfLQUMyjihfH+DBXhT+eQW0r1yri7tOJEFRM9nbOejjjXiviq9RFo7KB7wF+xJA==" saltValue="bpjB0AAANu2X/PeR3eiFkA==" spinCount="100000" sqref="AM68:AS69" name="Rango2_88_65_9_1"/>
    <protectedRange algorithmName="SHA-512" hashValue="XZw03RosI/l0z9FxmTtF29EdZ7P+4+ybhqoaAAUmURojSR5XbGfjC4f2i8gMqfY+RI9JvfdCA6PSh9TduXfUxA==" saltValue="5TPtLq2WoiRSae/yaDPnTw==" spinCount="100000" sqref="AV68:AV69 BJ69:BL69 AT68:AT69 BJ68:BK68" name="Rango2_99_37_1"/>
    <protectedRange algorithmName="SHA-512" hashValue="RQ91b7oAw60DVtcgB2vRpial2kSdzJx5guGCTYUwXYkKrtrUHfiYnLf9R+SNpYXlJDYpyEJLhcWwP0EqNN86dQ==" saltValue="W3RbH3zrcY9sy39xNwXNxg==" spinCount="100000" sqref="BV64:BY66" name="Rango2_88_99_21_1"/>
    <protectedRange algorithmName="SHA-512" hashValue="XZw03RosI/l0z9FxmTtF29EdZ7P+4+ybhqoaAAUmURojSR5XbGfjC4f2i8gMqfY+RI9JvfdCA6PSh9TduXfUxA==" saltValue="5TPtLq2WoiRSae/yaDPnTw==" spinCount="100000" sqref="BZ64:CB66 BR64:BU66" name="Rango2_99_49"/>
    <protectedRange algorithmName="SHA-512" hashValue="RQ91b7oAw60DVtcgB2vRpial2kSdzJx5guGCTYUwXYkKrtrUHfiYnLf9R+SNpYXlJDYpyEJLhcWwP0EqNN86dQ==" saltValue="W3RbH3zrcY9sy39xNwXNxg==" spinCount="100000" sqref="BV67:BY67" name="Rango2_88_99_22_1"/>
    <protectedRange algorithmName="SHA-512" hashValue="XZw03RosI/l0z9FxmTtF29EdZ7P+4+ybhqoaAAUmURojSR5XbGfjC4f2i8gMqfY+RI9JvfdCA6PSh9TduXfUxA==" saltValue="5TPtLq2WoiRSae/yaDPnTw==" spinCount="100000" sqref="BZ67:CB67 BR67:BU67" name="Rango2_99_50"/>
    <protectedRange algorithmName="SHA-512" hashValue="RQ91b7oAw60DVtcgB2vRpial2kSdzJx5guGCTYUwXYkKrtrUHfiYnLf9R+SNpYXlJDYpyEJLhcWwP0EqNN86dQ==" saltValue="W3RbH3zrcY9sy39xNwXNxg==" spinCount="100000" sqref="BV68:BY69" name="Rango2_88_99_23_1"/>
    <protectedRange algorithmName="SHA-512" hashValue="XZw03RosI/l0z9FxmTtF29EdZ7P+4+ybhqoaAAUmURojSR5XbGfjC4f2i8gMqfY+RI9JvfdCA6PSh9TduXfUxA==" saltValue="5TPtLq2WoiRSae/yaDPnTw==" spinCount="100000" sqref="BZ68:CB69 BR68:BU69" name="Rango2_99_51"/>
    <protectedRange algorithmName="SHA-512" hashValue="XZw03RosI/l0z9FxmTtF29EdZ7P+4+ybhqoaAAUmURojSR5XbGfjC4f2i8gMqfY+RI9JvfdCA6PSh9TduXfUxA==" saltValue="5TPtLq2WoiRSae/yaDPnTw==" spinCount="100000" sqref="CE64:CF66" name="Rango2_99_63"/>
    <protectedRange algorithmName="SHA-512" hashValue="XZw03RosI/l0z9FxmTtF29EdZ7P+4+ybhqoaAAUmURojSR5XbGfjC4f2i8gMqfY+RI9JvfdCA6PSh9TduXfUxA==" saltValue="5TPtLq2WoiRSae/yaDPnTw==" spinCount="100000" sqref="CE67:CF67" name="Rango2_99_64"/>
    <protectedRange algorithmName="SHA-512" hashValue="XZw03RosI/l0z9FxmTtF29EdZ7P+4+ybhqoaAAUmURojSR5XbGfjC4f2i8gMqfY+RI9JvfdCA6PSh9TduXfUxA==" saltValue="5TPtLq2WoiRSae/yaDPnTw==" spinCount="100000" sqref="CE68:CF69" name="Rango2_99_66"/>
    <protectedRange algorithmName="SHA-512" hashValue="XZw03RosI/l0z9FxmTtF29EdZ7P+4+ybhqoaAAUmURojSR5XbGfjC4f2i8gMqfY+RI9JvfdCA6PSh9TduXfUxA==" saltValue="5TPtLq2WoiRSae/yaDPnTw==" spinCount="100000" sqref="CJ64:CK66" name="Rango2_99_77"/>
    <protectedRange algorithmName="SHA-512" hashValue="XZw03RosI/l0z9FxmTtF29EdZ7P+4+ybhqoaAAUmURojSR5XbGfjC4f2i8gMqfY+RI9JvfdCA6PSh9TduXfUxA==" saltValue="5TPtLq2WoiRSae/yaDPnTw==" spinCount="100000" sqref="CJ67:CK67" name="Rango2_99_79"/>
    <protectedRange algorithmName="SHA-512" hashValue="XZw03RosI/l0z9FxmTtF29EdZ7P+4+ybhqoaAAUmURojSR5XbGfjC4f2i8gMqfY+RI9JvfdCA6PSh9TduXfUxA==" saltValue="5TPtLq2WoiRSae/yaDPnTw==" spinCount="100000" sqref="CJ68:CK69" name="Rango2_99_80"/>
    <protectedRange algorithmName="SHA-512" hashValue="XZw03RosI/l0z9FxmTtF29EdZ7P+4+ybhqoaAAUmURojSR5XbGfjC4f2i8gMqfY+RI9JvfdCA6PSh9TduXfUxA==" saltValue="5TPtLq2WoiRSae/yaDPnTw==" spinCount="100000" sqref="CP64:CQ66" name="Rango2_99_92"/>
    <protectedRange algorithmName="SHA-512" hashValue="XZw03RosI/l0z9FxmTtF29EdZ7P+4+ybhqoaAAUmURojSR5XbGfjC4f2i8gMqfY+RI9JvfdCA6PSh9TduXfUxA==" saltValue="5TPtLq2WoiRSae/yaDPnTw==" spinCount="100000" sqref="CP67:CQ67" name="Rango2_99_93"/>
    <protectedRange algorithmName="SHA-512" hashValue="XZw03RosI/l0z9FxmTtF29EdZ7P+4+ybhqoaAAUmURojSR5XbGfjC4f2i8gMqfY+RI9JvfdCA6PSh9TduXfUxA==" saltValue="5TPtLq2WoiRSae/yaDPnTw==" spinCount="100000" sqref="CP68:CQ69" name="Rango2_99_94"/>
    <protectedRange algorithmName="SHA-512" hashValue="XZw03RosI/l0z9FxmTtF29EdZ7P+4+ybhqoaAAUmURojSR5XbGfjC4f2i8gMqfY+RI9JvfdCA6PSh9TduXfUxA==" saltValue="5TPtLq2WoiRSae/yaDPnTw==" spinCount="100000" sqref="O70" name="Rango2_99_10_1"/>
    <protectedRange algorithmName="SHA-512" hashValue="XZw03RosI/l0z9FxmTtF29EdZ7P+4+ybhqoaAAUmURojSR5XbGfjC4f2i8gMqfY+RI9JvfdCA6PSh9TduXfUxA==" saltValue="5TPtLq2WoiRSae/yaDPnTw==" spinCount="100000" sqref="O71" name="Rango2_99_11_1"/>
    <protectedRange algorithmName="SHA-512" hashValue="CHipOQaT63FWw628cQcXXJRZlrbNZ7OgmnEbDx38UmmH7z19GRYEzXFiVOzHAy1OAaAbST7g2bHZHDKQp2qm3w==" saltValue="iRVuL+373yLHv0ZHzS9qog==" spinCount="100000" sqref="AJ70 AG70:AH70" name="Rango2_88_7_5_10_1"/>
    <protectedRange algorithmName="SHA-512" hashValue="fPHvtIAf3pQeZUoAI9C2/vdXMHBpqqEq+67P5Ypyu4+9IWqs3yc9TZcMWQ0THLxUwqseQPyVvakuYFtCwJHsxA==" saltValue="QHIogSs2PrwAfdqa9PAOFQ==" spinCount="100000" sqref="AC70" name="Rango2_88_5_5_10_1"/>
    <protectedRange algorithmName="SHA-512" hashValue="LEEeiU6pKqm7TAP46VGlz0q+evvFwpT/0iLpRuWuQ7MacbP0OGL1/FSmrIEOg2rb6M+Jla2bPbVWiGag27j87w==" saltValue="HEVt+pS5OloNDlqSnzGLLw==" spinCount="100000" sqref="AI70" name="Rango2_8_7_10_1"/>
    <protectedRange algorithmName="SHA-512" hashValue="q2z5hEFmXS0v2chiPTC/VCoDWNlnhp+Xe6Ybfxe48vIsnB/KTJQxJv+pFUnCXfZ9T6vyJopuqFFNROfQTW/JUw==" saltValue="IctfdGJb5tOTpq+KPi9vww==" spinCount="100000" sqref="AE70:AF70" name="Rango2_88_39_10_1"/>
    <protectedRange algorithmName="SHA-512" hashValue="AYYX88LSDB6RDNMvSqt0KPGWPjBqTk56tMxTOlv5QD61MGTKAAQnSnudvNDWPN0Bbllh2qRQC+P5uq7goxjdrw==" saltValue="i/iPMewnks1FoXYOjKMEVg==" spinCount="100000" sqref="AB70" name="Rango2_87_6_10_1"/>
    <protectedRange algorithmName="SHA-512" hashValue="NUll9P9xh7KbSfMYpMxsRZLfDw/y/AzW2LSWlpXVscBDqiAxmzo71xjs+a2lh+jRa7pceOC849slke4+ZKx8LA==" saltValue="8qbkKpQ+CiQuLnqgShNvXA==" spinCount="100000" sqref="T70" name="Rango2_88_6_10_1"/>
    <protectedRange algorithmName="SHA-512" hashValue="KHhv3JU/LRdRrRTxxkgFceEHPZ5UzadmpZRZR3zmQRnPvkUJZuanRafIJ+qde0IWwLZSvFIQDyUAHq6v6k7XIg==" saltValue="2GKG1kCzVNNcn+vbOPuhJA==" spinCount="100000" sqref="Q70" name="Rango2_2_5_10_1"/>
    <protectedRange algorithmName="SHA-512" hashValue="XZw03RosI/l0z9FxmTtF29EdZ7P+4+ybhqoaAAUmURojSR5XbGfjC4f2i8gMqfY+RI9JvfdCA6PSh9TduXfUxA==" saltValue="5TPtLq2WoiRSae/yaDPnTw==" spinCount="100000" sqref="U70:AA70 R70:S70" name="Rango2_99_24_2"/>
    <protectedRange algorithmName="SHA-512" hashValue="9+DNppQbWrLYYUMoJ+lyQctV2bX3Vq9kZnegLbpjTLP49It2ovUbcartuoQTeXgP+TGpY//7mDH/UQlFCKDGiA==" saltValue="KUnni6YEm00anzSSvyLqQA==" spinCount="100000" sqref="AD70" name="Rango2_37_1"/>
    <protectedRange algorithmName="SHA-512" hashValue="CHipOQaT63FWw628cQcXXJRZlrbNZ7OgmnEbDx38UmmH7z19GRYEzXFiVOzHAy1OAaAbST7g2bHZHDKQp2qm3w==" saltValue="iRVuL+373yLHv0ZHzS9qog==" spinCount="100000" sqref="AJ71 AG71:AH71" name="Rango2_88_7_5_11_1"/>
    <protectedRange algorithmName="SHA-512" hashValue="fPHvtIAf3pQeZUoAI9C2/vdXMHBpqqEq+67P5Ypyu4+9IWqs3yc9TZcMWQ0THLxUwqseQPyVvakuYFtCwJHsxA==" saltValue="QHIogSs2PrwAfdqa9PAOFQ==" spinCount="100000" sqref="AC71" name="Rango2_88_5_5_11_1"/>
    <protectedRange algorithmName="SHA-512" hashValue="LEEeiU6pKqm7TAP46VGlz0q+evvFwpT/0iLpRuWuQ7MacbP0OGL1/FSmrIEOg2rb6M+Jla2bPbVWiGag27j87w==" saltValue="HEVt+pS5OloNDlqSnzGLLw==" spinCount="100000" sqref="AI71" name="Rango2_8_7_11_1"/>
    <protectedRange algorithmName="SHA-512" hashValue="q2z5hEFmXS0v2chiPTC/VCoDWNlnhp+Xe6Ybfxe48vIsnB/KTJQxJv+pFUnCXfZ9T6vyJopuqFFNROfQTW/JUw==" saltValue="IctfdGJb5tOTpq+KPi9vww==" spinCount="100000" sqref="AE71:AF71" name="Rango2_88_39_11_1"/>
    <protectedRange algorithmName="SHA-512" hashValue="AYYX88LSDB6RDNMvSqt0KPGWPjBqTk56tMxTOlv5QD61MGTKAAQnSnudvNDWPN0Bbllh2qRQC+P5uq7goxjdrw==" saltValue="i/iPMewnks1FoXYOjKMEVg==" spinCount="100000" sqref="AB71" name="Rango2_87_6_11_1"/>
    <protectedRange algorithmName="SHA-512" hashValue="NUll9P9xh7KbSfMYpMxsRZLfDw/y/AzW2LSWlpXVscBDqiAxmzo71xjs+a2lh+jRa7pceOC849slke4+ZKx8LA==" saltValue="8qbkKpQ+CiQuLnqgShNvXA==" spinCount="100000" sqref="T71" name="Rango2_88_6_11_1"/>
    <protectedRange algorithmName="SHA-512" hashValue="KHhv3JU/LRdRrRTxxkgFceEHPZ5UzadmpZRZR3zmQRnPvkUJZuanRafIJ+qde0IWwLZSvFIQDyUAHq6v6k7XIg==" saltValue="2GKG1kCzVNNcn+vbOPuhJA==" spinCount="100000" sqref="Q71" name="Rango2_2_5_11_1"/>
    <protectedRange algorithmName="SHA-512" hashValue="XZw03RosI/l0z9FxmTtF29EdZ7P+4+ybhqoaAAUmURojSR5XbGfjC4f2i8gMqfY+RI9JvfdCA6PSh9TduXfUxA==" saltValue="5TPtLq2WoiRSae/yaDPnTw==" spinCount="100000" sqref="U71:AA71 R71:S71" name="Rango2_99_25_1"/>
    <protectedRange algorithmName="SHA-512" hashValue="9+DNppQbWrLYYUMoJ+lyQctV2bX3Vq9kZnegLbpjTLP49It2ovUbcartuoQTeXgP+TGpY//7mDH/UQlFCKDGiA==" saltValue="KUnni6YEm00anzSSvyLqQA==" spinCount="100000" sqref="AD71" name="Rango2_38_1"/>
    <protectedRange algorithmName="SHA-512" hashValue="RQ91b7oAw60DVtcgB2vRpial2kSdzJx5guGCTYUwXYkKrtrUHfiYnLf9R+SNpYXlJDYpyEJLhcWwP0EqNN86dQ==" saltValue="W3RbH3zrcY9sy39xNwXNxg==" spinCount="100000" sqref="BA70:BI70" name="Rango2_88_99_10_1"/>
    <protectedRange algorithmName="SHA-512" hashValue="fMbmUM1DQ7FuAPRNvFL5mPdHUYjQnlLFhkuaxvHguaqR7aWyDxcmJs0jLYQfQKY+oyhsMb4Lew4VL6i7um3/ew==" saltValue="ydaTm0CeH8+/cYqoL/AMaQ==" spinCount="100000" sqref="AW70:AZ70 AU70" name="Rango2_88_91_10_1"/>
    <protectedRange algorithmName="SHA-512" hashValue="CHipOQaT63FWw628cQcXXJRZlrbNZ7OgmnEbDx38UmmH7z19GRYEzXFiVOzHAy1OAaAbST7g2bHZHDKQp2qm3w==" saltValue="iRVuL+373yLHv0ZHzS9qog==" spinCount="100000" sqref="AL70" name="Rango2_88_7_5_24"/>
    <protectedRange algorithmName="SHA-512" hashValue="NkG6oHuDGvGBEiLAAq8MEJHEfLQUMyjihfH+DBXhT+eQW0r1yri7tOJEFRM9nbOejjjXiviq9RFo7KB7wF+xJA==" saltValue="bpjB0AAANu2X/PeR3eiFkA==" spinCount="100000" sqref="AM70:AS70" name="Rango2_88_65_10_1"/>
    <protectedRange algorithmName="SHA-512" hashValue="XZw03RosI/l0z9FxmTtF29EdZ7P+4+ybhqoaAAUmURojSR5XbGfjC4f2i8gMqfY+RI9JvfdCA6PSh9TduXfUxA==" saltValue="5TPtLq2WoiRSae/yaDPnTw==" spinCount="100000" sqref="AV70 BJ70:BL70 AT70" name="Rango2_99_38_1"/>
    <protectedRange algorithmName="SHA-512" hashValue="RQ91b7oAw60DVtcgB2vRpial2kSdzJx5guGCTYUwXYkKrtrUHfiYnLf9R+SNpYXlJDYpyEJLhcWwP0EqNN86dQ==" saltValue="W3RbH3zrcY9sy39xNwXNxg==" spinCount="100000" sqref="BA71:BI71" name="Rango2_88_99_11_1"/>
    <protectedRange algorithmName="SHA-512" hashValue="fMbmUM1DQ7FuAPRNvFL5mPdHUYjQnlLFhkuaxvHguaqR7aWyDxcmJs0jLYQfQKY+oyhsMb4Lew4VL6i7um3/ew==" saltValue="ydaTm0CeH8+/cYqoL/AMaQ==" spinCount="100000" sqref="AW71:AZ71 AU71" name="Rango2_88_91_11_1"/>
    <protectedRange algorithmName="SHA-512" hashValue="CHipOQaT63FWw628cQcXXJRZlrbNZ7OgmnEbDx38UmmH7z19GRYEzXFiVOzHAy1OAaAbST7g2bHZHDKQp2qm3w==" saltValue="iRVuL+373yLHv0ZHzS9qog==" spinCount="100000" sqref="AL71" name="Rango2_88_7_5_25"/>
    <protectedRange algorithmName="SHA-512" hashValue="NkG6oHuDGvGBEiLAAq8MEJHEfLQUMyjihfH+DBXhT+eQW0r1yri7tOJEFRM9nbOejjjXiviq9RFo7KB7wF+xJA==" saltValue="bpjB0AAANu2X/PeR3eiFkA==" spinCount="100000" sqref="AM71:AS71" name="Rango2_88_65_11_1"/>
    <protectedRange algorithmName="SHA-512" hashValue="XZw03RosI/l0z9FxmTtF29EdZ7P+4+ybhqoaAAUmURojSR5XbGfjC4f2i8gMqfY+RI9JvfdCA6PSh9TduXfUxA==" saltValue="5TPtLq2WoiRSae/yaDPnTw==" spinCount="100000" sqref="AV71 BJ71:BK71 AT71" name="Rango2_99_40_1"/>
    <protectedRange algorithmName="SHA-512" hashValue="RQ91b7oAw60DVtcgB2vRpial2kSdzJx5guGCTYUwXYkKrtrUHfiYnLf9R+SNpYXlJDYpyEJLhcWwP0EqNN86dQ==" saltValue="W3RbH3zrcY9sy39xNwXNxg==" spinCount="100000" sqref="BV70:BY70" name="Rango2_88_99_24"/>
    <protectedRange algorithmName="SHA-512" hashValue="XZw03RosI/l0z9FxmTtF29EdZ7P+4+ybhqoaAAUmURojSR5XbGfjC4f2i8gMqfY+RI9JvfdCA6PSh9TduXfUxA==" saltValue="5TPtLq2WoiRSae/yaDPnTw==" spinCount="100000" sqref="BZ70:CB70 BR70:BU70" name="Rango2_99_53"/>
    <protectedRange algorithmName="SHA-512" hashValue="RQ91b7oAw60DVtcgB2vRpial2kSdzJx5guGCTYUwXYkKrtrUHfiYnLf9R+SNpYXlJDYpyEJLhcWwP0EqNN86dQ==" saltValue="W3RbH3zrcY9sy39xNwXNxg==" spinCount="100000" sqref="BV71:BY71" name="Rango2_88_99_25"/>
    <protectedRange algorithmName="SHA-512" hashValue="XZw03RosI/l0z9FxmTtF29EdZ7P+4+ybhqoaAAUmURojSR5XbGfjC4f2i8gMqfY+RI9JvfdCA6PSh9TduXfUxA==" saltValue="5TPtLq2WoiRSae/yaDPnTw==" spinCount="100000" sqref="BZ71:CB71 BR71:BU71" name="Rango2_99_54"/>
    <protectedRange algorithmName="SHA-512" hashValue="XZw03RosI/l0z9FxmTtF29EdZ7P+4+ybhqoaAAUmURojSR5XbGfjC4f2i8gMqfY+RI9JvfdCA6PSh9TduXfUxA==" saltValue="5TPtLq2WoiRSae/yaDPnTw==" spinCount="100000" sqref="CE70:CF70" name="Rango2_99_67"/>
    <protectedRange algorithmName="SHA-512" hashValue="XZw03RosI/l0z9FxmTtF29EdZ7P+4+ybhqoaAAUmURojSR5XbGfjC4f2i8gMqfY+RI9JvfdCA6PSh9TduXfUxA==" saltValue="5TPtLq2WoiRSae/yaDPnTw==" spinCount="100000" sqref="CE71:CF71" name="Rango2_99_68"/>
    <protectedRange algorithmName="SHA-512" hashValue="XZw03RosI/l0z9FxmTtF29EdZ7P+4+ybhqoaAAUmURojSR5XbGfjC4f2i8gMqfY+RI9JvfdCA6PSh9TduXfUxA==" saltValue="5TPtLq2WoiRSae/yaDPnTw==" spinCount="100000" sqref="CJ70:CK70" name="Rango2_99_81"/>
    <protectedRange algorithmName="SHA-512" hashValue="XZw03RosI/l0z9FxmTtF29EdZ7P+4+ybhqoaAAUmURojSR5XbGfjC4f2i8gMqfY+RI9JvfdCA6PSh9TduXfUxA==" saltValue="5TPtLq2WoiRSae/yaDPnTw==" spinCount="100000" sqref="CJ71:CK71" name="Rango2_99_82"/>
    <protectedRange algorithmName="SHA-512" hashValue="XZw03RosI/l0z9FxmTtF29EdZ7P+4+ybhqoaAAUmURojSR5XbGfjC4f2i8gMqfY+RI9JvfdCA6PSh9TduXfUxA==" saltValue="5TPtLq2WoiRSae/yaDPnTw==" spinCount="100000" sqref="CP70:CQ70" name="Rango2_99_95"/>
    <protectedRange algorithmName="SHA-512" hashValue="XZw03RosI/l0z9FxmTtF29EdZ7P+4+ybhqoaAAUmURojSR5XbGfjC4f2i8gMqfY+RI9JvfdCA6PSh9TduXfUxA==" saltValue="5TPtLq2WoiRSae/yaDPnTw==" spinCount="100000" sqref="CP71:CQ71" name="Rango2_99_96"/>
    <protectedRange algorithmName="SHA-512" hashValue="XZw03RosI/l0z9FxmTtF29EdZ7P+4+ybhqoaAAUmURojSR5XbGfjC4f2i8gMqfY+RI9JvfdCA6PSh9TduXfUxA==" saltValue="5TPtLq2WoiRSae/yaDPnTw==" spinCount="100000" sqref="O72:O75" name="Rango2_99_14_1"/>
    <protectedRange algorithmName="SHA-512" hashValue="CHipOQaT63FWw628cQcXXJRZlrbNZ7OgmnEbDx38UmmH7z19GRYEzXFiVOzHAy1OAaAbST7g2bHZHDKQp2qm3w==" saltValue="iRVuL+373yLHv0ZHzS9qog==" spinCount="100000" sqref="AJ72:AJ75 AG72:AH75" name="Rango2_88_7_5_14_1"/>
    <protectedRange algorithmName="SHA-512" hashValue="fPHvtIAf3pQeZUoAI9C2/vdXMHBpqqEq+67P5Ypyu4+9IWqs3yc9TZcMWQ0THLxUwqseQPyVvakuYFtCwJHsxA==" saltValue="QHIogSs2PrwAfdqa9PAOFQ==" spinCount="100000" sqref="AC72:AC75" name="Rango2_88_5_5_23"/>
    <protectedRange algorithmName="SHA-512" hashValue="LEEeiU6pKqm7TAP46VGlz0q+evvFwpT/0iLpRuWuQ7MacbP0OGL1/FSmrIEOg2rb6M+Jla2bPbVWiGag27j87w==" saltValue="HEVt+pS5OloNDlqSnzGLLw==" spinCount="100000" sqref="AI72:AI75" name="Rango2_8_7_23_1"/>
    <protectedRange algorithmName="SHA-512" hashValue="q2z5hEFmXS0v2chiPTC/VCoDWNlnhp+Xe6Ybfxe48vIsnB/KTJQxJv+pFUnCXfZ9T6vyJopuqFFNROfQTW/JUw==" saltValue="IctfdGJb5tOTpq+KPi9vww==" spinCount="100000" sqref="AE72:AF75" name="Rango2_88_39_41_1"/>
    <protectedRange algorithmName="SHA-512" hashValue="AYYX88LSDB6RDNMvSqt0KPGWPjBqTk56tMxTOlv5QD61MGTKAAQnSnudvNDWPN0Bbllh2qRQC+P5uq7goxjdrw==" saltValue="i/iPMewnks1FoXYOjKMEVg==" spinCount="100000" sqref="AB72:AB75" name="Rango2_87_6_23_1"/>
    <protectedRange algorithmName="SHA-512" hashValue="NUll9P9xh7KbSfMYpMxsRZLfDw/y/AzW2LSWlpXVscBDqiAxmzo71xjs+a2lh+jRa7pceOC849slke4+ZKx8LA==" saltValue="8qbkKpQ+CiQuLnqgShNvXA==" spinCount="100000" sqref="T72:T75" name="Rango2_88_6_23_1"/>
    <protectedRange algorithmName="SHA-512" hashValue="KHhv3JU/LRdRrRTxxkgFceEHPZ5UzadmpZRZR3zmQRnPvkUJZuanRafIJ+qde0IWwLZSvFIQDyUAHq6v6k7XIg==" saltValue="2GKG1kCzVNNcn+vbOPuhJA==" spinCount="100000" sqref="Q72:Q75" name="Rango2_2_5_23_1"/>
    <protectedRange algorithmName="SHA-512" hashValue="XZw03RosI/l0z9FxmTtF29EdZ7P+4+ybhqoaAAUmURojSR5XbGfjC4f2i8gMqfY+RI9JvfdCA6PSh9TduXfUxA==" saltValue="5TPtLq2WoiRSae/yaDPnTw==" spinCount="100000" sqref="U72:AA75 R72:S75" name="Rango2_99_28_1"/>
    <protectedRange algorithmName="SHA-512" hashValue="RQ91b7oAw60DVtcgB2vRpial2kSdzJx5guGCTYUwXYkKrtrUHfiYnLf9R+SNpYXlJDYpyEJLhcWwP0EqNN86dQ==" saltValue="W3RbH3zrcY9sy39xNwXNxg==" spinCount="100000" sqref="BA72:BI75" name="Rango2_88_99_14_1"/>
    <protectedRange algorithmName="SHA-512" hashValue="fMbmUM1DQ7FuAPRNvFL5mPdHUYjQnlLFhkuaxvHguaqR7aWyDxcmJs0jLYQfQKY+oyhsMb4Lew4VL6i7um3/ew==" saltValue="ydaTm0CeH8+/cYqoL/AMaQ==" spinCount="100000" sqref="AW72:AZ75 AU72:AU75" name="Rango2_88_91_23_1"/>
    <protectedRange algorithmName="SHA-512" hashValue="CHipOQaT63FWw628cQcXXJRZlrbNZ7OgmnEbDx38UmmH7z19GRYEzXFiVOzHAy1OAaAbST7g2bHZHDKQp2qm3w==" saltValue="iRVuL+373yLHv0ZHzS9qog==" spinCount="100000" sqref="AL72:AL75" name="Rango2_88_7_5_46"/>
    <protectedRange algorithmName="SHA-512" hashValue="NkG6oHuDGvGBEiLAAq8MEJHEfLQUMyjihfH+DBXhT+eQW0r1yri7tOJEFRM9nbOejjjXiviq9RFo7KB7wF+xJA==" saltValue="bpjB0AAANu2X/PeR3eiFkA==" spinCount="100000" sqref="AM72:AS75" name="Rango2_88_65_23_1"/>
    <protectedRange algorithmName="SHA-512" hashValue="XZw03RosI/l0z9FxmTtF29EdZ7P+4+ybhqoaAAUmURojSR5XbGfjC4f2i8gMqfY+RI9JvfdCA6PSh9TduXfUxA==" saltValue="5TPtLq2WoiRSae/yaDPnTw==" spinCount="100000" sqref="AV72:AV75 BJ73:BL75 AT72:AT75 BJ72:BK72" name="Rango2_99_42_1"/>
    <protectedRange algorithmName="SHA-512" hashValue="RQ91b7oAw60DVtcgB2vRpial2kSdzJx5guGCTYUwXYkKrtrUHfiYnLf9R+SNpYXlJDYpyEJLhcWwP0EqNN86dQ==" saltValue="W3RbH3zrcY9sy39xNwXNxg==" spinCount="100000" sqref="BV72:BY75" name="Rango2_88_99_46"/>
    <protectedRange algorithmName="SHA-512" hashValue="XZw03RosI/l0z9FxmTtF29EdZ7P+4+ybhqoaAAUmURojSR5XbGfjC4f2i8gMqfY+RI9JvfdCA6PSh9TduXfUxA==" saltValue="5TPtLq2WoiRSae/yaDPnTw==" spinCount="100000" sqref="BZ72:CA75 BR72:BU75 CB73:CB75" name="Rango2_99_56"/>
    <protectedRange algorithmName="SHA-512" hashValue="XZw03RosI/l0z9FxmTtF29EdZ7P+4+ybhqoaAAUmURojSR5XbGfjC4f2i8gMqfY+RI9JvfdCA6PSh9TduXfUxA==" saltValue="5TPtLq2WoiRSae/yaDPnTw==" spinCount="100000" sqref="DE73 CJ73:CJ74 CE72:CF75" name="Rango2_99_70"/>
    <protectedRange algorithmName="SHA-512" hashValue="XZw03RosI/l0z9FxmTtF29EdZ7P+4+ybhqoaAAUmURojSR5XbGfjC4f2i8gMqfY+RI9JvfdCA6PSh9TduXfUxA==" saltValue="5TPtLq2WoiRSae/yaDPnTw==" spinCount="100000" sqref="CJ72:CK72 CJ75:CK75 CK73:CK74" name="Rango2_99_84"/>
    <protectedRange algorithmName="SHA-512" hashValue="XZw03RosI/l0z9FxmTtF29EdZ7P+4+ybhqoaAAUmURojSR5XbGfjC4f2i8gMqfY+RI9JvfdCA6PSh9TduXfUxA==" saltValue="5TPtLq2WoiRSae/yaDPnTw==" spinCount="100000" sqref="CP73:CQ75" name="Rango2_99_98"/>
    <protectedRange algorithmName="SHA-512" hashValue="XZw03RosI/l0z9FxmTtF29EdZ7P+4+ybhqoaAAUmURojSR5XbGfjC4f2i8gMqfY+RI9JvfdCA6PSh9TduXfUxA==" saltValue="5TPtLq2WoiRSae/yaDPnTw==" spinCount="100000" sqref="O76" name="Rango2_99_14_2"/>
    <protectedRange algorithmName="SHA-512" hashValue="CHipOQaT63FWw628cQcXXJRZlrbNZ7OgmnEbDx38UmmH7z19GRYEzXFiVOzHAy1OAaAbST7g2bHZHDKQp2qm3w==" saltValue="iRVuL+373yLHv0ZHzS9qog==" spinCount="100000" sqref="AJ76 AG76:AH76" name="Rango2_88_7_5_14_2"/>
    <protectedRange algorithmName="SHA-512" hashValue="fPHvtIAf3pQeZUoAI9C2/vdXMHBpqqEq+67P5Ypyu4+9IWqs3yc9TZcMWQ0THLxUwqseQPyVvakuYFtCwJHsxA==" saltValue="QHIogSs2PrwAfdqa9PAOFQ==" spinCount="100000" sqref="AC76" name="Rango2_88_5_5_23_1"/>
    <protectedRange algorithmName="SHA-512" hashValue="LEEeiU6pKqm7TAP46VGlz0q+evvFwpT/0iLpRuWuQ7MacbP0OGL1/FSmrIEOg2rb6M+Jla2bPbVWiGag27j87w==" saltValue="HEVt+pS5OloNDlqSnzGLLw==" spinCount="100000" sqref="AI76" name="Rango2_8_7_23_2"/>
    <protectedRange algorithmName="SHA-512" hashValue="q2z5hEFmXS0v2chiPTC/VCoDWNlnhp+Xe6Ybfxe48vIsnB/KTJQxJv+pFUnCXfZ9T6vyJopuqFFNROfQTW/JUw==" saltValue="IctfdGJb5tOTpq+KPi9vww==" spinCount="100000" sqref="AE76:AF76" name="Rango2_88_39_41_2"/>
    <protectedRange algorithmName="SHA-512" hashValue="AYYX88LSDB6RDNMvSqt0KPGWPjBqTk56tMxTOlv5QD61MGTKAAQnSnudvNDWPN0Bbllh2qRQC+P5uq7goxjdrw==" saltValue="i/iPMewnks1FoXYOjKMEVg==" spinCount="100000" sqref="AB76" name="Rango2_87_6_23_2"/>
    <protectedRange algorithmName="SHA-512" hashValue="NUll9P9xh7KbSfMYpMxsRZLfDw/y/AzW2LSWlpXVscBDqiAxmzo71xjs+a2lh+jRa7pceOC849slke4+ZKx8LA==" saltValue="8qbkKpQ+CiQuLnqgShNvXA==" spinCount="100000" sqref="T76" name="Rango2_88_6_23_2"/>
    <protectedRange algorithmName="SHA-512" hashValue="KHhv3JU/LRdRrRTxxkgFceEHPZ5UzadmpZRZR3zmQRnPvkUJZuanRafIJ+qde0IWwLZSvFIQDyUAHq6v6k7XIg==" saltValue="2GKG1kCzVNNcn+vbOPuhJA==" spinCount="100000" sqref="Q76" name="Rango2_2_5_23_2"/>
    <protectedRange algorithmName="SHA-512" hashValue="XZw03RosI/l0z9FxmTtF29EdZ7P+4+ybhqoaAAUmURojSR5XbGfjC4f2i8gMqfY+RI9JvfdCA6PSh9TduXfUxA==" saltValue="5TPtLq2WoiRSae/yaDPnTw==" spinCount="100000" sqref="R76:S76 U76:AA76" name="Rango2_99_28_2"/>
    <protectedRange algorithmName="SHA-512" hashValue="RQ91b7oAw60DVtcgB2vRpial2kSdzJx5guGCTYUwXYkKrtrUHfiYnLf9R+SNpYXlJDYpyEJLhcWwP0EqNN86dQ==" saltValue="W3RbH3zrcY9sy39xNwXNxg==" spinCount="100000" sqref="BA76:BI76" name="Rango2_88_99_14_2"/>
    <protectedRange algorithmName="SHA-512" hashValue="fMbmUM1DQ7FuAPRNvFL5mPdHUYjQnlLFhkuaxvHguaqR7aWyDxcmJs0jLYQfQKY+oyhsMb4Lew4VL6i7um3/ew==" saltValue="ydaTm0CeH8+/cYqoL/AMaQ==" spinCount="100000" sqref="AW76:AZ76 AU76" name="Rango2_88_91_23_2"/>
    <protectedRange algorithmName="SHA-512" hashValue="CHipOQaT63FWw628cQcXXJRZlrbNZ7OgmnEbDx38UmmH7z19GRYEzXFiVOzHAy1OAaAbST7g2bHZHDKQp2qm3w==" saltValue="iRVuL+373yLHv0ZHzS9qog==" spinCount="100000" sqref="AL76" name="Rango2_88_7_5_46_1"/>
    <protectedRange algorithmName="SHA-512" hashValue="NkG6oHuDGvGBEiLAAq8MEJHEfLQUMyjihfH+DBXhT+eQW0r1yri7tOJEFRM9nbOejjjXiviq9RFo7KB7wF+xJA==" saltValue="bpjB0AAANu2X/PeR3eiFkA==" spinCount="100000" sqref="AM76:AS76" name="Rango2_88_65_23_2"/>
    <protectedRange algorithmName="SHA-512" hashValue="XZw03RosI/l0z9FxmTtF29EdZ7P+4+ybhqoaAAUmURojSR5XbGfjC4f2i8gMqfY+RI9JvfdCA6PSh9TduXfUxA==" saltValue="5TPtLq2WoiRSae/yaDPnTw==" spinCount="100000" sqref="BJ76:BL76 AT76 AV76" name="Rango2_99_42_2"/>
    <protectedRange algorithmName="SHA-512" hashValue="RQ91b7oAw60DVtcgB2vRpial2kSdzJx5guGCTYUwXYkKrtrUHfiYnLf9R+SNpYXlJDYpyEJLhcWwP0EqNN86dQ==" saltValue="W3RbH3zrcY9sy39xNwXNxg==" spinCount="100000" sqref="BV76:BY76" name="Rango2_88_99_46_1"/>
    <protectedRange algorithmName="SHA-512" hashValue="XZw03RosI/l0z9FxmTtF29EdZ7P+4+ybhqoaAAUmURojSR5XbGfjC4f2i8gMqfY+RI9JvfdCA6PSh9TduXfUxA==" saltValue="5TPtLq2WoiRSae/yaDPnTw==" spinCount="100000" sqref="BZ76:CB76 BR76:BU76" name="Rango2_99_56_1"/>
    <protectedRange algorithmName="SHA-512" hashValue="XZw03RosI/l0z9FxmTtF29EdZ7P+4+ybhqoaAAUmURojSR5XbGfjC4f2i8gMqfY+RI9JvfdCA6PSh9TduXfUxA==" saltValue="5TPtLq2WoiRSae/yaDPnTw==" spinCount="100000" sqref="CE76:CF76" name="Rango2_99_70_1"/>
    <protectedRange algorithmName="SHA-512" hashValue="XZw03RosI/l0z9FxmTtF29EdZ7P+4+ybhqoaAAUmURojSR5XbGfjC4f2i8gMqfY+RI9JvfdCA6PSh9TduXfUxA==" saltValue="5TPtLq2WoiRSae/yaDPnTw==" spinCount="100000" sqref="CJ76:CK76" name="Rango2_99_84_1"/>
    <protectedRange algorithmName="SHA-512" hashValue="XZw03RosI/l0z9FxmTtF29EdZ7P+4+ybhqoaAAUmURojSR5XbGfjC4f2i8gMqfY+RI9JvfdCA6PSh9TduXfUxA==" saltValue="5TPtLq2WoiRSae/yaDPnTw==" spinCount="100000" sqref="CP76:CQ76" name="Rango2_99_98_1"/>
    <protectedRange algorithmName="SHA-512" hashValue="XZw03RosI/l0z9FxmTtF29EdZ7P+4+ybhqoaAAUmURojSR5XbGfjC4f2i8gMqfY+RI9JvfdCA6PSh9TduXfUxA==" saltValue="5TPtLq2WoiRSae/yaDPnTw==" spinCount="100000" sqref="O77:O78" name="Rango2_99_14_3"/>
    <protectedRange algorithmName="SHA-512" hashValue="CHipOQaT63FWw628cQcXXJRZlrbNZ7OgmnEbDx38UmmH7z19GRYEzXFiVOzHAy1OAaAbST7g2bHZHDKQp2qm3w==" saltValue="iRVuL+373yLHv0ZHzS9qog==" spinCount="100000" sqref="AJ77:AJ78 AG77:AH78" name="Rango2_88_7_5_14_3"/>
    <protectedRange algorithmName="SHA-512" hashValue="fPHvtIAf3pQeZUoAI9C2/vdXMHBpqqEq+67P5Ypyu4+9IWqs3yc9TZcMWQ0THLxUwqseQPyVvakuYFtCwJHsxA==" saltValue="QHIogSs2PrwAfdqa9PAOFQ==" spinCount="100000" sqref="AC77:AC78" name="Rango2_88_5_5_23_2"/>
    <protectedRange algorithmName="SHA-512" hashValue="LEEeiU6pKqm7TAP46VGlz0q+evvFwpT/0iLpRuWuQ7MacbP0OGL1/FSmrIEOg2rb6M+Jla2bPbVWiGag27j87w==" saltValue="HEVt+pS5OloNDlqSnzGLLw==" spinCount="100000" sqref="AI77:AI78" name="Rango2_8_7_23_3"/>
    <protectedRange algorithmName="SHA-512" hashValue="q2z5hEFmXS0v2chiPTC/VCoDWNlnhp+Xe6Ybfxe48vIsnB/KTJQxJv+pFUnCXfZ9T6vyJopuqFFNROfQTW/JUw==" saltValue="IctfdGJb5tOTpq+KPi9vww==" spinCount="100000" sqref="AE77:AF78" name="Rango2_88_39_41_3"/>
    <protectedRange algorithmName="SHA-512" hashValue="AYYX88LSDB6RDNMvSqt0KPGWPjBqTk56tMxTOlv5QD61MGTKAAQnSnudvNDWPN0Bbllh2qRQC+P5uq7goxjdrw==" saltValue="i/iPMewnks1FoXYOjKMEVg==" spinCount="100000" sqref="AB77:AB78" name="Rango2_87_6_23_3"/>
    <protectedRange algorithmName="SHA-512" hashValue="NUll9P9xh7KbSfMYpMxsRZLfDw/y/AzW2LSWlpXVscBDqiAxmzo71xjs+a2lh+jRa7pceOC849slke4+ZKx8LA==" saltValue="8qbkKpQ+CiQuLnqgShNvXA==" spinCount="100000" sqref="T77:T78" name="Rango2_88_6_23_3"/>
    <protectedRange algorithmName="SHA-512" hashValue="KHhv3JU/LRdRrRTxxkgFceEHPZ5UzadmpZRZR3zmQRnPvkUJZuanRafIJ+qde0IWwLZSvFIQDyUAHq6v6k7XIg==" saltValue="2GKG1kCzVNNcn+vbOPuhJA==" spinCount="100000" sqref="Q77:Q78" name="Rango2_2_5_23_3"/>
    <protectedRange algorithmName="SHA-512" hashValue="XZw03RosI/l0z9FxmTtF29EdZ7P+4+ybhqoaAAUmURojSR5XbGfjC4f2i8gMqfY+RI9JvfdCA6PSh9TduXfUxA==" saltValue="5TPtLq2WoiRSae/yaDPnTw==" spinCount="100000" sqref="R77:S78 U77:AA78" name="Rango2_99_28_3"/>
    <protectedRange algorithmName="SHA-512" hashValue="RQ91b7oAw60DVtcgB2vRpial2kSdzJx5guGCTYUwXYkKrtrUHfiYnLf9R+SNpYXlJDYpyEJLhcWwP0EqNN86dQ==" saltValue="W3RbH3zrcY9sy39xNwXNxg==" spinCount="100000" sqref="BA77:BI78" name="Rango2_88_99_14_3"/>
    <protectedRange algorithmName="SHA-512" hashValue="fMbmUM1DQ7FuAPRNvFL5mPdHUYjQnlLFhkuaxvHguaqR7aWyDxcmJs0jLYQfQKY+oyhsMb4Lew4VL6i7um3/ew==" saltValue="ydaTm0CeH8+/cYqoL/AMaQ==" spinCount="100000" sqref="AW77:AZ78 AU77:AU78" name="Rango2_88_91_23_3"/>
    <protectedRange algorithmName="SHA-512" hashValue="CHipOQaT63FWw628cQcXXJRZlrbNZ7OgmnEbDx38UmmH7z19GRYEzXFiVOzHAy1OAaAbST7g2bHZHDKQp2qm3w==" saltValue="iRVuL+373yLHv0ZHzS9qog==" spinCount="100000" sqref="AL77:AL78" name="Rango2_88_7_5_46_2"/>
    <protectedRange algorithmName="SHA-512" hashValue="NkG6oHuDGvGBEiLAAq8MEJHEfLQUMyjihfH+DBXhT+eQW0r1yri7tOJEFRM9nbOejjjXiviq9RFo7KB7wF+xJA==" saltValue="bpjB0AAANu2X/PeR3eiFkA==" spinCount="100000" sqref="AM77:AS78" name="Rango2_88_65_23_3"/>
    <protectedRange algorithmName="SHA-512" hashValue="XZw03RosI/l0z9FxmTtF29EdZ7P+4+ybhqoaAAUmURojSR5XbGfjC4f2i8gMqfY+RI9JvfdCA6PSh9TduXfUxA==" saltValue="5TPtLq2WoiRSae/yaDPnTw==" spinCount="100000" sqref="AT77:AT78 AV77:AV78 BJ77:BK78" name="Rango2_99_42_3"/>
    <protectedRange algorithmName="SHA-512" hashValue="RQ91b7oAw60DVtcgB2vRpial2kSdzJx5guGCTYUwXYkKrtrUHfiYnLf9R+SNpYXlJDYpyEJLhcWwP0EqNN86dQ==" saltValue="W3RbH3zrcY9sy39xNwXNxg==" spinCount="100000" sqref="BV77:BY78" name="Rango2_88_99_46_2"/>
    <protectedRange algorithmName="SHA-512" hashValue="XZw03RosI/l0z9FxmTtF29EdZ7P+4+ybhqoaAAUmURojSR5XbGfjC4f2i8gMqfY+RI9JvfdCA6PSh9TduXfUxA==" saltValue="5TPtLq2WoiRSae/yaDPnTw==" spinCount="100000" sqref="BZ77:CB78 BR77:BU78" name="Rango2_99_56_2"/>
    <protectedRange algorithmName="SHA-512" hashValue="XZw03RosI/l0z9FxmTtF29EdZ7P+4+ybhqoaAAUmURojSR5XbGfjC4f2i8gMqfY+RI9JvfdCA6PSh9TduXfUxA==" saltValue="5TPtLq2WoiRSae/yaDPnTw==" spinCount="100000" sqref="CE77:CF78" name="Rango2_99_70_2"/>
    <protectedRange algorithmName="SHA-512" hashValue="XZw03RosI/l0z9FxmTtF29EdZ7P+4+ybhqoaAAUmURojSR5XbGfjC4f2i8gMqfY+RI9JvfdCA6PSh9TduXfUxA==" saltValue="5TPtLq2WoiRSae/yaDPnTw==" spinCount="100000" sqref="CJ77:CK78" name="Rango2_99_84_2"/>
    <protectedRange algorithmName="SHA-512" hashValue="XZw03RosI/l0z9FxmTtF29EdZ7P+4+ybhqoaAAUmURojSR5XbGfjC4f2i8gMqfY+RI9JvfdCA6PSh9TduXfUxA==" saltValue="5TPtLq2WoiRSae/yaDPnTw==" spinCount="100000" sqref="CP77:CQ78" name="Rango2_99_98_2"/>
    <protectedRange algorithmName="SHA-512" hashValue="XZw03RosI/l0z9FxmTtF29EdZ7P+4+ybhqoaAAUmURojSR5XbGfjC4f2i8gMqfY+RI9JvfdCA6PSh9TduXfUxA==" saltValue="5TPtLq2WoiRSae/yaDPnTw==" spinCount="100000" sqref="CE79:CE80 BZ79 DD79:DD80" name="Rango2_99_59"/>
    <protectedRange algorithmName="SHA-512" hashValue="XZw03RosI/l0z9FxmTtF29EdZ7P+4+ybhqoaAAUmURojSR5XbGfjC4f2i8gMqfY+RI9JvfdCA6PSh9TduXfUxA==" saltValue="5TPtLq2WoiRSae/yaDPnTw==" spinCount="100000" sqref="O79:O80" name="Rango2_99_14_4"/>
    <protectedRange algorithmName="SHA-512" hashValue="CHipOQaT63FWw628cQcXXJRZlrbNZ7OgmnEbDx38UmmH7z19GRYEzXFiVOzHAy1OAaAbST7g2bHZHDKQp2qm3w==" saltValue="iRVuL+373yLHv0ZHzS9qog==" spinCount="100000" sqref="AJ79:AJ80 AG79:AH80" name="Rango2_88_7_5_14_4"/>
    <protectedRange algorithmName="SHA-512" hashValue="fPHvtIAf3pQeZUoAI9C2/vdXMHBpqqEq+67P5Ypyu4+9IWqs3yc9TZcMWQ0THLxUwqseQPyVvakuYFtCwJHsxA==" saltValue="QHIogSs2PrwAfdqa9PAOFQ==" spinCount="100000" sqref="AC79:AC80" name="Rango2_88_5_5_23_3"/>
    <protectedRange algorithmName="SHA-512" hashValue="LEEeiU6pKqm7TAP46VGlz0q+evvFwpT/0iLpRuWuQ7MacbP0OGL1/FSmrIEOg2rb6M+Jla2bPbVWiGag27j87w==" saltValue="HEVt+pS5OloNDlqSnzGLLw==" spinCount="100000" sqref="AI79:AI80" name="Rango2_8_7_23_4"/>
    <protectedRange algorithmName="SHA-512" hashValue="q2z5hEFmXS0v2chiPTC/VCoDWNlnhp+Xe6Ybfxe48vIsnB/KTJQxJv+pFUnCXfZ9T6vyJopuqFFNROfQTW/JUw==" saltValue="IctfdGJb5tOTpq+KPi9vww==" spinCount="100000" sqref="AE79:AF80" name="Rango2_88_39_41_4"/>
    <protectedRange algorithmName="SHA-512" hashValue="AYYX88LSDB6RDNMvSqt0KPGWPjBqTk56tMxTOlv5QD61MGTKAAQnSnudvNDWPN0Bbllh2qRQC+P5uq7goxjdrw==" saltValue="i/iPMewnks1FoXYOjKMEVg==" spinCount="100000" sqref="AB79:AB80" name="Rango2_87_6_23_4"/>
    <protectedRange algorithmName="SHA-512" hashValue="NUll9P9xh7KbSfMYpMxsRZLfDw/y/AzW2LSWlpXVscBDqiAxmzo71xjs+a2lh+jRa7pceOC849slke4+ZKx8LA==" saltValue="8qbkKpQ+CiQuLnqgShNvXA==" spinCount="100000" sqref="T79:T80" name="Rango2_88_6_23_4"/>
    <protectedRange algorithmName="SHA-512" hashValue="KHhv3JU/LRdRrRTxxkgFceEHPZ5UzadmpZRZR3zmQRnPvkUJZuanRafIJ+qde0IWwLZSvFIQDyUAHq6v6k7XIg==" saltValue="2GKG1kCzVNNcn+vbOPuhJA==" spinCount="100000" sqref="Q79:Q80" name="Rango2_2_5_23_4"/>
    <protectedRange algorithmName="SHA-512" hashValue="XZw03RosI/l0z9FxmTtF29EdZ7P+4+ybhqoaAAUmURojSR5XbGfjC4f2i8gMqfY+RI9JvfdCA6PSh9TduXfUxA==" saltValue="5TPtLq2WoiRSae/yaDPnTw==" spinCount="100000" sqref="R79:S80 U79:AA80" name="Rango2_99_28_4"/>
    <protectedRange algorithmName="SHA-512" hashValue="RQ91b7oAw60DVtcgB2vRpial2kSdzJx5guGCTYUwXYkKrtrUHfiYnLf9R+SNpYXlJDYpyEJLhcWwP0EqNN86dQ==" saltValue="W3RbH3zrcY9sy39xNwXNxg==" spinCount="100000" sqref="BA79:BI80" name="Rango2_88_99_14_4"/>
    <protectedRange algorithmName="SHA-512" hashValue="fMbmUM1DQ7FuAPRNvFL5mPdHUYjQnlLFhkuaxvHguaqR7aWyDxcmJs0jLYQfQKY+oyhsMb4Lew4VL6i7um3/ew==" saltValue="ydaTm0CeH8+/cYqoL/AMaQ==" spinCount="100000" sqref="AW79:AZ80 AU79:AU80" name="Rango2_88_91_23_4"/>
    <protectedRange algorithmName="SHA-512" hashValue="CHipOQaT63FWw628cQcXXJRZlrbNZ7OgmnEbDx38UmmH7z19GRYEzXFiVOzHAy1OAaAbST7g2bHZHDKQp2qm3w==" saltValue="iRVuL+373yLHv0ZHzS9qog==" spinCount="100000" sqref="AL79:AL80" name="Rango2_88_7_5_46_3"/>
    <protectedRange algorithmName="SHA-512" hashValue="NkG6oHuDGvGBEiLAAq8MEJHEfLQUMyjihfH+DBXhT+eQW0r1yri7tOJEFRM9nbOejjjXiviq9RFo7KB7wF+xJA==" saltValue="bpjB0AAANu2X/PeR3eiFkA==" spinCount="100000" sqref="AM79:AS80" name="Rango2_88_65_23_4"/>
    <protectedRange algorithmName="SHA-512" hashValue="XZw03RosI/l0z9FxmTtF29EdZ7P+4+ybhqoaAAUmURojSR5XbGfjC4f2i8gMqfY+RI9JvfdCA6PSh9TduXfUxA==" saltValue="5TPtLq2WoiRSae/yaDPnTw==" spinCount="100000" sqref="AT79:AT80 AV79:AV80 BJ79:BL80" name="Rango2_99_42_4"/>
    <protectedRange algorithmName="SHA-512" hashValue="RQ91b7oAw60DVtcgB2vRpial2kSdzJx5guGCTYUwXYkKrtrUHfiYnLf9R+SNpYXlJDYpyEJLhcWwP0EqNN86dQ==" saltValue="W3RbH3zrcY9sy39xNwXNxg==" spinCount="100000" sqref="BV79:BY80" name="Rango2_88_99_46_3"/>
    <protectedRange algorithmName="SHA-512" hashValue="XZw03RosI/l0z9FxmTtF29EdZ7P+4+ybhqoaAAUmURojSR5XbGfjC4f2i8gMqfY+RI9JvfdCA6PSh9TduXfUxA==" saltValue="5TPtLq2WoiRSae/yaDPnTw==" spinCount="100000" sqref="BR79:BU80 BZ80:CB80 CA79:CB79" name="Rango2_99_56_3"/>
    <protectedRange algorithmName="SHA-512" hashValue="XZw03RosI/l0z9FxmTtF29EdZ7P+4+ybhqoaAAUmURojSR5XbGfjC4f2i8gMqfY+RI9JvfdCA6PSh9TduXfUxA==" saltValue="5TPtLq2WoiRSae/yaDPnTw==" spinCount="100000" sqref="CF79:CF80" name="Rango2_99_70_3"/>
    <protectedRange algorithmName="SHA-512" hashValue="XZw03RosI/l0z9FxmTtF29EdZ7P+4+ybhqoaAAUmURojSR5XbGfjC4f2i8gMqfY+RI9JvfdCA6PSh9TduXfUxA==" saltValue="5TPtLq2WoiRSae/yaDPnTw==" spinCount="100000" sqref="CJ79:CK80" name="Rango2_99_84_3"/>
    <protectedRange algorithmName="SHA-512" hashValue="XZw03RosI/l0z9FxmTtF29EdZ7P+4+ybhqoaAAUmURojSR5XbGfjC4f2i8gMqfY+RI9JvfdCA6PSh9TduXfUxA==" saltValue="5TPtLq2WoiRSae/yaDPnTw==" spinCount="100000" sqref="CP79:CQ80" name="Rango2_99_98_3"/>
    <protectedRange algorithmName="SHA-512" hashValue="RQ91b7oAw60DVtcgB2vRpial2kSdzJx5guGCTYUwXYkKrtrUHfiYnLf9R+SNpYXlJDYpyEJLhcWwP0EqNN86dQ==" saltValue="W3RbH3zrcY9sy39xNwXNxg==" spinCount="100000" sqref="BA82:BI83 BV82:BY83" name="Rango2_88_99_26"/>
    <protectedRange algorithmName="SHA-512" hashValue="fMbmUM1DQ7FuAPRNvFL5mPdHUYjQnlLFhkuaxvHguaqR7aWyDxcmJs0jLYQfQKY+oyhsMb4Lew4VL6i7um3/ew==" saltValue="ydaTm0CeH8+/cYqoL/AMaQ==" spinCount="100000" sqref="AU82:AU83 AW82:AZ83" name="Rango2_88_91_24"/>
    <protectedRange algorithmName="SHA-512" hashValue="CHipOQaT63FWw628cQcXXJRZlrbNZ7OgmnEbDx38UmmH7z19GRYEzXFiVOzHAy1OAaAbST7g2bHZHDKQp2qm3w==" saltValue="iRVuL+373yLHv0ZHzS9qog==" spinCount="100000" sqref="AG82:AH83 AJ82:AJ83 AL82:AL83" name="Rango2_88_7_5_26"/>
    <protectedRange algorithmName="SHA-512" hashValue="NkG6oHuDGvGBEiLAAq8MEJHEfLQUMyjihfH+DBXhT+eQW0r1yri7tOJEFRM9nbOejjjXiviq9RFo7KB7wF+xJA==" saltValue="bpjB0AAANu2X/PeR3eiFkA==" spinCount="100000" sqref="AM82:AS83" name="Rango2_88_65_24"/>
    <protectedRange algorithmName="SHA-512" hashValue="fPHvtIAf3pQeZUoAI9C2/vdXMHBpqqEq+67P5Ypyu4+9IWqs3yc9TZcMWQ0THLxUwqseQPyVvakuYFtCwJHsxA==" saltValue="QHIogSs2PrwAfdqa9PAOFQ==" spinCount="100000" sqref="AC82:AC83" name="Rango2_88_5_5_24"/>
    <protectedRange algorithmName="SHA-512" hashValue="LEEeiU6pKqm7TAP46VGlz0q+evvFwpT/0iLpRuWuQ7MacbP0OGL1/FSmrIEOg2rb6M+Jla2bPbVWiGag27j87w==" saltValue="HEVt+pS5OloNDlqSnzGLLw==" spinCount="100000" sqref="AI82:AI83" name="Rango2_8_7_24"/>
    <protectedRange algorithmName="SHA-512" hashValue="q2z5hEFmXS0v2chiPTC/VCoDWNlnhp+Xe6Ybfxe48vIsnB/KTJQxJv+pFUnCXfZ9T6vyJopuqFFNROfQTW/JUw==" saltValue="IctfdGJb5tOTpq+KPi9vww==" spinCount="100000" sqref="AE82:AF83" name="Rango2_88_39_47"/>
    <protectedRange algorithmName="SHA-512" hashValue="AYYX88LSDB6RDNMvSqt0KPGWPjBqTk56tMxTOlv5QD61MGTKAAQnSnudvNDWPN0Bbllh2qRQC+P5uq7goxjdrw==" saltValue="i/iPMewnks1FoXYOjKMEVg==" spinCount="100000" sqref="AB82:AB83" name="Rango2_87_6_24"/>
    <protectedRange algorithmName="SHA-512" hashValue="NUll9P9xh7KbSfMYpMxsRZLfDw/y/AzW2LSWlpXVscBDqiAxmzo71xjs+a2lh+jRa7pceOC849slke4+ZKx8LA==" saltValue="8qbkKpQ+CiQuLnqgShNvXA==" spinCount="100000" sqref="T82:T83" name="Rango2_88_6_24"/>
    <protectedRange algorithmName="SHA-512" hashValue="KHhv3JU/LRdRrRTxxkgFceEHPZ5UzadmpZRZR3zmQRnPvkUJZuanRafIJ+qde0IWwLZSvFIQDyUAHq6v6k7XIg==" saltValue="2GKG1kCzVNNcn+vbOPuhJA==" spinCount="100000" sqref="Q82:Q83" name="Rango2_2_5_24"/>
    <protectedRange algorithmName="SHA-512" hashValue="XZw03RosI/l0z9FxmTtF29EdZ7P+4+ybhqoaAAUmURojSR5XbGfjC4f2i8gMqfY+RI9JvfdCA6PSh9TduXfUxA==" saltValue="5TPtLq2WoiRSae/yaDPnTw==" spinCount="100000" sqref="AT82:AT83 AV82:AV83 BR82:BU83 CJ82:CK83 CS82:CT83 CV82:CY83 BJ83:BL83 V82:AA83 CE82:CF83 O82:O83 R82:S83 BZ82:CB83 CP82:CQ83 DA82:DN83 BJ82:BK82" name="Rango2_99_62"/>
    <protectedRange algorithmName="SHA-512" hashValue="XZw03RosI/l0z9FxmTtF29EdZ7P+4+ybhqoaAAUmURojSR5XbGfjC4f2i8gMqfY+RI9JvfdCA6PSh9TduXfUxA==" saltValue="5TPtLq2WoiRSae/yaDPnTw==" spinCount="100000" sqref="O81" name="Rango2_99_14_5"/>
    <protectedRange algorithmName="SHA-512" hashValue="CHipOQaT63FWw628cQcXXJRZlrbNZ7OgmnEbDx38UmmH7z19GRYEzXFiVOzHAy1OAaAbST7g2bHZHDKQp2qm3w==" saltValue="iRVuL+373yLHv0ZHzS9qog==" spinCount="100000" sqref="AJ81 AG81:AH81" name="Rango2_88_7_5_14_5"/>
    <protectedRange algorithmName="SHA-512" hashValue="fPHvtIAf3pQeZUoAI9C2/vdXMHBpqqEq+67P5Ypyu4+9IWqs3yc9TZcMWQ0THLxUwqseQPyVvakuYFtCwJHsxA==" saltValue="QHIogSs2PrwAfdqa9PAOFQ==" spinCount="100000" sqref="AC81" name="Rango2_88_5_5_23_4"/>
    <protectedRange algorithmName="SHA-512" hashValue="LEEeiU6pKqm7TAP46VGlz0q+evvFwpT/0iLpRuWuQ7MacbP0OGL1/FSmrIEOg2rb6M+Jla2bPbVWiGag27j87w==" saltValue="HEVt+pS5OloNDlqSnzGLLw==" spinCount="100000" sqref="AI81" name="Rango2_8_7_23_5"/>
    <protectedRange algorithmName="SHA-512" hashValue="q2z5hEFmXS0v2chiPTC/VCoDWNlnhp+Xe6Ybfxe48vIsnB/KTJQxJv+pFUnCXfZ9T6vyJopuqFFNROfQTW/JUw==" saltValue="IctfdGJb5tOTpq+KPi9vww==" spinCount="100000" sqref="AE81:AF81" name="Rango2_88_39_41_5"/>
    <protectedRange algorithmName="SHA-512" hashValue="AYYX88LSDB6RDNMvSqt0KPGWPjBqTk56tMxTOlv5QD61MGTKAAQnSnudvNDWPN0Bbllh2qRQC+P5uq7goxjdrw==" saltValue="i/iPMewnks1FoXYOjKMEVg==" spinCount="100000" sqref="AB81" name="Rango2_87_6_23_5"/>
    <protectedRange algorithmName="SHA-512" hashValue="NUll9P9xh7KbSfMYpMxsRZLfDw/y/AzW2LSWlpXVscBDqiAxmzo71xjs+a2lh+jRa7pceOC849slke4+ZKx8LA==" saltValue="8qbkKpQ+CiQuLnqgShNvXA==" spinCount="100000" sqref="T81" name="Rango2_88_6_23_5"/>
    <protectedRange algorithmName="SHA-512" hashValue="KHhv3JU/LRdRrRTxxkgFceEHPZ5UzadmpZRZR3zmQRnPvkUJZuanRafIJ+qde0IWwLZSvFIQDyUAHq6v6k7XIg==" saltValue="2GKG1kCzVNNcn+vbOPuhJA==" spinCount="100000" sqref="Q81" name="Rango2_2_5_23_5"/>
    <protectedRange algorithmName="SHA-512" hashValue="XZw03RosI/l0z9FxmTtF29EdZ7P+4+ybhqoaAAUmURojSR5XbGfjC4f2i8gMqfY+RI9JvfdCA6PSh9TduXfUxA==" saltValue="5TPtLq2WoiRSae/yaDPnTw==" spinCount="100000" sqref="R81:S81 U81:AA81 U82:U83" name="Rango2_99_28_5"/>
    <protectedRange algorithmName="SHA-512" hashValue="RQ91b7oAw60DVtcgB2vRpial2kSdzJx5guGCTYUwXYkKrtrUHfiYnLf9R+SNpYXlJDYpyEJLhcWwP0EqNN86dQ==" saltValue="W3RbH3zrcY9sy39xNwXNxg==" spinCount="100000" sqref="BA81:BI81" name="Rango2_88_99_14_5"/>
    <protectedRange algorithmName="SHA-512" hashValue="fMbmUM1DQ7FuAPRNvFL5mPdHUYjQnlLFhkuaxvHguaqR7aWyDxcmJs0jLYQfQKY+oyhsMb4Lew4VL6i7um3/ew==" saltValue="ydaTm0CeH8+/cYqoL/AMaQ==" spinCount="100000" sqref="AW81:AZ81 AU81" name="Rango2_88_91_23_5"/>
    <protectedRange algorithmName="SHA-512" hashValue="CHipOQaT63FWw628cQcXXJRZlrbNZ7OgmnEbDx38UmmH7z19GRYEzXFiVOzHAy1OAaAbST7g2bHZHDKQp2qm3w==" saltValue="iRVuL+373yLHv0ZHzS9qog==" spinCount="100000" sqref="AL81" name="Rango2_88_7_5_46_4"/>
    <protectedRange algorithmName="SHA-512" hashValue="NkG6oHuDGvGBEiLAAq8MEJHEfLQUMyjihfH+DBXhT+eQW0r1yri7tOJEFRM9nbOejjjXiviq9RFo7KB7wF+xJA==" saltValue="bpjB0AAANu2X/PeR3eiFkA==" spinCount="100000" sqref="AM81:AS81" name="Rango2_88_65_23_5"/>
    <protectedRange algorithmName="SHA-512" hashValue="XZw03RosI/l0z9FxmTtF29EdZ7P+4+ybhqoaAAUmURojSR5XbGfjC4f2i8gMqfY+RI9JvfdCA6PSh9TduXfUxA==" saltValue="5TPtLq2WoiRSae/yaDPnTw==" spinCount="100000" sqref="AT81 AV81 BJ81:BL81" name="Rango2_99_42_5"/>
    <protectedRange algorithmName="SHA-512" hashValue="RQ91b7oAw60DVtcgB2vRpial2kSdzJx5guGCTYUwXYkKrtrUHfiYnLf9R+SNpYXlJDYpyEJLhcWwP0EqNN86dQ==" saltValue="W3RbH3zrcY9sy39xNwXNxg==" spinCount="100000" sqref="BV81:BY81" name="Rango2_88_99_46_4"/>
    <protectedRange algorithmName="SHA-512" hashValue="XZw03RosI/l0z9FxmTtF29EdZ7P+4+ybhqoaAAUmURojSR5XbGfjC4f2i8gMqfY+RI9JvfdCA6PSh9TduXfUxA==" saltValue="5TPtLq2WoiRSae/yaDPnTw==" spinCount="100000" sqref="BR81:BU81 BZ81:CB81" name="Rango2_99_56_4"/>
    <protectedRange algorithmName="SHA-512" hashValue="XZw03RosI/l0z9FxmTtF29EdZ7P+4+ybhqoaAAUmURojSR5XbGfjC4f2i8gMqfY+RI9JvfdCA6PSh9TduXfUxA==" saltValue="5TPtLq2WoiRSae/yaDPnTw==" spinCount="100000" sqref="CE81:CF81" name="Rango2_99_70_4"/>
    <protectedRange algorithmName="SHA-512" hashValue="XZw03RosI/l0z9FxmTtF29EdZ7P+4+ybhqoaAAUmURojSR5XbGfjC4f2i8gMqfY+RI9JvfdCA6PSh9TduXfUxA==" saltValue="5TPtLq2WoiRSae/yaDPnTw==" spinCount="100000" sqref="CJ81:CK81" name="Rango2_99_84_4"/>
    <protectedRange algorithmName="SHA-512" hashValue="XZw03RosI/l0z9FxmTtF29EdZ7P+4+ybhqoaAAUmURojSR5XbGfjC4f2i8gMqfY+RI9JvfdCA6PSh9TduXfUxA==" saltValue="5TPtLq2WoiRSae/yaDPnTw==" spinCount="100000" sqref="CP81:CQ81" name="Rango2_99_98_4"/>
    <protectedRange algorithmName="SHA-512" hashValue="RQ91b7oAw60DVtcgB2vRpial2kSdzJx5guGCTYUwXYkKrtrUHfiYnLf9R+SNpYXlJDYpyEJLhcWwP0EqNN86dQ==" saltValue="W3RbH3zrcY9sy39xNwXNxg==" spinCount="100000" sqref="BA84:BI85 BV84:BY85" name="Rango2_88_99_27"/>
    <protectedRange algorithmName="SHA-512" hashValue="fMbmUM1DQ7FuAPRNvFL5mPdHUYjQnlLFhkuaxvHguaqR7aWyDxcmJs0jLYQfQKY+oyhsMb4Lew4VL6i7um3/ew==" saltValue="ydaTm0CeH8+/cYqoL/AMaQ==" spinCount="100000" sqref="AU84:AU85 AW84:AZ85" name="Rango2_88_91_25"/>
    <protectedRange algorithmName="SHA-512" hashValue="CHipOQaT63FWw628cQcXXJRZlrbNZ7OgmnEbDx38UmmH7z19GRYEzXFiVOzHAy1OAaAbST7g2bHZHDKQp2qm3w==" saltValue="iRVuL+373yLHv0ZHzS9qog==" spinCount="100000" sqref="AG84:AH85 AJ84:AJ85 AL84:AL85" name="Rango2_88_7_5_27"/>
    <protectedRange algorithmName="SHA-512" hashValue="NkG6oHuDGvGBEiLAAq8MEJHEfLQUMyjihfH+DBXhT+eQW0r1yri7tOJEFRM9nbOejjjXiviq9RFo7KB7wF+xJA==" saltValue="bpjB0AAANu2X/PeR3eiFkA==" spinCount="100000" sqref="AM84:AS85" name="Rango2_88_65_25"/>
    <protectedRange algorithmName="SHA-512" hashValue="fPHvtIAf3pQeZUoAI9C2/vdXMHBpqqEq+67P5Ypyu4+9IWqs3yc9TZcMWQ0THLxUwqseQPyVvakuYFtCwJHsxA==" saltValue="QHIogSs2PrwAfdqa9PAOFQ==" spinCount="100000" sqref="AC84:AC85" name="Rango2_88_5_5_25"/>
    <protectedRange algorithmName="SHA-512" hashValue="LEEeiU6pKqm7TAP46VGlz0q+evvFwpT/0iLpRuWuQ7MacbP0OGL1/FSmrIEOg2rb6M+Jla2bPbVWiGag27j87w==" saltValue="HEVt+pS5OloNDlqSnzGLLw==" spinCount="100000" sqref="AI84:AI85" name="Rango2_8_7_25"/>
    <protectedRange algorithmName="SHA-512" hashValue="q2z5hEFmXS0v2chiPTC/VCoDWNlnhp+Xe6Ybfxe48vIsnB/KTJQxJv+pFUnCXfZ9T6vyJopuqFFNROfQTW/JUw==" saltValue="IctfdGJb5tOTpq+KPi9vww==" spinCount="100000" sqref="AE84:AF85" name="Rango2_88_39_48"/>
    <protectedRange algorithmName="SHA-512" hashValue="AYYX88LSDB6RDNMvSqt0KPGWPjBqTk56tMxTOlv5QD61MGTKAAQnSnudvNDWPN0Bbllh2qRQC+P5uq7goxjdrw==" saltValue="i/iPMewnks1FoXYOjKMEVg==" spinCount="100000" sqref="AB84:AB85" name="Rango2_87_6_25"/>
    <protectedRange algorithmName="SHA-512" hashValue="NUll9P9xh7KbSfMYpMxsRZLfDw/y/AzW2LSWlpXVscBDqiAxmzo71xjs+a2lh+jRa7pceOC849slke4+ZKx8LA==" saltValue="8qbkKpQ+CiQuLnqgShNvXA==" spinCount="100000" sqref="T84:T85" name="Rango2_88_6_25"/>
    <protectedRange algorithmName="SHA-512" hashValue="KHhv3JU/LRdRrRTxxkgFceEHPZ5UzadmpZRZR3zmQRnPvkUJZuanRafIJ+qde0IWwLZSvFIQDyUAHq6v6k7XIg==" saltValue="2GKG1kCzVNNcn+vbOPuhJA==" spinCount="100000" sqref="Q84:Q85" name="Rango2_2_5_25"/>
    <protectedRange algorithmName="SHA-512" hashValue="XZw03RosI/l0z9FxmTtF29EdZ7P+4+ybhqoaAAUmURojSR5XbGfjC4f2i8gMqfY+RI9JvfdCA6PSh9TduXfUxA==" saltValue="5TPtLq2WoiRSae/yaDPnTw==" spinCount="100000" sqref="AT84:AT85 AV84:AV85 BR84:BU85 CJ84:CK85 CS84:CT85 CV84:CY85 BJ85:BL85 V84:AA85 CE84:CF85 O84:O85 R84:S85 BZ84:CB85 CP84:CQ85 DA84:DN85 BJ84:BK84" name="Rango2_99_65"/>
    <protectedRange algorithmName="SHA-512" hashValue="XZw03RosI/l0z9FxmTtF29EdZ7P+4+ybhqoaAAUmURojSR5XbGfjC4f2i8gMqfY+RI9JvfdCA6PSh9TduXfUxA==" saltValue="5TPtLq2WoiRSae/yaDPnTw==" spinCount="100000" sqref="U84:U85" name="Rango2_99_28_6"/>
    <protectedRange algorithmName="SHA-512" hashValue="RQ91b7oAw60DVtcgB2vRpial2kSdzJx5guGCTYUwXYkKrtrUHfiYnLf9R+SNpYXlJDYpyEJLhcWwP0EqNN86dQ==" saltValue="W3RbH3zrcY9sy39xNwXNxg==" spinCount="100000" sqref="BA86:BI86 BV86:BY86" name="Rango2_88_99_28"/>
    <protectedRange algorithmName="SHA-512" hashValue="fMbmUM1DQ7FuAPRNvFL5mPdHUYjQnlLFhkuaxvHguaqR7aWyDxcmJs0jLYQfQKY+oyhsMb4Lew4VL6i7um3/ew==" saltValue="ydaTm0CeH8+/cYqoL/AMaQ==" spinCount="100000" sqref="AU86 AW86:AZ86" name="Rango2_88_91_26"/>
    <protectedRange algorithmName="SHA-512" hashValue="CHipOQaT63FWw628cQcXXJRZlrbNZ7OgmnEbDx38UmmH7z19GRYEzXFiVOzHAy1OAaAbST7g2bHZHDKQp2qm3w==" saltValue="iRVuL+373yLHv0ZHzS9qog==" spinCount="100000" sqref="AG86:AH86 AJ86 AL86" name="Rango2_88_7_5_28"/>
    <protectedRange algorithmName="SHA-512" hashValue="NkG6oHuDGvGBEiLAAq8MEJHEfLQUMyjihfH+DBXhT+eQW0r1yri7tOJEFRM9nbOejjjXiviq9RFo7KB7wF+xJA==" saltValue="bpjB0AAANu2X/PeR3eiFkA==" spinCount="100000" sqref="AM86:AS86" name="Rango2_88_65_26"/>
    <protectedRange algorithmName="SHA-512" hashValue="fPHvtIAf3pQeZUoAI9C2/vdXMHBpqqEq+67P5Ypyu4+9IWqs3yc9TZcMWQ0THLxUwqseQPyVvakuYFtCwJHsxA==" saltValue="QHIogSs2PrwAfdqa9PAOFQ==" spinCount="100000" sqref="AC86" name="Rango2_88_5_5_26"/>
    <protectedRange algorithmName="SHA-512" hashValue="LEEeiU6pKqm7TAP46VGlz0q+evvFwpT/0iLpRuWuQ7MacbP0OGL1/FSmrIEOg2rb6M+Jla2bPbVWiGag27j87w==" saltValue="HEVt+pS5OloNDlqSnzGLLw==" spinCount="100000" sqref="AI86" name="Rango2_8_7_26"/>
    <protectedRange algorithmName="SHA-512" hashValue="q2z5hEFmXS0v2chiPTC/VCoDWNlnhp+Xe6Ybfxe48vIsnB/KTJQxJv+pFUnCXfZ9T6vyJopuqFFNROfQTW/JUw==" saltValue="IctfdGJb5tOTpq+KPi9vww==" spinCount="100000" sqref="AE86:AF86" name="Rango2_88_39_49"/>
    <protectedRange algorithmName="SHA-512" hashValue="AYYX88LSDB6RDNMvSqt0KPGWPjBqTk56tMxTOlv5QD61MGTKAAQnSnudvNDWPN0Bbllh2qRQC+P5uq7goxjdrw==" saltValue="i/iPMewnks1FoXYOjKMEVg==" spinCount="100000" sqref="AB86" name="Rango2_87_6_26"/>
    <protectedRange algorithmName="SHA-512" hashValue="NUll9P9xh7KbSfMYpMxsRZLfDw/y/AzW2LSWlpXVscBDqiAxmzo71xjs+a2lh+jRa7pceOC849slke4+ZKx8LA==" saltValue="8qbkKpQ+CiQuLnqgShNvXA==" spinCount="100000" sqref="T86" name="Rango2_88_6_26"/>
    <protectedRange algorithmName="SHA-512" hashValue="KHhv3JU/LRdRrRTxxkgFceEHPZ5UzadmpZRZR3zmQRnPvkUJZuanRafIJ+qde0IWwLZSvFIQDyUAHq6v6k7XIg==" saltValue="2GKG1kCzVNNcn+vbOPuhJA==" spinCount="100000" sqref="Q86" name="Rango2_2_5_26"/>
    <protectedRange algorithmName="SHA-512" hashValue="XZw03RosI/l0z9FxmTtF29EdZ7P+4+ybhqoaAAUmURojSR5XbGfjC4f2i8gMqfY+RI9JvfdCA6PSh9TduXfUxA==" saltValue="5TPtLq2WoiRSae/yaDPnTw==" spinCount="100000" sqref="AT86 AV86 BR86:BU86 CJ86:CK86 CS86:CT86 CV86:CY86 BJ86:BK86 V86:AA86 CE86:CF86 O86 R86:S86 BZ86:CB86 CP86:CQ86 DA86:DN86" name="Rango2_99_69"/>
    <protectedRange algorithmName="SHA-512" hashValue="XZw03RosI/l0z9FxmTtF29EdZ7P+4+ybhqoaAAUmURojSR5XbGfjC4f2i8gMqfY+RI9JvfdCA6PSh9TduXfUxA==" saltValue="5TPtLq2WoiRSae/yaDPnTw==" spinCount="100000" sqref="U86" name="Rango2_99_28_7"/>
    <protectedRange algorithmName="SHA-512" hashValue="RQ91b7oAw60DVtcgB2vRpial2kSdzJx5guGCTYUwXYkKrtrUHfiYnLf9R+SNpYXlJDYpyEJLhcWwP0EqNN86dQ==" saltValue="W3RbH3zrcY9sy39xNwXNxg==" spinCount="100000" sqref="BV87:BY87" name="Rango2_88_99_29"/>
    <protectedRange algorithmName="SHA-512" hashValue="CHipOQaT63FWw628cQcXXJRZlrbNZ7OgmnEbDx38UmmH7z19GRYEzXFiVOzHAy1OAaAbST7g2bHZHDKQp2qm3w==" saltValue="iRVuL+373yLHv0ZHzS9qog==" spinCount="100000" sqref="AG87:AH87 AJ87 AL87" name="Rango2_88_7_5_29"/>
    <protectedRange algorithmName="SHA-512" hashValue="NkG6oHuDGvGBEiLAAq8MEJHEfLQUMyjihfH+DBXhT+eQW0r1yri7tOJEFRM9nbOejjjXiviq9RFo7KB7wF+xJA==" saltValue="bpjB0AAANu2X/PeR3eiFkA==" spinCount="100000" sqref="AM87:AQ87" name="Rango2_88_65_27"/>
    <protectedRange algorithmName="SHA-512" hashValue="fPHvtIAf3pQeZUoAI9C2/vdXMHBpqqEq+67P5Ypyu4+9IWqs3yc9TZcMWQ0THLxUwqseQPyVvakuYFtCwJHsxA==" saltValue="QHIogSs2PrwAfdqa9PAOFQ==" spinCount="100000" sqref="AC87" name="Rango2_88_5_5_27"/>
    <protectedRange algorithmName="SHA-512" hashValue="LEEeiU6pKqm7TAP46VGlz0q+evvFwpT/0iLpRuWuQ7MacbP0OGL1/FSmrIEOg2rb6M+Jla2bPbVWiGag27j87w==" saltValue="HEVt+pS5OloNDlqSnzGLLw==" spinCount="100000" sqref="AI87" name="Rango2_8_7_27"/>
    <protectedRange algorithmName="SHA-512" hashValue="q2z5hEFmXS0v2chiPTC/VCoDWNlnhp+Xe6Ybfxe48vIsnB/KTJQxJv+pFUnCXfZ9T6vyJopuqFFNROfQTW/JUw==" saltValue="IctfdGJb5tOTpq+KPi9vww==" spinCount="100000" sqref="AE87:AF87" name="Rango2_88_39_50"/>
    <protectedRange algorithmName="SHA-512" hashValue="AYYX88LSDB6RDNMvSqt0KPGWPjBqTk56tMxTOlv5QD61MGTKAAQnSnudvNDWPN0Bbllh2qRQC+P5uq7goxjdrw==" saltValue="i/iPMewnks1FoXYOjKMEVg==" spinCount="100000" sqref="AB87" name="Rango2_87_6_27"/>
    <protectedRange algorithmName="SHA-512" hashValue="NUll9P9xh7KbSfMYpMxsRZLfDw/y/AzW2LSWlpXVscBDqiAxmzo71xjs+a2lh+jRa7pceOC849slke4+ZKx8LA==" saltValue="8qbkKpQ+CiQuLnqgShNvXA==" spinCount="100000" sqref="T87" name="Rango2_88_6_27"/>
    <protectedRange algorithmName="SHA-512" hashValue="KHhv3JU/LRdRrRTxxkgFceEHPZ5UzadmpZRZR3zmQRnPvkUJZuanRafIJ+qde0IWwLZSvFIQDyUAHq6v6k7XIg==" saltValue="2GKG1kCzVNNcn+vbOPuhJA==" spinCount="100000" sqref="Q87" name="Rango2_2_5_27"/>
    <protectedRange algorithmName="SHA-512" hashValue="XZw03RosI/l0z9FxmTtF29EdZ7P+4+ybhqoaAAUmURojSR5XbGfjC4f2i8gMqfY+RI9JvfdCA6PSh9TduXfUxA==" saltValue="5TPtLq2WoiRSae/yaDPnTw==" spinCount="100000" sqref="BR87:BU87 CJ87:CK87 CS87:CT87 CV87:CY87 CE87:CF87 O87 R87:S87 BZ87:CB87 CP87:CQ87 DA87:DN87 U87:AA87" name="Rango2_99_71"/>
    <protectedRange algorithmName="SHA-512" hashValue="RQ91b7oAw60DVtcgB2vRpial2kSdzJx5guGCTYUwXYkKrtrUHfiYnLf9R+SNpYXlJDYpyEJLhcWwP0EqNN86dQ==" saltValue="W3RbH3zrcY9sy39xNwXNxg==" spinCount="100000" sqref="BA87:BI87" name="Rango2_88_99_11_2"/>
    <protectedRange algorithmName="SHA-512" hashValue="fMbmUM1DQ7FuAPRNvFL5mPdHUYjQnlLFhkuaxvHguaqR7aWyDxcmJs0jLYQfQKY+oyhsMb4Lew4VL6i7um3/ew==" saltValue="ydaTm0CeH8+/cYqoL/AMaQ==" spinCount="100000" sqref="AW87:AZ87 AU87" name="Rango2_88_91_11_2"/>
    <protectedRange algorithmName="SHA-512" hashValue="NkG6oHuDGvGBEiLAAq8MEJHEfLQUMyjihfH+DBXhT+eQW0r1yri7tOJEFRM9nbOejjjXiviq9RFo7KB7wF+xJA==" saltValue="bpjB0AAANu2X/PeR3eiFkA==" spinCount="100000" sqref="AR87:AS87" name="Rango2_88_65_11_2"/>
    <protectedRange algorithmName="SHA-512" hashValue="XZw03RosI/l0z9FxmTtF29EdZ7P+4+ybhqoaAAUmURojSR5XbGfjC4f2i8gMqfY+RI9JvfdCA6PSh9TduXfUxA==" saltValue="5TPtLq2WoiRSae/yaDPnTw==" spinCount="100000" sqref="AV87 BJ87:BK87 AT87" name="Rango2_99_40_2"/>
    <protectedRange algorithmName="SHA-512" hashValue="Umj9+5Ys20VQPxBFtc6qE5LtKKSgPKwit+B8dd4XnEUaLfBM2ozpkEC4YxwK0SbBiAHDDex+pY+LomQ0lyuamQ==" saltValue="N2/MCRws+mmA+NXw0axolg==" spinCount="100000" sqref="GJ62:GJ63 GH62:GH63 GL62:GL63" name="Rango2_31_2_24"/>
    <protectedRange algorithmName="SHA-512" hashValue="XZw03RosI/l0z9FxmTtF29EdZ7P+4+ybhqoaAAUmURojSR5XbGfjC4f2i8gMqfY+RI9JvfdCA6PSh9TduXfUxA==" saltValue="5TPtLq2WoiRSae/yaDPnTw==" spinCount="100000" sqref="GM62:GM63 GK62:GK63 HJ62:HJ63" name="Rango2_99_72"/>
    <protectedRange algorithmName="SHA-512" hashValue="YXHanhqXL0e4jPrzkCF8r/22WmlCviFUW909WKuG1JOcU0mp0/Huh0aP3EaGYxV2ep0WGu48HsShAy4Ka2uOiw==" saltValue="h/7U5iwJm7DLR4tRVfwZYw==" spinCount="100000" sqref="GI62:GI63" name="Rango2_33_24"/>
    <protectedRange algorithmName="SHA-512" hashValue="pL4tgTKqwEsWSIEGFTBd+4pvEhE7d5Q99Eijs+L/Y1rhA0saQGGRJw5Pv2HLOP0quglztFwB6WVnQ1YGxd4AiQ==" saltValue="IF5mhk2RcoEjrcYppes1VA==" spinCount="100000" sqref="FT62" name="Rango2_30_14_1"/>
    <protectedRange algorithmName="SHA-512" hashValue="pL4tgTKqwEsWSIEGFTBd+4pvEhE7d5Q99Eijs+L/Y1rhA0saQGGRJw5Pv2HLOP0quglztFwB6WVnQ1YGxd4AiQ==" saltValue="IF5mhk2RcoEjrcYppes1VA==" spinCount="100000" sqref="FT63" name="Rango2_30_15_1"/>
    <protectedRange algorithmName="SHA-512" hashValue="Umj9+5Ys20VQPxBFtc6qE5LtKKSgPKwit+B8dd4XnEUaLfBM2ozpkEC4YxwK0SbBiAHDDex+pY+LomQ0lyuamQ==" saltValue="N2/MCRws+mmA+NXw0axolg==" spinCount="100000" sqref="FY62" name="Rango2_31_2_31"/>
    <protectedRange algorithmName="SHA-512" hashValue="Umj9+5Ys20VQPxBFtc6qE5LtKKSgPKwit+B8dd4XnEUaLfBM2ozpkEC4YxwK0SbBiAHDDex+pY+LomQ0lyuamQ==" saltValue="N2/MCRws+mmA+NXw0axolg==" spinCount="100000" sqref="FY63" name="Rango2_31_2_32"/>
    <protectedRange algorithmName="SHA-512" hashValue="YXHanhqXL0e4jPrzkCF8r/22WmlCviFUW909WKuG1JOcU0mp0/Huh0aP3EaGYxV2ep0WGu48HsShAy4Ka2uOiw==" saltValue="h/7U5iwJm7DLR4tRVfwZYw==" spinCount="100000" sqref="GC62" name="Rango2_33_13_1"/>
    <protectedRange algorithmName="SHA-512" hashValue="YXHanhqXL0e4jPrzkCF8r/22WmlCviFUW909WKuG1JOcU0mp0/Huh0aP3EaGYxV2ep0WGu48HsShAy4Ka2uOiw==" saltValue="h/7U5iwJm7DLR4tRVfwZYw==" spinCount="100000" sqref="GC63" name="Rango2_33_14_1"/>
    <protectedRange algorithmName="SHA-512" hashValue="Rgskw+AQdeJ5qbJdarzTa3SCkJfDGziy0Uan5N0F3IWn/H3Z/e+VcB56R7Nes7MPxNHewNP1sSSucVjz3iTLeA==" saltValue="qKZH3DnwaZHBzy3cBZo1qQ==" spinCount="100000" sqref="GF62" name="Rango2_31_28_13_1"/>
    <protectedRange algorithmName="SHA-512" hashValue="Umj9+5Ys20VQPxBFtc6qE5LtKKSgPKwit+B8dd4XnEUaLfBM2ozpkEC4YxwK0SbBiAHDDex+pY+LomQ0lyuamQ==" saltValue="N2/MCRws+mmA+NXw0axolg==" spinCount="100000" sqref="GE62" name="Rango2_31_2_57"/>
    <protectedRange algorithmName="SHA-512" hashValue="Rgskw+AQdeJ5qbJdarzTa3SCkJfDGziy0Uan5N0F3IWn/H3Z/e+VcB56R7Nes7MPxNHewNP1sSSucVjz3iTLeA==" saltValue="qKZH3DnwaZHBzy3cBZo1qQ==" spinCount="100000" sqref="GF63" name="Rango2_31_28_14_1"/>
    <protectedRange algorithmName="SHA-512" hashValue="Umj9+5Ys20VQPxBFtc6qE5LtKKSgPKwit+B8dd4XnEUaLfBM2ozpkEC4YxwK0SbBiAHDDex+pY+LomQ0lyuamQ==" saltValue="N2/MCRws+mmA+NXw0axolg==" spinCount="100000" sqref="GE63" name="Rango2_31_2_58"/>
    <protectedRange algorithmName="SHA-512" hashValue="EEHzbvEYwO1eufllBljOz0uf9BJ2ENtvOScQ7IsS321QhYbwKn7qhHKKP8cKj02rTDvVRMWvwQ1ZP0mZWsBprQ==" saltValue="CjXqBRFbKezlWOFV37MnDQ==" spinCount="100000" sqref="GN62" name="Rango2_30_2_31"/>
    <protectedRange algorithmName="SHA-512" hashValue="EEHzbvEYwO1eufllBljOz0uf9BJ2ENtvOScQ7IsS321QhYbwKn7qhHKKP8cKj02rTDvVRMWvwQ1ZP0mZWsBprQ==" saltValue="CjXqBRFbKezlWOFV37MnDQ==" spinCount="100000" sqref="GN63" name="Rango2_30_2_32"/>
    <protectedRange algorithmName="SHA-512" hashValue="EEHzbvEYwO1eufllBljOz0uf9BJ2ENtvOScQ7IsS321QhYbwKn7qhHKKP8cKj02rTDvVRMWvwQ1ZP0mZWsBprQ==" saltValue="CjXqBRFbKezlWOFV37MnDQ==" spinCount="100000" sqref="GQ62:GR62" name="Rango2_30_2_44"/>
    <protectedRange algorithmName="SHA-512" hashValue="EEHzbvEYwO1eufllBljOz0uf9BJ2ENtvOScQ7IsS321QhYbwKn7qhHKKP8cKj02rTDvVRMWvwQ1ZP0mZWsBprQ==" saltValue="CjXqBRFbKezlWOFV37MnDQ==" spinCount="100000" sqref="GQ63:GR63" name="Rango2_30_2_45"/>
    <protectedRange algorithmName="SHA-512" hashValue="EEHzbvEYwO1eufllBljOz0uf9BJ2ENtvOScQ7IsS321QhYbwKn7qhHKKP8cKj02rTDvVRMWvwQ1ZP0mZWsBprQ==" saltValue="CjXqBRFbKezlWOFV37MnDQ==" spinCount="100000" sqref="GW62" name="Rango2_30_2_57"/>
    <protectedRange algorithmName="SHA-512" hashValue="EEHzbvEYwO1eufllBljOz0uf9BJ2ENtvOScQ7IsS321QhYbwKn7qhHKKP8cKj02rTDvVRMWvwQ1ZP0mZWsBprQ==" saltValue="CjXqBRFbKezlWOFV37MnDQ==" spinCount="100000" sqref="GW63" name="Rango2_30_2_58"/>
    <protectedRange algorithmName="SHA-512" hashValue="q2z5hEFmXS0v2chiPTC/VCoDWNlnhp+Xe6Ybfxe48vIsnB/KTJQxJv+pFUnCXfZ9T6vyJopuqFFNROfQTW/JUw==" saltValue="IctfdGJb5tOTpq+KPi9vww==" spinCount="100000" sqref="IA62" name="Rango2_88_39_45_1"/>
    <protectedRange algorithmName="SHA-512" hashValue="q2z5hEFmXS0v2chiPTC/VCoDWNlnhp+Xe6Ybfxe48vIsnB/KTJQxJv+pFUnCXfZ9T6vyJopuqFFNROfQTW/JUw==" saltValue="IctfdGJb5tOTpq+KPi9vww==" spinCount="100000" sqref="IA63" name="Rango2_88_39_46_1"/>
    <protectedRange algorithmName="SHA-512" hashValue="q2z5hEFmXS0v2chiPTC/VCoDWNlnhp+Xe6Ybfxe48vIsnB/KTJQxJv+pFUnCXfZ9T6vyJopuqFFNROfQTW/JUw==" saltValue="IctfdGJb5tOTpq+KPi9vww==" spinCount="100000" sqref="ID62:IJ62" name="Rango2_88_39_58"/>
    <protectedRange algorithmName="SHA-512" hashValue="q2z5hEFmXS0v2chiPTC/VCoDWNlnhp+Xe6Ybfxe48vIsnB/KTJQxJv+pFUnCXfZ9T6vyJopuqFFNROfQTW/JUw==" saltValue="IctfdGJb5tOTpq+KPi9vww==" spinCount="100000" sqref="ID63:IJ63" name="Rango2_88_39_59"/>
    <protectedRange algorithmName="SHA-512" hashValue="Umj9+5Ys20VQPxBFtc6qE5LtKKSgPKwit+B8dd4XnEUaLfBM2ozpkEC4YxwK0SbBiAHDDex+pY+LomQ0lyuamQ==" saltValue="N2/MCRws+mmA+NXw0axolg==" spinCount="100000" sqref="GJ64:GJ69 GH64:GH69 GL64:GL69" name="Rango2_31_2_25"/>
    <protectedRange algorithmName="SHA-512" hashValue="XZw03RosI/l0z9FxmTtF29EdZ7P+4+ybhqoaAAUmURojSR5XbGfjC4f2i8gMqfY+RI9JvfdCA6PSh9TduXfUxA==" saltValue="5TPtLq2WoiRSae/yaDPnTw==" spinCount="100000" sqref="GM64:GM69 GK64:GK69 HJ64:HJ69" name="Rango2_99_73"/>
    <protectedRange algorithmName="SHA-512" hashValue="YXHanhqXL0e4jPrzkCF8r/22WmlCviFUW909WKuG1JOcU0mp0/Huh0aP3EaGYxV2ep0WGu48HsShAy4Ka2uOiw==" saltValue="h/7U5iwJm7DLR4tRVfwZYw==" spinCount="100000" sqref="GI64:GI69" name="Rango2_33_25"/>
    <protectedRange algorithmName="SHA-512" hashValue="9+DNppQbWrLYYUMoJ+lyQctV2bX3Vq9kZnegLbpjTLP49It2ovUbcartuoQTeXgP+TGpY//7mDH/UQlFCKDGiA==" saltValue="KUnni6YEm00anzSSvyLqQA==" spinCount="100000" sqref="FH65" name="Rango2_18_7"/>
    <protectedRange algorithmName="SHA-512" hashValue="9+DNppQbWrLYYUMoJ+lyQctV2bX3Vq9kZnegLbpjTLP49It2ovUbcartuoQTeXgP+TGpY//7mDH/UQlFCKDGiA==" saltValue="KUnni6YEm00anzSSvyLqQA==" spinCount="100000" sqref="FH68:FH69" name="Rango2_18_8"/>
    <protectedRange algorithmName="SHA-512" hashValue="pL4tgTKqwEsWSIEGFTBd+4pvEhE7d5Q99Eijs+L/Y1rhA0saQGGRJw5Pv2HLOP0quglztFwB6WVnQ1YGxd4AiQ==" saltValue="IF5mhk2RcoEjrcYppes1VA==" spinCount="100000" sqref="FT64:FT66" name="Rango2_30_17_1"/>
    <protectedRange algorithmName="SHA-512" hashValue="pL4tgTKqwEsWSIEGFTBd+4pvEhE7d5Q99Eijs+L/Y1rhA0saQGGRJw5Pv2HLOP0quglztFwB6WVnQ1YGxd4AiQ==" saltValue="IF5mhk2RcoEjrcYppes1VA==" spinCount="100000" sqref="FT67" name="Rango2_30_18_1"/>
    <protectedRange algorithmName="SHA-512" hashValue="pL4tgTKqwEsWSIEGFTBd+4pvEhE7d5Q99Eijs+L/Y1rhA0saQGGRJw5Pv2HLOP0quglztFwB6WVnQ1YGxd4AiQ==" saltValue="IF5mhk2RcoEjrcYppes1VA==" spinCount="100000" sqref="FT68:FT69" name="Rango2_30_19_1"/>
    <protectedRange algorithmName="SHA-512" hashValue="Umj9+5Ys20VQPxBFtc6qE5LtKKSgPKwit+B8dd4XnEUaLfBM2ozpkEC4YxwK0SbBiAHDDex+pY+LomQ0lyuamQ==" saltValue="N2/MCRws+mmA+NXw0axolg==" spinCount="100000" sqref="FY64:FY66" name="Rango2_31_2_34"/>
    <protectedRange algorithmName="SHA-512" hashValue="Umj9+5Ys20VQPxBFtc6qE5LtKKSgPKwit+B8dd4XnEUaLfBM2ozpkEC4YxwK0SbBiAHDDex+pY+LomQ0lyuamQ==" saltValue="N2/MCRws+mmA+NXw0axolg==" spinCount="100000" sqref="FY67" name="Rango2_31_2_35"/>
    <protectedRange algorithmName="SHA-512" hashValue="Umj9+5Ys20VQPxBFtc6qE5LtKKSgPKwit+B8dd4XnEUaLfBM2ozpkEC4YxwK0SbBiAHDDex+pY+LomQ0lyuamQ==" saltValue="N2/MCRws+mmA+NXw0axolg==" spinCount="100000" sqref="FY68:FY69" name="Rango2_31_2_36"/>
    <protectedRange algorithmName="SHA-512" hashValue="Umj9+5Ys20VQPxBFtc6qE5LtKKSgPKwit+B8dd4XnEUaLfBM2ozpkEC4YxwK0SbBiAHDDex+pY+LomQ0lyuamQ==" saltValue="N2/MCRws+mmA+NXw0axolg==" spinCount="100000" sqref="GB66" name="Rango2_31_2_47"/>
    <protectedRange algorithmName="SHA-512" hashValue="YXHanhqXL0e4jPrzkCF8r/22WmlCviFUW909WKuG1JOcU0mp0/Huh0aP3EaGYxV2ep0WGu48HsShAy4Ka2uOiw==" saltValue="h/7U5iwJm7DLR4tRVfwZYw==" spinCount="100000" sqref="GC64:GC66" name="Rango2_33_16_1"/>
    <protectedRange algorithmName="SHA-512" hashValue="Umj9+5Ys20VQPxBFtc6qE5LtKKSgPKwit+B8dd4XnEUaLfBM2ozpkEC4YxwK0SbBiAHDDex+pY+LomQ0lyuamQ==" saltValue="N2/MCRws+mmA+NXw0axolg==" spinCount="100000" sqref="GB67" name="Rango2_31_2_48"/>
    <protectedRange algorithmName="SHA-512" hashValue="YXHanhqXL0e4jPrzkCF8r/22WmlCviFUW909WKuG1JOcU0mp0/Huh0aP3EaGYxV2ep0WGu48HsShAy4Ka2uOiw==" saltValue="h/7U5iwJm7DLR4tRVfwZYw==" spinCount="100000" sqref="GC67" name="Rango2_33_17_1"/>
    <protectedRange algorithmName="SHA-512" hashValue="Umj9+5Ys20VQPxBFtc6qE5LtKKSgPKwit+B8dd4XnEUaLfBM2ozpkEC4YxwK0SbBiAHDDex+pY+LomQ0lyuamQ==" saltValue="N2/MCRws+mmA+NXw0axolg==" spinCount="100000" sqref="GB69" name="Rango2_31_2_49"/>
    <protectedRange algorithmName="SHA-512" hashValue="YXHanhqXL0e4jPrzkCF8r/22WmlCviFUW909WKuG1JOcU0mp0/Huh0aP3EaGYxV2ep0WGu48HsShAy4Ka2uOiw==" saltValue="h/7U5iwJm7DLR4tRVfwZYw==" spinCount="100000" sqref="GC68:GC69" name="Rango2_33_18_1"/>
    <protectedRange algorithmName="SHA-512" hashValue="Rgskw+AQdeJ5qbJdarzTa3SCkJfDGziy0Uan5N0F3IWn/H3Z/e+VcB56R7Nes7MPxNHewNP1sSSucVjz3iTLeA==" saltValue="qKZH3DnwaZHBzy3cBZo1qQ==" spinCount="100000" sqref="GF64:GF66" name="Rango2_31_28_16_1"/>
    <protectedRange algorithmName="SHA-512" hashValue="Umj9+5Ys20VQPxBFtc6qE5LtKKSgPKwit+B8dd4XnEUaLfBM2ozpkEC4YxwK0SbBiAHDDex+pY+LomQ0lyuamQ==" saltValue="N2/MCRws+mmA+NXw0axolg==" spinCount="100000" sqref="GE64:GE66" name="Rango2_31_2_60"/>
    <protectedRange algorithmName="SHA-512" hashValue="Rgskw+AQdeJ5qbJdarzTa3SCkJfDGziy0Uan5N0F3IWn/H3Z/e+VcB56R7Nes7MPxNHewNP1sSSucVjz3iTLeA==" saltValue="qKZH3DnwaZHBzy3cBZo1qQ==" spinCount="100000" sqref="GF67" name="Rango2_31_28_17_1"/>
    <protectedRange algorithmName="SHA-512" hashValue="Umj9+5Ys20VQPxBFtc6qE5LtKKSgPKwit+B8dd4XnEUaLfBM2ozpkEC4YxwK0SbBiAHDDex+pY+LomQ0lyuamQ==" saltValue="N2/MCRws+mmA+NXw0axolg==" spinCount="100000" sqref="GE67" name="Rango2_31_2_61"/>
    <protectedRange algorithmName="SHA-512" hashValue="Rgskw+AQdeJ5qbJdarzTa3SCkJfDGziy0Uan5N0F3IWn/H3Z/e+VcB56R7Nes7MPxNHewNP1sSSucVjz3iTLeA==" saltValue="qKZH3DnwaZHBzy3cBZo1qQ==" spinCount="100000" sqref="GF68:GF69" name="Rango2_31_28_18_1"/>
    <protectedRange algorithmName="SHA-512" hashValue="Umj9+5Ys20VQPxBFtc6qE5LtKKSgPKwit+B8dd4XnEUaLfBM2ozpkEC4YxwK0SbBiAHDDex+pY+LomQ0lyuamQ==" saltValue="N2/MCRws+mmA+NXw0axolg==" spinCount="100000" sqref="GE68:GE69" name="Rango2_31_2_62"/>
    <protectedRange algorithmName="SHA-512" hashValue="EEHzbvEYwO1eufllBljOz0uf9BJ2ENtvOScQ7IsS321QhYbwKn7qhHKKP8cKj02rTDvVRMWvwQ1ZP0mZWsBprQ==" saltValue="CjXqBRFbKezlWOFV37MnDQ==" spinCount="100000" sqref="GN64:GN66" name="Rango2_30_2_34"/>
    <protectedRange algorithmName="SHA-512" hashValue="EEHzbvEYwO1eufllBljOz0uf9BJ2ENtvOScQ7IsS321QhYbwKn7qhHKKP8cKj02rTDvVRMWvwQ1ZP0mZWsBprQ==" saltValue="CjXqBRFbKezlWOFV37MnDQ==" spinCount="100000" sqref="GN67" name="Rango2_30_2_35"/>
    <protectedRange algorithmName="SHA-512" hashValue="EEHzbvEYwO1eufllBljOz0uf9BJ2ENtvOScQ7IsS321QhYbwKn7qhHKKP8cKj02rTDvVRMWvwQ1ZP0mZWsBprQ==" saltValue="CjXqBRFbKezlWOFV37MnDQ==" spinCount="100000" sqref="GN68:GN69" name="Rango2_30_2_36"/>
    <protectedRange algorithmName="SHA-512" hashValue="EEHzbvEYwO1eufllBljOz0uf9BJ2ENtvOScQ7IsS321QhYbwKn7qhHKKP8cKj02rTDvVRMWvwQ1ZP0mZWsBprQ==" saltValue="CjXqBRFbKezlWOFV37MnDQ==" spinCount="100000" sqref="GQ64:GR66" name="Rango2_30_2_47"/>
    <protectedRange algorithmName="SHA-512" hashValue="EEHzbvEYwO1eufllBljOz0uf9BJ2ENtvOScQ7IsS321QhYbwKn7qhHKKP8cKj02rTDvVRMWvwQ1ZP0mZWsBprQ==" saltValue="CjXqBRFbKezlWOFV37MnDQ==" spinCount="100000" sqref="GQ67:GR67" name="Rango2_30_2_48"/>
    <protectedRange algorithmName="SHA-512" hashValue="EEHzbvEYwO1eufllBljOz0uf9BJ2ENtvOScQ7IsS321QhYbwKn7qhHKKP8cKj02rTDvVRMWvwQ1ZP0mZWsBprQ==" saltValue="CjXqBRFbKezlWOFV37MnDQ==" spinCount="100000" sqref="GQ68:GR69" name="Rango2_30_2_49"/>
    <protectedRange algorithmName="SHA-512" hashValue="EEHzbvEYwO1eufllBljOz0uf9BJ2ENtvOScQ7IsS321QhYbwKn7qhHKKP8cKj02rTDvVRMWvwQ1ZP0mZWsBprQ==" saltValue="CjXqBRFbKezlWOFV37MnDQ==" spinCount="100000" sqref="GW64:GW66" name="Rango2_30_2_60"/>
    <protectedRange algorithmName="SHA-512" hashValue="EEHzbvEYwO1eufllBljOz0uf9BJ2ENtvOScQ7IsS321QhYbwKn7qhHKKP8cKj02rTDvVRMWvwQ1ZP0mZWsBprQ==" saltValue="CjXqBRFbKezlWOFV37MnDQ==" spinCount="100000" sqref="GW67" name="Rango2_30_2_61"/>
    <protectedRange algorithmName="SHA-512" hashValue="EEHzbvEYwO1eufllBljOz0uf9BJ2ENtvOScQ7IsS321QhYbwKn7qhHKKP8cKj02rTDvVRMWvwQ1ZP0mZWsBprQ==" saltValue="CjXqBRFbKezlWOFV37MnDQ==" spinCount="100000" sqref="GW68:GW69" name="Rango2_30_2_62"/>
    <protectedRange algorithmName="SHA-512" hashValue="q2z5hEFmXS0v2chiPTC/VCoDWNlnhp+Xe6Ybfxe48vIsnB/KTJQxJv+pFUnCXfZ9T6vyJopuqFFNROfQTW/JUw==" saltValue="IctfdGJb5tOTpq+KPi9vww==" spinCount="100000" sqref="IA64:IA66" name="Rango2_88_39_48_1"/>
    <protectedRange algorithmName="SHA-512" hashValue="q2z5hEFmXS0v2chiPTC/VCoDWNlnhp+Xe6Ybfxe48vIsnB/KTJQxJv+pFUnCXfZ9T6vyJopuqFFNROfQTW/JUw==" saltValue="IctfdGJb5tOTpq+KPi9vww==" spinCount="100000" sqref="IA67" name="Rango2_88_39_49_1"/>
    <protectedRange algorithmName="SHA-512" hashValue="q2z5hEFmXS0v2chiPTC/VCoDWNlnhp+Xe6Ybfxe48vIsnB/KTJQxJv+pFUnCXfZ9T6vyJopuqFFNROfQTW/JUw==" saltValue="IctfdGJb5tOTpq+KPi9vww==" spinCount="100000" sqref="IA68:IA69" name="Rango2_88_39_50_1"/>
    <protectedRange algorithmName="SHA-512" hashValue="q2z5hEFmXS0v2chiPTC/VCoDWNlnhp+Xe6Ybfxe48vIsnB/KTJQxJv+pFUnCXfZ9T6vyJopuqFFNROfQTW/JUw==" saltValue="IctfdGJb5tOTpq+KPi9vww==" spinCount="100000" sqref="ID64:IJ66" name="Rango2_88_39_61"/>
    <protectedRange algorithmName="SHA-512" hashValue="q2z5hEFmXS0v2chiPTC/VCoDWNlnhp+Xe6Ybfxe48vIsnB/KTJQxJv+pFUnCXfZ9T6vyJopuqFFNROfQTW/JUw==" saltValue="IctfdGJb5tOTpq+KPi9vww==" spinCount="100000" sqref="ID67:IJ67" name="Rango2_88_39_62"/>
    <protectedRange algorithmName="SHA-512" hashValue="q2z5hEFmXS0v2chiPTC/VCoDWNlnhp+Xe6Ybfxe48vIsnB/KTJQxJv+pFUnCXfZ9T6vyJopuqFFNROfQTW/JUw==" saltValue="IctfdGJb5tOTpq+KPi9vww==" spinCount="100000" sqref="ID68:IJ69" name="Rango2_88_39_63"/>
    <protectedRange algorithmName="SHA-512" hashValue="Umj9+5Ys20VQPxBFtc6qE5LtKKSgPKwit+B8dd4XnEUaLfBM2ozpkEC4YxwK0SbBiAHDDex+pY+LomQ0lyuamQ==" saltValue="N2/MCRws+mmA+NXw0axolg==" spinCount="100000" sqref="GJ70:GJ71 GH70:GH71 GL70:GL71" name="Rango2_31_2_26"/>
    <protectedRange algorithmName="SHA-512" hashValue="XZw03RosI/l0z9FxmTtF29EdZ7P+4+ybhqoaAAUmURojSR5XbGfjC4f2i8gMqfY+RI9JvfdCA6PSh9TduXfUxA==" saltValue="5TPtLq2WoiRSae/yaDPnTw==" spinCount="100000" sqref="GM70:GM71 GK70:GK71 HJ70:HJ71" name="Rango2_99_76"/>
    <protectedRange algorithmName="SHA-512" hashValue="YXHanhqXL0e4jPrzkCF8r/22WmlCviFUW909WKuG1JOcU0mp0/Huh0aP3EaGYxV2ep0WGu48HsShAy4Ka2uOiw==" saltValue="h/7U5iwJm7DLR4tRVfwZYw==" spinCount="100000" sqref="GI70:GI71" name="Rango2_33_26"/>
    <protectedRange algorithmName="SHA-512" hashValue="9+DNppQbWrLYYUMoJ+lyQctV2bX3Vq9kZnegLbpjTLP49It2ovUbcartuoQTeXgP+TGpY//7mDH/UQlFCKDGiA==" saltValue="KUnni6YEm00anzSSvyLqQA==" spinCount="100000" sqref="FH70" name="Rango2_18_9"/>
    <protectedRange algorithmName="SHA-512" hashValue="9+DNppQbWrLYYUMoJ+lyQctV2bX3Vq9kZnegLbpjTLP49It2ovUbcartuoQTeXgP+TGpY//7mDH/UQlFCKDGiA==" saltValue="KUnni6YEm00anzSSvyLqQA==" spinCount="100000" sqref="FH71" name="Rango2_18_10"/>
    <protectedRange algorithmName="SHA-512" hashValue="pL4tgTKqwEsWSIEGFTBd+4pvEhE7d5Q99Eijs+L/Y1rhA0saQGGRJw5Pv2HLOP0quglztFwB6WVnQ1YGxd4AiQ==" saltValue="IF5mhk2RcoEjrcYppes1VA==" spinCount="100000" sqref="FT70" name="Rango2_30_20_1"/>
    <protectedRange algorithmName="SHA-512" hashValue="pL4tgTKqwEsWSIEGFTBd+4pvEhE7d5Q99Eijs+L/Y1rhA0saQGGRJw5Pv2HLOP0quglztFwB6WVnQ1YGxd4AiQ==" saltValue="IF5mhk2RcoEjrcYppes1VA==" spinCount="100000" sqref="FT71" name="Rango2_30_21_1"/>
    <protectedRange algorithmName="SHA-512" hashValue="Umj9+5Ys20VQPxBFtc6qE5LtKKSgPKwit+B8dd4XnEUaLfBM2ozpkEC4YxwK0SbBiAHDDex+pY+LomQ0lyuamQ==" saltValue="N2/MCRws+mmA+NXw0axolg==" spinCount="100000" sqref="FY70" name="Rango2_31_2_37"/>
    <protectedRange algorithmName="SHA-512" hashValue="Umj9+5Ys20VQPxBFtc6qE5LtKKSgPKwit+B8dd4XnEUaLfBM2ozpkEC4YxwK0SbBiAHDDex+pY+LomQ0lyuamQ==" saltValue="N2/MCRws+mmA+NXw0axolg==" spinCount="100000" sqref="FY71" name="Rango2_31_2_38"/>
    <protectedRange algorithmName="SHA-512" hashValue="YXHanhqXL0e4jPrzkCF8r/22WmlCviFUW909WKuG1JOcU0mp0/Huh0aP3EaGYxV2ep0WGu48HsShAy4Ka2uOiw==" saltValue="h/7U5iwJm7DLR4tRVfwZYw==" spinCount="100000" sqref="GC70" name="Rango2_33_19_1"/>
    <protectedRange algorithmName="SHA-512" hashValue="Umj9+5Ys20VQPxBFtc6qE5LtKKSgPKwit+B8dd4XnEUaLfBM2ozpkEC4YxwK0SbBiAHDDex+pY+LomQ0lyuamQ==" saltValue="N2/MCRws+mmA+NXw0axolg==" spinCount="100000" sqref="GB71" name="Rango2_31_2_51"/>
    <protectedRange algorithmName="SHA-512" hashValue="YXHanhqXL0e4jPrzkCF8r/22WmlCviFUW909WKuG1JOcU0mp0/Huh0aP3EaGYxV2ep0WGu48HsShAy4Ka2uOiw==" saltValue="h/7U5iwJm7DLR4tRVfwZYw==" spinCount="100000" sqref="GC71" name="Rango2_33_20_1"/>
    <protectedRange algorithmName="SHA-512" hashValue="Rgskw+AQdeJ5qbJdarzTa3SCkJfDGziy0Uan5N0F3IWn/H3Z/e+VcB56R7Nes7MPxNHewNP1sSSucVjz3iTLeA==" saltValue="qKZH3DnwaZHBzy3cBZo1qQ==" spinCount="100000" sqref="GF70" name="Rango2_31_28_19_1"/>
    <protectedRange algorithmName="SHA-512" hashValue="Umj9+5Ys20VQPxBFtc6qE5LtKKSgPKwit+B8dd4XnEUaLfBM2ozpkEC4YxwK0SbBiAHDDex+pY+LomQ0lyuamQ==" saltValue="N2/MCRws+mmA+NXw0axolg==" spinCount="100000" sqref="GE70" name="Rango2_31_2_63"/>
    <protectedRange algorithmName="SHA-512" hashValue="Rgskw+AQdeJ5qbJdarzTa3SCkJfDGziy0Uan5N0F3IWn/H3Z/e+VcB56R7Nes7MPxNHewNP1sSSucVjz3iTLeA==" saltValue="qKZH3DnwaZHBzy3cBZo1qQ==" spinCount="100000" sqref="GF71" name="Rango2_31_28_20_1"/>
    <protectedRange algorithmName="SHA-512" hashValue="Umj9+5Ys20VQPxBFtc6qE5LtKKSgPKwit+B8dd4XnEUaLfBM2ozpkEC4YxwK0SbBiAHDDex+pY+LomQ0lyuamQ==" saltValue="N2/MCRws+mmA+NXw0axolg==" spinCount="100000" sqref="GE71" name="Rango2_31_2_64"/>
    <protectedRange algorithmName="SHA-512" hashValue="EEHzbvEYwO1eufllBljOz0uf9BJ2ENtvOScQ7IsS321QhYbwKn7qhHKKP8cKj02rTDvVRMWvwQ1ZP0mZWsBprQ==" saltValue="CjXqBRFbKezlWOFV37MnDQ==" spinCount="100000" sqref="GN70" name="Rango2_30_2_37"/>
    <protectedRange algorithmName="SHA-512" hashValue="EEHzbvEYwO1eufllBljOz0uf9BJ2ENtvOScQ7IsS321QhYbwKn7qhHKKP8cKj02rTDvVRMWvwQ1ZP0mZWsBprQ==" saltValue="CjXqBRFbKezlWOFV37MnDQ==" spinCount="100000" sqref="GN71" name="Rango2_30_2_38"/>
    <protectedRange algorithmName="SHA-512" hashValue="EEHzbvEYwO1eufllBljOz0uf9BJ2ENtvOScQ7IsS321QhYbwKn7qhHKKP8cKj02rTDvVRMWvwQ1ZP0mZWsBprQ==" saltValue="CjXqBRFbKezlWOFV37MnDQ==" spinCount="100000" sqref="GQ70:GR70" name="Rango2_30_2_50"/>
    <protectedRange algorithmName="SHA-512" hashValue="EEHzbvEYwO1eufllBljOz0uf9BJ2ENtvOScQ7IsS321QhYbwKn7qhHKKP8cKj02rTDvVRMWvwQ1ZP0mZWsBprQ==" saltValue="CjXqBRFbKezlWOFV37MnDQ==" spinCount="100000" sqref="GQ71:GR71" name="Rango2_30_2_51"/>
    <protectedRange algorithmName="SHA-512" hashValue="EEHzbvEYwO1eufllBljOz0uf9BJ2ENtvOScQ7IsS321QhYbwKn7qhHKKP8cKj02rTDvVRMWvwQ1ZP0mZWsBprQ==" saltValue="CjXqBRFbKezlWOFV37MnDQ==" spinCount="100000" sqref="GW70" name="Rango2_30_2_63"/>
    <protectedRange algorithmName="SHA-512" hashValue="EEHzbvEYwO1eufllBljOz0uf9BJ2ENtvOScQ7IsS321QhYbwKn7qhHKKP8cKj02rTDvVRMWvwQ1ZP0mZWsBprQ==" saltValue="CjXqBRFbKezlWOFV37MnDQ==" spinCount="100000" sqref="GW71" name="Rango2_30_2_64"/>
    <protectedRange algorithmName="SHA-512" hashValue="q2z5hEFmXS0v2chiPTC/VCoDWNlnhp+Xe6Ybfxe48vIsnB/KTJQxJv+pFUnCXfZ9T6vyJopuqFFNROfQTW/JUw==" saltValue="IctfdGJb5tOTpq+KPi9vww==" spinCount="100000" sqref="IA70" name="Rango2_88_39_51_1"/>
    <protectedRange algorithmName="SHA-512" hashValue="q2z5hEFmXS0v2chiPTC/VCoDWNlnhp+Xe6Ybfxe48vIsnB/KTJQxJv+pFUnCXfZ9T6vyJopuqFFNROfQTW/JUw==" saltValue="IctfdGJb5tOTpq+KPi9vww==" spinCount="100000" sqref="IA71" name="Rango2_88_39_52_1"/>
    <protectedRange algorithmName="SHA-512" hashValue="q2z5hEFmXS0v2chiPTC/VCoDWNlnhp+Xe6Ybfxe48vIsnB/KTJQxJv+pFUnCXfZ9T6vyJopuqFFNROfQTW/JUw==" saltValue="IctfdGJb5tOTpq+KPi9vww==" spinCount="100000" sqref="ID70:IJ70" name="Rango2_88_39_64"/>
    <protectedRange algorithmName="SHA-512" hashValue="q2z5hEFmXS0v2chiPTC/VCoDWNlnhp+Xe6Ybfxe48vIsnB/KTJQxJv+pFUnCXfZ9T6vyJopuqFFNROfQTW/JUw==" saltValue="IctfdGJb5tOTpq+KPi9vww==" spinCount="100000" sqref="ID71:IJ71" name="Rango2_88_39_65"/>
    <protectedRange algorithmName="SHA-512" hashValue="Umj9+5Ys20VQPxBFtc6qE5LtKKSgPKwit+B8dd4XnEUaLfBM2ozpkEC4YxwK0SbBiAHDDex+pY+LomQ0lyuamQ==" saltValue="N2/MCRws+mmA+NXw0axolg==" spinCount="100000" sqref="GJ72:GJ75 GH72:GH75 GL72:GL75" name="Rango2_31_2_27"/>
    <protectedRange algorithmName="SHA-512" hashValue="XZw03RosI/l0z9FxmTtF29EdZ7P+4+ybhqoaAAUmURojSR5XbGfjC4f2i8gMqfY+RI9JvfdCA6PSh9TduXfUxA==" saltValue="5TPtLq2WoiRSae/yaDPnTw==" spinCount="100000" sqref="GM72:GM75 GK72:GK75 HJ72:HJ75" name="Rango2_99_78"/>
    <protectedRange algorithmName="SHA-512" hashValue="YXHanhqXL0e4jPrzkCF8r/22WmlCviFUW909WKuG1JOcU0mp0/Huh0aP3EaGYxV2ep0WGu48HsShAy4Ka2uOiw==" saltValue="h/7U5iwJm7DLR4tRVfwZYw==" spinCount="100000" sqref="GI72:GI75" name="Rango2_33_27"/>
    <protectedRange algorithmName="SHA-512" hashValue="9+DNppQbWrLYYUMoJ+lyQctV2bX3Vq9kZnegLbpjTLP49It2ovUbcartuoQTeXgP+TGpY//7mDH/UQlFCKDGiA==" saltValue="KUnni6YEm00anzSSvyLqQA==" spinCount="100000" sqref="FH72:FH75" name="Rango2_18_11"/>
    <protectedRange algorithmName="SHA-512" hashValue="pL4tgTKqwEsWSIEGFTBd+4pvEhE7d5Q99Eijs+L/Y1rhA0saQGGRJw5Pv2HLOP0quglztFwB6WVnQ1YGxd4AiQ==" saltValue="IF5mhk2RcoEjrcYppes1VA==" spinCount="100000" sqref="FT72:FT75" name="Rango2_30_23_1"/>
    <protectedRange algorithmName="SHA-512" hashValue="Umj9+5Ys20VQPxBFtc6qE5LtKKSgPKwit+B8dd4XnEUaLfBM2ozpkEC4YxwK0SbBiAHDDex+pY+LomQ0lyuamQ==" saltValue="N2/MCRws+mmA+NXw0axolg==" spinCount="100000" sqref="FY72:FY75" name="Rango2_31_2_40"/>
    <protectedRange algorithmName="SHA-512" hashValue="YXHanhqXL0e4jPrzkCF8r/22WmlCviFUW909WKuG1JOcU0mp0/Huh0aP3EaGYxV2ep0WGu48HsShAy4Ka2uOiw==" saltValue="h/7U5iwJm7DLR4tRVfwZYw==" spinCount="100000" sqref="GC72:GC73 GC75" name="Rango2_33_22_1"/>
    <protectedRange algorithmName="SHA-512" hashValue="Rgskw+AQdeJ5qbJdarzTa3SCkJfDGziy0Uan5N0F3IWn/H3Z/e+VcB56R7Nes7MPxNHewNP1sSSucVjz3iTLeA==" saltValue="qKZH3DnwaZHBzy3cBZo1qQ==" spinCount="100000" sqref="GF72:GF75" name="Rango2_31_28_22_1"/>
    <protectedRange algorithmName="SHA-512" hashValue="Umj9+5Ys20VQPxBFtc6qE5LtKKSgPKwit+B8dd4XnEUaLfBM2ozpkEC4YxwK0SbBiAHDDex+pY+LomQ0lyuamQ==" saltValue="N2/MCRws+mmA+NXw0axolg==" spinCount="100000" sqref="GE72:GE75" name="Rango2_31_2_66"/>
    <protectedRange algorithmName="SHA-512" hashValue="EEHzbvEYwO1eufllBljOz0uf9BJ2ENtvOScQ7IsS321QhYbwKn7qhHKKP8cKj02rTDvVRMWvwQ1ZP0mZWsBprQ==" saltValue="CjXqBRFbKezlWOFV37MnDQ==" spinCount="100000" sqref="GN72:GN75" name="Rango2_30_2_40"/>
    <protectedRange algorithmName="SHA-512" hashValue="EEHzbvEYwO1eufllBljOz0uf9BJ2ENtvOScQ7IsS321QhYbwKn7qhHKKP8cKj02rTDvVRMWvwQ1ZP0mZWsBprQ==" saltValue="CjXqBRFbKezlWOFV37MnDQ==" spinCount="100000" sqref="GQ72:GR75" name="Rango2_30_2_53"/>
    <protectedRange algorithmName="SHA-512" hashValue="EEHzbvEYwO1eufllBljOz0uf9BJ2ENtvOScQ7IsS321QhYbwKn7qhHKKP8cKj02rTDvVRMWvwQ1ZP0mZWsBprQ==" saltValue="CjXqBRFbKezlWOFV37MnDQ==" spinCount="100000" sqref="GW72:GW75" name="Rango2_30_2_66"/>
    <protectedRange algorithmName="SHA-512" hashValue="q2z5hEFmXS0v2chiPTC/VCoDWNlnhp+Xe6Ybfxe48vIsnB/KTJQxJv+pFUnCXfZ9T6vyJopuqFFNROfQTW/JUw==" saltValue="IctfdGJb5tOTpq+KPi9vww==" spinCount="100000" sqref="IA72:IA75" name="Rango2_88_39_54_1"/>
    <protectedRange algorithmName="SHA-512" hashValue="q2z5hEFmXS0v2chiPTC/VCoDWNlnhp+Xe6Ybfxe48vIsnB/KTJQxJv+pFUnCXfZ9T6vyJopuqFFNROfQTW/JUw==" saltValue="IctfdGJb5tOTpq+KPi9vww==" spinCount="100000" sqref="ID72:IJ75" name="Rango2_88_39_67"/>
    <protectedRange algorithmName="SHA-512" hashValue="Umj9+5Ys20VQPxBFtc6qE5LtKKSgPKwit+B8dd4XnEUaLfBM2ozpkEC4YxwK0SbBiAHDDex+pY+LomQ0lyuamQ==" saltValue="N2/MCRws+mmA+NXw0axolg==" spinCount="100000" sqref="GJ76 GH76 GL76" name="Rango2_31_2_28"/>
    <protectedRange algorithmName="SHA-512" hashValue="XZw03RosI/l0z9FxmTtF29EdZ7P+4+ybhqoaAAUmURojSR5XbGfjC4f2i8gMqfY+RI9JvfdCA6PSh9TduXfUxA==" saltValue="5TPtLq2WoiRSae/yaDPnTw==" spinCount="100000" sqref="GM76 GK76 HJ76" name="Rango2_99_83"/>
    <protectedRange algorithmName="SHA-512" hashValue="YXHanhqXL0e4jPrzkCF8r/22WmlCviFUW909WKuG1JOcU0mp0/Huh0aP3EaGYxV2ep0WGu48HsShAy4Ka2uOiw==" saltValue="h/7U5iwJm7DLR4tRVfwZYw==" spinCount="100000" sqref="GI76" name="Rango2_33_28"/>
    <protectedRange algorithmName="SHA-512" hashValue="9+DNppQbWrLYYUMoJ+lyQctV2bX3Vq9kZnegLbpjTLP49It2ovUbcartuoQTeXgP+TGpY//7mDH/UQlFCKDGiA==" saltValue="KUnni6YEm00anzSSvyLqQA==" spinCount="100000" sqref="FH76" name="Rango2_18_11_1"/>
    <protectedRange algorithmName="SHA-512" hashValue="pL4tgTKqwEsWSIEGFTBd+4pvEhE7d5Q99Eijs+L/Y1rhA0saQGGRJw5Pv2HLOP0quglztFwB6WVnQ1YGxd4AiQ==" saltValue="IF5mhk2RcoEjrcYppes1VA==" spinCount="100000" sqref="FT76" name="Rango2_30_23_2"/>
    <protectedRange algorithmName="SHA-512" hashValue="Umj9+5Ys20VQPxBFtc6qE5LtKKSgPKwit+B8dd4XnEUaLfBM2ozpkEC4YxwK0SbBiAHDDex+pY+LomQ0lyuamQ==" saltValue="N2/MCRws+mmA+NXw0axolg==" spinCount="100000" sqref="FY76" name="Rango2_31_2_40_1"/>
    <protectedRange algorithmName="SHA-512" hashValue="YXHanhqXL0e4jPrzkCF8r/22WmlCviFUW909WKuG1JOcU0mp0/Huh0aP3EaGYxV2ep0WGu48HsShAy4Ka2uOiw==" saltValue="h/7U5iwJm7DLR4tRVfwZYw==" spinCount="100000" sqref="GC76" name="Rango2_33_22_2"/>
    <protectedRange algorithmName="SHA-512" hashValue="Rgskw+AQdeJ5qbJdarzTa3SCkJfDGziy0Uan5N0F3IWn/H3Z/e+VcB56R7Nes7MPxNHewNP1sSSucVjz3iTLeA==" saltValue="qKZH3DnwaZHBzy3cBZo1qQ==" spinCount="100000" sqref="GF76" name="Rango2_31_28_22_2"/>
    <protectedRange algorithmName="SHA-512" hashValue="Umj9+5Ys20VQPxBFtc6qE5LtKKSgPKwit+B8dd4XnEUaLfBM2ozpkEC4YxwK0SbBiAHDDex+pY+LomQ0lyuamQ==" saltValue="N2/MCRws+mmA+NXw0axolg==" spinCount="100000" sqref="GE76" name="Rango2_31_2_66_1"/>
    <protectedRange algorithmName="SHA-512" hashValue="EEHzbvEYwO1eufllBljOz0uf9BJ2ENtvOScQ7IsS321QhYbwKn7qhHKKP8cKj02rTDvVRMWvwQ1ZP0mZWsBprQ==" saltValue="CjXqBRFbKezlWOFV37MnDQ==" spinCount="100000" sqref="GN76" name="Rango2_30_2_40_1"/>
    <protectedRange algorithmName="SHA-512" hashValue="EEHzbvEYwO1eufllBljOz0uf9BJ2ENtvOScQ7IsS321QhYbwKn7qhHKKP8cKj02rTDvVRMWvwQ1ZP0mZWsBprQ==" saltValue="CjXqBRFbKezlWOFV37MnDQ==" spinCount="100000" sqref="GQ76:GR76" name="Rango2_30_2_53_1"/>
    <protectedRange algorithmName="SHA-512" hashValue="EEHzbvEYwO1eufllBljOz0uf9BJ2ENtvOScQ7IsS321QhYbwKn7qhHKKP8cKj02rTDvVRMWvwQ1ZP0mZWsBprQ==" saltValue="CjXqBRFbKezlWOFV37MnDQ==" spinCount="100000" sqref="GW76" name="Rango2_30_2_66_1"/>
    <protectedRange algorithmName="SHA-512" hashValue="q2z5hEFmXS0v2chiPTC/VCoDWNlnhp+Xe6Ybfxe48vIsnB/KTJQxJv+pFUnCXfZ9T6vyJopuqFFNROfQTW/JUw==" saltValue="IctfdGJb5tOTpq+KPi9vww==" spinCount="100000" sqref="IA76" name="Rango2_88_39_54_2"/>
    <protectedRange algorithmName="SHA-512" hashValue="q2z5hEFmXS0v2chiPTC/VCoDWNlnhp+Xe6Ybfxe48vIsnB/KTJQxJv+pFUnCXfZ9T6vyJopuqFFNROfQTW/JUw==" saltValue="IctfdGJb5tOTpq+KPi9vww==" spinCount="100000" sqref="ID76:IJ76" name="Rango2_88_39_67_1"/>
    <protectedRange algorithmName="SHA-512" hashValue="Umj9+5Ys20VQPxBFtc6qE5LtKKSgPKwit+B8dd4XnEUaLfBM2ozpkEC4YxwK0SbBiAHDDex+pY+LomQ0lyuamQ==" saltValue="N2/MCRws+mmA+NXw0axolg==" spinCount="100000" sqref="GJ77:GJ78 GH77:GH78 GL77:GL78" name="Rango2_31_2_29"/>
    <protectedRange algorithmName="SHA-512" hashValue="XZw03RosI/l0z9FxmTtF29EdZ7P+4+ybhqoaAAUmURojSR5XbGfjC4f2i8gMqfY+RI9JvfdCA6PSh9TduXfUxA==" saltValue="5TPtLq2WoiRSae/yaDPnTw==" spinCount="100000" sqref="GM77:GM78 GK77:GK78 HJ77:HJ78" name="Rango2_99_85"/>
    <protectedRange algorithmName="SHA-512" hashValue="YXHanhqXL0e4jPrzkCF8r/22WmlCviFUW909WKuG1JOcU0mp0/Huh0aP3EaGYxV2ep0WGu48HsShAy4Ka2uOiw==" saltValue="h/7U5iwJm7DLR4tRVfwZYw==" spinCount="100000" sqref="GI77:GI78" name="Rango2_33_29"/>
    <protectedRange algorithmName="SHA-512" hashValue="9+DNppQbWrLYYUMoJ+lyQctV2bX3Vq9kZnegLbpjTLP49It2ovUbcartuoQTeXgP+TGpY//7mDH/UQlFCKDGiA==" saltValue="KUnni6YEm00anzSSvyLqQA==" spinCount="100000" sqref="FH77:FH78" name="Rango2_18_11_2"/>
    <protectedRange algorithmName="SHA-512" hashValue="pL4tgTKqwEsWSIEGFTBd+4pvEhE7d5Q99Eijs+L/Y1rhA0saQGGRJw5Pv2HLOP0quglztFwB6WVnQ1YGxd4AiQ==" saltValue="IF5mhk2RcoEjrcYppes1VA==" spinCount="100000" sqref="FT77:FT78" name="Rango2_30_23_3"/>
    <protectedRange algorithmName="SHA-512" hashValue="Umj9+5Ys20VQPxBFtc6qE5LtKKSgPKwit+B8dd4XnEUaLfBM2ozpkEC4YxwK0SbBiAHDDex+pY+LomQ0lyuamQ==" saltValue="N2/MCRws+mmA+NXw0axolg==" spinCount="100000" sqref="FY77:FY78" name="Rango2_31_2_40_2"/>
    <protectedRange algorithmName="SHA-512" hashValue="YXHanhqXL0e4jPrzkCF8r/22WmlCviFUW909WKuG1JOcU0mp0/Huh0aP3EaGYxV2ep0WGu48HsShAy4Ka2uOiw==" saltValue="h/7U5iwJm7DLR4tRVfwZYw==" spinCount="100000" sqref="GC78" name="Rango2_33_22_3"/>
    <protectedRange algorithmName="SHA-512" hashValue="Rgskw+AQdeJ5qbJdarzTa3SCkJfDGziy0Uan5N0F3IWn/H3Z/e+VcB56R7Nes7MPxNHewNP1sSSucVjz3iTLeA==" saltValue="qKZH3DnwaZHBzy3cBZo1qQ==" spinCount="100000" sqref="GF77:GF78" name="Rango2_31_28_22_3"/>
    <protectedRange algorithmName="SHA-512" hashValue="Umj9+5Ys20VQPxBFtc6qE5LtKKSgPKwit+B8dd4XnEUaLfBM2ozpkEC4YxwK0SbBiAHDDex+pY+LomQ0lyuamQ==" saltValue="N2/MCRws+mmA+NXw0axolg==" spinCount="100000" sqref="GE77:GE78" name="Rango2_31_2_66_2"/>
    <protectedRange algorithmName="SHA-512" hashValue="EEHzbvEYwO1eufllBljOz0uf9BJ2ENtvOScQ7IsS321QhYbwKn7qhHKKP8cKj02rTDvVRMWvwQ1ZP0mZWsBprQ==" saltValue="CjXqBRFbKezlWOFV37MnDQ==" spinCount="100000" sqref="GN77:GN78" name="Rango2_30_2_40_2"/>
    <protectedRange algorithmName="SHA-512" hashValue="EEHzbvEYwO1eufllBljOz0uf9BJ2ENtvOScQ7IsS321QhYbwKn7qhHKKP8cKj02rTDvVRMWvwQ1ZP0mZWsBprQ==" saltValue="CjXqBRFbKezlWOFV37MnDQ==" spinCount="100000" sqref="GQ77:GR78" name="Rango2_30_2_53_2"/>
    <protectedRange algorithmName="SHA-512" hashValue="EEHzbvEYwO1eufllBljOz0uf9BJ2ENtvOScQ7IsS321QhYbwKn7qhHKKP8cKj02rTDvVRMWvwQ1ZP0mZWsBprQ==" saltValue="CjXqBRFbKezlWOFV37MnDQ==" spinCount="100000" sqref="GW77:GW78" name="Rango2_30_2_66_2"/>
    <protectedRange algorithmName="SHA-512" hashValue="q2z5hEFmXS0v2chiPTC/VCoDWNlnhp+Xe6Ybfxe48vIsnB/KTJQxJv+pFUnCXfZ9T6vyJopuqFFNROfQTW/JUw==" saltValue="IctfdGJb5tOTpq+KPi9vww==" spinCount="100000" sqref="IA77:IA78" name="Rango2_88_39_54_3"/>
    <protectedRange algorithmName="SHA-512" hashValue="q2z5hEFmXS0v2chiPTC/VCoDWNlnhp+Xe6Ybfxe48vIsnB/KTJQxJv+pFUnCXfZ9T6vyJopuqFFNROfQTW/JUw==" saltValue="IctfdGJb5tOTpq+KPi9vww==" spinCount="100000" sqref="ID77:IJ78" name="Rango2_88_39_67_2"/>
    <protectedRange algorithmName="SHA-512" hashValue="Umj9+5Ys20VQPxBFtc6qE5LtKKSgPKwit+B8dd4XnEUaLfBM2ozpkEC4YxwK0SbBiAHDDex+pY+LomQ0lyuamQ==" saltValue="N2/MCRws+mmA+NXw0axolg==" spinCount="100000" sqref="GJ79:GJ80 GH79:GH80 GL79:GL80" name="Rango2_31_2_30"/>
    <protectedRange algorithmName="SHA-512" hashValue="XZw03RosI/l0z9FxmTtF29EdZ7P+4+ybhqoaAAUmURojSR5XbGfjC4f2i8gMqfY+RI9JvfdCA6PSh9TduXfUxA==" saltValue="5TPtLq2WoiRSae/yaDPnTw==" spinCount="100000" sqref="GM79:GM80 GK79:GK80 HJ79:HJ80 FI79:FI80 GC79:GC80" name="Rango2_99_86"/>
    <protectedRange algorithmName="SHA-512" hashValue="YXHanhqXL0e4jPrzkCF8r/22WmlCviFUW909WKuG1JOcU0mp0/Huh0aP3EaGYxV2ep0WGu48HsShAy4Ka2uOiw==" saltValue="h/7U5iwJm7DLR4tRVfwZYw==" spinCount="100000" sqref="GI79:GI80" name="Rango2_33_30"/>
    <protectedRange algorithmName="SHA-512" hashValue="9+DNppQbWrLYYUMoJ+lyQctV2bX3Vq9kZnegLbpjTLP49It2ovUbcartuoQTeXgP+TGpY//7mDH/UQlFCKDGiA==" saltValue="KUnni6YEm00anzSSvyLqQA==" spinCount="100000" sqref="FH79:FH80" name="Rango2_18_11_3"/>
    <protectedRange algorithmName="SHA-512" hashValue="pL4tgTKqwEsWSIEGFTBd+4pvEhE7d5Q99Eijs+L/Y1rhA0saQGGRJw5Pv2HLOP0quglztFwB6WVnQ1YGxd4AiQ==" saltValue="IF5mhk2RcoEjrcYppes1VA==" spinCount="100000" sqref="FT79:FT80" name="Rango2_30_23_4"/>
    <protectedRange algorithmName="SHA-512" hashValue="Umj9+5Ys20VQPxBFtc6qE5LtKKSgPKwit+B8dd4XnEUaLfBM2ozpkEC4YxwK0SbBiAHDDex+pY+LomQ0lyuamQ==" saltValue="N2/MCRws+mmA+NXw0axolg==" spinCount="100000" sqref="FY79:FY80" name="Rango2_31_2_40_3"/>
    <protectedRange algorithmName="SHA-512" hashValue="Rgskw+AQdeJ5qbJdarzTa3SCkJfDGziy0Uan5N0F3IWn/H3Z/e+VcB56R7Nes7MPxNHewNP1sSSucVjz3iTLeA==" saltValue="qKZH3DnwaZHBzy3cBZo1qQ==" spinCount="100000" sqref="GF79:GF80" name="Rango2_31_28_22_4"/>
    <protectedRange algorithmName="SHA-512" hashValue="Umj9+5Ys20VQPxBFtc6qE5LtKKSgPKwit+B8dd4XnEUaLfBM2ozpkEC4YxwK0SbBiAHDDex+pY+LomQ0lyuamQ==" saltValue="N2/MCRws+mmA+NXw0axolg==" spinCount="100000" sqref="GE79:GE80" name="Rango2_31_2_66_3"/>
    <protectedRange algorithmName="SHA-512" hashValue="EEHzbvEYwO1eufllBljOz0uf9BJ2ENtvOScQ7IsS321QhYbwKn7qhHKKP8cKj02rTDvVRMWvwQ1ZP0mZWsBprQ==" saltValue="CjXqBRFbKezlWOFV37MnDQ==" spinCount="100000" sqref="GN79:GN80" name="Rango2_30_2_40_3"/>
    <protectedRange algorithmName="SHA-512" hashValue="EEHzbvEYwO1eufllBljOz0uf9BJ2ENtvOScQ7IsS321QhYbwKn7qhHKKP8cKj02rTDvVRMWvwQ1ZP0mZWsBprQ==" saltValue="CjXqBRFbKezlWOFV37MnDQ==" spinCount="100000" sqref="GQ79:GR80" name="Rango2_30_2_53_3"/>
    <protectedRange algorithmName="SHA-512" hashValue="EEHzbvEYwO1eufllBljOz0uf9BJ2ENtvOScQ7IsS321QhYbwKn7qhHKKP8cKj02rTDvVRMWvwQ1ZP0mZWsBprQ==" saltValue="CjXqBRFbKezlWOFV37MnDQ==" spinCount="100000" sqref="GW79:GW80" name="Rango2_30_2_66_3"/>
    <protectedRange algorithmName="SHA-512" hashValue="q2z5hEFmXS0v2chiPTC/VCoDWNlnhp+Xe6Ybfxe48vIsnB/KTJQxJv+pFUnCXfZ9T6vyJopuqFFNROfQTW/JUw==" saltValue="IctfdGJb5tOTpq+KPi9vww==" spinCount="100000" sqref="IA79:IA80" name="Rango2_88_39_54_4"/>
    <protectedRange algorithmName="SHA-512" hashValue="q2z5hEFmXS0v2chiPTC/VCoDWNlnhp+Xe6Ybfxe48vIsnB/KTJQxJv+pFUnCXfZ9T6vyJopuqFFNROfQTW/JUw==" saltValue="IctfdGJb5tOTpq+KPi9vww==" spinCount="100000" sqref="ID79:IJ80" name="Rango2_88_39_67_3"/>
    <protectedRange algorithmName="SHA-512" hashValue="EEHzbvEYwO1eufllBljOz0uf9BJ2ENtvOScQ7IsS321QhYbwKn7qhHKKP8cKj02rTDvVRMWvwQ1ZP0mZWsBprQ==" saltValue="CjXqBRFbKezlWOFV37MnDQ==" spinCount="100000" sqref="GN82:GN83 GQ82:GR83 GW82:GW83" name="Rango2_30_2_24"/>
    <protectedRange algorithmName="SHA-512" hashValue="Rgskw+AQdeJ5qbJdarzTa3SCkJfDGziy0Uan5N0F3IWn/H3Z/e+VcB56R7Nes7MPxNHewNP1sSSucVjz3iTLeA==" saltValue="qKZH3DnwaZHBzy3cBZo1qQ==" spinCount="100000" sqref="GF82:GF83" name="Rango2_31_28_23"/>
    <protectedRange algorithmName="SHA-512" hashValue="Umj9+5Ys20VQPxBFtc6qE5LtKKSgPKwit+B8dd4XnEUaLfBM2ozpkEC4YxwK0SbBiAHDDex+pY+LomQ0lyuamQ==" saltValue="N2/MCRws+mmA+NXw0axolg==" spinCount="100000" sqref="GJ81:GJ83 GH81:GH83 GL81:GL83 FY82:FY83 GE82:GE83" name="Rango2_31_2_33"/>
    <protectedRange algorithmName="SHA-512" hashValue="q2z5hEFmXS0v2chiPTC/VCoDWNlnhp+Xe6Ybfxe48vIsnB/KTJQxJv+pFUnCXfZ9T6vyJopuqFFNROfQTW/JUw==" saltValue="IctfdGJb5tOTpq+KPi9vww==" spinCount="100000" sqref="IE82:IJ83" name="Rango2_88_39_60"/>
    <protectedRange algorithmName="SHA-512" hashValue="XZw03RosI/l0z9FxmTtF29EdZ7P+4+ybhqoaAAUmURojSR5XbGfjC4f2i8gMqfY+RI9JvfdCA6PSh9TduXfUxA==" saltValue="5TPtLq2WoiRSae/yaDPnTw==" spinCount="100000" sqref="GM81:GM83 GK81:GK83 HJ81:HJ83 FU82:FU83 FI82:FI83 IL82:IM83 GT82:GT83 EO82:EO83 HU82:HZ83 IB82:IB83 EA82:EJ83 ER82:ES83 EV82:EW83 FF82:FF83 FQ82:FR83 FW82:FX83 FZ82:FZ83 GO82:GO83 GY82:GZ83 IO82:IO83" name="Rango2_99_87"/>
    <protectedRange algorithmName="SHA-512" hashValue="YXHanhqXL0e4jPrzkCF8r/22WmlCviFUW909WKuG1JOcU0mp0/Huh0aP3EaGYxV2ep0WGu48HsShAy4Ka2uOiw==" saltValue="h/7U5iwJm7DLR4tRVfwZYw==" spinCount="100000" sqref="GI81:GI83 GC82:GC83" name="Rango2_33_31"/>
    <protectedRange algorithmName="SHA-512" hashValue="pL4tgTKqwEsWSIEGFTBd+4pvEhE7d5Q99Eijs+L/Y1rhA0saQGGRJw5Pv2HLOP0quglztFwB6WVnQ1YGxd4AiQ==" saltValue="IF5mhk2RcoEjrcYppes1VA==" spinCount="100000" sqref="FT82:FT83" name="Rango2_30_25"/>
    <protectedRange algorithmName="SHA-512" hashValue="9+DNppQbWrLYYUMoJ+lyQctV2bX3Vq9kZnegLbpjTLP49It2ovUbcartuoQTeXgP+TGpY//7mDH/UQlFCKDGiA==" saltValue="KUnni6YEm00anzSSvyLqQA==" spinCount="100000" sqref="FH81" name="Rango2_18_11_4"/>
    <protectedRange algorithmName="SHA-512" hashValue="pL4tgTKqwEsWSIEGFTBd+4pvEhE7d5Q99Eijs+L/Y1rhA0saQGGRJw5Pv2HLOP0quglztFwB6WVnQ1YGxd4AiQ==" saltValue="IF5mhk2RcoEjrcYppes1VA==" spinCount="100000" sqref="FT81" name="Rango2_30_23_5"/>
    <protectedRange algorithmName="SHA-512" hashValue="Umj9+5Ys20VQPxBFtc6qE5LtKKSgPKwit+B8dd4XnEUaLfBM2ozpkEC4YxwK0SbBiAHDDex+pY+LomQ0lyuamQ==" saltValue="N2/MCRws+mmA+NXw0axolg==" spinCount="100000" sqref="FY81" name="Rango2_31_2_40_4"/>
    <protectedRange algorithmName="SHA-512" hashValue="Umj9+5Ys20VQPxBFtc6qE5LtKKSgPKwit+B8dd4XnEUaLfBM2ozpkEC4YxwK0SbBiAHDDex+pY+LomQ0lyuamQ==" saltValue="N2/MCRws+mmA+NXw0axolg==" spinCount="100000" sqref="GB81" name="Rango2_31_2_53_4"/>
    <protectedRange algorithmName="SHA-512" hashValue="YXHanhqXL0e4jPrzkCF8r/22WmlCviFUW909WKuG1JOcU0mp0/Huh0aP3EaGYxV2ep0WGu48HsShAy4Ka2uOiw==" saltValue="h/7U5iwJm7DLR4tRVfwZYw==" spinCount="100000" sqref="GC81" name="Rango2_33_22_4"/>
    <protectedRange algorithmName="SHA-512" hashValue="Rgskw+AQdeJ5qbJdarzTa3SCkJfDGziy0Uan5N0F3IWn/H3Z/e+VcB56R7Nes7MPxNHewNP1sSSucVjz3iTLeA==" saltValue="qKZH3DnwaZHBzy3cBZo1qQ==" spinCount="100000" sqref="GF81" name="Rango2_31_28_22_5"/>
    <protectedRange algorithmName="SHA-512" hashValue="Umj9+5Ys20VQPxBFtc6qE5LtKKSgPKwit+B8dd4XnEUaLfBM2ozpkEC4YxwK0SbBiAHDDex+pY+LomQ0lyuamQ==" saltValue="N2/MCRws+mmA+NXw0axolg==" spinCount="100000" sqref="GE81" name="Rango2_31_2_66_4"/>
    <protectedRange algorithmName="SHA-512" hashValue="EEHzbvEYwO1eufllBljOz0uf9BJ2ENtvOScQ7IsS321QhYbwKn7qhHKKP8cKj02rTDvVRMWvwQ1ZP0mZWsBprQ==" saltValue="CjXqBRFbKezlWOFV37MnDQ==" spinCount="100000" sqref="GN81" name="Rango2_30_2_40_4"/>
    <protectedRange algorithmName="SHA-512" hashValue="EEHzbvEYwO1eufllBljOz0uf9BJ2ENtvOScQ7IsS321QhYbwKn7qhHKKP8cKj02rTDvVRMWvwQ1ZP0mZWsBprQ==" saltValue="CjXqBRFbKezlWOFV37MnDQ==" spinCount="100000" sqref="GQ81:GR81" name="Rango2_30_2_53_4"/>
    <protectedRange algorithmName="SHA-512" hashValue="EEHzbvEYwO1eufllBljOz0uf9BJ2ENtvOScQ7IsS321QhYbwKn7qhHKKP8cKj02rTDvVRMWvwQ1ZP0mZWsBprQ==" saltValue="CjXqBRFbKezlWOFV37MnDQ==" spinCount="100000" sqref="GW81" name="Rango2_30_2_66_4"/>
    <protectedRange algorithmName="SHA-512" hashValue="q2z5hEFmXS0v2chiPTC/VCoDWNlnhp+Xe6Ybfxe48vIsnB/KTJQxJv+pFUnCXfZ9T6vyJopuqFFNROfQTW/JUw==" saltValue="IctfdGJb5tOTpq+KPi9vww==" spinCount="100000" sqref="IA81:IA83" name="Rango2_88_39_54_5"/>
    <protectedRange algorithmName="SHA-512" hashValue="q2z5hEFmXS0v2chiPTC/VCoDWNlnhp+Xe6Ybfxe48vIsnB/KTJQxJv+pFUnCXfZ9T6vyJopuqFFNROfQTW/JUw==" saltValue="IctfdGJb5tOTpq+KPi9vww==" spinCount="100000" sqref="ID81:IJ81 ID82:ID83" name="Rango2_88_39_67_4"/>
    <protectedRange algorithmName="SHA-512" hashValue="EEHzbvEYwO1eufllBljOz0uf9BJ2ENtvOScQ7IsS321QhYbwKn7qhHKKP8cKj02rTDvVRMWvwQ1ZP0mZWsBprQ==" saltValue="CjXqBRFbKezlWOFV37MnDQ==" spinCount="100000" sqref="GN84:GN85 GQ84:GR85 GW84:GW85" name="Rango2_30_2_25"/>
    <protectedRange algorithmName="SHA-512" hashValue="Rgskw+AQdeJ5qbJdarzTa3SCkJfDGziy0Uan5N0F3IWn/H3Z/e+VcB56R7Nes7MPxNHewNP1sSSucVjz3iTLeA==" saltValue="qKZH3DnwaZHBzy3cBZo1qQ==" spinCount="100000" sqref="GF84:GF85" name="Rango2_31_28_24"/>
    <protectedRange algorithmName="SHA-512" hashValue="Umj9+5Ys20VQPxBFtc6qE5LtKKSgPKwit+B8dd4XnEUaLfBM2ozpkEC4YxwK0SbBiAHDDex+pY+LomQ0lyuamQ==" saltValue="N2/MCRws+mmA+NXw0axolg==" spinCount="100000" sqref="GJ84:GJ85 GH84:GH85 GL84:GL85 FY84:FY85 GE84:GE85" name="Rango2_31_2_39"/>
    <protectedRange algorithmName="SHA-512" hashValue="q2z5hEFmXS0v2chiPTC/VCoDWNlnhp+Xe6Ybfxe48vIsnB/KTJQxJv+pFUnCXfZ9T6vyJopuqFFNROfQTW/JUw==" saltValue="IctfdGJb5tOTpq+KPi9vww==" spinCount="100000" sqref="IE84:IJ85" name="Rango2_88_39_66"/>
    <protectedRange algorithmName="SHA-512" hashValue="XZw03RosI/l0z9FxmTtF29EdZ7P+4+ybhqoaAAUmURojSR5XbGfjC4f2i8gMqfY+RI9JvfdCA6PSh9TduXfUxA==" saltValue="5TPtLq2WoiRSae/yaDPnTw==" spinCount="100000" sqref="GM84:GM85 GK84:GK85 HJ84:HJ85 FU84:FU85 FI84:FI85 IL84:IM85 GT84:GT85 EO84:EO85 HU84:HZ85 IB84:IB85 EA84:EJ85 ER84:ES85 EV84:EW85 FF84:FF85 FQ84:FR85 FW84:FX85 FZ84:FZ85 GO84:GO85 GY84:GZ85 IO84:IO85" name="Rango2_99_90"/>
    <protectedRange algorithmName="SHA-512" hashValue="YXHanhqXL0e4jPrzkCF8r/22WmlCviFUW909WKuG1JOcU0mp0/Huh0aP3EaGYxV2ep0WGu48HsShAy4Ka2uOiw==" saltValue="h/7U5iwJm7DLR4tRVfwZYw==" spinCount="100000" sqref="GI84:GI85 GC84:GC85" name="Rango2_33_32"/>
    <protectedRange algorithmName="SHA-512" hashValue="pL4tgTKqwEsWSIEGFTBd+4pvEhE7d5Q99Eijs+L/Y1rhA0saQGGRJw5Pv2HLOP0quglztFwB6WVnQ1YGxd4AiQ==" saltValue="IF5mhk2RcoEjrcYppes1VA==" spinCount="100000" sqref="FT84:FT85" name="Rango2_30_26"/>
    <protectedRange algorithmName="SHA-512" hashValue="q2z5hEFmXS0v2chiPTC/VCoDWNlnhp+Xe6Ybfxe48vIsnB/KTJQxJv+pFUnCXfZ9T6vyJopuqFFNROfQTW/JUw==" saltValue="IctfdGJb5tOTpq+KPi9vww==" spinCount="100000" sqref="IA84:IA85" name="Rango2_88_39_54_6"/>
    <protectedRange algorithmName="SHA-512" hashValue="q2z5hEFmXS0v2chiPTC/VCoDWNlnhp+Xe6Ybfxe48vIsnB/KTJQxJv+pFUnCXfZ9T6vyJopuqFFNROfQTW/JUw==" saltValue="IctfdGJb5tOTpq+KPi9vww==" spinCount="100000" sqref="ID84:ID85" name="Rango2_88_39_67_5"/>
    <protectedRange algorithmName="SHA-512" hashValue="EEHzbvEYwO1eufllBljOz0uf9BJ2ENtvOScQ7IsS321QhYbwKn7qhHKKP8cKj02rTDvVRMWvwQ1ZP0mZWsBprQ==" saltValue="CjXqBRFbKezlWOFV37MnDQ==" spinCount="100000" sqref="GN86 GQ86:GR86 GW86" name="Rango2_30_2_26"/>
    <protectedRange algorithmName="SHA-512" hashValue="Rgskw+AQdeJ5qbJdarzTa3SCkJfDGziy0Uan5N0F3IWn/H3Z/e+VcB56R7Nes7MPxNHewNP1sSSucVjz3iTLeA==" saltValue="qKZH3DnwaZHBzy3cBZo1qQ==" spinCount="100000" sqref="GF86" name="Rango2_31_28_25"/>
    <protectedRange algorithmName="SHA-512" hashValue="Umj9+5Ys20VQPxBFtc6qE5LtKKSgPKwit+B8dd4XnEUaLfBM2ozpkEC4YxwK0SbBiAHDDex+pY+LomQ0lyuamQ==" saltValue="N2/MCRws+mmA+NXw0axolg==" spinCount="100000" sqref="GJ86 GH86 GL86 FY86 GB86 GE86" name="Rango2_31_2_41"/>
    <protectedRange algorithmName="SHA-512" hashValue="q2z5hEFmXS0v2chiPTC/VCoDWNlnhp+Xe6Ybfxe48vIsnB/KTJQxJv+pFUnCXfZ9T6vyJopuqFFNROfQTW/JUw==" saltValue="IctfdGJb5tOTpq+KPi9vww==" spinCount="100000" sqref="IE86:IJ86" name="Rango2_88_39_68"/>
    <protectedRange algorithmName="SHA-512" hashValue="XZw03RosI/l0z9FxmTtF29EdZ7P+4+ybhqoaAAUmURojSR5XbGfjC4f2i8gMqfY+RI9JvfdCA6PSh9TduXfUxA==" saltValue="5TPtLq2WoiRSae/yaDPnTw==" spinCount="100000" sqref="GM86 GK86 HJ86 FU86 FI86 IL86:IM86 GT86 EO86 HU86:HZ86 IB86 EA86:EJ86 ER86:ES86 EV86:EW86 FF86 FQ86:FR86 FW86:FX86 FZ86 GO86 GY86:GZ86 IO86" name="Rango2_99_91"/>
    <protectedRange algorithmName="SHA-512" hashValue="YXHanhqXL0e4jPrzkCF8r/22WmlCviFUW909WKuG1JOcU0mp0/Huh0aP3EaGYxV2ep0WGu48HsShAy4Ka2uOiw==" saltValue="h/7U5iwJm7DLR4tRVfwZYw==" spinCount="100000" sqref="GI86 GC86" name="Rango2_33_33"/>
    <protectedRange algorithmName="SHA-512" hashValue="pL4tgTKqwEsWSIEGFTBd+4pvEhE7d5Q99Eijs+L/Y1rhA0saQGGRJw5Pv2HLOP0quglztFwB6WVnQ1YGxd4AiQ==" saltValue="IF5mhk2RcoEjrcYppes1VA==" spinCount="100000" sqref="FT86" name="Rango2_30_27"/>
    <protectedRange algorithmName="SHA-512" hashValue="q2z5hEFmXS0v2chiPTC/VCoDWNlnhp+Xe6Ybfxe48vIsnB/KTJQxJv+pFUnCXfZ9T6vyJopuqFFNROfQTW/JUw==" saltValue="IctfdGJb5tOTpq+KPi9vww==" spinCount="100000" sqref="IA86" name="Rango2_88_39_54_7"/>
    <protectedRange algorithmName="SHA-512" hashValue="q2z5hEFmXS0v2chiPTC/VCoDWNlnhp+Xe6Ybfxe48vIsnB/KTJQxJv+pFUnCXfZ9T6vyJopuqFFNROfQTW/JUw==" saltValue="IctfdGJb5tOTpq+KPi9vww==" spinCount="100000" sqref="ID86" name="Rango2_88_39_67_6"/>
    <protectedRange algorithmName="SHA-512" hashValue="EEHzbvEYwO1eufllBljOz0uf9BJ2ENtvOScQ7IsS321QhYbwKn7qhHKKP8cKj02rTDvVRMWvwQ1ZP0mZWsBprQ==" saltValue="CjXqBRFbKezlWOFV37MnDQ==" spinCount="100000" sqref="GN87 GQ87:GR87 GW87" name="Rango2_30_2_27"/>
    <protectedRange algorithmName="SHA-512" hashValue="Rgskw+AQdeJ5qbJdarzTa3SCkJfDGziy0Uan5N0F3IWn/H3Z/e+VcB56R7Nes7MPxNHewNP1sSSucVjz3iTLeA==" saltValue="qKZH3DnwaZHBzy3cBZo1qQ==" spinCount="100000" sqref="GF87" name="Rango2_31_28_26"/>
    <protectedRange algorithmName="SHA-512" hashValue="Umj9+5Ys20VQPxBFtc6qE5LtKKSgPKwit+B8dd4XnEUaLfBM2ozpkEC4YxwK0SbBiAHDDex+pY+LomQ0lyuamQ==" saltValue="N2/MCRws+mmA+NXw0axolg==" spinCount="100000" sqref="GJ87 GH87 GL87 FY87 GB87 GE87" name="Rango2_31_2_42"/>
    <protectedRange algorithmName="SHA-512" hashValue="q2z5hEFmXS0v2chiPTC/VCoDWNlnhp+Xe6Ybfxe48vIsnB/KTJQxJv+pFUnCXfZ9T6vyJopuqFFNROfQTW/JUw==" saltValue="IctfdGJb5tOTpq+KPi9vww==" spinCount="100000" sqref="IE87:IJ87" name="Rango2_88_39_69"/>
    <protectedRange algorithmName="SHA-512" hashValue="XZw03RosI/l0z9FxmTtF29EdZ7P+4+ybhqoaAAUmURojSR5XbGfjC4f2i8gMqfY+RI9JvfdCA6PSh9TduXfUxA==" saltValue="5TPtLq2WoiRSae/yaDPnTw==" spinCount="100000" sqref="GM87 GK87 HJ87 FU87 FI87 IL87:IM87 GT87 EO87 HU87:HZ87 IB87 EA87:EJ87 ER87:ES87 EV87:EW87 FF87 FQ87:FR87 FW87:FX87 FZ87 GO87 GY87:GZ87 IO87" name="Rango2_99_97"/>
    <protectedRange algorithmName="SHA-512" hashValue="YXHanhqXL0e4jPrzkCF8r/22WmlCviFUW909WKuG1JOcU0mp0/Huh0aP3EaGYxV2ep0WGu48HsShAy4Ka2uOiw==" saltValue="h/7U5iwJm7DLR4tRVfwZYw==" spinCount="100000" sqref="GI87 GC87" name="Rango2_33_34"/>
    <protectedRange algorithmName="SHA-512" hashValue="pL4tgTKqwEsWSIEGFTBd+4pvEhE7d5Q99Eijs+L/Y1rhA0saQGGRJw5Pv2HLOP0quglztFwB6WVnQ1YGxd4AiQ==" saltValue="IF5mhk2RcoEjrcYppes1VA==" spinCount="100000" sqref="FT87" name="Rango2_30_28"/>
    <protectedRange algorithmName="SHA-512" hashValue="q2z5hEFmXS0v2chiPTC/VCoDWNlnhp+Xe6Ybfxe48vIsnB/KTJQxJv+pFUnCXfZ9T6vyJopuqFFNROfQTW/JUw==" saltValue="IctfdGJb5tOTpq+KPi9vww==" spinCount="100000" sqref="IA87" name="Rango2_88_39_54_8"/>
    <protectedRange algorithmName="SHA-512" hashValue="q2z5hEFmXS0v2chiPTC/VCoDWNlnhp+Xe6Ybfxe48vIsnB/KTJQxJv+pFUnCXfZ9T6vyJopuqFFNROfQTW/JUw==" saltValue="IctfdGJb5tOTpq+KPi9vww==" spinCount="100000" sqref="ID87" name="Rango2_88_39_67_7"/>
    <protectedRange algorithmName="SHA-512" hashValue="Gqwr8n5jYbCESAqCFk8dpOzViQICBV+k0xoqBoQaZ5lHaRlvT9TZDB4yXtm+qC6OhD064ZDBOFWkwo+LHXu1sg==" saltValue="gEL9PCN2ekF2IxW9yqAGYA==" spinCount="100000" sqref="IS62" name="Rango2_40_2_4_1"/>
    <protectedRange algorithmName="SHA-512" hashValue="D8TacORwT7iz0mF9GEucchnMHfB5er2FFjQsxyeWWyeJkM6Bt3gYQ3LbcHPxZXFpVAYtFOuTrzYOCJrlZDx16g==" saltValue="QtCzIBktdS4NZkOEGcLTRQ==" spinCount="100000" sqref="IW62" name="Rango2_41_4_1"/>
    <protectedRange algorithmName="SHA-512" hashValue="Gqwr8n5jYbCESAqCFk8dpOzViQICBV+k0xoqBoQaZ5lHaRlvT9TZDB4yXtm+qC6OhD064ZDBOFWkwo+LHXu1sg==" saltValue="gEL9PCN2ekF2IxW9yqAGYA==" spinCount="100000" sqref="IS63" name="Rango2_40_2_5_1"/>
    <protectedRange algorithmName="SHA-512" hashValue="D8TacORwT7iz0mF9GEucchnMHfB5er2FFjQsxyeWWyeJkM6Bt3gYQ3LbcHPxZXFpVAYtFOuTrzYOCJrlZDx16g==" saltValue="QtCzIBktdS4NZkOEGcLTRQ==" spinCount="100000" sqref="IW63" name="Rango2_41_5_1"/>
    <protectedRange algorithmName="SHA-512" hashValue="Gqwr8n5jYbCESAqCFk8dpOzViQICBV+k0xoqBoQaZ5lHaRlvT9TZDB4yXtm+qC6OhD064ZDBOFWkwo+LHXu1sg==" saltValue="gEL9PCN2ekF2IxW9yqAGYA==" spinCount="100000" sqref="IS64:IS66" name="Rango2_40_2_7_1"/>
    <protectedRange algorithmName="SHA-512" hashValue="D8TacORwT7iz0mF9GEucchnMHfB5er2FFjQsxyeWWyeJkM6Bt3gYQ3LbcHPxZXFpVAYtFOuTrzYOCJrlZDx16g==" saltValue="QtCzIBktdS4NZkOEGcLTRQ==" spinCount="100000" sqref="IW64:IW66 JT64:JU64 JO64:JO65" name="Rango2_41_7_1"/>
    <protectedRange algorithmName="SHA-512" hashValue="Gqwr8n5jYbCESAqCFk8dpOzViQICBV+k0xoqBoQaZ5lHaRlvT9TZDB4yXtm+qC6OhD064ZDBOFWkwo+LHXu1sg==" saltValue="gEL9PCN2ekF2IxW9yqAGYA==" spinCount="100000" sqref="IS67" name="Rango2_40_2_8_1"/>
    <protectedRange algorithmName="SHA-512" hashValue="D8TacORwT7iz0mF9GEucchnMHfB5er2FFjQsxyeWWyeJkM6Bt3gYQ3LbcHPxZXFpVAYtFOuTrzYOCJrlZDx16g==" saltValue="QtCzIBktdS4NZkOEGcLTRQ==" spinCount="100000" sqref="IW67" name="Rango2_41_8_1"/>
    <protectedRange algorithmName="SHA-512" hashValue="Gqwr8n5jYbCESAqCFk8dpOzViQICBV+k0xoqBoQaZ5lHaRlvT9TZDB4yXtm+qC6OhD064ZDBOFWkwo+LHXu1sg==" saltValue="gEL9PCN2ekF2IxW9yqAGYA==" spinCount="100000" sqref="IS68:IS69" name="Rango2_40_2_9_1"/>
    <protectedRange algorithmName="SHA-512" hashValue="D8TacORwT7iz0mF9GEucchnMHfB5er2FFjQsxyeWWyeJkM6Bt3gYQ3LbcHPxZXFpVAYtFOuTrzYOCJrlZDx16g==" saltValue="QtCzIBktdS4NZkOEGcLTRQ==" spinCount="100000" sqref="IW68:IW69" name="Rango2_41_9_1"/>
    <protectedRange algorithmName="SHA-512" hashValue="Gqwr8n5jYbCESAqCFk8dpOzViQICBV+k0xoqBoQaZ5lHaRlvT9TZDB4yXtm+qC6OhD064ZDBOFWkwo+LHXu1sg==" saltValue="gEL9PCN2ekF2IxW9yqAGYA==" spinCount="100000" sqref="IS70" name="Rango2_40_2_10_1"/>
    <protectedRange algorithmName="SHA-512" hashValue="D8TacORwT7iz0mF9GEucchnMHfB5er2FFjQsxyeWWyeJkM6Bt3gYQ3LbcHPxZXFpVAYtFOuTrzYOCJrlZDx16g==" saltValue="QtCzIBktdS4NZkOEGcLTRQ==" spinCount="100000" sqref="IW70" name="Rango2_41_10_1"/>
    <protectedRange algorithmName="SHA-512" hashValue="Gqwr8n5jYbCESAqCFk8dpOzViQICBV+k0xoqBoQaZ5lHaRlvT9TZDB4yXtm+qC6OhD064ZDBOFWkwo+LHXu1sg==" saltValue="gEL9PCN2ekF2IxW9yqAGYA==" spinCount="100000" sqref="IS71" name="Rango2_40_2_11_1"/>
    <protectedRange algorithmName="SHA-512" hashValue="D8TacORwT7iz0mF9GEucchnMHfB5er2FFjQsxyeWWyeJkM6Bt3gYQ3LbcHPxZXFpVAYtFOuTrzYOCJrlZDx16g==" saltValue="QtCzIBktdS4NZkOEGcLTRQ==" spinCount="100000" sqref="IW71" name="Rango2_41_11_1"/>
    <protectedRange algorithmName="SHA-512" hashValue="Gqwr8n5jYbCESAqCFk8dpOzViQICBV+k0xoqBoQaZ5lHaRlvT9TZDB4yXtm+qC6OhD064ZDBOFWkwo+LHXu1sg==" saltValue="gEL9PCN2ekF2IxW9yqAGYA==" spinCount="100000" sqref="IS72:IS75" name="Rango2_40_2_13_1"/>
    <protectedRange algorithmName="SHA-512" hashValue="D8TacORwT7iz0mF9GEucchnMHfB5er2FFjQsxyeWWyeJkM6Bt3gYQ3LbcHPxZXFpVAYtFOuTrzYOCJrlZDx16g==" saltValue="QtCzIBktdS4NZkOEGcLTRQ==" spinCount="100000" sqref="IW72:IW75" name="Rango2_41_13_1"/>
    <protectedRange algorithmName="SHA-512" hashValue="Gqwr8n5jYbCESAqCFk8dpOzViQICBV+k0xoqBoQaZ5lHaRlvT9TZDB4yXtm+qC6OhD064ZDBOFWkwo+LHXu1sg==" saltValue="gEL9PCN2ekF2IxW9yqAGYA==" spinCount="100000" sqref="IS76" name="Rango2_40_2_13_2"/>
    <protectedRange algorithmName="SHA-512" hashValue="D8TacORwT7iz0mF9GEucchnMHfB5er2FFjQsxyeWWyeJkM6Bt3gYQ3LbcHPxZXFpVAYtFOuTrzYOCJrlZDx16g==" saltValue="QtCzIBktdS4NZkOEGcLTRQ==" spinCount="100000" sqref="IW76" name="Rango2_41_13_2"/>
    <protectedRange algorithmName="SHA-512" hashValue="Gqwr8n5jYbCESAqCFk8dpOzViQICBV+k0xoqBoQaZ5lHaRlvT9TZDB4yXtm+qC6OhD064ZDBOFWkwo+LHXu1sg==" saltValue="gEL9PCN2ekF2IxW9yqAGYA==" spinCount="100000" sqref="IS77:IS78" name="Rango2_40_2_13_3"/>
    <protectedRange algorithmName="SHA-512" hashValue="D8TacORwT7iz0mF9GEucchnMHfB5er2FFjQsxyeWWyeJkM6Bt3gYQ3LbcHPxZXFpVAYtFOuTrzYOCJrlZDx16g==" saltValue="QtCzIBktdS4NZkOEGcLTRQ==" spinCount="100000" sqref="IW77:IW78" name="Rango2_41_13_3"/>
    <protectedRange algorithmName="SHA-512" hashValue="Gqwr8n5jYbCESAqCFk8dpOzViQICBV+k0xoqBoQaZ5lHaRlvT9TZDB4yXtm+qC6OhD064ZDBOFWkwo+LHXu1sg==" saltValue="gEL9PCN2ekF2IxW9yqAGYA==" spinCount="100000" sqref="IS79:IS80" name="Rango2_40_2_13_4"/>
    <protectedRange algorithmName="SHA-512" hashValue="D8TacORwT7iz0mF9GEucchnMHfB5er2FFjQsxyeWWyeJkM6Bt3gYQ3LbcHPxZXFpVAYtFOuTrzYOCJrlZDx16g==" saltValue="QtCzIBktdS4NZkOEGcLTRQ==" spinCount="100000" sqref="IW79:IW80" name="Rango2_41_13_4"/>
    <protectedRange algorithmName="SHA-512" hashValue="Gqwr8n5jYbCESAqCFk8dpOzViQICBV+k0xoqBoQaZ5lHaRlvT9TZDB4yXtm+qC6OhD064ZDBOFWkwo+LHXu1sg==" saltValue="gEL9PCN2ekF2IxW9yqAGYA==" spinCount="100000" sqref="IS82:IS83" name="Rango2_40_2_24"/>
    <protectedRange algorithmName="SHA-512" hashValue="D8TacORwT7iz0mF9GEucchnMHfB5er2FFjQsxyeWWyeJkM6Bt3gYQ3LbcHPxZXFpVAYtFOuTrzYOCJrlZDx16g==" saltValue="QtCzIBktdS4NZkOEGcLTRQ==" spinCount="100000" sqref="IW83" name="Rango2_41_24"/>
    <protectedRange algorithmName="SHA-512" hashValue="Gqwr8n5jYbCESAqCFk8dpOzViQICBV+k0xoqBoQaZ5lHaRlvT9TZDB4yXtm+qC6OhD064ZDBOFWkwo+LHXu1sg==" saltValue="gEL9PCN2ekF2IxW9yqAGYA==" spinCount="100000" sqref="IS81" name="Rango2_40_2_13_5"/>
    <protectedRange algorithmName="SHA-512" hashValue="D8TacORwT7iz0mF9GEucchnMHfB5er2FFjQsxyeWWyeJkM6Bt3gYQ3LbcHPxZXFpVAYtFOuTrzYOCJrlZDx16g==" saltValue="QtCzIBktdS4NZkOEGcLTRQ==" spinCount="100000" sqref="IW81:IW82" name="Rango2_41_13_5"/>
    <protectedRange algorithmName="SHA-512" hashValue="Gqwr8n5jYbCESAqCFk8dpOzViQICBV+k0xoqBoQaZ5lHaRlvT9TZDB4yXtm+qC6OhD064ZDBOFWkwo+LHXu1sg==" saltValue="gEL9PCN2ekF2IxW9yqAGYA==" spinCount="100000" sqref="IS84:IS85" name="Rango2_40_2_25"/>
    <protectedRange algorithmName="SHA-512" hashValue="D8TacORwT7iz0mF9GEucchnMHfB5er2FFjQsxyeWWyeJkM6Bt3gYQ3LbcHPxZXFpVAYtFOuTrzYOCJrlZDx16g==" saltValue="QtCzIBktdS4NZkOEGcLTRQ==" spinCount="100000" sqref="IW84:IW85" name="Rango2_41_25"/>
    <protectedRange algorithmName="SHA-512" hashValue="Gqwr8n5jYbCESAqCFk8dpOzViQICBV+k0xoqBoQaZ5lHaRlvT9TZDB4yXtm+qC6OhD064ZDBOFWkwo+LHXu1sg==" saltValue="gEL9PCN2ekF2IxW9yqAGYA==" spinCount="100000" sqref="IS86" name="Rango2_40_2_26"/>
    <protectedRange algorithmName="SHA-512" hashValue="D8TacORwT7iz0mF9GEucchnMHfB5er2FFjQsxyeWWyeJkM6Bt3gYQ3LbcHPxZXFpVAYtFOuTrzYOCJrlZDx16g==" saltValue="QtCzIBktdS4NZkOEGcLTRQ==" spinCount="100000" sqref="IW86" name="Rango2_41_26"/>
    <protectedRange algorithmName="SHA-512" hashValue="Gqwr8n5jYbCESAqCFk8dpOzViQICBV+k0xoqBoQaZ5lHaRlvT9TZDB4yXtm+qC6OhD064ZDBOFWkwo+LHXu1sg==" saltValue="gEL9PCN2ekF2IxW9yqAGYA==" spinCount="100000" sqref="IS87" name="Rango2_40_2_27"/>
    <protectedRange algorithmName="SHA-512" hashValue="D8TacORwT7iz0mF9GEucchnMHfB5er2FFjQsxyeWWyeJkM6Bt3gYQ3LbcHPxZXFpVAYtFOuTrzYOCJrlZDx16g==" saltValue="QtCzIBktdS4NZkOEGcLTRQ==" spinCount="100000" sqref="IW87" name="Rango2_41_27"/>
    <protectedRange algorithmName="SHA-512" hashValue="6a5oYwZw9WJcgjqXpleUXH8uaqNEuymPPpeOb7lKBc1WoM6IG/DNyDLWmj2lYwxnZO2yhl+B61kwrxD9m9AdhQ==" saltValue="tdNQPzLQd+n9Ww064QJIaQ==" spinCount="100000" sqref="I88:I90" name="Rango2_61_16"/>
    <protectedRange algorithmName="SHA-512" hashValue="XM8+0Jh5zLWw02PI0Lt8dLqjTcW5ulySion19FAnruDN6QRp4UwcVqdfQxnOQAItgpWG7rNsELzjwy0iXOonxw==" saltValue="Sd4WFUedDfLKoMQTDrxJuQ==" spinCount="100000" sqref="K88:K90" name="Rango2_88_4_4_16"/>
    <protectedRange algorithmName="SHA-512" hashValue="EMMPgE8t/az1rHHzaZAQIhz+GQV0k2O/tQGA96sJqEEMzz1efIRa4CcLzC7iY9CCscto3g7dwz41haOE28iXYg==" saltValue="CVzFsG4X4LXUMo7796PiDQ==" spinCount="100000" sqref="L88:M90 J88:J90 B88:H88 B89:B90 D89:H90 C89:C124" name="Rango2_10_16"/>
    <protectedRange algorithmName="SHA-512" hashValue="6a5oYwZw9WJcgjqXpleUXH8uaqNEuymPPpeOb7lKBc1WoM6IG/DNyDLWmj2lYwxnZO2yhl+B61kwrxD9m9AdhQ==" saltValue="tdNQPzLQd+n9Ww064QJIaQ==" spinCount="100000" sqref="I91" name="Rango2_61_17"/>
    <protectedRange algorithmName="SHA-512" hashValue="XM8+0Jh5zLWw02PI0Lt8dLqjTcW5ulySion19FAnruDN6QRp4UwcVqdfQxnOQAItgpWG7rNsELzjwy0iXOonxw==" saltValue="Sd4WFUedDfLKoMQTDrxJuQ==" spinCount="100000" sqref="K91" name="Rango2_88_4_4_17"/>
    <protectedRange algorithmName="SHA-512" hashValue="EMMPgE8t/az1rHHzaZAQIhz+GQV0k2O/tQGA96sJqEEMzz1efIRa4CcLzC7iY9CCscto3g7dwz41haOE28iXYg==" saltValue="CVzFsG4X4LXUMo7796PiDQ==" spinCount="100000" sqref="L91:M91 J91 B91 D91:H91" name="Rango2_10_17"/>
    <protectedRange algorithmName="SHA-512" hashValue="6a5oYwZw9WJcgjqXpleUXH8uaqNEuymPPpeOb7lKBc1WoM6IG/DNyDLWmj2lYwxnZO2yhl+B61kwrxD9m9AdhQ==" saltValue="tdNQPzLQd+n9Ww064QJIaQ==" spinCount="100000" sqref="I92:I93" name="Rango2_61_18"/>
    <protectedRange algorithmName="SHA-512" hashValue="XM8+0Jh5zLWw02PI0Lt8dLqjTcW5ulySion19FAnruDN6QRp4UwcVqdfQxnOQAItgpWG7rNsELzjwy0iXOonxw==" saltValue="Sd4WFUedDfLKoMQTDrxJuQ==" spinCount="100000" sqref="K92:K93" name="Rango2_88_4_4_18"/>
    <protectedRange algorithmName="SHA-512" hashValue="EMMPgE8t/az1rHHzaZAQIhz+GQV0k2O/tQGA96sJqEEMzz1efIRa4CcLzC7iY9CCscto3g7dwz41haOE28iXYg==" saltValue="CVzFsG4X4LXUMo7796PiDQ==" spinCount="100000" sqref="L92:M93 J92:J93 B92:B93 D92:H93" name="Rango2_10_18"/>
    <protectedRange algorithmName="SHA-512" hashValue="6a5oYwZw9WJcgjqXpleUXH8uaqNEuymPPpeOb7lKBc1WoM6IG/DNyDLWmj2lYwxnZO2yhl+B61kwrxD9m9AdhQ==" saltValue="tdNQPzLQd+n9Ww064QJIaQ==" spinCount="100000" sqref="I94" name="Rango2_61_19"/>
    <protectedRange algorithmName="SHA-512" hashValue="XM8+0Jh5zLWw02PI0Lt8dLqjTcW5ulySion19FAnruDN6QRp4UwcVqdfQxnOQAItgpWG7rNsELzjwy0iXOonxw==" saltValue="Sd4WFUedDfLKoMQTDrxJuQ==" spinCount="100000" sqref="K94" name="Rango2_88_4_4_19"/>
    <protectedRange algorithmName="SHA-512" hashValue="EMMPgE8t/az1rHHzaZAQIhz+GQV0k2O/tQGA96sJqEEMzz1efIRa4CcLzC7iY9CCscto3g7dwz41haOE28iXYg==" saltValue="CVzFsG4X4LXUMo7796PiDQ==" spinCount="100000" sqref="L94:M94 J94 B94 D94:H94" name="Rango2_10_19"/>
    <protectedRange algorithmName="SHA-512" hashValue="6a5oYwZw9WJcgjqXpleUXH8uaqNEuymPPpeOb7lKBc1WoM6IG/DNyDLWmj2lYwxnZO2yhl+B61kwrxD9m9AdhQ==" saltValue="tdNQPzLQd+n9Ww064QJIaQ==" spinCount="100000" sqref="I95" name="Rango2_61_20"/>
    <protectedRange algorithmName="SHA-512" hashValue="XM8+0Jh5zLWw02PI0Lt8dLqjTcW5ulySion19FAnruDN6QRp4UwcVqdfQxnOQAItgpWG7rNsELzjwy0iXOonxw==" saltValue="Sd4WFUedDfLKoMQTDrxJuQ==" spinCount="100000" sqref="K95" name="Rango2_88_4_4_20"/>
    <protectedRange algorithmName="SHA-512" hashValue="EMMPgE8t/az1rHHzaZAQIhz+GQV0k2O/tQGA96sJqEEMzz1efIRa4CcLzC7iY9CCscto3g7dwz41haOE28iXYg==" saltValue="CVzFsG4X4LXUMo7796PiDQ==" spinCount="100000" sqref="L95:M95 J95 B95 D95:H95" name="Rango2_10_20"/>
    <protectedRange algorithmName="SHA-512" hashValue="6a5oYwZw9WJcgjqXpleUXH8uaqNEuymPPpeOb7lKBc1WoM6IG/DNyDLWmj2lYwxnZO2yhl+B61kwrxD9m9AdhQ==" saltValue="tdNQPzLQd+n9Ww064QJIaQ==" spinCount="100000" sqref="I96" name="Rango2_61_21"/>
    <protectedRange algorithmName="SHA-512" hashValue="XM8+0Jh5zLWw02PI0Lt8dLqjTcW5ulySion19FAnruDN6QRp4UwcVqdfQxnOQAItgpWG7rNsELzjwy0iXOonxw==" saltValue="Sd4WFUedDfLKoMQTDrxJuQ==" spinCount="100000" sqref="K96" name="Rango2_88_4_4_21"/>
    <protectedRange algorithmName="SHA-512" hashValue="EMMPgE8t/az1rHHzaZAQIhz+GQV0k2O/tQGA96sJqEEMzz1efIRa4CcLzC7iY9CCscto3g7dwz41haOE28iXYg==" saltValue="CVzFsG4X4LXUMo7796PiDQ==" spinCount="100000" sqref="L96:M96 J96 B96 D96:H96" name="Rango2_10_21"/>
    <protectedRange algorithmName="SHA-512" hashValue="6a5oYwZw9WJcgjqXpleUXH8uaqNEuymPPpeOb7lKBc1WoM6IG/DNyDLWmj2lYwxnZO2yhl+B61kwrxD9m9AdhQ==" saltValue="tdNQPzLQd+n9Ww064QJIaQ==" spinCount="100000" sqref="I97:I98" name="Rango2_61_22"/>
    <protectedRange algorithmName="SHA-512" hashValue="XM8+0Jh5zLWw02PI0Lt8dLqjTcW5ulySion19FAnruDN6QRp4UwcVqdfQxnOQAItgpWG7rNsELzjwy0iXOonxw==" saltValue="Sd4WFUedDfLKoMQTDrxJuQ==" spinCount="100000" sqref="K97:K98" name="Rango2_88_4_4_22"/>
    <protectedRange algorithmName="SHA-512" hashValue="EMMPgE8t/az1rHHzaZAQIhz+GQV0k2O/tQGA96sJqEEMzz1efIRa4CcLzC7iY9CCscto3g7dwz41haOE28iXYg==" saltValue="CVzFsG4X4LXUMo7796PiDQ==" spinCount="100000" sqref="L97:M98 J97:J98 B97:B98 D97:H98" name="Rango2_10_22"/>
    <protectedRange algorithmName="SHA-512" hashValue="6a5oYwZw9WJcgjqXpleUXH8uaqNEuymPPpeOb7lKBc1WoM6IG/DNyDLWmj2lYwxnZO2yhl+B61kwrxD9m9AdhQ==" saltValue="tdNQPzLQd+n9Ww064QJIaQ==" spinCount="100000" sqref="I99:I100" name="Rango2_61_24"/>
    <protectedRange algorithmName="SHA-512" hashValue="XM8+0Jh5zLWw02PI0Lt8dLqjTcW5ulySion19FAnruDN6QRp4UwcVqdfQxnOQAItgpWG7rNsELzjwy0iXOonxw==" saltValue="Sd4WFUedDfLKoMQTDrxJuQ==" spinCount="100000" sqref="K99:K100" name="Rango2_88_4_4_24"/>
    <protectedRange algorithmName="SHA-512" hashValue="EMMPgE8t/az1rHHzaZAQIhz+GQV0k2O/tQGA96sJqEEMzz1efIRa4CcLzC7iY9CCscto3g7dwz41haOE28iXYg==" saltValue="CVzFsG4X4LXUMo7796PiDQ==" spinCount="100000" sqref="L99:M100 J99:J100 B99:B100 D99:H100" name="Rango2_10_24"/>
    <protectedRange algorithmName="SHA-512" hashValue="6a5oYwZw9WJcgjqXpleUXH8uaqNEuymPPpeOb7lKBc1WoM6IG/DNyDLWmj2lYwxnZO2yhl+B61kwrxD9m9AdhQ==" saltValue="tdNQPzLQd+n9Ww064QJIaQ==" spinCount="100000" sqref="I101:I102" name="Rango2_61_25"/>
    <protectedRange algorithmName="SHA-512" hashValue="XM8+0Jh5zLWw02PI0Lt8dLqjTcW5ulySion19FAnruDN6QRp4UwcVqdfQxnOQAItgpWG7rNsELzjwy0iXOonxw==" saltValue="Sd4WFUedDfLKoMQTDrxJuQ==" spinCount="100000" sqref="K101:K102" name="Rango2_88_4_4_25"/>
    <protectedRange algorithmName="SHA-512" hashValue="EMMPgE8t/az1rHHzaZAQIhz+GQV0k2O/tQGA96sJqEEMzz1efIRa4CcLzC7iY9CCscto3g7dwz41haOE28iXYg==" saltValue="CVzFsG4X4LXUMo7796PiDQ==" spinCount="100000" sqref="L101:M102 J101:J102 B101:B102 D101:H102" name="Rango2_10_25"/>
    <protectedRange algorithmName="SHA-512" hashValue="6a5oYwZw9WJcgjqXpleUXH8uaqNEuymPPpeOb7lKBc1WoM6IG/DNyDLWmj2lYwxnZO2yhl+B61kwrxD9m9AdhQ==" saltValue="tdNQPzLQd+n9Ww064QJIaQ==" spinCount="100000" sqref="I103:I112" name="Rango2_61_26"/>
    <protectedRange algorithmName="SHA-512" hashValue="XM8+0Jh5zLWw02PI0Lt8dLqjTcW5ulySion19FAnruDN6QRp4UwcVqdfQxnOQAItgpWG7rNsELzjwy0iXOonxw==" saltValue="Sd4WFUedDfLKoMQTDrxJuQ==" spinCount="100000" sqref="K103:K112" name="Rango2_88_4_4_26"/>
    <protectedRange algorithmName="SHA-512" hashValue="EMMPgE8t/az1rHHzaZAQIhz+GQV0k2O/tQGA96sJqEEMzz1efIRa4CcLzC7iY9CCscto3g7dwz41haOE28iXYg==" saltValue="CVzFsG4X4LXUMo7796PiDQ==" spinCount="100000" sqref="L103:M112 J103:J112 B103:B112 D103:H112" name="Rango2_10_26"/>
    <protectedRange algorithmName="SHA-512" hashValue="6a5oYwZw9WJcgjqXpleUXH8uaqNEuymPPpeOb7lKBc1WoM6IG/DNyDLWmj2lYwxnZO2yhl+B61kwrxD9m9AdhQ==" saltValue="tdNQPzLQd+n9Ww064QJIaQ==" spinCount="100000" sqref="I113:I116" name="Rango2_61_27"/>
    <protectedRange algorithmName="SHA-512" hashValue="XM8+0Jh5zLWw02PI0Lt8dLqjTcW5ulySion19FAnruDN6QRp4UwcVqdfQxnOQAItgpWG7rNsELzjwy0iXOonxw==" saltValue="Sd4WFUedDfLKoMQTDrxJuQ==" spinCount="100000" sqref="K113:K116" name="Rango2_88_4_4_27"/>
    <protectedRange algorithmName="SHA-512" hashValue="EMMPgE8t/az1rHHzaZAQIhz+GQV0k2O/tQGA96sJqEEMzz1efIRa4CcLzC7iY9CCscto3g7dwz41haOE28iXYg==" saltValue="CVzFsG4X4LXUMo7796PiDQ==" spinCount="100000" sqref="L113:M116 J113:J116 B113:B116 D113:H116" name="Rango2_10_27"/>
    <protectedRange algorithmName="SHA-512" hashValue="6a5oYwZw9WJcgjqXpleUXH8uaqNEuymPPpeOb7lKBc1WoM6IG/DNyDLWmj2lYwxnZO2yhl+B61kwrxD9m9AdhQ==" saltValue="tdNQPzLQd+n9Ww064QJIaQ==" spinCount="100000" sqref="I117:I124" name="Rango2_61_28"/>
    <protectedRange algorithmName="SHA-512" hashValue="XM8+0Jh5zLWw02PI0Lt8dLqjTcW5ulySion19FAnruDN6QRp4UwcVqdfQxnOQAItgpWG7rNsELzjwy0iXOonxw==" saltValue="Sd4WFUedDfLKoMQTDrxJuQ==" spinCount="100000" sqref="K117:K124" name="Rango2_88_4_4_28"/>
    <protectedRange algorithmName="SHA-512" hashValue="EMMPgE8t/az1rHHzaZAQIhz+GQV0k2O/tQGA96sJqEEMzz1efIRa4CcLzC7iY9CCscto3g7dwz41haOE28iXYg==" saltValue="CVzFsG4X4LXUMo7796PiDQ==" spinCount="100000" sqref="L117:M124 J117:J124 B117:B124 D117:H124" name="Rango2_10_28"/>
    <protectedRange algorithmName="SHA-512" hashValue="RQ91b7oAw60DVtcgB2vRpial2kSdzJx5guGCTYUwXYkKrtrUHfiYnLf9R+SNpYXlJDYpyEJLhcWwP0EqNN86dQ==" saltValue="W3RbH3zrcY9sy39xNwXNxg==" spinCount="100000" sqref="BA88:BI90 BV88:BY90" name="Rango2_88_99_30"/>
    <protectedRange algorithmName="SHA-512" hashValue="fMbmUM1DQ7FuAPRNvFL5mPdHUYjQnlLFhkuaxvHguaqR7aWyDxcmJs0jLYQfQKY+oyhsMb4Lew4VL6i7um3/ew==" saltValue="ydaTm0CeH8+/cYqoL/AMaQ==" spinCount="100000" sqref="AU88:AU90 AW88:AZ90" name="Rango2_88_91_27"/>
    <protectedRange algorithmName="SHA-512" hashValue="CHipOQaT63FWw628cQcXXJRZlrbNZ7OgmnEbDx38UmmH7z19GRYEzXFiVOzHAy1OAaAbST7g2bHZHDKQp2qm3w==" saltValue="iRVuL+373yLHv0ZHzS9qog==" spinCount="100000" sqref="AG88:AH90 AJ88:AJ90 AL88:AL90" name="Rango2_88_7_5_30"/>
    <protectedRange algorithmName="SHA-512" hashValue="NkG6oHuDGvGBEiLAAq8MEJHEfLQUMyjihfH+DBXhT+eQW0r1yri7tOJEFRM9nbOejjjXiviq9RFo7KB7wF+xJA==" saltValue="bpjB0AAANu2X/PeR3eiFkA==" spinCount="100000" sqref="AM88:AS90" name="Rango2_88_65_28"/>
    <protectedRange algorithmName="SHA-512" hashValue="fPHvtIAf3pQeZUoAI9C2/vdXMHBpqqEq+67P5Ypyu4+9IWqs3yc9TZcMWQ0THLxUwqseQPyVvakuYFtCwJHsxA==" saltValue="QHIogSs2PrwAfdqa9PAOFQ==" spinCount="100000" sqref="AC88:AC90" name="Rango2_88_5_5_28"/>
    <protectedRange algorithmName="SHA-512" hashValue="LEEeiU6pKqm7TAP46VGlz0q+evvFwpT/0iLpRuWuQ7MacbP0OGL1/FSmrIEOg2rb6M+Jla2bPbVWiGag27j87w==" saltValue="HEVt+pS5OloNDlqSnzGLLw==" spinCount="100000" sqref="AI88:AI90" name="Rango2_8_7_28"/>
    <protectedRange algorithmName="SHA-512" hashValue="q2z5hEFmXS0v2chiPTC/VCoDWNlnhp+Xe6Ybfxe48vIsnB/KTJQxJv+pFUnCXfZ9T6vyJopuqFFNROfQTW/JUw==" saltValue="IctfdGJb5tOTpq+KPi9vww==" spinCount="100000" sqref="AE88:AF90" name="Rango2_88_39_70"/>
    <protectedRange algorithmName="SHA-512" hashValue="AYYX88LSDB6RDNMvSqt0KPGWPjBqTk56tMxTOlv5QD61MGTKAAQnSnudvNDWPN0Bbllh2qRQC+P5uq7goxjdrw==" saltValue="i/iPMewnks1FoXYOjKMEVg==" spinCount="100000" sqref="AB88:AB90" name="Rango2_87_6_28"/>
    <protectedRange algorithmName="SHA-512" hashValue="NUll9P9xh7KbSfMYpMxsRZLfDw/y/AzW2LSWlpXVscBDqiAxmzo71xjs+a2lh+jRa7pceOC849slke4+ZKx8LA==" saltValue="8qbkKpQ+CiQuLnqgShNvXA==" spinCount="100000" sqref="T88:T90" name="Rango2_88_6_28"/>
    <protectedRange algorithmName="SHA-512" hashValue="KHhv3JU/LRdRrRTxxkgFceEHPZ5UzadmpZRZR3zmQRnPvkUJZuanRafIJ+qde0IWwLZSvFIQDyUAHq6v6k7XIg==" saltValue="2GKG1kCzVNNcn+vbOPuhJA==" spinCount="100000" sqref="Q88:Q90" name="Rango2_2_5_28"/>
    <protectedRange algorithmName="SHA-512" hashValue="XZw03RosI/l0z9FxmTtF29EdZ7P+4+ybhqoaAAUmURojSR5XbGfjC4f2i8gMqfY+RI9JvfdCA6PSh9TduXfUxA==" saltValue="5TPtLq2WoiRSae/yaDPnTw==" spinCount="100000" sqref="AT88:AT90 AV88:AV90 U88:AA90 CJ88:CK90 CS88:CT90 CP88:CQ90 CV88:CY90 BR88:BU90 BZ88:CB90 CE88:CF90 O88:O90 R88:S90 BJ88:BL88 DA88:DN90 BJ90:BL90 BJ89:BK89" name="Rango2_99_99"/>
    <protectedRange algorithmName="SHA-512" hashValue="RQ91b7oAw60DVtcgB2vRpial2kSdzJx5guGCTYUwXYkKrtrUHfiYnLf9R+SNpYXlJDYpyEJLhcWwP0EqNN86dQ==" saltValue="W3RbH3zrcY9sy39xNwXNxg==" spinCount="100000" sqref="BA91:BI91 BV91:BY91" name="Rango2_88_99_31"/>
    <protectedRange algorithmName="SHA-512" hashValue="fMbmUM1DQ7FuAPRNvFL5mPdHUYjQnlLFhkuaxvHguaqR7aWyDxcmJs0jLYQfQKY+oyhsMb4Lew4VL6i7um3/ew==" saltValue="ydaTm0CeH8+/cYqoL/AMaQ==" spinCount="100000" sqref="AU91 AW91:AZ91" name="Rango2_88_91_28"/>
    <protectedRange algorithmName="SHA-512" hashValue="CHipOQaT63FWw628cQcXXJRZlrbNZ7OgmnEbDx38UmmH7z19GRYEzXFiVOzHAy1OAaAbST7g2bHZHDKQp2qm3w==" saltValue="iRVuL+373yLHv0ZHzS9qog==" spinCount="100000" sqref="AG91:AH91 AJ91 AL91" name="Rango2_88_7_5_31"/>
    <protectedRange algorithmName="SHA-512" hashValue="NkG6oHuDGvGBEiLAAq8MEJHEfLQUMyjihfH+DBXhT+eQW0r1yri7tOJEFRM9nbOejjjXiviq9RFo7KB7wF+xJA==" saltValue="bpjB0AAANu2X/PeR3eiFkA==" spinCount="100000" sqref="AM91:AS91" name="Rango2_88_65_29"/>
    <protectedRange algorithmName="SHA-512" hashValue="fPHvtIAf3pQeZUoAI9C2/vdXMHBpqqEq+67P5Ypyu4+9IWqs3yc9TZcMWQ0THLxUwqseQPyVvakuYFtCwJHsxA==" saltValue="QHIogSs2PrwAfdqa9PAOFQ==" spinCount="100000" sqref="AC91" name="Rango2_88_5_5_29"/>
    <protectedRange algorithmName="SHA-512" hashValue="LEEeiU6pKqm7TAP46VGlz0q+evvFwpT/0iLpRuWuQ7MacbP0OGL1/FSmrIEOg2rb6M+Jla2bPbVWiGag27j87w==" saltValue="HEVt+pS5OloNDlqSnzGLLw==" spinCount="100000" sqref="AI91" name="Rango2_8_7_29"/>
    <protectedRange algorithmName="SHA-512" hashValue="q2z5hEFmXS0v2chiPTC/VCoDWNlnhp+Xe6Ybfxe48vIsnB/KTJQxJv+pFUnCXfZ9T6vyJopuqFFNROfQTW/JUw==" saltValue="IctfdGJb5tOTpq+KPi9vww==" spinCount="100000" sqref="AE91:AF91" name="Rango2_88_39_71"/>
    <protectedRange algorithmName="SHA-512" hashValue="AYYX88LSDB6RDNMvSqt0KPGWPjBqTk56tMxTOlv5QD61MGTKAAQnSnudvNDWPN0Bbllh2qRQC+P5uq7goxjdrw==" saltValue="i/iPMewnks1FoXYOjKMEVg==" spinCount="100000" sqref="AB91" name="Rango2_87_6_29"/>
    <protectedRange algorithmName="SHA-512" hashValue="NUll9P9xh7KbSfMYpMxsRZLfDw/y/AzW2LSWlpXVscBDqiAxmzo71xjs+a2lh+jRa7pceOC849slke4+ZKx8LA==" saltValue="8qbkKpQ+CiQuLnqgShNvXA==" spinCount="100000" sqref="T91" name="Rango2_88_6_29"/>
    <protectedRange algorithmName="SHA-512" hashValue="KHhv3JU/LRdRrRTxxkgFceEHPZ5UzadmpZRZR3zmQRnPvkUJZuanRafIJ+qde0IWwLZSvFIQDyUAHq6v6k7XIg==" saltValue="2GKG1kCzVNNcn+vbOPuhJA==" spinCount="100000" sqref="Q91" name="Rango2_2_5_29"/>
    <protectedRange algorithmName="SHA-512" hashValue="RQ91b7oAw60DVtcgB2vRpial2kSdzJx5guGCTYUwXYkKrtrUHfiYnLf9R+SNpYXlJDYpyEJLhcWwP0EqNN86dQ==" saltValue="W3RbH3zrcY9sy39xNwXNxg==" spinCount="100000" sqref="BA92:BI93 BV92:BY93" name="Rango2_88_99_32"/>
    <protectedRange algorithmName="SHA-512" hashValue="fMbmUM1DQ7FuAPRNvFL5mPdHUYjQnlLFhkuaxvHguaqR7aWyDxcmJs0jLYQfQKY+oyhsMb4Lew4VL6i7um3/ew==" saltValue="ydaTm0CeH8+/cYqoL/AMaQ==" spinCount="100000" sqref="AU92:AU93 AW92:AZ93" name="Rango2_88_91_29"/>
    <protectedRange algorithmName="SHA-512" hashValue="CHipOQaT63FWw628cQcXXJRZlrbNZ7OgmnEbDx38UmmH7z19GRYEzXFiVOzHAy1OAaAbST7g2bHZHDKQp2qm3w==" saltValue="iRVuL+373yLHv0ZHzS9qog==" spinCount="100000" sqref="AG92:AH93 AJ92:AJ93 AL92:AL93" name="Rango2_88_7_5_32"/>
    <protectedRange algorithmName="SHA-512" hashValue="NkG6oHuDGvGBEiLAAq8MEJHEfLQUMyjihfH+DBXhT+eQW0r1yri7tOJEFRM9nbOejjjXiviq9RFo7KB7wF+xJA==" saltValue="bpjB0AAANu2X/PeR3eiFkA==" spinCount="100000" sqref="AM92:AS93" name="Rango2_88_65_30"/>
    <protectedRange algorithmName="SHA-512" hashValue="fPHvtIAf3pQeZUoAI9C2/vdXMHBpqqEq+67P5Ypyu4+9IWqs3yc9TZcMWQ0THLxUwqseQPyVvakuYFtCwJHsxA==" saltValue="QHIogSs2PrwAfdqa9PAOFQ==" spinCount="100000" sqref="AC92:AC93" name="Rango2_88_5_5_30"/>
    <protectedRange algorithmName="SHA-512" hashValue="LEEeiU6pKqm7TAP46VGlz0q+evvFwpT/0iLpRuWuQ7MacbP0OGL1/FSmrIEOg2rb6M+Jla2bPbVWiGag27j87w==" saltValue="HEVt+pS5OloNDlqSnzGLLw==" spinCount="100000" sqref="AI92:AI93" name="Rango2_8_7_30"/>
    <protectedRange algorithmName="SHA-512" hashValue="q2z5hEFmXS0v2chiPTC/VCoDWNlnhp+Xe6Ybfxe48vIsnB/KTJQxJv+pFUnCXfZ9T6vyJopuqFFNROfQTW/JUw==" saltValue="IctfdGJb5tOTpq+KPi9vww==" spinCount="100000" sqref="AE92:AF93" name="Rango2_88_39_72"/>
    <protectedRange algorithmName="SHA-512" hashValue="AYYX88LSDB6RDNMvSqt0KPGWPjBqTk56tMxTOlv5QD61MGTKAAQnSnudvNDWPN0Bbllh2qRQC+P5uq7goxjdrw==" saltValue="i/iPMewnks1FoXYOjKMEVg==" spinCount="100000" sqref="AB92:AB93" name="Rango2_87_6_30"/>
    <protectedRange algorithmName="SHA-512" hashValue="NUll9P9xh7KbSfMYpMxsRZLfDw/y/AzW2LSWlpXVscBDqiAxmzo71xjs+a2lh+jRa7pceOC849slke4+ZKx8LA==" saltValue="8qbkKpQ+CiQuLnqgShNvXA==" spinCount="100000" sqref="T92:T93" name="Rango2_88_6_30"/>
    <protectedRange algorithmName="SHA-512" hashValue="KHhv3JU/LRdRrRTxxkgFceEHPZ5UzadmpZRZR3zmQRnPvkUJZuanRafIJ+qde0IWwLZSvFIQDyUAHq6v6k7XIg==" saltValue="2GKG1kCzVNNcn+vbOPuhJA==" spinCount="100000" sqref="Q92:Q93" name="Rango2_2_5_30"/>
    <protectedRange algorithmName="SHA-512" hashValue="RQ91b7oAw60DVtcgB2vRpial2kSdzJx5guGCTYUwXYkKrtrUHfiYnLf9R+SNpYXlJDYpyEJLhcWwP0EqNN86dQ==" saltValue="W3RbH3zrcY9sy39xNwXNxg==" spinCount="100000" sqref="BA94:BI94 BV94:BY94" name="Rango2_88_99_33"/>
    <protectedRange algorithmName="SHA-512" hashValue="fMbmUM1DQ7FuAPRNvFL5mPdHUYjQnlLFhkuaxvHguaqR7aWyDxcmJs0jLYQfQKY+oyhsMb4Lew4VL6i7um3/ew==" saltValue="ydaTm0CeH8+/cYqoL/AMaQ==" spinCount="100000" sqref="AU94 AW94:AZ94" name="Rango2_88_91_30"/>
    <protectedRange algorithmName="SHA-512" hashValue="CHipOQaT63FWw628cQcXXJRZlrbNZ7OgmnEbDx38UmmH7z19GRYEzXFiVOzHAy1OAaAbST7g2bHZHDKQp2qm3w==" saltValue="iRVuL+373yLHv0ZHzS9qog==" spinCount="100000" sqref="AG94:AH94 AJ94 AL94" name="Rango2_88_7_5_33"/>
    <protectedRange algorithmName="SHA-512" hashValue="NkG6oHuDGvGBEiLAAq8MEJHEfLQUMyjihfH+DBXhT+eQW0r1yri7tOJEFRM9nbOejjjXiviq9RFo7KB7wF+xJA==" saltValue="bpjB0AAANu2X/PeR3eiFkA==" spinCount="100000" sqref="AM94:AS94" name="Rango2_88_65_31"/>
    <protectedRange algorithmName="SHA-512" hashValue="fPHvtIAf3pQeZUoAI9C2/vdXMHBpqqEq+67P5Ypyu4+9IWqs3yc9TZcMWQ0THLxUwqseQPyVvakuYFtCwJHsxA==" saltValue="QHIogSs2PrwAfdqa9PAOFQ==" spinCount="100000" sqref="AC94" name="Rango2_88_5_5_31"/>
    <protectedRange algorithmName="SHA-512" hashValue="LEEeiU6pKqm7TAP46VGlz0q+evvFwpT/0iLpRuWuQ7MacbP0OGL1/FSmrIEOg2rb6M+Jla2bPbVWiGag27j87w==" saltValue="HEVt+pS5OloNDlqSnzGLLw==" spinCount="100000" sqref="AI94" name="Rango2_8_7_31"/>
    <protectedRange algorithmName="SHA-512" hashValue="q2z5hEFmXS0v2chiPTC/VCoDWNlnhp+Xe6Ybfxe48vIsnB/KTJQxJv+pFUnCXfZ9T6vyJopuqFFNROfQTW/JUw==" saltValue="IctfdGJb5tOTpq+KPi9vww==" spinCount="100000" sqref="AE94:AF94" name="Rango2_88_39_73"/>
    <protectedRange algorithmName="SHA-512" hashValue="AYYX88LSDB6RDNMvSqt0KPGWPjBqTk56tMxTOlv5QD61MGTKAAQnSnudvNDWPN0Bbllh2qRQC+P5uq7goxjdrw==" saltValue="i/iPMewnks1FoXYOjKMEVg==" spinCount="100000" sqref="AB94" name="Rango2_87_6_31"/>
    <protectedRange algorithmName="SHA-512" hashValue="NUll9P9xh7KbSfMYpMxsRZLfDw/y/AzW2LSWlpXVscBDqiAxmzo71xjs+a2lh+jRa7pceOC849slke4+ZKx8LA==" saltValue="8qbkKpQ+CiQuLnqgShNvXA==" spinCount="100000" sqref="T94" name="Rango2_88_6_31"/>
    <protectedRange algorithmName="SHA-512" hashValue="KHhv3JU/LRdRrRTxxkgFceEHPZ5UzadmpZRZR3zmQRnPvkUJZuanRafIJ+qde0IWwLZSvFIQDyUAHq6v6k7XIg==" saltValue="2GKG1kCzVNNcn+vbOPuhJA==" spinCount="100000" sqref="Q94" name="Rango2_2_5_31"/>
    <protectedRange algorithmName="SHA-512" hashValue="RQ91b7oAw60DVtcgB2vRpial2kSdzJx5guGCTYUwXYkKrtrUHfiYnLf9R+SNpYXlJDYpyEJLhcWwP0EqNN86dQ==" saltValue="W3RbH3zrcY9sy39xNwXNxg==" spinCount="100000" sqref="BA95:BI95 BV95:BY95" name="Rango2_88_99_34"/>
    <protectedRange algorithmName="SHA-512" hashValue="fMbmUM1DQ7FuAPRNvFL5mPdHUYjQnlLFhkuaxvHguaqR7aWyDxcmJs0jLYQfQKY+oyhsMb4Lew4VL6i7um3/ew==" saltValue="ydaTm0CeH8+/cYqoL/AMaQ==" spinCount="100000" sqref="AU95 AW95:AZ95" name="Rango2_88_91_31"/>
    <protectedRange algorithmName="SHA-512" hashValue="CHipOQaT63FWw628cQcXXJRZlrbNZ7OgmnEbDx38UmmH7z19GRYEzXFiVOzHAy1OAaAbST7g2bHZHDKQp2qm3w==" saltValue="iRVuL+373yLHv0ZHzS9qog==" spinCount="100000" sqref="AG95:AH95 AJ95 AL95" name="Rango2_88_7_5_34"/>
    <protectedRange algorithmName="SHA-512" hashValue="NkG6oHuDGvGBEiLAAq8MEJHEfLQUMyjihfH+DBXhT+eQW0r1yri7tOJEFRM9nbOejjjXiviq9RFo7KB7wF+xJA==" saltValue="bpjB0AAANu2X/PeR3eiFkA==" spinCount="100000" sqref="AM95:AS95" name="Rango2_88_65_32"/>
    <protectedRange algorithmName="SHA-512" hashValue="fPHvtIAf3pQeZUoAI9C2/vdXMHBpqqEq+67P5Ypyu4+9IWqs3yc9TZcMWQ0THLxUwqseQPyVvakuYFtCwJHsxA==" saltValue="QHIogSs2PrwAfdqa9PAOFQ==" spinCount="100000" sqref="AC95" name="Rango2_88_5_5_32"/>
    <protectedRange algorithmName="SHA-512" hashValue="LEEeiU6pKqm7TAP46VGlz0q+evvFwpT/0iLpRuWuQ7MacbP0OGL1/FSmrIEOg2rb6M+Jla2bPbVWiGag27j87w==" saltValue="HEVt+pS5OloNDlqSnzGLLw==" spinCount="100000" sqref="AI95" name="Rango2_8_7_32"/>
    <protectedRange algorithmName="SHA-512" hashValue="q2z5hEFmXS0v2chiPTC/VCoDWNlnhp+Xe6Ybfxe48vIsnB/KTJQxJv+pFUnCXfZ9T6vyJopuqFFNROfQTW/JUw==" saltValue="IctfdGJb5tOTpq+KPi9vww==" spinCount="100000" sqref="AE95:AF95" name="Rango2_88_39_74"/>
    <protectedRange algorithmName="SHA-512" hashValue="AYYX88LSDB6RDNMvSqt0KPGWPjBqTk56tMxTOlv5QD61MGTKAAQnSnudvNDWPN0Bbllh2qRQC+P5uq7goxjdrw==" saltValue="i/iPMewnks1FoXYOjKMEVg==" spinCount="100000" sqref="AB95" name="Rango2_87_6_32"/>
    <protectedRange algorithmName="SHA-512" hashValue="NUll9P9xh7KbSfMYpMxsRZLfDw/y/AzW2LSWlpXVscBDqiAxmzo71xjs+a2lh+jRa7pceOC849slke4+ZKx8LA==" saltValue="8qbkKpQ+CiQuLnqgShNvXA==" spinCount="100000" sqref="T95" name="Rango2_88_6_32"/>
    <protectedRange algorithmName="SHA-512" hashValue="KHhv3JU/LRdRrRTxxkgFceEHPZ5UzadmpZRZR3zmQRnPvkUJZuanRafIJ+qde0IWwLZSvFIQDyUAHq6v6k7XIg==" saltValue="2GKG1kCzVNNcn+vbOPuhJA==" spinCount="100000" sqref="Q95" name="Rango2_2_5_32"/>
    <protectedRange algorithmName="SHA-512" hashValue="RQ91b7oAw60DVtcgB2vRpial2kSdzJx5guGCTYUwXYkKrtrUHfiYnLf9R+SNpYXlJDYpyEJLhcWwP0EqNN86dQ==" saltValue="W3RbH3zrcY9sy39xNwXNxg==" spinCount="100000" sqref="BA96:BI96 BV96:BY96" name="Rango2_88_99_35"/>
    <protectedRange algorithmName="SHA-512" hashValue="fMbmUM1DQ7FuAPRNvFL5mPdHUYjQnlLFhkuaxvHguaqR7aWyDxcmJs0jLYQfQKY+oyhsMb4Lew4VL6i7um3/ew==" saltValue="ydaTm0CeH8+/cYqoL/AMaQ==" spinCount="100000" sqref="AU96 AW96:AZ96" name="Rango2_88_91_32"/>
    <protectedRange algorithmName="SHA-512" hashValue="CHipOQaT63FWw628cQcXXJRZlrbNZ7OgmnEbDx38UmmH7z19GRYEzXFiVOzHAy1OAaAbST7g2bHZHDKQp2qm3w==" saltValue="iRVuL+373yLHv0ZHzS9qog==" spinCount="100000" sqref="AG96:AH96 AJ96 AL96" name="Rango2_88_7_5_35"/>
    <protectedRange algorithmName="SHA-512" hashValue="NkG6oHuDGvGBEiLAAq8MEJHEfLQUMyjihfH+DBXhT+eQW0r1yri7tOJEFRM9nbOejjjXiviq9RFo7KB7wF+xJA==" saltValue="bpjB0AAANu2X/PeR3eiFkA==" spinCount="100000" sqref="AM96:AS96" name="Rango2_88_65_33"/>
    <protectedRange algorithmName="SHA-512" hashValue="fPHvtIAf3pQeZUoAI9C2/vdXMHBpqqEq+67P5Ypyu4+9IWqs3yc9TZcMWQ0THLxUwqseQPyVvakuYFtCwJHsxA==" saltValue="QHIogSs2PrwAfdqa9PAOFQ==" spinCount="100000" sqref="AC96" name="Rango2_88_5_5_33"/>
    <protectedRange algorithmName="SHA-512" hashValue="LEEeiU6pKqm7TAP46VGlz0q+evvFwpT/0iLpRuWuQ7MacbP0OGL1/FSmrIEOg2rb6M+Jla2bPbVWiGag27j87w==" saltValue="HEVt+pS5OloNDlqSnzGLLw==" spinCount="100000" sqref="AI96" name="Rango2_8_7_33"/>
    <protectedRange algorithmName="SHA-512" hashValue="q2z5hEFmXS0v2chiPTC/VCoDWNlnhp+Xe6Ybfxe48vIsnB/KTJQxJv+pFUnCXfZ9T6vyJopuqFFNROfQTW/JUw==" saltValue="IctfdGJb5tOTpq+KPi9vww==" spinCount="100000" sqref="AE96:AF96" name="Rango2_88_39_75"/>
    <protectedRange algorithmName="SHA-512" hashValue="AYYX88LSDB6RDNMvSqt0KPGWPjBqTk56tMxTOlv5QD61MGTKAAQnSnudvNDWPN0Bbllh2qRQC+P5uq7goxjdrw==" saltValue="i/iPMewnks1FoXYOjKMEVg==" spinCount="100000" sqref="AB96" name="Rango2_87_6_33"/>
    <protectedRange algorithmName="SHA-512" hashValue="NUll9P9xh7KbSfMYpMxsRZLfDw/y/AzW2LSWlpXVscBDqiAxmzo71xjs+a2lh+jRa7pceOC849slke4+ZKx8LA==" saltValue="8qbkKpQ+CiQuLnqgShNvXA==" spinCount="100000" sqref="T96" name="Rango2_88_6_33"/>
    <protectedRange algorithmName="SHA-512" hashValue="KHhv3JU/LRdRrRTxxkgFceEHPZ5UzadmpZRZR3zmQRnPvkUJZuanRafIJ+qde0IWwLZSvFIQDyUAHq6v6k7XIg==" saltValue="2GKG1kCzVNNcn+vbOPuhJA==" spinCount="100000" sqref="Q96" name="Rango2_2_5_33"/>
    <protectedRange algorithmName="SHA-512" hashValue="RQ91b7oAw60DVtcgB2vRpial2kSdzJx5guGCTYUwXYkKrtrUHfiYnLf9R+SNpYXlJDYpyEJLhcWwP0EqNN86dQ==" saltValue="W3RbH3zrcY9sy39xNwXNxg==" spinCount="100000" sqref="BA97:BI98 BV97:BY98" name="Rango2_88_99_36"/>
    <protectedRange algorithmName="SHA-512" hashValue="fMbmUM1DQ7FuAPRNvFL5mPdHUYjQnlLFhkuaxvHguaqR7aWyDxcmJs0jLYQfQKY+oyhsMb4Lew4VL6i7um3/ew==" saltValue="ydaTm0CeH8+/cYqoL/AMaQ==" spinCount="100000" sqref="AU97:AU98 AW97:AZ98" name="Rango2_88_91_33"/>
    <protectedRange algorithmName="SHA-512" hashValue="CHipOQaT63FWw628cQcXXJRZlrbNZ7OgmnEbDx38UmmH7z19GRYEzXFiVOzHAy1OAaAbST7g2bHZHDKQp2qm3w==" saltValue="iRVuL+373yLHv0ZHzS9qog==" spinCount="100000" sqref="AG97:AH98 AJ97:AJ98 AL97:AL98" name="Rango2_88_7_5_36"/>
    <protectedRange algorithmName="SHA-512" hashValue="NkG6oHuDGvGBEiLAAq8MEJHEfLQUMyjihfH+DBXhT+eQW0r1yri7tOJEFRM9nbOejjjXiviq9RFo7KB7wF+xJA==" saltValue="bpjB0AAANu2X/PeR3eiFkA==" spinCount="100000" sqref="AM97:AS98" name="Rango2_88_65_34"/>
    <protectedRange algorithmName="SHA-512" hashValue="fPHvtIAf3pQeZUoAI9C2/vdXMHBpqqEq+67P5Ypyu4+9IWqs3yc9TZcMWQ0THLxUwqseQPyVvakuYFtCwJHsxA==" saltValue="QHIogSs2PrwAfdqa9PAOFQ==" spinCount="100000" sqref="AC97:AC98" name="Rango2_88_5_5_34"/>
    <protectedRange algorithmName="SHA-512" hashValue="LEEeiU6pKqm7TAP46VGlz0q+evvFwpT/0iLpRuWuQ7MacbP0OGL1/FSmrIEOg2rb6M+Jla2bPbVWiGag27j87w==" saltValue="HEVt+pS5OloNDlqSnzGLLw==" spinCount="100000" sqref="AI97:AI98" name="Rango2_8_7_34"/>
    <protectedRange algorithmName="SHA-512" hashValue="q2z5hEFmXS0v2chiPTC/VCoDWNlnhp+Xe6Ybfxe48vIsnB/KTJQxJv+pFUnCXfZ9T6vyJopuqFFNROfQTW/JUw==" saltValue="IctfdGJb5tOTpq+KPi9vww==" spinCount="100000" sqref="AE97:AF98" name="Rango2_88_39_76"/>
    <protectedRange algorithmName="SHA-512" hashValue="AYYX88LSDB6RDNMvSqt0KPGWPjBqTk56tMxTOlv5QD61MGTKAAQnSnudvNDWPN0Bbllh2qRQC+P5uq7goxjdrw==" saltValue="i/iPMewnks1FoXYOjKMEVg==" spinCount="100000" sqref="AB97:AB98" name="Rango2_87_6_34"/>
    <protectedRange algorithmName="SHA-512" hashValue="NUll9P9xh7KbSfMYpMxsRZLfDw/y/AzW2LSWlpXVscBDqiAxmzo71xjs+a2lh+jRa7pceOC849slke4+ZKx8LA==" saltValue="8qbkKpQ+CiQuLnqgShNvXA==" spinCount="100000" sqref="T97:T98" name="Rango2_88_6_34"/>
    <protectedRange algorithmName="SHA-512" hashValue="KHhv3JU/LRdRrRTxxkgFceEHPZ5UzadmpZRZR3zmQRnPvkUJZuanRafIJ+qde0IWwLZSvFIQDyUAHq6v6k7XIg==" saltValue="2GKG1kCzVNNcn+vbOPuhJA==" spinCount="100000" sqref="Q97:Q98" name="Rango2_2_5_34"/>
    <protectedRange algorithmName="SHA-512" hashValue="RQ91b7oAw60DVtcgB2vRpial2kSdzJx5guGCTYUwXYkKrtrUHfiYnLf9R+SNpYXlJDYpyEJLhcWwP0EqNN86dQ==" saltValue="W3RbH3zrcY9sy39xNwXNxg==" spinCount="100000" sqref="BA99:BI100 BV99:BY100" name="Rango2_88_99_37"/>
    <protectedRange algorithmName="SHA-512" hashValue="fMbmUM1DQ7FuAPRNvFL5mPdHUYjQnlLFhkuaxvHguaqR7aWyDxcmJs0jLYQfQKY+oyhsMb4Lew4VL6i7um3/ew==" saltValue="ydaTm0CeH8+/cYqoL/AMaQ==" spinCount="100000" sqref="AU99:AU100 AW99:AZ100" name="Rango2_88_91_34"/>
    <protectedRange algorithmName="SHA-512" hashValue="CHipOQaT63FWw628cQcXXJRZlrbNZ7OgmnEbDx38UmmH7z19GRYEzXFiVOzHAy1OAaAbST7g2bHZHDKQp2qm3w==" saltValue="iRVuL+373yLHv0ZHzS9qog==" spinCount="100000" sqref="AG99:AH100 AJ99:AJ100 AL99:AL100" name="Rango2_88_7_5_37"/>
    <protectedRange algorithmName="SHA-512" hashValue="NkG6oHuDGvGBEiLAAq8MEJHEfLQUMyjihfH+DBXhT+eQW0r1yri7tOJEFRM9nbOejjjXiviq9RFo7KB7wF+xJA==" saltValue="bpjB0AAANu2X/PeR3eiFkA==" spinCount="100000" sqref="AM99:AS100" name="Rango2_88_65_35"/>
    <protectedRange algorithmName="SHA-512" hashValue="fPHvtIAf3pQeZUoAI9C2/vdXMHBpqqEq+67P5Ypyu4+9IWqs3yc9TZcMWQ0THLxUwqseQPyVvakuYFtCwJHsxA==" saltValue="QHIogSs2PrwAfdqa9PAOFQ==" spinCount="100000" sqref="AC99:AC100" name="Rango2_88_5_5_35"/>
    <protectedRange algorithmName="SHA-512" hashValue="LEEeiU6pKqm7TAP46VGlz0q+evvFwpT/0iLpRuWuQ7MacbP0OGL1/FSmrIEOg2rb6M+Jla2bPbVWiGag27j87w==" saltValue="HEVt+pS5OloNDlqSnzGLLw==" spinCount="100000" sqref="AI99:AI100" name="Rango2_8_7_35"/>
    <protectedRange algorithmName="SHA-512" hashValue="q2z5hEFmXS0v2chiPTC/VCoDWNlnhp+Xe6Ybfxe48vIsnB/KTJQxJv+pFUnCXfZ9T6vyJopuqFFNROfQTW/JUw==" saltValue="IctfdGJb5tOTpq+KPi9vww==" spinCount="100000" sqref="AE99:AF100" name="Rango2_88_39_77"/>
    <protectedRange algorithmName="SHA-512" hashValue="AYYX88LSDB6RDNMvSqt0KPGWPjBqTk56tMxTOlv5QD61MGTKAAQnSnudvNDWPN0Bbllh2qRQC+P5uq7goxjdrw==" saltValue="i/iPMewnks1FoXYOjKMEVg==" spinCount="100000" sqref="AB99:AB100" name="Rango2_87_6_35"/>
    <protectedRange algorithmName="SHA-512" hashValue="NUll9P9xh7KbSfMYpMxsRZLfDw/y/AzW2LSWlpXVscBDqiAxmzo71xjs+a2lh+jRa7pceOC849slke4+ZKx8LA==" saltValue="8qbkKpQ+CiQuLnqgShNvXA==" spinCount="100000" sqref="T99:T100" name="Rango2_88_6_35"/>
    <protectedRange algorithmName="SHA-512" hashValue="KHhv3JU/LRdRrRTxxkgFceEHPZ5UzadmpZRZR3zmQRnPvkUJZuanRafIJ+qde0IWwLZSvFIQDyUAHq6v6k7XIg==" saltValue="2GKG1kCzVNNcn+vbOPuhJA==" spinCount="100000" sqref="Q99:Q100" name="Rango2_2_5_35"/>
    <protectedRange algorithmName="SHA-512" hashValue="RQ91b7oAw60DVtcgB2vRpial2kSdzJx5guGCTYUwXYkKrtrUHfiYnLf9R+SNpYXlJDYpyEJLhcWwP0EqNN86dQ==" saltValue="W3RbH3zrcY9sy39xNwXNxg==" spinCount="100000" sqref="BA101:BI102 BV101:BY102" name="Rango2_88_99_38"/>
    <protectedRange algorithmName="SHA-512" hashValue="fMbmUM1DQ7FuAPRNvFL5mPdHUYjQnlLFhkuaxvHguaqR7aWyDxcmJs0jLYQfQKY+oyhsMb4Lew4VL6i7um3/ew==" saltValue="ydaTm0CeH8+/cYqoL/AMaQ==" spinCount="100000" sqref="AU101:AU102 AW101:AZ102" name="Rango2_88_91_35"/>
    <protectedRange algorithmName="SHA-512" hashValue="CHipOQaT63FWw628cQcXXJRZlrbNZ7OgmnEbDx38UmmH7z19GRYEzXFiVOzHAy1OAaAbST7g2bHZHDKQp2qm3w==" saltValue="iRVuL+373yLHv0ZHzS9qog==" spinCount="100000" sqref="AG101:AH102 AJ101:AJ102 AL101:AL102" name="Rango2_88_7_5_38"/>
    <protectedRange algorithmName="SHA-512" hashValue="NkG6oHuDGvGBEiLAAq8MEJHEfLQUMyjihfH+DBXhT+eQW0r1yri7tOJEFRM9nbOejjjXiviq9RFo7KB7wF+xJA==" saltValue="bpjB0AAANu2X/PeR3eiFkA==" spinCount="100000" sqref="AM101:AS102" name="Rango2_88_65_36"/>
    <protectedRange algorithmName="SHA-512" hashValue="fPHvtIAf3pQeZUoAI9C2/vdXMHBpqqEq+67P5Ypyu4+9IWqs3yc9TZcMWQ0THLxUwqseQPyVvakuYFtCwJHsxA==" saltValue="QHIogSs2PrwAfdqa9PAOFQ==" spinCount="100000" sqref="AC101:AC102" name="Rango2_88_5_5_36"/>
    <protectedRange algorithmName="SHA-512" hashValue="LEEeiU6pKqm7TAP46VGlz0q+evvFwpT/0iLpRuWuQ7MacbP0OGL1/FSmrIEOg2rb6M+Jla2bPbVWiGag27j87w==" saltValue="HEVt+pS5OloNDlqSnzGLLw==" spinCount="100000" sqref="AI101:AI102" name="Rango2_8_7_36"/>
    <protectedRange algorithmName="SHA-512" hashValue="q2z5hEFmXS0v2chiPTC/VCoDWNlnhp+Xe6Ybfxe48vIsnB/KTJQxJv+pFUnCXfZ9T6vyJopuqFFNROfQTW/JUw==" saltValue="IctfdGJb5tOTpq+KPi9vww==" spinCount="100000" sqref="AE101:AF102" name="Rango2_88_39_78"/>
    <protectedRange algorithmName="SHA-512" hashValue="AYYX88LSDB6RDNMvSqt0KPGWPjBqTk56tMxTOlv5QD61MGTKAAQnSnudvNDWPN0Bbllh2qRQC+P5uq7goxjdrw==" saltValue="i/iPMewnks1FoXYOjKMEVg==" spinCount="100000" sqref="AB101:AB102" name="Rango2_87_6_36"/>
    <protectedRange algorithmName="SHA-512" hashValue="NUll9P9xh7KbSfMYpMxsRZLfDw/y/AzW2LSWlpXVscBDqiAxmzo71xjs+a2lh+jRa7pceOC849slke4+ZKx8LA==" saltValue="8qbkKpQ+CiQuLnqgShNvXA==" spinCount="100000" sqref="T101:T102" name="Rango2_88_6_36"/>
    <protectedRange algorithmName="SHA-512" hashValue="KHhv3JU/LRdRrRTxxkgFceEHPZ5UzadmpZRZR3zmQRnPvkUJZuanRafIJ+qde0IWwLZSvFIQDyUAHq6v6k7XIg==" saltValue="2GKG1kCzVNNcn+vbOPuhJA==" spinCount="100000" sqref="Q101:Q102" name="Rango2_2_5_36"/>
    <protectedRange algorithmName="SHA-512" hashValue="RQ91b7oAw60DVtcgB2vRpial2kSdzJx5guGCTYUwXYkKrtrUHfiYnLf9R+SNpYXlJDYpyEJLhcWwP0EqNN86dQ==" saltValue="W3RbH3zrcY9sy39xNwXNxg==" spinCount="100000" sqref="BA103:BI112 BV103:BY112" name="Rango2_88_99_39"/>
    <protectedRange algorithmName="SHA-512" hashValue="fMbmUM1DQ7FuAPRNvFL5mPdHUYjQnlLFhkuaxvHguaqR7aWyDxcmJs0jLYQfQKY+oyhsMb4Lew4VL6i7um3/ew==" saltValue="ydaTm0CeH8+/cYqoL/AMaQ==" spinCount="100000" sqref="AU103:AU112 AW103:AZ112" name="Rango2_88_91_36"/>
    <protectedRange algorithmName="SHA-512" hashValue="CHipOQaT63FWw628cQcXXJRZlrbNZ7OgmnEbDx38UmmH7z19GRYEzXFiVOzHAy1OAaAbST7g2bHZHDKQp2qm3w==" saltValue="iRVuL+373yLHv0ZHzS9qog==" spinCount="100000" sqref="AG103:AH112 AJ103:AJ112 AL103:AL112" name="Rango2_88_7_5_39"/>
    <protectedRange algorithmName="SHA-512" hashValue="NkG6oHuDGvGBEiLAAq8MEJHEfLQUMyjihfH+DBXhT+eQW0r1yri7tOJEFRM9nbOejjjXiviq9RFo7KB7wF+xJA==" saltValue="bpjB0AAANu2X/PeR3eiFkA==" spinCount="100000" sqref="AM103:AS112" name="Rango2_88_65_37"/>
    <protectedRange algorithmName="SHA-512" hashValue="fPHvtIAf3pQeZUoAI9C2/vdXMHBpqqEq+67P5Ypyu4+9IWqs3yc9TZcMWQ0THLxUwqseQPyVvakuYFtCwJHsxA==" saltValue="QHIogSs2PrwAfdqa9PAOFQ==" spinCount="100000" sqref="AC103:AC112" name="Rango2_88_5_5_37"/>
    <protectedRange algorithmName="SHA-512" hashValue="LEEeiU6pKqm7TAP46VGlz0q+evvFwpT/0iLpRuWuQ7MacbP0OGL1/FSmrIEOg2rb6M+Jla2bPbVWiGag27j87w==" saltValue="HEVt+pS5OloNDlqSnzGLLw==" spinCount="100000" sqref="AI103:AI112" name="Rango2_8_7_37"/>
    <protectedRange algorithmName="SHA-512" hashValue="q2z5hEFmXS0v2chiPTC/VCoDWNlnhp+Xe6Ybfxe48vIsnB/KTJQxJv+pFUnCXfZ9T6vyJopuqFFNROfQTW/JUw==" saltValue="IctfdGJb5tOTpq+KPi9vww==" spinCount="100000" sqref="AE103:AF112" name="Rango2_88_39_79"/>
    <protectedRange algorithmName="SHA-512" hashValue="AYYX88LSDB6RDNMvSqt0KPGWPjBqTk56tMxTOlv5QD61MGTKAAQnSnudvNDWPN0Bbllh2qRQC+P5uq7goxjdrw==" saltValue="i/iPMewnks1FoXYOjKMEVg==" spinCount="100000" sqref="AB103:AB112" name="Rango2_87_6_37"/>
    <protectedRange algorithmName="SHA-512" hashValue="NUll9P9xh7KbSfMYpMxsRZLfDw/y/AzW2LSWlpXVscBDqiAxmzo71xjs+a2lh+jRa7pceOC849slke4+ZKx8LA==" saltValue="8qbkKpQ+CiQuLnqgShNvXA==" spinCount="100000" sqref="T103:T112" name="Rango2_88_6_37"/>
    <protectedRange algorithmName="SHA-512" hashValue="KHhv3JU/LRdRrRTxxkgFceEHPZ5UzadmpZRZR3zmQRnPvkUJZuanRafIJ+qde0IWwLZSvFIQDyUAHq6v6k7XIg==" saltValue="2GKG1kCzVNNcn+vbOPuhJA==" spinCount="100000" sqref="Q103:Q112" name="Rango2_2_5_37"/>
    <protectedRange algorithmName="SHA-512" hashValue="RQ91b7oAw60DVtcgB2vRpial2kSdzJx5guGCTYUwXYkKrtrUHfiYnLf9R+SNpYXlJDYpyEJLhcWwP0EqNN86dQ==" saltValue="W3RbH3zrcY9sy39xNwXNxg==" spinCount="100000" sqref="BA113:BI116 BV113:BY116" name="Rango2_88_99_40"/>
    <protectedRange algorithmName="SHA-512" hashValue="fMbmUM1DQ7FuAPRNvFL5mPdHUYjQnlLFhkuaxvHguaqR7aWyDxcmJs0jLYQfQKY+oyhsMb4Lew4VL6i7um3/ew==" saltValue="ydaTm0CeH8+/cYqoL/AMaQ==" spinCount="100000" sqref="AU113:AU116 AW113:AZ116" name="Rango2_88_91_37"/>
    <protectedRange algorithmName="SHA-512" hashValue="CHipOQaT63FWw628cQcXXJRZlrbNZ7OgmnEbDx38UmmH7z19GRYEzXFiVOzHAy1OAaAbST7g2bHZHDKQp2qm3w==" saltValue="iRVuL+373yLHv0ZHzS9qog==" spinCount="100000" sqref="AG113:AH116 AJ113:AJ116 AL113:AL116" name="Rango2_88_7_5_40"/>
    <protectedRange algorithmName="SHA-512" hashValue="NkG6oHuDGvGBEiLAAq8MEJHEfLQUMyjihfH+DBXhT+eQW0r1yri7tOJEFRM9nbOejjjXiviq9RFo7KB7wF+xJA==" saltValue="bpjB0AAANu2X/PeR3eiFkA==" spinCount="100000" sqref="AM113:AS116" name="Rango2_88_65_38"/>
    <protectedRange algorithmName="SHA-512" hashValue="fPHvtIAf3pQeZUoAI9C2/vdXMHBpqqEq+67P5Ypyu4+9IWqs3yc9TZcMWQ0THLxUwqseQPyVvakuYFtCwJHsxA==" saltValue="QHIogSs2PrwAfdqa9PAOFQ==" spinCount="100000" sqref="AC113:AC116" name="Rango2_88_5_5_38"/>
    <protectedRange algorithmName="SHA-512" hashValue="LEEeiU6pKqm7TAP46VGlz0q+evvFwpT/0iLpRuWuQ7MacbP0OGL1/FSmrIEOg2rb6M+Jla2bPbVWiGag27j87w==" saltValue="HEVt+pS5OloNDlqSnzGLLw==" spinCount="100000" sqref="AI113:AI116" name="Rango2_8_7_38"/>
    <protectedRange algorithmName="SHA-512" hashValue="q2z5hEFmXS0v2chiPTC/VCoDWNlnhp+Xe6Ybfxe48vIsnB/KTJQxJv+pFUnCXfZ9T6vyJopuqFFNROfQTW/JUw==" saltValue="IctfdGJb5tOTpq+KPi9vww==" spinCount="100000" sqref="AE113:AF116" name="Rango2_88_39_80"/>
    <protectedRange algorithmName="SHA-512" hashValue="AYYX88LSDB6RDNMvSqt0KPGWPjBqTk56tMxTOlv5QD61MGTKAAQnSnudvNDWPN0Bbllh2qRQC+P5uq7goxjdrw==" saltValue="i/iPMewnks1FoXYOjKMEVg==" spinCount="100000" sqref="AB113:AB116" name="Rango2_87_6_38"/>
    <protectedRange algorithmName="SHA-512" hashValue="NUll9P9xh7KbSfMYpMxsRZLfDw/y/AzW2LSWlpXVscBDqiAxmzo71xjs+a2lh+jRa7pceOC849slke4+ZKx8LA==" saltValue="8qbkKpQ+CiQuLnqgShNvXA==" spinCount="100000" sqref="T113:T116" name="Rango2_88_6_38"/>
    <protectedRange algorithmName="SHA-512" hashValue="KHhv3JU/LRdRrRTxxkgFceEHPZ5UzadmpZRZR3zmQRnPvkUJZuanRafIJ+qde0IWwLZSvFIQDyUAHq6v6k7XIg==" saltValue="2GKG1kCzVNNcn+vbOPuhJA==" spinCount="100000" sqref="Q113:Q116" name="Rango2_2_5_38"/>
    <protectedRange algorithmName="SHA-512" hashValue="RQ91b7oAw60DVtcgB2vRpial2kSdzJx5guGCTYUwXYkKrtrUHfiYnLf9R+SNpYXlJDYpyEJLhcWwP0EqNN86dQ==" saltValue="W3RbH3zrcY9sy39xNwXNxg==" spinCount="100000" sqref="BA117:BI124 BV117:BY124" name="Rango2_88_99_41"/>
    <protectedRange algorithmName="SHA-512" hashValue="fMbmUM1DQ7FuAPRNvFL5mPdHUYjQnlLFhkuaxvHguaqR7aWyDxcmJs0jLYQfQKY+oyhsMb4Lew4VL6i7um3/ew==" saltValue="ydaTm0CeH8+/cYqoL/AMaQ==" spinCount="100000" sqref="AU117:AU124 AW117:AZ124" name="Rango2_88_91_38"/>
    <protectedRange algorithmName="SHA-512" hashValue="CHipOQaT63FWw628cQcXXJRZlrbNZ7OgmnEbDx38UmmH7z19GRYEzXFiVOzHAy1OAaAbST7g2bHZHDKQp2qm3w==" saltValue="iRVuL+373yLHv0ZHzS9qog==" spinCount="100000" sqref="AG117:AH124 AJ117:AJ124 AL117:AL124" name="Rango2_88_7_5_41"/>
    <protectedRange algorithmName="SHA-512" hashValue="NkG6oHuDGvGBEiLAAq8MEJHEfLQUMyjihfH+DBXhT+eQW0r1yri7tOJEFRM9nbOejjjXiviq9RFo7KB7wF+xJA==" saltValue="bpjB0AAANu2X/PeR3eiFkA==" spinCount="100000" sqref="AM117:AS124" name="Rango2_88_65_39"/>
    <protectedRange algorithmName="SHA-512" hashValue="fPHvtIAf3pQeZUoAI9C2/vdXMHBpqqEq+67P5Ypyu4+9IWqs3yc9TZcMWQ0THLxUwqseQPyVvakuYFtCwJHsxA==" saltValue="QHIogSs2PrwAfdqa9PAOFQ==" spinCount="100000" sqref="AC117:AC124" name="Rango2_88_5_5_39"/>
    <protectedRange algorithmName="SHA-512" hashValue="LEEeiU6pKqm7TAP46VGlz0q+evvFwpT/0iLpRuWuQ7MacbP0OGL1/FSmrIEOg2rb6M+Jla2bPbVWiGag27j87w==" saltValue="HEVt+pS5OloNDlqSnzGLLw==" spinCount="100000" sqref="AI117:AI124" name="Rango2_8_7_39"/>
    <protectedRange algorithmName="SHA-512" hashValue="q2z5hEFmXS0v2chiPTC/VCoDWNlnhp+Xe6Ybfxe48vIsnB/KTJQxJv+pFUnCXfZ9T6vyJopuqFFNROfQTW/JUw==" saltValue="IctfdGJb5tOTpq+KPi9vww==" spinCount="100000" sqref="AE117:AF124" name="Rango2_88_39_81"/>
    <protectedRange algorithmName="SHA-512" hashValue="AYYX88LSDB6RDNMvSqt0KPGWPjBqTk56tMxTOlv5QD61MGTKAAQnSnudvNDWPN0Bbllh2qRQC+P5uq7goxjdrw==" saltValue="i/iPMewnks1FoXYOjKMEVg==" spinCount="100000" sqref="AB117:AB124" name="Rango2_87_6_39"/>
    <protectedRange algorithmName="SHA-512" hashValue="NUll9P9xh7KbSfMYpMxsRZLfDw/y/AzW2LSWlpXVscBDqiAxmzo71xjs+a2lh+jRa7pceOC849slke4+ZKx8LA==" saltValue="8qbkKpQ+CiQuLnqgShNvXA==" spinCount="100000" sqref="T117:T124" name="Rango2_88_6_39"/>
    <protectedRange algorithmName="SHA-512" hashValue="KHhv3JU/LRdRrRTxxkgFceEHPZ5UzadmpZRZR3zmQRnPvkUJZuanRafIJ+qde0IWwLZSvFIQDyUAHq6v6k7XIg==" saltValue="2GKG1kCzVNNcn+vbOPuhJA==" spinCount="100000" sqref="Q117:Q124" name="Rango2_2_5_39"/>
    <protectedRange algorithmName="SHA-512" hashValue="EEHzbvEYwO1eufllBljOz0uf9BJ2ENtvOScQ7IsS321QhYbwKn7qhHKKP8cKj02rTDvVRMWvwQ1ZP0mZWsBprQ==" saltValue="CjXqBRFbKezlWOFV37MnDQ==" spinCount="100000" sqref="GQ88:GR90 GW88:GW90 GN88:GN90" name="Rango2_30_2_28"/>
    <protectedRange algorithmName="SHA-512" hashValue="Rgskw+AQdeJ5qbJdarzTa3SCkJfDGziy0Uan5N0F3IWn/H3Z/e+VcB56R7Nes7MPxNHewNP1sSSucVjz3iTLeA==" saltValue="qKZH3DnwaZHBzy3cBZo1qQ==" spinCount="100000" sqref="GF88:GF90" name="Rango2_31_28_27"/>
    <protectedRange algorithmName="SHA-512" hashValue="Umj9+5Ys20VQPxBFtc6qE5LtKKSgPKwit+B8dd4XnEUaLfBM2ozpkEC4YxwK0SbBiAHDDex+pY+LomQ0lyuamQ==" saltValue="N2/MCRws+mmA+NXw0axolg==" spinCount="100000" sqref="GJ88:GJ90 GH88:GH90 FY88:FY90 GL88:GL90 GE88:GE90" name="Rango2_31_2_43"/>
    <protectedRange algorithmName="SHA-512" hashValue="q2z5hEFmXS0v2chiPTC/VCoDWNlnhp+Xe6Ybfxe48vIsnB/KTJQxJv+pFUnCXfZ9T6vyJopuqFFNROfQTW/JUw==" saltValue="IctfdGJb5tOTpq+KPi9vww==" spinCount="100000" sqref="IA88:IA90 ID88:IJ90" name="Rango2_88_39_82"/>
    <protectedRange algorithmName="SHA-512" hashValue="YXHanhqXL0e4jPrzkCF8r/22WmlCviFUW909WKuG1JOcU0mp0/Huh0aP3EaGYxV2ep0WGu48HsShAy4Ka2uOiw==" saltValue="h/7U5iwJm7DLR4tRVfwZYw==" spinCount="100000" sqref="GI88:GI90 GC88:GC90" name="Rango2_33_35"/>
    <protectedRange algorithmName="SHA-512" hashValue="pL4tgTKqwEsWSIEGFTBd+4pvEhE7d5Q99Eijs+L/Y1rhA0saQGGRJw5Pv2HLOP0quglztFwB6WVnQ1YGxd4AiQ==" saltValue="IF5mhk2RcoEjrcYppes1VA==" spinCount="100000" sqref="FT88:FT90" name="Rango2_30_29"/>
    <protectedRange algorithmName="SHA-512" hashValue="EEHzbvEYwO1eufllBljOz0uf9BJ2ENtvOScQ7IsS321QhYbwKn7qhHKKP8cKj02rTDvVRMWvwQ1ZP0mZWsBprQ==" saltValue="CjXqBRFbKezlWOFV37MnDQ==" spinCount="100000" sqref="GQ91:GR91 GW91 GN91" name="Rango2_30_2_29"/>
    <protectedRange algorithmName="SHA-512" hashValue="Rgskw+AQdeJ5qbJdarzTa3SCkJfDGziy0Uan5N0F3IWn/H3Z/e+VcB56R7Nes7MPxNHewNP1sSSucVjz3iTLeA==" saltValue="qKZH3DnwaZHBzy3cBZo1qQ==" spinCount="100000" sqref="GF91" name="Rango2_31_28_28"/>
    <protectedRange algorithmName="SHA-512" hashValue="Umj9+5Ys20VQPxBFtc6qE5LtKKSgPKwit+B8dd4XnEUaLfBM2ozpkEC4YxwK0SbBiAHDDex+pY+LomQ0lyuamQ==" saltValue="N2/MCRws+mmA+NXw0axolg==" spinCount="100000" sqref="GJ91 GH91 FY91 GL91 GE91" name="Rango2_31_2_46"/>
    <protectedRange algorithmName="SHA-512" hashValue="q2z5hEFmXS0v2chiPTC/VCoDWNlnhp+Xe6Ybfxe48vIsnB/KTJQxJv+pFUnCXfZ9T6vyJopuqFFNROfQTW/JUw==" saltValue="IctfdGJb5tOTpq+KPi9vww==" spinCount="100000" sqref="IA91 ID91:IJ91" name="Rango2_88_39_83"/>
    <protectedRange algorithmName="SHA-512" hashValue="YXHanhqXL0e4jPrzkCF8r/22WmlCviFUW909WKuG1JOcU0mp0/Huh0aP3EaGYxV2ep0WGu48HsShAy4Ka2uOiw==" saltValue="h/7U5iwJm7DLR4tRVfwZYw==" spinCount="100000" sqref="GI91 GC91" name="Rango2_33_36"/>
    <protectedRange algorithmName="SHA-512" hashValue="pL4tgTKqwEsWSIEGFTBd+4pvEhE7d5Q99Eijs+L/Y1rhA0saQGGRJw5Pv2HLOP0quglztFwB6WVnQ1YGxd4AiQ==" saltValue="IF5mhk2RcoEjrcYppes1VA==" spinCount="100000" sqref="FT91" name="Rango2_30_30"/>
    <protectedRange algorithmName="SHA-512" hashValue="EEHzbvEYwO1eufllBljOz0uf9BJ2ENtvOScQ7IsS321QhYbwKn7qhHKKP8cKj02rTDvVRMWvwQ1ZP0mZWsBprQ==" saltValue="CjXqBRFbKezlWOFV37MnDQ==" spinCount="100000" sqref="GQ92:GR93 GW92:GW93 GN92:GN93" name="Rango2_30_2_30"/>
    <protectedRange algorithmName="SHA-512" hashValue="Rgskw+AQdeJ5qbJdarzTa3SCkJfDGziy0Uan5N0F3IWn/H3Z/e+VcB56R7Nes7MPxNHewNP1sSSucVjz3iTLeA==" saltValue="qKZH3DnwaZHBzy3cBZo1qQ==" spinCount="100000" sqref="GF92:GF93" name="Rango2_31_28_29"/>
    <protectedRange algorithmName="SHA-512" hashValue="Umj9+5Ys20VQPxBFtc6qE5LtKKSgPKwit+B8dd4XnEUaLfBM2ozpkEC4YxwK0SbBiAHDDex+pY+LomQ0lyuamQ==" saltValue="N2/MCRws+mmA+NXw0axolg==" spinCount="100000" sqref="GJ92:GJ93 GH92:GH93 FY92:FY93 GL92:GL93 GE92:GE93" name="Rango2_31_2_52"/>
    <protectedRange algorithmName="SHA-512" hashValue="q2z5hEFmXS0v2chiPTC/VCoDWNlnhp+Xe6Ybfxe48vIsnB/KTJQxJv+pFUnCXfZ9T6vyJopuqFFNROfQTW/JUw==" saltValue="IctfdGJb5tOTpq+KPi9vww==" spinCount="100000" sqref="IA92:IA93 ID92:IJ93" name="Rango2_88_39_84"/>
    <protectedRange algorithmName="SHA-512" hashValue="YXHanhqXL0e4jPrzkCF8r/22WmlCviFUW909WKuG1JOcU0mp0/Huh0aP3EaGYxV2ep0WGu48HsShAy4Ka2uOiw==" saltValue="h/7U5iwJm7DLR4tRVfwZYw==" spinCount="100000" sqref="GI92:GI93 GC92:GC93" name="Rango2_33_37"/>
    <protectedRange algorithmName="SHA-512" hashValue="pL4tgTKqwEsWSIEGFTBd+4pvEhE7d5Q99Eijs+L/Y1rhA0saQGGRJw5Pv2HLOP0quglztFwB6WVnQ1YGxd4AiQ==" saltValue="IF5mhk2RcoEjrcYppes1VA==" spinCount="100000" sqref="FT92:FT93" name="Rango2_30_31"/>
    <protectedRange algorithmName="SHA-512" hashValue="EEHzbvEYwO1eufllBljOz0uf9BJ2ENtvOScQ7IsS321QhYbwKn7qhHKKP8cKj02rTDvVRMWvwQ1ZP0mZWsBprQ==" saltValue="CjXqBRFbKezlWOFV37MnDQ==" spinCount="100000" sqref="GQ94:GR94 GW94 GN94" name="Rango2_30_2_33"/>
    <protectedRange algorithmName="SHA-512" hashValue="Rgskw+AQdeJ5qbJdarzTa3SCkJfDGziy0Uan5N0F3IWn/H3Z/e+VcB56R7Nes7MPxNHewNP1sSSucVjz3iTLeA==" saltValue="qKZH3DnwaZHBzy3cBZo1qQ==" spinCount="100000" sqref="GF94" name="Rango2_31_28_30"/>
    <protectedRange algorithmName="SHA-512" hashValue="Umj9+5Ys20VQPxBFtc6qE5LtKKSgPKwit+B8dd4XnEUaLfBM2ozpkEC4YxwK0SbBiAHDDex+pY+LomQ0lyuamQ==" saltValue="N2/MCRws+mmA+NXw0axolg==" spinCount="100000" sqref="GJ94 GH94 FY94 GL94 GE94" name="Rango2_31_2_54"/>
    <protectedRange algorithmName="SHA-512" hashValue="q2z5hEFmXS0v2chiPTC/VCoDWNlnhp+Xe6Ybfxe48vIsnB/KTJQxJv+pFUnCXfZ9T6vyJopuqFFNROfQTW/JUw==" saltValue="IctfdGJb5tOTpq+KPi9vww==" spinCount="100000" sqref="IA94 ID94:IJ94" name="Rango2_88_39_85"/>
    <protectedRange algorithmName="SHA-512" hashValue="YXHanhqXL0e4jPrzkCF8r/22WmlCviFUW909WKuG1JOcU0mp0/Huh0aP3EaGYxV2ep0WGu48HsShAy4Ka2uOiw==" saltValue="h/7U5iwJm7DLR4tRVfwZYw==" spinCount="100000" sqref="GI94 GC94" name="Rango2_33_38"/>
    <protectedRange algorithmName="SHA-512" hashValue="pL4tgTKqwEsWSIEGFTBd+4pvEhE7d5Q99Eijs+L/Y1rhA0saQGGRJw5Pv2HLOP0quglztFwB6WVnQ1YGxd4AiQ==" saltValue="IF5mhk2RcoEjrcYppes1VA==" spinCount="100000" sqref="FT94" name="Rango2_30_32"/>
    <protectedRange algorithmName="SHA-512" hashValue="EEHzbvEYwO1eufllBljOz0uf9BJ2ENtvOScQ7IsS321QhYbwKn7qhHKKP8cKj02rTDvVRMWvwQ1ZP0mZWsBprQ==" saltValue="CjXqBRFbKezlWOFV37MnDQ==" spinCount="100000" sqref="GQ95:GR95 GW95 GN95" name="Rango2_30_2_39"/>
    <protectedRange algorithmName="SHA-512" hashValue="Rgskw+AQdeJ5qbJdarzTa3SCkJfDGziy0Uan5N0F3IWn/H3Z/e+VcB56R7Nes7MPxNHewNP1sSSucVjz3iTLeA==" saltValue="qKZH3DnwaZHBzy3cBZo1qQ==" spinCount="100000" sqref="GF95" name="Rango2_31_28_31"/>
    <protectedRange algorithmName="SHA-512" hashValue="Umj9+5Ys20VQPxBFtc6qE5LtKKSgPKwit+B8dd4XnEUaLfBM2ozpkEC4YxwK0SbBiAHDDex+pY+LomQ0lyuamQ==" saltValue="N2/MCRws+mmA+NXw0axolg==" spinCount="100000" sqref="GJ95 GH95 FY95 GL95 GE95" name="Rango2_31_2_55"/>
    <protectedRange algorithmName="SHA-512" hashValue="q2z5hEFmXS0v2chiPTC/VCoDWNlnhp+Xe6Ybfxe48vIsnB/KTJQxJv+pFUnCXfZ9T6vyJopuqFFNROfQTW/JUw==" saltValue="IctfdGJb5tOTpq+KPi9vww==" spinCount="100000" sqref="IA95 ID95:IJ95" name="Rango2_88_39_86"/>
    <protectedRange algorithmName="SHA-512" hashValue="YXHanhqXL0e4jPrzkCF8r/22WmlCviFUW909WKuG1JOcU0mp0/Huh0aP3EaGYxV2ep0WGu48HsShAy4Ka2uOiw==" saltValue="h/7U5iwJm7DLR4tRVfwZYw==" spinCount="100000" sqref="GI95 GC95" name="Rango2_33_39"/>
    <protectedRange algorithmName="SHA-512" hashValue="pL4tgTKqwEsWSIEGFTBd+4pvEhE7d5Q99Eijs+L/Y1rhA0saQGGRJw5Pv2HLOP0quglztFwB6WVnQ1YGxd4AiQ==" saltValue="IF5mhk2RcoEjrcYppes1VA==" spinCount="100000" sqref="FT95" name="Rango2_30_33"/>
    <protectedRange algorithmName="SHA-512" hashValue="EEHzbvEYwO1eufllBljOz0uf9BJ2ENtvOScQ7IsS321QhYbwKn7qhHKKP8cKj02rTDvVRMWvwQ1ZP0mZWsBprQ==" saltValue="CjXqBRFbKezlWOFV37MnDQ==" spinCount="100000" sqref="GQ96:GR96 GW96 GN96" name="Rango2_30_2_41"/>
    <protectedRange algorithmName="SHA-512" hashValue="Rgskw+AQdeJ5qbJdarzTa3SCkJfDGziy0Uan5N0F3IWn/H3Z/e+VcB56R7Nes7MPxNHewNP1sSSucVjz3iTLeA==" saltValue="qKZH3DnwaZHBzy3cBZo1qQ==" spinCount="100000" sqref="GF96" name="Rango2_31_28_32"/>
    <protectedRange algorithmName="SHA-512" hashValue="Umj9+5Ys20VQPxBFtc6qE5LtKKSgPKwit+B8dd4XnEUaLfBM2ozpkEC4YxwK0SbBiAHDDex+pY+LomQ0lyuamQ==" saltValue="N2/MCRws+mmA+NXw0axolg==" spinCount="100000" sqref="GJ96 GH96 FY96 GL96 GE96" name="Rango2_31_2_56"/>
    <protectedRange algorithmName="SHA-512" hashValue="q2z5hEFmXS0v2chiPTC/VCoDWNlnhp+Xe6Ybfxe48vIsnB/KTJQxJv+pFUnCXfZ9T6vyJopuqFFNROfQTW/JUw==" saltValue="IctfdGJb5tOTpq+KPi9vww==" spinCount="100000" sqref="IA96 ID96:IJ96" name="Rango2_88_39_87"/>
    <protectedRange algorithmName="SHA-512" hashValue="YXHanhqXL0e4jPrzkCF8r/22WmlCviFUW909WKuG1JOcU0mp0/Huh0aP3EaGYxV2ep0WGu48HsShAy4Ka2uOiw==" saltValue="h/7U5iwJm7DLR4tRVfwZYw==" spinCount="100000" sqref="GI96 GC96" name="Rango2_33_40"/>
    <protectedRange algorithmName="SHA-512" hashValue="pL4tgTKqwEsWSIEGFTBd+4pvEhE7d5Q99Eijs+L/Y1rhA0saQGGRJw5Pv2HLOP0quglztFwB6WVnQ1YGxd4AiQ==" saltValue="IF5mhk2RcoEjrcYppes1VA==" spinCount="100000" sqref="FT96" name="Rango2_30_34"/>
    <protectedRange algorithmName="SHA-512" hashValue="EEHzbvEYwO1eufllBljOz0uf9BJ2ENtvOScQ7IsS321QhYbwKn7qhHKKP8cKj02rTDvVRMWvwQ1ZP0mZWsBprQ==" saltValue="CjXqBRFbKezlWOFV37MnDQ==" spinCount="100000" sqref="GQ97:GR98 GW97:GW98 GN97:GN98" name="Rango2_30_2_42"/>
    <protectedRange algorithmName="SHA-512" hashValue="Rgskw+AQdeJ5qbJdarzTa3SCkJfDGziy0Uan5N0F3IWn/H3Z/e+VcB56R7Nes7MPxNHewNP1sSSucVjz3iTLeA==" saltValue="qKZH3DnwaZHBzy3cBZo1qQ==" spinCount="100000" sqref="GF97:GF98" name="Rango2_31_28_33"/>
    <protectedRange algorithmName="SHA-512" hashValue="Umj9+5Ys20VQPxBFtc6qE5LtKKSgPKwit+B8dd4XnEUaLfBM2ozpkEC4YxwK0SbBiAHDDex+pY+LomQ0lyuamQ==" saltValue="N2/MCRws+mmA+NXw0axolg==" spinCount="100000" sqref="GJ97:GJ98 GH97:GH98 FY97:FY98 GL97:GL98 GE97:GE98" name="Rango2_31_2_59"/>
    <protectedRange algorithmName="SHA-512" hashValue="q2z5hEFmXS0v2chiPTC/VCoDWNlnhp+Xe6Ybfxe48vIsnB/KTJQxJv+pFUnCXfZ9T6vyJopuqFFNROfQTW/JUw==" saltValue="IctfdGJb5tOTpq+KPi9vww==" spinCount="100000" sqref="IA97:IA98 ID97:IJ98" name="Rango2_88_39_88"/>
    <protectedRange algorithmName="SHA-512" hashValue="YXHanhqXL0e4jPrzkCF8r/22WmlCviFUW909WKuG1JOcU0mp0/Huh0aP3EaGYxV2ep0WGu48HsShAy4Ka2uOiw==" saltValue="h/7U5iwJm7DLR4tRVfwZYw==" spinCount="100000" sqref="GI97:GI98 GC97:GC98" name="Rango2_33_41"/>
    <protectedRange algorithmName="SHA-512" hashValue="pL4tgTKqwEsWSIEGFTBd+4pvEhE7d5Q99Eijs+L/Y1rhA0saQGGRJw5Pv2HLOP0quglztFwB6WVnQ1YGxd4AiQ==" saltValue="IF5mhk2RcoEjrcYppes1VA==" spinCount="100000" sqref="FT97:FT98" name="Rango2_30_35"/>
    <protectedRange algorithmName="SHA-512" hashValue="EEHzbvEYwO1eufllBljOz0uf9BJ2ENtvOScQ7IsS321QhYbwKn7qhHKKP8cKj02rTDvVRMWvwQ1ZP0mZWsBprQ==" saltValue="CjXqBRFbKezlWOFV37MnDQ==" spinCount="100000" sqref="GQ99:GR100 GW99:GW100 GN99:GN100" name="Rango2_30_2_43"/>
    <protectedRange algorithmName="SHA-512" hashValue="Rgskw+AQdeJ5qbJdarzTa3SCkJfDGziy0Uan5N0F3IWn/H3Z/e+VcB56R7Nes7MPxNHewNP1sSSucVjz3iTLeA==" saltValue="qKZH3DnwaZHBzy3cBZo1qQ==" spinCount="100000" sqref="GF99:GF100" name="Rango2_31_28_34"/>
    <protectedRange algorithmName="SHA-512" hashValue="Umj9+5Ys20VQPxBFtc6qE5LtKKSgPKwit+B8dd4XnEUaLfBM2ozpkEC4YxwK0SbBiAHDDex+pY+LomQ0lyuamQ==" saltValue="N2/MCRws+mmA+NXw0axolg==" spinCount="100000" sqref="GJ99:GJ100 GH99:GH100 FY99:FY100 GL99:GL100 GE99:GE100" name="Rango2_31_2_65"/>
    <protectedRange algorithmName="SHA-512" hashValue="q2z5hEFmXS0v2chiPTC/VCoDWNlnhp+Xe6Ybfxe48vIsnB/KTJQxJv+pFUnCXfZ9T6vyJopuqFFNROfQTW/JUw==" saltValue="IctfdGJb5tOTpq+KPi9vww==" spinCount="100000" sqref="IA99:IA100 ID99:IJ100" name="Rango2_88_39_89"/>
    <protectedRange algorithmName="SHA-512" hashValue="YXHanhqXL0e4jPrzkCF8r/22WmlCviFUW909WKuG1JOcU0mp0/Huh0aP3EaGYxV2ep0WGu48HsShAy4Ka2uOiw==" saltValue="h/7U5iwJm7DLR4tRVfwZYw==" spinCount="100000" sqref="GI99:GI100 GC99:GC100" name="Rango2_33_42"/>
    <protectedRange algorithmName="SHA-512" hashValue="pL4tgTKqwEsWSIEGFTBd+4pvEhE7d5Q99Eijs+L/Y1rhA0saQGGRJw5Pv2HLOP0quglztFwB6WVnQ1YGxd4AiQ==" saltValue="IF5mhk2RcoEjrcYppes1VA==" spinCount="100000" sqref="FT99:FT100" name="Rango2_30_36"/>
    <protectedRange algorithmName="SHA-512" hashValue="EEHzbvEYwO1eufllBljOz0uf9BJ2ENtvOScQ7IsS321QhYbwKn7qhHKKP8cKj02rTDvVRMWvwQ1ZP0mZWsBprQ==" saltValue="CjXqBRFbKezlWOFV37MnDQ==" spinCount="100000" sqref="GQ101:GR102 GW101:GW102 GN101:GN102" name="Rango2_30_2_46"/>
    <protectedRange algorithmName="SHA-512" hashValue="Rgskw+AQdeJ5qbJdarzTa3SCkJfDGziy0Uan5N0F3IWn/H3Z/e+VcB56R7Nes7MPxNHewNP1sSSucVjz3iTLeA==" saltValue="qKZH3DnwaZHBzy3cBZo1qQ==" spinCount="100000" sqref="GF101:GF102" name="Rango2_31_28_35"/>
    <protectedRange algorithmName="SHA-512" hashValue="Umj9+5Ys20VQPxBFtc6qE5LtKKSgPKwit+B8dd4XnEUaLfBM2ozpkEC4YxwK0SbBiAHDDex+pY+LomQ0lyuamQ==" saltValue="N2/MCRws+mmA+NXw0axolg==" spinCount="100000" sqref="GJ101:GJ102 GH101:GH102 FY101:FY102 GL101:GL102 GE101:GE102" name="Rango2_31_2_67"/>
    <protectedRange algorithmName="SHA-512" hashValue="q2z5hEFmXS0v2chiPTC/VCoDWNlnhp+Xe6Ybfxe48vIsnB/KTJQxJv+pFUnCXfZ9T6vyJopuqFFNROfQTW/JUw==" saltValue="IctfdGJb5tOTpq+KPi9vww==" spinCount="100000" sqref="IA101:IA102 ID101:IJ102" name="Rango2_88_39_90"/>
    <protectedRange algorithmName="SHA-512" hashValue="YXHanhqXL0e4jPrzkCF8r/22WmlCviFUW909WKuG1JOcU0mp0/Huh0aP3EaGYxV2ep0WGu48HsShAy4Ka2uOiw==" saltValue="h/7U5iwJm7DLR4tRVfwZYw==" spinCount="100000" sqref="GI101:GI102 GC101:GC102" name="Rango2_33_43"/>
    <protectedRange algorithmName="SHA-512" hashValue="pL4tgTKqwEsWSIEGFTBd+4pvEhE7d5Q99Eijs+L/Y1rhA0saQGGRJw5Pv2HLOP0quglztFwB6WVnQ1YGxd4AiQ==" saltValue="IF5mhk2RcoEjrcYppes1VA==" spinCount="100000" sqref="FT101:FT102" name="Rango2_30_37"/>
    <protectedRange algorithmName="SHA-512" hashValue="EEHzbvEYwO1eufllBljOz0uf9BJ2ENtvOScQ7IsS321QhYbwKn7qhHKKP8cKj02rTDvVRMWvwQ1ZP0mZWsBprQ==" saltValue="CjXqBRFbKezlWOFV37MnDQ==" spinCount="100000" sqref="GQ103:GR112 GW103:GW112 GN103:GN112" name="Rango2_30_2_52"/>
    <protectedRange algorithmName="SHA-512" hashValue="Rgskw+AQdeJ5qbJdarzTa3SCkJfDGziy0Uan5N0F3IWn/H3Z/e+VcB56R7Nes7MPxNHewNP1sSSucVjz3iTLeA==" saltValue="qKZH3DnwaZHBzy3cBZo1qQ==" spinCount="100000" sqref="GF103:GF112" name="Rango2_31_28_36"/>
    <protectedRange algorithmName="SHA-512" hashValue="Umj9+5Ys20VQPxBFtc6qE5LtKKSgPKwit+B8dd4XnEUaLfBM2ozpkEC4YxwK0SbBiAHDDex+pY+LomQ0lyuamQ==" saltValue="N2/MCRws+mmA+NXw0axolg==" spinCount="100000" sqref="GJ103:GJ112 GH103:GH112 FY103:FY112 GB107:GB108 GL103:GL112 GE103:GE112 GB110 GB112" name="Rango2_31_2_68"/>
    <protectedRange algorithmName="SHA-512" hashValue="q2z5hEFmXS0v2chiPTC/VCoDWNlnhp+Xe6Ybfxe48vIsnB/KTJQxJv+pFUnCXfZ9T6vyJopuqFFNROfQTW/JUw==" saltValue="IctfdGJb5tOTpq+KPi9vww==" spinCount="100000" sqref="IA103:IA112 ID103:IJ112" name="Rango2_88_39_91"/>
    <protectedRange algorithmName="SHA-512" hashValue="YXHanhqXL0e4jPrzkCF8r/22WmlCviFUW909WKuG1JOcU0mp0/Huh0aP3EaGYxV2ep0WGu48HsShAy4Ka2uOiw==" saltValue="h/7U5iwJm7DLR4tRVfwZYw==" spinCount="100000" sqref="GI103:GI112 GC103:GC112" name="Rango2_33_44"/>
    <protectedRange algorithmName="SHA-512" hashValue="pL4tgTKqwEsWSIEGFTBd+4pvEhE7d5Q99Eijs+L/Y1rhA0saQGGRJw5Pv2HLOP0quglztFwB6WVnQ1YGxd4AiQ==" saltValue="IF5mhk2RcoEjrcYppes1VA==" spinCount="100000" sqref="FT103:FT112" name="Rango2_30_38"/>
    <protectedRange algorithmName="SHA-512" hashValue="EEHzbvEYwO1eufllBljOz0uf9BJ2ENtvOScQ7IsS321QhYbwKn7qhHKKP8cKj02rTDvVRMWvwQ1ZP0mZWsBprQ==" saltValue="CjXqBRFbKezlWOFV37MnDQ==" spinCount="100000" sqref="GQ113:GR116 GW113:GW116 GN113:GN116" name="Rango2_30_2_54"/>
    <protectedRange algorithmName="SHA-512" hashValue="Rgskw+AQdeJ5qbJdarzTa3SCkJfDGziy0Uan5N0F3IWn/H3Z/e+VcB56R7Nes7MPxNHewNP1sSSucVjz3iTLeA==" saltValue="qKZH3DnwaZHBzy3cBZo1qQ==" spinCount="100000" sqref="GF113:GF116" name="Rango2_31_28_37"/>
    <protectedRange algorithmName="SHA-512" hashValue="Umj9+5Ys20VQPxBFtc6qE5LtKKSgPKwit+B8dd4XnEUaLfBM2ozpkEC4YxwK0SbBiAHDDex+pY+LomQ0lyuamQ==" saltValue="N2/MCRws+mmA+NXw0axolg==" spinCount="100000" sqref="GJ113:GJ116 GH113:GH116 FY113:FY116 GB116 GL113:GL116 GE113:GE116" name="Rango2_31_2_69"/>
    <protectedRange algorithmName="SHA-512" hashValue="q2z5hEFmXS0v2chiPTC/VCoDWNlnhp+Xe6Ybfxe48vIsnB/KTJQxJv+pFUnCXfZ9T6vyJopuqFFNROfQTW/JUw==" saltValue="IctfdGJb5tOTpq+KPi9vww==" spinCount="100000" sqref="IA113:IA116 ID113:IJ116" name="Rango2_88_39_92"/>
    <protectedRange algorithmName="SHA-512" hashValue="YXHanhqXL0e4jPrzkCF8r/22WmlCviFUW909WKuG1JOcU0mp0/Huh0aP3EaGYxV2ep0WGu48HsShAy4Ka2uOiw==" saltValue="h/7U5iwJm7DLR4tRVfwZYw==" spinCount="100000" sqref="GI113:GI116 GC113:GC116" name="Rango2_33_45"/>
    <protectedRange algorithmName="SHA-512" hashValue="pL4tgTKqwEsWSIEGFTBd+4pvEhE7d5Q99Eijs+L/Y1rhA0saQGGRJw5Pv2HLOP0quglztFwB6WVnQ1YGxd4AiQ==" saltValue="IF5mhk2RcoEjrcYppes1VA==" spinCount="100000" sqref="FT113:FT116" name="Rango2_30_39"/>
    <protectedRange algorithmName="SHA-512" hashValue="EEHzbvEYwO1eufllBljOz0uf9BJ2ENtvOScQ7IsS321QhYbwKn7qhHKKP8cKj02rTDvVRMWvwQ1ZP0mZWsBprQ==" saltValue="CjXqBRFbKezlWOFV37MnDQ==" spinCount="100000" sqref="GQ117:GR124 GW117:GW124 GN117:GN124" name="Rango2_30_2_55"/>
    <protectedRange algorithmName="SHA-512" hashValue="Rgskw+AQdeJ5qbJdarzTa3SCkJfDGziy0Uan5N0F3IWn/H3Z/e+VcB56R7Nes7MPxNHewNP1sSSucVjz3iTLeA==" saltValue="qKZH3DnwaZHBzy3cBZo1qQ==" spinCount="100000" sqref="GF117:GF124" name="Rango2_31_28_38"/>
    <protectedRange algorithmName="SHA-512" hashValue="Umj9+5Ys20VQPxBFtc6qE5LtKKSgPKwit+B8dd4XnEUaLfBM2ozpkEC4YxwK0SbBiAHDDex+pY+LomQ0lyuamQ==" saltValue="N2/MCRws+mmA+NXw0axolg==" spinCount="100000" sqref="GJ117:GJ124 GH117:GH124 FY117:FY124 GB118 GL117:GL124 GE117:GE124 GB122:GB124" name="Rango2_31_2_70"/>
    <protectedRange algorithmName="SHA-512" hashValue="q2z5hEFmXS0v2chiPTC/VCoDWNlnhp+Xe6Ybfxe48vIsnB/KTJQxJv+pFUnCXfZ9T6vyJopuqFFNROfQTW/JUw==" saltValue="IctfdGJb5tOTpq+KPi9vww==" spinCount="100000" sqref="IA117:IA124 ID117:IJ124" name="Rango2_88_39_93"/>
    <protectedRange algorithmName="SHA-512" hashValue="YXHanhqXL0e4jPrzkCF8r/22WmlCviFUW909WKuG1JOcU0mp0/Huh0aP3EaGYxV2ep0WGu48HsShAy4Ka2uOiw==" saltValue="h/7U5iwJm7DLR4tRVfwZYw==" spinCount="100000" sqref="GI117:GI124 GC117:GC124" name="Rango2_33_46"/>
    <protectedRange algorithmName="SHA-512" hashValue="pL4tgTKqwEsWSIEGFTBd+4pvEhE7d5Q99Eijs+L/Y1rhA0saQGGRJw5Pv2HLOP0quglztFwB6WVnQ1YGxd4AiQ==" saltValue="IF5mhk2RcoEjrcYppes1VA==" spinCount="100000" sqref="FT117:FT124" name="Rango2_30_40"/>
    <protectedRange algorithmName="SHA-512" hashValue="Gqwr8n5jYbCESAqCFk8dpOzViQICBV+k0xoqBoQaZ5lHaRlvT9TZDB4yXtm+qC6OhD064ZDBOFWkwo+LHXu1sg==" saltValue="gEL9PCN2ekF2IxW9yqAGYA==" spinCount="100000" sqref="IS88:IS90" name="Rango2_40_2_28"/>
    <protectedRange algorithmName="SHA-512" hashValue="D8TacORwT7iz0mF9GEucchnMHfB5er2FFjQsxyeWWyeJkM6Bt3gYQ3LbcHPxZXFpVAYtFOuTrzYOCJrlZDx16g==" saltValue="QtCzIBktdS4NZkOEGcLTRQ==" spinCount="100000" sqref="IW88:IW90" name="Rango2_41_28"/>
    <protectedRange algorithmName="SHA-512" hashValue="Gqwr8n5jYbCESAqCFk8dpOzViQICBV+k0xoqBoQaZ5lHaRlvT9TZDB4yXtm+qC6OhD064ZDBOFWkwo+LHXu1sg==" saltValue="gEL9PCN2ekF2IxW9yqAGYA==" spinCount="100000" sqref="IS91" name="Rango2_40_2_29"/>
    <protectedRange algorithmName="SHA-512" hashValue="D8TacORwT7iz0mF9GEucchnMHfB5er2FFjQsxyeWWyeJkM6Bt3gYQ3LbcHPxZXFpVAYtFOuTrzYOCJrlZDx16g==" saltValue="QtCzIBktdS4NZkOEGcLTRQ==" spinCount="100000" sqref="IW91" name="Rango2_41_29"/>
    <protectedRange algorithmName="SHA-512" hashValue="Gqwr8n5jYbCESAqCFk8dpOzViQICBV+k0xoqBoQaZ5lHaRlvT9TZDB4yXtm+qC6OhD064ZDBOFWkwo+LHXu1sg==" saltValue="gEL9PCN2ekF2IxW9yqAGYA==" spinCount="100000" sqref="IS92:IS93" name="Rango2_40_2_30"/>
    <protectedRange algorithmName="SHA-512" hashValue="D8TacORwT7iz0mF9GEucchnMHfB5er2FFjQsxyeWWyeJkM6Bt3gYQ3LbcHPxZXFpVAYtFOuTrzYOCJrlZDx16g==" saltValue="QtCzIBktdS4NZkOEGcLTRQ==" spinCount="100000" sqref="IW92:IW93" name="Rango2_41_30"/>
    <protectedRange algorithmName="SHA-512" hashValue="Gqwr8n5jYbCESAqCFk8dpOzViQICBV+k0xoqBoQaZ5lHaRlvT9TZDB4yXtm+qC6OhD064ZDBOFWkwo+LHXu1sg==" saltValue="gEL9PCN2ekF2IxW9yqAGYA==" spinCount="100000" sqref="IS94" name="Rango2_40_2_31"/>
    <protectedRange algorithmName="SHA-512" hashValue="D8TacORwT7iz0mF9GEucchnMHfB5er2FFjQsxyeWWyeJkM6Bt3gYQ3LbcHPxZXFpVAYtFOuTrzYOCJrlZDx16g==" saltValue="QtCzIBktdS4NZkOEGcLTRQ==" spinCount="100000" sqref="IW94" name="Rango2_41_31"/>
    <protectedRange algorithmName="SHA-512" hashValue="Gqwr8n5jYbCESAqCFk8dpOzViQICBV+k0xoqBoQaZ5lHaRlvT9TZDB4yXtm+qC6OhD064ZDBOFWkwo+LHXu1sg==" saltValue="gEL9PCN2ekF2IxW9yqAGYA==" spinCount="100000" sqref="IS95" name="Rango2_40_2_32"/>
    <protectedRange algorithmName="SHA-512" hashValue="D8TacORwT7iz0mF9GEucchnMHfB5er2FFjQsxyeWWyeJkM6Bt3gYQ3LbcHPxZXFpVAYtFOuTrzYOCJrlZDx16g==" saltValue="QtCzIBktdS4NZkOEGcLTRQ==" spinCount="100000" sqref="IW95" name="Rango2_41_32"/>
    <protectedRange algorithmName="SHA-512" hashValue="Gqwr8n5jYbCESAqCFk8dpOzViQICBV+k0xoqBoQaZ5lHaRlvT9TZDB4yXtm+qC6OhD064ZDBOFWkwo+LHXu1sg==" saltValue="gEL9PCN2ekF2IxW9yqAGYA==" spinCount="100000" sqref="IS96" name="Rango2_40_2_33"/>
    <protectedRange algorithmName="SHA-512" hashValue="D8TacORwT7iz0mF9GEucchnMHfB5er2FFjQsxyeWWyeJkM6Bt3gYQ3LbcHPxZXFpVAYtFOuTrzYOCJrlZDx16g==" saltValue="QtCzIBktdS4NZkOEGcLTRQ==" spinCount="100000" sqref="IW96" name="Rango2_41_33"/>
    <protectedRange algorithmName="SHA-512" hashValue="Gqwr8n5jYbCESAqCFk8dpOzViQICBV+k0xoqBoQaZ5lHaRlvT9TZDB4yXtm+qC6OhD064ZDBOFWkwo+LHXu1sg==" saltValue="gEL9PCN2ekF2IxW9yqAGYA==" spinCount="100000" sqref="IS97:IS98" name="Rango2_40_2_34"/>
    <protectedRange algorithmName="SHA-512" hashValue="D8TacORwT7iz0mF9GEucchnMHfB5er2FFjQsxyeWWyeJkM6Bt3gYQ3LbcHPxZXFpVAYtFOuTrzYOCJrlZDx16g==" saltValue="QtCzIBktdS4NZkOEGcLTRQ==" spinCount="100000" sqref="IW97:IW98" name="Rango2_41_34"/>
    <protectedRange algorithmName="SHA-512" hashValue="Gqwr8n5jYbCESAqCFk8dpOzViQICBV+k0xoqBoQaZ5lHaRlvT9TZDB4yXtm+qC6OhD064ZDBOFWkwo+LHXu1sg==" saltValue="gEL9PCN2ekF2IxW9yqAGYA==" spinCount="100000" sqref="IS99:IS100" name="Rango2_40_2_35"/>
    <protectedRange algorithmName="SHA-512" hashValue="D8TacORwT7iz0mF9GEucchnMHfB5er2FFjQsxyeWWyeJkM6Bt3gYQ3LbcHPxZXFpVAYtFOuTrzYOCJrlZDx16g==" saltValue="QtCzIBktdS4NZkOEGcLTRQ==" spinCount="100000" sqref="IW99:IW100" name="Rango2_41_35"/>
    <protectedRange algorithmName="SHA-512" hashValue="Gqwr8n5jYbCESAqCFk8dpOzViQICBV+k0xoqBoQaZ5lHaRlvT9TZDB4yXtm+qC6OhD064ZDBOFWkwo+LHXu1sg==" saltValue="gEL9PCN2ekF2IxW9yqAGYA==" spinCount="100000" sqref="IS101:IS102" name="Rango2_40_2_36"/>
    <protectedRange algorithmName="SHA-512" hashValue="D8TacORwT7iz0mF9GEucchnMHfB5er2FFjQsxyeWWyeJkM6Bt3gYQ3LbcHPxZXFpVAYtFOuTrzYOCJrlZDx16g==" saltValue="QtCzIBktdS4NZkOEGcLTRQ==" spinCount="100000" sqref="IW101:IW102" name="Rango2_41_36"/>
    <protectedRange algorithmName="SHA-512" hashValue="Gqwr8n5jYbCESAqCFk8dpOzViQICBV+k0xoqBoQaZ5lHaRlvT9TZDB4yXtm+qC6OhD064ZDBOFWkwo+LHXu1sg==" saltValue="gEL9PCN2ekF2IxW9yqAGYA==" spinCount="100000" sqref="IS103:IS112" name="Rango2_40_2_37"/>
    <protectedRange algorithmName="SHA-512" hashValue="D8TacORwT7iz0mF9GEucchnMHfB5er2FFjQsxyeWWyeJkM6Bt3gYQ3LbcHPxZXFpVAYtFOuTrzYOCJrlZDx16g==" saltValue="QtCzIBktdS4NZkOEGcLTRQ==" spinCount="100000" sqref="IW103:IW112" name="Rango2_41_37"/>
    <protectedRange algorithmName="SHA-512" hashValue="Gqwr8n5jYbCESAqCFk8dpOzViQICBV+k0xoqBoQaZ5lHaRlvT9TZDB4yXtm+qC6OhD064ZDBOFWkwo+LHXu1sg==" saltValue="gEL9PCN2ekF2IxW9yqAGYA==" spinCount="100000" sqref="IS113:IS116" name="Rango2_40_2_38"/>
    <protectedRange algorithmName="SHA-512" hashValue="D8TacORwT7iz0mF9GEucchnMHfB5er2FFjQsxyeWWyeJkM6Bt3gYQ3LbcHPxZXFpVAYtFOuTrzYOCJrlZDx16g==" saltValue="QtCzIBktdS4NZkOEGcLTRQ==" spinCount="100000" sqref="IW113:IW116" name="Rango2_41_38"/>
    <protectedRange algorithmName="SHA-512" hashValue="Gqwr8n5jYbCESAqCFk8dpOzViQICBV+k0xoqBoQaZ5lHaRlvT9TZDB4yXtm+qC6OhD064ZDBOFWkwo+LHXu1sg==" saltValue="gEL9PCN2ekF2IxW9yqAGYA==" spinCount="100000" sqref="IS117:IS124" name="Rango2_40_2_39"/>
    <protectedRange algorithmName="SHA-512" hashValue="D8TacORwT7iz0mF9GEucchnMHfB5er2FFjQsxyeWWyeJkM6Bt3gYQ3LbcHPxZXFpVAYtFOuTrzYOCJrlZDx16g==" saltValue="QtCzIBktdS4NZkOEGcLTRQ==" spinCount="100000" sqref="IW117:IW124" name="Rango2_41_39"/>
    <protectedRange algorithmName="SHA-512" hashValue="RQ91b7oAw60DVtcgB2vRpial2kSdzJx5guGCTYUwXYkKrtrUHfiYnLf9R+SNpYXlJDYpyEJLhcWwP0EqNN86dQ==" saltValue="W3RbH3zrcY9sy39xNwXNxg==" spinCount="100000" sqref="BA125:BI125 BV125:BY125" name="Rango2_88_99_42"/>
    <protectedRange algorithmName="SHA-512" hashValue="fMbmUM1DQ7FuAPRNvFL5mPdHUYjQnlLFhkuaxvHguaqR7aWyDxcmJs0jLYQfQKY+oyhsMb4Lew4VL6i7um3/ew==" saltValue="ydaTm0CeH8+/cYqoL/AMaQ==" spinCount="100000" sqref="AU125 AW125:AZ125" name="Rango2_88_91_39"/>
    <protectedRange algorithmName="SHA-512" hashValue="CHipOQaT63FWw628cQcXXJRZlrbNZ7OgmnEbDx38UmmH7z19GRYEzXFiVOzHAy1OAaAbST7g2bHZHDKQp2qm3w==" saltValue="iRVuL+373yLHv0ZHzS9qog==" spinCount="100000" sqref="AG125:AH125 AJ125 AL125" name="Rango2_88_7_5_42"/>
    <protectedRange algorithmName="SHA-512" hashValue="NkG6oHuDGvGBEiLAAq8MEJHEfLQUMyjihfH+DBXhT+eQW0r1yri7tOJEFRM9nbOejjjXiviq9RFo7KB7wF+xJA==" saltValue="bpjB0AAANu2X/PeR3eiFkA==" spinCount="100000" sqref="AM125:AS125" name="Rango2_88_65_40"/>
    <protectedRange algorithmName="SHA-512" hashValue="fPHvtIAf3pQeZUoAI9C2/vdXMHBpqqEq+67P5Ypyu4+9IWqs3yc9TZcMWQ0THLxUwqseQPyVvakuYFtCwJHsxA==" saltValue="QHIogSs2PrwAfdqa9PAOFQ==" spinCount="100000" sqref="AC125" name="Rango2_88_5_5_40"/>
    <protectedRange algorithmName="SHA-512" hashValue="LEEeiU6pKqm7TAP46VGlz0q+evvFwpT/0iLpRuWuQ7MacbP0OGL1/FSmrIEOg2rb6M+Jla2bPbVWiGag27j87w==" saltValue="HEVt+pS5OloNDlqSnzGLLw==" spinCount="100000" sqref="AI125" name="Rango2_8_7_40"/>
    <protectedRange algorithmName="SHA-512" hashValue="q2z5hEFmXS0v2chiPTC/VCoDWNlnhp+Xe6Ybfxe48vIsnB/KTJQxJv+pFUnCXfZ9T6vyJopuqFFNROfQTW/JUw==" saltValue="IctfdGJb5tOTpq+KPi9vww==" spinCount="100000" sqref="AE125:AF125" name="Rango2_88_39_94"/>
    <protectedRange algorithmName="SHA-512" hashValue="AYYX88LSDB6RDNMvSqt0KPGWPjBqTk56tMxTOlv5QD61MGTKAAQnSnudvNDWPN0Bbllh2qRQC+P5uq7goxjdrw==" saltValue="i/iPMewnks1FoXYOjKMEVg==" spinCount="100000" sqref="AB125" name="Rango2_87_6_40"/>
    <protectedRange algorithmName="SHA-512" hashValue="NUll9P9xh7KbSfMYpMxsRZLfDw/y/AzW2LSWlpXVscBDqiAxmzo71xjs+a2lh+jRa7pceOC849slke4+ZKx8LA==" saltValue="8qbkKpQ+CiQuLnqgShNvXA==" spinCount="100000" sqref="T125" name="Rango2_88_6_40"/>
    <protectedRange algorithmName="SHA-512" hashValue="KHhv3JU/LRdRrRTxxkgFceEHPZ5UzadmpZRZR3zmQRnPvkUJZuanRafIJ+qde0IWwLZSvFIQDyUAHq6v6k7XIg==" saltValue="2GKG1kCzVNNcn+vbOPuhJA==" spinCount="100000" sqref="Q125" name="Rango2_2_5_40"/>
    <protectedRange algorithmName="SHA-512" hashValue="RQ91b7oAw60DVtcgB2vRpial2kSdzJx5guGCTYUwXYkKrtrUHfiYnLf9R+SNpYXlJDYpyEJLhcWwP0EqNN86dQ==" saltValue="W3RbH3zrcY9sy39xNwXNxg==" spinCount="100000" sqref="BA126:BI126 BV126:BY126" name="Rango2_88_99_43"/>
    <protectedRange algorithmName="SHA-512" hashValue="fMbmUM1DQ7FuAPRNvFL5mPdHUYjQnlLFhkuaxvHguaqR7aWyDxcmJs0jLYQfQKY+oyhsMb4Lew4VL6i7um3/ew==" saltValue="ydaTm0CeH8+/cYqoL/AMaQ==" spinCount="100000" sqref="AU126 AW126:AZ126" name="Rango2_88_91_40"/>
    <protectedRange algorithmName="SHA-512" hashValue="CHipOQaT63FWw628cQcXXJRZlrbNZ7OgmnEbDx38UmmH7z19GRYEzXFiVOzHAy1OAaAbST7g2bHZHDKQp2qm3w==" saltValue="iRVuL+373yLHv0ZHzS9qog==" spinCount="100000" sqref="AG126:AH126 AJ126 AL126" name="Rango2_88_7_5_43"/>
    <protectedRange algorithmName="SHA-512" hashValue="NkG6oHuDGvGBEiLAAq8MEJHEfLQUMyjihfH+DBXhT+eQW0r1yri7tOJEFRM9nbOejjjXiviq9RFo7KB7wF+xJA==" saltValue="bpjB0AAANu2X/PeR3eiFkA==" spinCount="100000" sqref="AM126:AS126" name="Rango2_88_65_41"/>
    <protectedRange algorithmName="SHA-512" hashValue="fPHvtIAf3pQeZUoAI9C2/vdXMHBpqqEq+67P5Ypyu4+9IWqs3yc9TZcMWQ0THLxUwqseQPyVvakuYFtCwJHsxA==" saltValue="QHIogSs2PrwAfdqa9PAOFQ==" spinCount="100000" sqref="AC126" name="Rango2_88_5_5_41"/>
    <protectedRange algorithmName="SHA-512" hashValue="LEEeiU6pKqm7TAP46VGlz0q+evvFwpT/0iLpRuWuQ7MacbP0OGL1/FSmrIEOg2rb6M+Jla2bPbVWiGag27j87w==" saltValue="HEVt+pS5OloNDlqSnzGLLw==" spinCount="100000" sqref="AI126" name="Rango2_8_7_41"/>
    <protectedRange algorithmName="SHA-512" hashValue="q2z5hEFmXS0v2chiPTC/VCoDWNlnhp+Xe6Ybfxe48vIsnB/KTJQxJv+pFUnCXfZ9T6vyJopuqFFNROfQTW/JUw==" saltValue="IctfdGJb5tOTpq+KPi9vww==" spinCount="100000" sqref="AE126:AF126" name="Rango2_88_39_95"/>
    <protectedRange algorithmName="SHA-512" hashValue="AYYX88LSDB6RDNMvSqt0KPGWPjBqTk56tMxTOlv5QD61MGTKAAQnSnudvNDWPN0Bbllh2qRQC+P5uq7goxjdrw==" saltValue="i/iPMewnks1FoXYOjKMEVg==" spinCount="100000" sqref="AB126" name="Rango2_87_6_41"/>
    <protectedRange algorithmName="SHA-512" hashValue="NUll9P9xh7KbSfMYpMxsRZLfDw/y/AzW2LSWlpXVscBDqiAxmzo71xjs+a2lh+jRa7pceOC849slke4+ZKx8LA==" saltValue="8qbkKpQ+CiQuLnqgShNvXA==" spinCount="100000" sqref="T126" name="Rango2_88_6_41"/>
    <protectedRange algorithmName="SHA-512" hashValue="KHhv3JU/LRdRrRTxxkgFceEHPZ5UzadmpZRZR3zmQRnPvkUJZuanRafIJ+qde0IWwLZSvFIQDyUAHq6v6k7XIg==" saltValue="2GKG1kCzVNNcn+vbOPuhJA==" spinCount="100000" sqref="Q126" name="Rango2_2_5_41"/>
    <protectedRange algorithmName="SHA-512" hashValue="RQ91b7oAw60DVtcgB2vRpial2kSdzJx5guGCTYUwXYkKrtrUHfiYnLf9R+SNpYXlJDYpyEJLhcWwP0EqNN86dQ==" saltValue="W3RbH3zrcY9sy39xNwXNxg==" spinCount="100000" sqref="BA127:BI127 BV127:BY127" name="Rango2_88_99_44"/>
    <protectedRange algorithmName="SHA-512" hashValue="fMbmUM1DQ7FuAPRNvFL5mPdHUYjQnlLFhkuaxvHguaqR7aWyDxcmJs0jLYQfQKY+oyhsMb4Lew4VL6i7um3/ew==" saltValue="ydaTm0CeH8+/cYqoL/AMaQ==" spinCount="100000" sqref="AU127 AW127:AZ127" name="Rango2_88_91_41"/>
    <protectedRange algorithmName="SHA-512" hashValue="CHipOQaT63FWw628cQcXXJRZlrbNZ7OgmnEbDx38UmmH7z19GRYEzXFiVOzHAy1OAaAbST7g2bHZHDKQp2qm3w==" saltValue="iRVuL+373yLHv0ZHzS9qog==" spinCount="100000" sqref="AG127:AH127 AJ127 AL127" name="Rango2_88_7_5_44"/>
    <protectedRange algorithmName="SHA-512" hashValue="NkG6oHuDGvGBEiLAAq8MEJHEfLQUMyjihfH+DBXhT+eQW0r1yri7tOJEFRM9nbOejjjXiviq9RFo7KB7wF+xJA==" saltValue="bpjB0AAANu2X/PeR3eiFkA==" spinCount="100000" sqref="AM127:AS127" name="Rango2_88_65_42"/>
    <protectedRange algorithmName="SHA-512" hashValue="fPHvtIAf3pQeZUoAI9C2/vdXMHBpqqEq+67P5Ypyu4+9IWqs3yc9TZcMWQ0THLxUwqseQPyVvakuYFtCwJHsxA==" saltValue="QHIogSs2PrwAfdqa9PAOFQ==" spinCount="100000" sqref="AC127" name="Rango2_88_5_5_42"/>
    <protectedRange algorithmName="SHA-512" hashValue="LEEeiU6pKqm7TAP46VGlz0q+evvFwpT/0iLpRuWuQ7MacbP0OGL1/FSmrIEOg2rb6M+Jla2bPbVWiGag27j87w==" saltValue="HEVt+pS5OloNDlqSnzGLLw==" spinCount="100000" sqref="AI127" name="Rango2_8_7_42"/>
    <protectedRange algorithmName="SHA-512" hashValue="q2z5hEFmXS0v2chiPTC/VCoDWNlnhp+Xe6Ybfxe48vIsnB/KTJQxJv+pFUnCXfZ9T6vyJopuqFFNROfQTW/JUw==" saltValue="IctfdGJb5tOTpq+KPi9vww==" spinCount="100000" sqref="AE127:AF127" name="Rango2_88_39_96"/>
    <protectedRange algorithmName="SHA-512" hashValue="AYYX88LSDB6RDNMvSqt0KPGWPjBqTk56tMxTOlv5QD61MGTKAAQnSnudvNDWPN0Bbllh2qRQC+P5uq7goxjdrw==" saltValue="i/iPMewnks1FoXYOjKMEVg==" spinCount="100000" sqref="AB127" name="Rango2_87_6_42"/>
    <protectedRange algorithmName="SHA-512" hashValue="NUll9P9xh7KbSfMYpMxsRZLfDw/y/AzW2LSWlpXVscBDqiAxmzo71xjs+a2lh+jRa7pceOC849slke4+ZKx8LA==" saltValue="8qbkKpQ+CiQuLnqgShNvXA==" spinCount="100000" sqref="T127" name="Rango2_88_6_42"/>
    <protectedRange algorithmName="SHA-512" hashValue="KHhv3JU/LRdRrRTxxkgFceEHPZ5UzadmpZRZR3zmQRnPvkUJZuanRafIJ+qde0IWwLZSvFIQDyUAHq6v6k7XIg==" saltValue="2GKG1kCzVNNcn+vbOPuhJA==" spinCount="100000" sqref="Q127" name="Rango2_2_5_42"/>
    <protectedRange algorithmName="SHA-512" hashValue="RQ91b7oAw60DVtcgB2vRpial2kSdzJx5guGCTYUwXYkKrtrUHfiYnLf9R+SNpYXlJDYpyEJLhcWwP0EqNN86dQ==" saltValue="W3RbH3zrcY9sy39xNwXNxg==" spinCount="100000" sqref="BA128:BI129 BV128:BY129" name="Rango2_88_99_45"/>
    <protectedRange algorithmName="SHA-512" hashValue="fMbmUM1DQ7FuAPRNvFL5mPdHUYjQnlLFhkuaxvHguaqR7aWyDxcmJs0jLYQfQKY+oyhsMb4Lew4VL6i7um3/ew==" saltValue="ydaTm0CeH8+/cYqoL/AMaQ==" spinCount="100000" sqref="AU128:AU129 AW128:AZ129" name="Rango2_88_91_42"/>
    <protectedRange algorithmName="SHA-512" hashValue="CHipOQaT63FWw628cQcXXJRZlrbNZ7OgmnEbDx38UmmH7z19GRYEzXFiVOzHAy1OAaAbST7g2bHZHDKQp2qm3w==" saltValue="iRVuL+373yLHv0ZHzS9qog==" spinCount="100000" sqref="AG128:AH129 AJ128:AJ129 AL128:AL129" name="Rango2_88_7_5_45"/>
    <protectedRange algorithmName="SHA-512" hashValue="NkG6oHuDGvGBEiLAAq8MEJHEfLQUMyjihfH+DBXhT+eQW0r1yri7tOJEFRM9nbOejjjXiviq9RFo7KB7wF+xJA==" saltValue="bpjB0AAANu2X/PeR3eiFkA==" spinCount="100000" sqref="AM128:AS129" name="Rango2_88_65_43"/>
    <protectedRange algorithmName="SHA-512" hashValue="fPHvtIAf3pQeZUoAI9C2/vdXMHBpqqEq+67P5Ypyu4+9IWqs3yc9TZcMWQ0THLxUwqseQPyVvakuYFtCwJHsxA==" saltValue="QHIogSs2PrwAfdqa9PAOFQ==" spinCount="100000" sqref="AC128:AC129" name="Rango2_88_5_5_43"/>
    <protectedRange algorithmName="SHA-512" hashValue="LEEeiU6pKqm7TAP46VGlz0q+evvFwpT/0iLpRuWuQ7MacbP0OGL1/FSmrIEOg2rb6M+Jla2bPbVWiGag27j87w==" saltValue="HEVt+pS5OloNDlqSnzGLLw==" spinCount="100000" sqref="AI128:AI129" name="Rango2_8_7_43"/>
    <protectedRange algorithmName="SHA-512" hashValue="q2z5hEFmXS0v2chiPTC/VCoDWNlnhp+Xe6Ybfxe48vIsnB/KTJQxJv+pFUnCXfZ9T6vyJopuqFFNROfQTW/JUw==" saltValue="IctfdGJb5tOTpq+KPi9vww==" spinCount="100000" sqref="AE128:AF129" name="Rango2_88_39_97"/>
    <protectedRange algorithmName="SHA-512" hashValue="AYYX88LSDB6RDNMvSqt0KPGWPjBqTk56tMxTOlv5QD61MGTKAAQnSnudvNDWPN0Bbllh2qRQC+P5uq7goxjdrw==" saltValue="i/iPMewnks1FoXYOjKMEVg==" spinCount="100000" sqref="AB128:AB129" name="Rango2_87_6_43"/>
    <protectedRange algorithmName="SHA-512" hashValue="NUll9P9xh7KbSfMYpMxsRZLfDw/y/AzW2LSWlpXVscBDqiAxmzo71xjs+a2lh+jRa7pceOC849slke4+ZKx8LA==" saltValue="8qbkKpQ+CiQuLnqgShNvXA==" spinCount="100000" sqref="T128:T129" name="Rango2_88_6_43"/>
    <protectedRange algorithmName="SHA-512" hashValue="KHhv3JU/LRdRrRTxxkgFceEHPZ5UzadmpZRZR3zmQRnPvkUJZuanRafIJ+qde0IWwLZSvFIQDyUAHq6v6k7XIg==" saltValue="2GKG1kCzVNNcn+vbOPuhJA==" spinCount="100000" sqref="Q128:Q129" name="Rango2_2_5_43"/>
    <protectedRange algorithmName="SHA-512" hashValue="RQ91b7oAw60DVtcgB2vRpial2kSdzJx5guGCTYUwXYkKrtrUHfiYnLf9R+SNpYXlJDYpyEJLhcWwP0EqNN86dQ==" saltValue="W3RbH3zrcY9sy39xNwXNxg==" spinCount="100000" sqref="BA130:BI130 BV130:BY130" name="Rango2_88_99_47"/>
    <protectedRange algorithmName="SHA-512" hashValue="fMbmUM1DQ7FuAPRNvFL5mPdHUYjQnlLFhkuaxvHguaqR7aWyDxcmJs0jLYQfQKY+oyhsMb4Lew4VL6i7um3/ew==" saltValue="ydaTm0CeH8+/cYqoL/AMaQ==" spinCount="100000" sqref="AU130 AW130:AZ130" name="Rango2_88_91_43"/>
    <protectedRange algorithmName="SHA-512" hashValue="CHipOQaT63FWw628cQcXXJRZlrbNZ7OgmnEbDx38UmmH7z19GRYEzXFiVOzHAy1OAaAbST7g2bHZHDKQp2qm3w==" saltValue="iRVuL+373yLHv0ZHzS9qog==" spinCount="100000" sqref="AG130:AH130 AJ130 AL130" name="Rango2_88_7_5_47"/>
    <protectedRange algorithmName="SHA-512" hashValue="NkG6oHuDGvGBEiLAAq8MEJHEfLQUMyjihfH+DBXhT+eQW0r1yri7tOJEFRM9nbOejjjXiviq9RFo7KB7wF+xJA==" saltValue="bpjB0AAANu2X/PeR3eiFkA==" spinCount="100000" sqref="AM130:AS130" name="Rango2_88_65_44"/>
    <protectedRange algorithmName="SHA-512" hashValue="fPHvtIAf3pQeZUoAI9C2/vdXMHBpqqEq+67P5Ypyu4+9IWqs3yc9TZcMWQ0THLxUwqseQPyVvakuYFtCwJHsxA==" saltValue="QHIogSs2PrwAfdqa9PAOFQ==" spinCount="100000" sqref="AC130" name="Rango2_88_5_5_44"/>
    <protectedRange algorithmName="SHA-512" hashValue="LEEeiU6pKqm7TAP46VGlz0q+evvFwpT/0iLpRuWuQ7MacbP0OGL1/FSmrIEOg2rb6M+Jla2bPbVWiGag27j87w==" saltValue="HEVt+pS5OloNDlqSnzGLLw==" spinCount="100000" sqref="AI130" name="Rango2_8_7_44"/>
    <protectedRange algorithmName="SHA-512" hashValue="q2z5hEFmXS0v2chiPTC/VCoDWNlnhp+Xe6Ybfxe48vIsnB/KTJQxJv+pFUnCXfZ9T6vyJopuqFFNROfQTW/JUw==" saltValue="IctfdGJb5tOTpq+KPi9vww==" spinCount="100000" sqref="AE130:AF130" name="Rango2_88_39_98"/>
    <protectedRange algorithmName="SHA-512" hashValue="AYYX88LSDB6RDNMvSqt0KPGWPjBqTk56tMxTOlv5QD61MGTKAAQnSnudvNDWPN0Bbllh2qRQC+P5uq7goxjdrw==" saltValue="i/iPMewnks1FoXYOjKMEVg==" spinCount="100000" sqref="AB130" name="Rango2_87_6_44"/>
    <protectedRange algorithmName="SHA-512" hashValue="NUll9P9xh7KbSfMYpMxsRZLfDw/y/AzW2LSWlpXVscBDqiAxmzo71xjs+a2lh+jRa7pceOC849slke4+ZKx8LA==" saltValue="8qbkKpQ+CiQuLnqgShNvXA==" spinCount="100000" sqref="T130" name="Rango2_88_6_44"/>
    <protectedRange algorithmName="SHA-512" hashValue="KHhv3JU/LRdRrRTxxkgFceEHPZ5UzadmpZRZR3zmQRnPvkUJZuanRafIJ+qde0IWwLZSvFIQDyUAHq6v6k7XIg==" saltValue="2GKG1kCzVNNcn+vbOPuhJA==" spinCount="100000" sqref="Q130" name="Rango2_2_5_44"/>
    <protectedRange algorithmName="SHA-512" hashValue="RQ91b7oAw60DVtcgB2vRpial2kSdzJx5guGCTYUwXYkKrtrUHfiYnLf9R+SNpYXlJDYpyEJLhcWwP0EqNN86dQ==" saltValue="W3RbH3zrcY9sy39xNwXNxg==" spinCount="100000" sqref="BA131:BI131 BV131:BY131" name="Rango2_88_99_48"/>
    <protectedRange algorithmName="SHA-512" hashValue="fMbmUM1DQ7FuAPRNvFL5mPdHUYjQnlLFhkuaxvHguaqR7aWyDxcmJs0jLYQfQKY+oyhsMb4Lew4VL6i7um3/ew==" saltValue="ydaTm0CeH8+/cYqoL/AMaQ==" spinCount="100000" sqref="AU131 AW131:AZ131" name="Rango2_88_91_44"/>
    <protectedRange algorithmName="SHA-512" hashValue="CHipOQaT63FWw628cQcXXJRZlrbNZ7OgmnEbDx38UmmH7z19GRYEzXFiVOzHAy1OAaAbST7g2bHZHDKQp2qm3w==" saltValue="iRVuL+373yLHv0ZHzS9qog==" spinCount="100000" sqref="AG131:AH131 AJ131 AL131" name="Rango2_88_7_5_48"/>
    <protectedRange algorithmName="SHA-512" hashValue="NkG6oHuDGvGBEiLAAq8MEJHEfLQUMyjihfH+DBXhT+eQW0r1yri7tOJEFRM9nbOejjjXiviq9RFo7KB7wF+xJA==" saltValue="bpjB0AAANu2X/PeR3eiFkA==" spinCount="100000" sqref="AM131:AS131" name="Rango2_88_65_45"/>
    <protectedRange algorithmName="SHA-512" hashValue="fPHvtIAf3pQeZUoAI9C2/vdXMHBpqqEq+67P5Ypyu4+9IWqs3yc9TZcMWQ0THLxUwqseQPyVvakuYFtCwJHsxA==" saltValue="QHIogSs2PrwAfdqa9PAOFQ==" spinCount="100000" sqref="AC131" name="Rango2_88_5_5_45"/>
    <protectedRange algorithmName="SHA-512" hashValue="LEEeiU6pKqm7TAP46VGlz0q+evvFwpT/0iLpRuWuQ7MacbP0OGL1/FSmrIEOg2rb6M+Jla2bPbVWiGag27j87w==" saltValue="HEVt+pS5OloNDlqSnzGLLw==" spinCount="100000" sqref="AI131" name="Rango2_8_7_45"/>
    <protectedRange algorithmName="SHA-512" hashValue="q2z5hEFmXS0v2chiPTC/VCoDWNlnhp+Xe6Ybfxe48vIsnB/KTJQxJv+pFUnCXfZ9T6vyJopuqFFNROfQTW/JUw==" saltValue="IctfdGJb5tOTpq+KPi9vww==" spinCount="100000" sqref="AE131:AF131" name="Rango2_88_39_99"/>
    <protectedRange algorithmName="SHA-512" hashValue="AYYX88LSDB6RDNMvSqt0KPGWPjBqTk56tMxTOlv5QD61MGTKAAQnSnudvNDWPN0Bbllh2qRQC+P5uq7goxjdrw==" saltValue="i/iPMewnks1FoXYOjKMEVg==" spinCount="100000" sqref="AB131" name="Rango2_87_6_45"/>
    <protectedRange algorithmName="SHA-512" hashValue="NUll9P9xh7KbSfMYpMxsRZLfDw/y/AzW2LSWlpXVscBDqiAxmzo71xjs+a2lh+jRa7pceOC849slke4+ZKx8LA==" saltValue="8qbkKpQ+CiQuLnqgShNvXA==" spinCount="100000" sqref="T131" name="Rango2_88_6_45"/>
    <protectedRange algorithmName="SHA-512" hashValue="KHhv3JU/LRdRrRTxxkgFceEHPZ5UzadmpZRZR3zmQRnPvkUJZuanRafIJ+qde0IWwLZSvFIQDyUAHq6v6k7XIg==" saltValue="2GKG1kCzVNNcn+vbOPuhJA==" spinCount="100000" sqref="Q131" name="Rango2_2_5_45"/>
    <protectedRange algorithmName="SHA-512" hashValue="RQ91b7oAw60DVtcgB2vRpial2kSdzJx5guGCTYUwXYkKrtrUHfiYnLf9R+SNpYXlJDYpyEJLhcWwP0EqNN86dQ==" saltValue="W3RbH3zrcY9sy39xNwXNxg==" spinCount="100000" sqref="BA132:BI132 BV132:BY132" name="Rango2_88_99_49"/>
    <protectedRange algorithmName="SHA-512" hashValue="fMbmUM1DQ7FuAPRNvFL5mPdHUYjQnlLFhkuaxvHguaqR7aWyDxcmJs0jLYQfQKY+oyhsMb4Lew4VL6i7um3/ew==" saltValue="ydaTm0CeH8+/cYqoL/AMaQ==" spinCount="100000" sqref="AU132 AW132:AZ132" name="Rango2_88_91_45"/>
    <protectedRange algorithmName="SHA-512" hashValue="CHipOQaT63FWw628cQcXXJRZlrbNZ7OgmnEbDx38UmmH7z19GRYEzXFiVOzHAy1OAaAbST7g2bHZHDKQp2qm3w==" saltValue="iRVuL+373yLHv0ZHzS9qog==" spinCount="100000" sqref="AG132:AH132 AJ132 AL132" name="Rango2_88_7_5_49"/>
    <protectedRange algorithmName="SHA-512" hashValue="NkG6oHuDGvGBEiLAAq8MEJHEfLQUMyjihfH+DBXhT+eQW0r1yri7tOJEFRM9nbOejjjXiviq9RFo7KB7wF+xJA==" saltValue="bpjB0AAANu2X/PeR3eiFkA==" spinCount="100000" sqref="AM132:AS132" name="Rango2_88_65_46"/>
    <protectedRange algorithmName="SHA-512" hashValue="fPHvtIAf3pQeZUoAI9C2/vdXMHBpqqEq+67P5Ypyu4+9IWqs3yc9TZcMWQ0THLxUwqseQPyVvakuYFtCwJHsxA==" saltValue="QHIogSs2PrwAfdqa9PAOFQ==" spinCount="100000" sqref="AC132" name="Rango2_88_5_5_46"/>
    <protectedRange algorithmName="SHA-512" hashValue="LEEeiU6pKqm7TAP46VGlz0q+evvFwpT/0iLpRuWuQ7MacbP0OGL1/FSmrIEOg2rb6M+Jla2bPbVWiGag27j87w==" saltValue="HEVt+pS5OloNDlqSnzGLLw==" spinCount="100000" sqref="AI132" name="Rango2_8_7_46"/>
    <protectedRange algorithmName="SHA-512" hashValue="AYYX88LSDB6RDNMvSqt0KPGWPjBqTk56tMxTOlv5QD61MGTKAAQnSnudvNDWPN0Bbllh2qRQC+P5uq7goxjdrw==" saltValue="i/iPMewnks1FoXYOjKMEVg==" spinCount="100000" sqref="AB132" name="Rango2_87_6_46"/>
    <protectedRange algorithmName="SHA-512" hashValue="NUll9P9xh7KbSfMYpMxsRZLfDw/y/AzW2LSWlpXVscBDqiAxmzo71xjs+a2lh+jRa7pceOC849slke4+ZKx8LA==" saltValue="8qbkKpQ+CiQuLnqgShNvXA==" spinCount="100000" sqref="T132" name="Rango2_88_6_46"/>
    <protectedRange algorithmName="SHA-512" hashValue="KHhv3JU/LRdRrRTxxkgFceEHPZ5UzadmpZRZR3zmQRnPvkUJZuanRafIJ+qde0IWwLZSvFIQDyUAHq6v6k7XIg==" saltValue="2GKG1kCzVNNcn+vbOPuhJA==" spinCount="100000" sqref="Q132" name="Rango2_2_5_46"/>
    <protectedRange algorithmName="SHA-512" hashValue="RQ91b7oAw60DVtcgB2vRpial2kSdzJx5guGCTYUwXYkKrtrUHfiYnLf9R+SNpYXlJDYpyEJLhcWwP0EqNN86dQ==" saltValue="W3RbH3zrcY9sy39xNwXNxg==" spinCount="100000" sqref="BA133:BI133 BV133:BY133" name="Rango2_88_99_50"/>
    <protectedRange algorithmName="SHA-512" hashValue="fMbmUM1DQ7FuAPRNvFL5mPdHUYjQnlLFhkuaxvHguaqR7aWyDxcmJs0jLYQfQKY+oyhsMb4Lew4VL6i7um3/ew==" saltValue="ydaTm0CeH8+/cYqoL/AMaQ==" spinCount="100000" sqref="AU133 AW133:AZ133" name="Rango2_88_91_46"/>
    <protectedRange algorithmName="SHA-512" hashValue="CHipOQaT63FWw628cQcXXJRZlrbNZ7OgmnEbDx38UmmH7z19GRYEzXFiVOzHAy1OAaAbST7g2bHZHDKQp2qm3w==" saltValue="iRVuL+373yLHv0ZHzS9qog==" spinCount="100000" sqref="AG133:AH133 AJ133 AL133" name="Rango2_88_7_5_50"/>
    <protectedRange algorithmName="SHA-512" hashValue="NkG6oHuDGvGBEiLAAq8MEJHEfLQUMyjihfH+DBXhT+eQW0r1yri7tOJEFRM9nbOejjjXiviq9RFo7KB7wF+xJA==" saltValue="bpjB0AAANu2X/PeR3eiFkA==" spinCount="100000" sqref="AM133:AS133" name="Rango2_88_65_47"/>
    <protectedRange algorithmName="SHA-512" hashValue="fPHvtIAf3pQeZUoAI9C2/vdXMHBpqqEq+67P5Ypyu4+9IWqs3yc9TZcMWQ0THLxUwqseQPyVvakuYFtCwJHsxA==" saltValue="QHIogSs2PrwAfdqa9PAOFQ==" spinCount="100000" sqref="AC133" name="Rango2_88_5_5_47"/>
    <protectedRange algorithmName="SHA-512" hashValue="LEEeiU6pKqm7TAP46VGlz0q+evvFwpT/0iLpRuWuQ7MacbP0OGL1/FSmrIEOg2rb6M+Jla2bPbVWiGag27j87w==" saltValue="HEVt+pS5OloNDlqSnzGLLw==" spinCount="100000" sqref="AI133" name="Rango2_8_7_47"/>
    <protectedRange algorithmName="SHA-512" hashValue="AYYX88LSDB6RDNMvSqt0KPGWPjBqTk56tMxTOlv5QD61MGTKAAQnSnudvNDWPN0Bbllh2qRQC+P5uq7goxjdrw==" saltValue="i/iPMewnks1FoXYOjKMEVg==" spinCount="100000" sqref="AB133" name="Rango2_87_6_47"/>
    <protectedRange algorithmName="SHA-512" hashValue="NUll9P9xh7KbSfMYpMxsRZLfDw/y/AzW2LSWlpXVscBDqiAxmzo71xjs+a2lh+jRa7pceOC849slke4+ZKx8LA==" saltValue="8qbkKpQ+CiQuLnqgShNvXA==" spinCount="100000" sqref="T133" name="Rango2_88_6_47"/>
    <protectedRange algorithmName="SHA-512" hashValue="KHhv3JU/LRdRrRTxxkgFceEHPZ5UzadmpZRZR3zmQRnPvkUJZuanRafIJ+qde0IWwLZSvFIQDyUAHq6v6k7XIg==" saltValue="2GKG1kCzVNNcn+vbOPuhJA==" spinCount="100000" sqref="Q133" name="Rango2_2_5_47"/>
    <protectedRange algorithmName="SHA-512" hashValue="RQ91b7oAw60DVtcgB2vRpial2kSdzJx5guGCTYUwXYkKrtrUHfiYnLf9R+SNpYXlJDYpyEJLhcWwP0EqNN86dQ==" saltValue="W3RbH3zrcY9sy39xNwXNxg==" spinCount="100000" sqref="BA134:BI134 BV134:BY134" name="Rango2_88_99_51"/>
    <protectedRange algorithmName="SHA-512" hashValue="fMbmUM1DQ7FuAPRNvFL5mPdHUYjQnlLFhkuaxvHguaqR7aWyDxcmJs0jLYQfQKY+oyhsMb4Lew4VL6i7um3/ew==" saltValue="ydaTm0CeH8+/cYqoL/AMaQ==" spinCount="100000" sqref="AU134 AW134:AZ134" name="Rango2_88_91_47"/>
    <protectedRange algorithmName="SHA-512" hashValue="CHipOQaT63FWw628cQcXXJRZlrbNZ7OgmnEbDx38UmmH7z19GRYEzXFiVOzHAy1OAaAbST7g2bHZHDKQp2qm3w==" saltValue="iRVuL+373yLHv0ZHzS9qog==" spinCount="100000" sqref="AG134:AH134 AJ134 AL134" name="Rango2_88_7_5_51"/>
    <protectedRange algorithmName="SHA-512" hashValue="NkG6oHuDGvGBEiLAAq8MEJHEfLQUMyjihfH+DBXhT+eQW0r1yri7tOJEFRM9nbOejjjXiviq9RFo7KB7wF+xJA==" saltValue="bpjB0AAANu2X/PeR3eiFkA==" spinCount="100000" sqref="AM134:AS134" name="Rango2_88_65_48"/>
    <protectedRange algorithmName="SHA-512" hashValue="fPHvtIAf3pQeZUoAI9C2/vdXMHBpqqEq+67P5Ypyu4+9IWqs3yc9TZcMWQ0THLxUwqseQPyVvakuYFtCwJHsxA==" saltValue="QHIogSs2PrwAfdqa9PAOFQ==" spinCount="100000" sqref="AC134" name="Rango2_88_5_5_48"/>
    <protectedRange algorithmName="SHA-512" hashValue="LEEeiU6pKqm7TAP46VGlz0q+evvFwpT/0iLpRuWuQ7MacbP0OGL1/FSmrIEOg2rb6M+Jla2bPbVWiGag27j87w==" saltValue="HEVt+pS5OloNDlqSnzGLLw==" spinCount="100000" sqref="AI134" name="Rango2_8_7_48"/>
    <protectedRange algorithmName="SHA-512" hashValue="AYYX88LSDB6RDNMvSqt0KPGWPjBqTk56tMxTOlv5QD61MGTKAAQnSnudvNDWPN0Bbllh2qRQC+P5uq7goxjdrw==" saltValue="i/iPMewnks1FoXYOjKMEVg==" spinCount="100000" sqref="AB134" name="Rango2_87_6_48"/>
    <protectedRange algorithmName="SHA-512" hashValue="NUll9P9xh7KbSfMYpMxsRZLfDw/y/AzW2LSWlpXVscBDqiAxmzo71xjs+a2lh+jRa7pceOC849slke4+ZKx8LA==" saltValue="8qbkKpQ+CiQuLnqgShNvXA==" spinCount="100000" sqref="T134" name="Rango2_88_6_48"/>
    <protectedRange algorithmName="SHA-512" hashValue="KHhv3JU/LRdRrRTxxkgFceEHPZ5UzadmpZRZR3zmQRnPvkUJZuanRafIJ+qde0IWwLZSvFIQDyUAHq6v6k7XIg==" saltValue="2GKG1kCzVNNcn+vbOPuhJA==" spinCount="100000" sqref="Q134" name="Rango2_2_5_48"/>
    <protectedRange algorithmName="SHA-512" hashValue="RQ91b7oAw60DVtcgB2vRpial2kSdzJx5guGCTYUwXYkKrtrUHfiYnLf9R+SNpYXlJDYpyEJLhcWwP0EqNN86dQ==" saltValue="W3RbH3zrcY9sy39xNwXNxg==" spinCount="100000" sqref="BA135:BI135 BV135:BY135" name="Rango2_88_99_52"/>
    <protectedRange algorithmName="SHA-512" hashValue="fMbmUM1DQ7FuAPRNvFL5mPdHUYjQnlLFhkuaxvHguaqR7aWyDxcmJs0jLYQfQKY+oyhsMb4Lew4VL6i7um3/ew==" saltValue="ydaTm0CeH8+/cYqoL/AMaQ==" spinCount="100000" sqref="AU135 AW135:AZ135" name="Rango2_88_91_48"/>
    <protectedRange algorithmName="SHA-512" hashValue="CHipOQaT63FWw628cQcXXJRZlrbNZ7OgmnEbDx38UmmH7z19GRYEzXFiVOzHAy1OAaAbST7g2bHZHDKQp2qm3w==" saltValue="iRVuL+373yLHv0ZHzS9qog==" spinCount="100000" sqref="AG135:AH135 AJ135 AL135" name="Rango2_88_7_5_52"/>
    <protectedRange algorithmName="SHA-512" hashValue="NkG6oHuDGvGBEiLAAq8MEJHEfLQUMyjihfH+DBXhT+eQW0r1yri7tOJEFRM9nbOejjjXiviq9RFo7KB7wF+xJA==" saltValue="bpjB0AAANu2X/PeR3eiFkA==" spinCount="100000" sqref="AM135:AS135" name="Rango2_88_65_49"/>
    <protectedRange algorithmName="SHA-512" hashValue="fPHvtIAf3pQeZUoAI9C2/vdXMHBpqqEq+67P5Ypyu4+9IWqs3yc9TZcMWQ0THLxUwqseQPyVvakuYFtCwJHsxA==" saltValue="QHIogSs2PrwAfdqa9PAOFQ==" spinCount="100000" sqref="AC135" name="Rango2_88_5_5_49"/>
    <protectedRange algorithmName="SHA-512" hashValue="LEEeiU6pKqm7TAP46VGlz0q+evvFwpT/0iLpRuWuQ7MacbP0OGL1/FSmrIEOg2rb6M+Jla2bPbVWiGag27j87w==" saltValue="HEVt+pS5OloNDlqSnzGLLw==" spinCount="100000" sqref="AI135" name="Rango2_8_7_49"/>
    <protectedRange algorithmName="SHA-512" hashValue="AYYX88LSDB6RDNMvSqt0KPGWPjBqTk56tMxTOlv5QD61MGTKAAQnSnudvNDWPN0Bbllh2qRQC+P5uq7goxjdrw==" saltValue="i/iPMewnks1FoXYOjKMEVg==" spinCount="100000" sqref="AB135" name="Rango2_87_6_49"/>
    <protectedRange algorithmName="SHA-512" hashValue="NUll9P9xh7KbSfMYpMxsRZLfDw/y/AzW2LSWlpXVscBDqiAxmzo71xjs+a2lh+jRa7pceOC849slke4+ZKx8LA==" saltValue="8qbkKpQ+CiQuLnqgShNvXA==" spinCount="100000" sqref="T135" name="Rango2_88_6_49"/>
    <protectedRange algorithmName="SHA-512" hashValue="KHhv3JU/LRdRrRTxxkgFceEHPZ5UzadmpZRZR3zmQRnPvkUJZuanRafIJ+qde0IWwLZSvFIQDyUAHq6v6k7XIg==" saltValue="2GKG1kCzVNNcn+vbOPuhJA==" spinCount="100000" sqref="Q135" name="Rango2_2_5_49"/>
    <protectedRange algorithmName="SHA-512" hashValue="RQ91b7oAw60DVtcgB2vRpial2kSdzJx5guGCTYUwXYkKrtrUHfiYnLf9R+SNpYXlJDYpyEJLhcWwP0EqNN86dQ==" saltValue="W3RbH3zrcY9sy39xNwXNxg==" spinCount="100000" sqref="BA136:BI138 BV136:BY138" name="Rango2_88_99_53"/>
    <protectedRange algorithmName="SHA-512" hashValue="fMbmUM1DQ7FuAPRNvFL5mPdHUYjQnlLFhkuaxvHguaqR7aWyDxcmJs0jLYQfQKY+oyhsMb4Lew4VL6i7um3/ew==" saltValue="ydaTm0CeH8+/cYqoL/AMaQ==" spinCount="100000" sqref="AU136:AU138 AW136:AZ138" name="Rango2_88_91_49"/>
    <protectedRange algorithmName="SHA-512" hashValue="CHipOQaT63FWw628cQcXXJRZlrbNZ7OgmnEbDx38UmmH7z19GRYEzXFiVOzHAy1OAaAbST7g2bHZHDKQp2qm3w==" saltValue="iRVuL+373yLHv0ZHzS9qog==" spinCount="100000" sqref="AG136:AH138 AJ136:AJ138 AL136:AL138" name="Rango2_88_7_5_53"/>
    <protectedRange algorithmName="SHA-512" hashValue="NkG6oHuDGvGBEiLAAq8MEJHEfLQUMyjihfH+DBXhT+eQW0r1yri7tOJEFRM9nbOejjjXiviq9RFo7KB7wF+xJA==" saltValue="bpjB0AAANu2X/PeR3eiFkA==" spinCount="100000" sqref="AM136:AS138" name="Rango2_88_65_50"/>
    <protectedRange algorithmName="SHA-512" hashValue="fPHvtIAf3pQeZUoAI9C2/vdXMHBpqqEq+67P5Ypyu4+9IWqs3yc9TZcMWQ0THLxUwqseQPyVvakuYFtCwJHsxA==" saltValue="QHIogSs2PrwAfdqa9PAOFQ==" spinCount="100000" sqref="AC136:AC138" name="Rango2_88_5_5_50"/>
    <protectedRange algorithmName="SHA-512" hashValue="LEEeiU6pKqm7TAP46VGlz0q+evvFwpT/0iLpRuWuQ7MacbP0OGL1/FSmrIEOg2rb6M+Jla2bPbVWiGag27j87w==" saltValue="HEVt+pS5OloNDlqSnzGLLw==" spinCount="100000" sqref="AI136:AI138" name="Rango2_8_7_50"/>
    <protectedRange algorithmName="SHA-512" hashValue="AYYX88LSDB6RDNMvSqt0KPGWPjBqTk56tMxTOlv5QD61MGTKAAQnSnudvNDWPN0Bbllh2qRQC+P5uq7goxjdrw==" saltValue="i/iPMewnks1FoXYOjKMEVg==" spinCount="100000" sqref="AB136:AB138" name="Rango2_87_6_50"/>
    <protectedRange algorithmName="SHA-512" hashValue="NUll9P9xh7KbSfMYpMxsRZLfDw/y/AzW2LSWlpXVscBDqiAxmzo71xjs+a2lh+jRa7pceOC849slke4+ZKx8LA==" saltValue="8qbkKpQ+CiQuLnqgShNvXA==" spinCount="100000" sqref="T136:T138" name="Rango2_88_6_50"/>
    <protectedRange algorithmName="SHA-512" hashValue="KHhv3JU/LRdRrRTxxkgFceEHPZ5UzadmpZRZR3zmQRnPvkUJZuanRafIJ+qde0IWwLZSvFIQDyUAHq6v6k7XIg==" saltValue="2GKG1kCzVNNcn+vbOPuhJA==" spinCount="100000" sqref="Q136:Q138" name="Rango2_2_5_50"/>
    <protectedRange algorithmName="SHA-512" hashValue="RQ91b7oAw60DVtcgB2vRpial2kSdzJx5guGCTYUwXYkKrtrUHfiYnLf9R+SNpYXlJDYpyEJLhcWwP0EqNN86dQ==" saltValue="W3RbH3zrcY9sy39xNwXNxg==" spinCount="100000" sqref="BA139:BI139 BV139:BY139" name="Rango2_88_99_54"/>
    <protectedRange algorithmName="SHA-512" hashValue="fMbmUM1DQ7FuAPRNvFL5mPdHUYjQnlLFhkuaxvHguaqR7aWyDxcmJs0jLYQfQKY+oyhsMb4Lew4VL6i7um3/ew==" saltValue="ydaTm0CeH8+/cYqoL/AMaQ==" spinCount="100000" sqref="AU139 AW139:AZ139" name="Rango2_88_91_50"/>
    <protectedRange algorithmName="SHA-512" hashValue="CHipOQaT63FWw628cQcXXJRZlrbNZ7OgmnEbDx38UmmH7z19GRYEzXFiVOzHAy1OAaAbST7g2bHZHDKQp2qm3w==" saltValue="iRVuL+373yLHv0ZHzS9qog==" spinCount="100000" sqref="AG139:AH139 AJ139 AL139" name="Rango2_88_7_5_54"/>
    <protectedRange algorithmName="SHA-512" hashValue="NkG6oHuDGvGBEiLAAq8MEJHEfLQUMyjihfH+DBXhT+eQW0r1yri7tOJEFRM9nbOejjjXiviq9RFo7KB7wF+xJA==" saltValue="bpjB0AAANu2X/PeR3eiFkA==" spinCount="100000" sqref="AM139:AS139" name="Rango2_88_65_51"/>
    <protectedRange algorithmName="SHA-512" hashValue="fPHvtIAf3pQeZUoAI9C2/vdXMHBpqqEq+67P5Ypyu4+9IWqs3yc9TZcMWQ0THLxUwqseQPyVvakuYFtCwJHsxA==" saltValue="QHIogSs2PrwAfdqa9PAOFQ==" spinCount="100000" sqref="AC139" name="Rango2_88_5_5_51"/>
    <protectedRange algorithmName="SHA-512" hashValue="LEEeiU6pKqm7TAP46VGlz0q+evvFwpT/0iLpRuWuQ7MacbP0OGL1/FSmrIEOg2rb6M+Jla2bPbVWiGag27j87w==" saltValue="HEVt+pS5OloNDlqSnzGLLw==" spinCount="100000" sqref="AI139" name="Rango2_8_7_51"/>
    <protectedRange algorithmName="SHA-512" hashValue="AYYX88LSDB6RDNMvSqt0KPGWPjBqTk56tMxTOlv5QD61MGTKAAQnSnudvNDWPN0Bbllh2qRQC+P5uq7goxjdrw==" saltValue="i/iPMewnks1FoXYOjKMEVg==" spinCount="100000" sqref="AB139" name="Rango2_87_6_51"/>
    <protectedRange algorithmName="SHA-512" hashValue="NUll9P9xh7KbSfMYpMxsRZLfDw/y/AzW2LSWlpXVscBDqiAxmzo71xjs+a2lh+jRa7pceOC849slke4+ZKx8LA==" saltValue="8qbkKpQ+CiQuLnqgShNvXA==" spinCount="100000" sqref="T139" name="Rango2_88_6_51"/>
    <protectedRange algorithmName="SHA-512" hashValue="KHhv3JU/LRdRrRTxxkgFceEHPZ5UzadmpZRZR3zmQRnPvkUJZuanRafIJ+qde0IWwLZSvFIQDyUAHq6v6k7XIg==" saltValue="2GKG1kCzVNNcn+vbOPuhJA==" spinCount="100000" sqref="Q139" name="Rango2_2_5_51"/>
    <protectedRange algorithmName="SHA-512" hashValue="RQ91b7oAw60DVtcgB2vRpial2kSdzJx5guGCTYUwXYkKrtrUHfiYnLf9R+SNpYXlJDYpyEJLhcWwP0EqNN86dQ==" saltValue="W3RbH3zrcY9sy39xNwXNxg==" spinCount="100000" sqref="BA140:BI140 BV140:BY140" name="Rango2_88_99_55"/>
    <protectedRange algorithmName="SHA-512" hashValue="fMbmUM1DQ7FuAPRNvFL5mPdHUYjQnlLFhkuaxvHguaqR7aWyDxcmJs0jLYQfQKY+oyhsMb4Lew4VL6i7um3/ew==" saltValue="ydaTm0CeH8+/cYqoL/AMaQ==" spinCount="100000" sqref="AU140 AW140:AZ140" name="Rango2_88_91_51"/>
    <protectedRange algorithmName="SHA-512" hashValue="CHipOQaT63FWw628cQcXXJRZlrbNZ7OgmnEbDx38UmmH7z19GRYEzXFiVOzHAy1OAaAbST7g2bHZHDKQp2qm3w==" saltValue="iRVuL+373yLHv0ZHzS9qog==" spinCount="100000" sqref="AG140:AH140 AJ140 AL140" name="Rango2_88_7_5_55"/>
    <protectedRange algorithmName="SHA-512" hashValue="NkG6oHuDGvGBEiLAAq8MEJHEfLQUMyjihfH+DBXhT+eQW0r1yri7tOJEFRM9nbOejjjXiviq9RFo7KB7wF+xJA==" saltValue="bpjB0AAANu2X/PeR3eiFkA==" spinCount="100000" sqref="AM140:AS140" name="Rango2_88_65_52"/>
    <protectedRange algorithmName="SHA-512" hashValue="fPHvtIAf3pQeZUoAI9C2/vdXMHBpqqEq+67P5Ypyu4+9IWqs3yc9TZcMWQ0THLxUwqseQPyVvakuYFtCwJHsxA==" saltValue="QHIogSs2PrwAfdqa9PAOFQ==" spinCount="100000" sqref="AC140" name="Rango2_88_5_5_52"/>
    <protectedRange algorithmName="SHA-512" hashValue="LEEeiU6pKqm7TAP46VGlz0q+evvFwpT/0iLpRuWuQ7MacbP0OGL1/FSmrIEOg2rb6M+Jla2bPbVWiGag27j87w==" saltValue="HEVt+pS5OloNDlqSnzGLLw==" spinCount="100000" sqref="AI140" name="Rango2_8_7_52"/>
    <protectedRange algorithmName="SHA-512" hashValue="AYYX88LSDB6RDNMvSqt0KPGWPjBqTk56tMxTOlv5QD61MGTKAAQnSnudvNDWPN0Bbllh2qRQC+P5uq7goxjdrw==" saltValue="i/iPMewnks1FoXYOjKMEVg==" spinCount="100000" sqref="AB140" name="Rango2_87_6_52"/>
    <protectedRange algorithmName="SHA-512" hashValue="NUll9P9xh7KbSfMYpMxsRZLfDw/y/AzW2LSWlpXVscBDqiAxmzo71xjs+a2lh+jRa7pceOC849slke4+ZKx8LA==" saltValue="8qbkKpQ+CiQuLnqgShNvXA==" spinCount="100000" sqref="T140" name="Rango2_88_6_52"/>
    <protectedRange algorithmName="SHA-512" hashValue="KHhv3JU/LRdRrRTxxkgFceEHPZ5UzadmpZRZR3zmQRnPvkUJZuanRafIJ+qde0IWwLZSvFIQDyUAHq6v6k7XIg==" saltValue="2GKG1kCzVNNcn+vbOPuhJA==" spinCount="100000" sqref="Q140" name="Rango2_2_5_52"/>
    <protectedRange algorithmName="SHA-512" hashValue="RQ91b7oAw60DVtcgB2vRpial2kSdzJx5guGCTYUwXYkKrtrUHfiYnLf9R+SNpYXlJDYpyEJLhcWwP0EqNN86dQ==" saltValue="W3RbH3zrcY9sy39xNwXNxg==" spinCount="100000" sqref="BA141:BI141 BV141:BY141" name="Rango2_88_99_56"/>
    <protectedRange algorithmName="SHA-512" hashValue="fMbmUM1DQ7FuAPRNvFL5mPdHUYjQnlLFhkuaxvHguaqR7aWyDxcmJs0jLYQfQKY+oyhsMb4Lew4VL6i7um3/ew==" saltValue="ydaTm0CeH8+/cYqoL/AMaQ==" spinCount="100000" sqref="AU141 AW141:AZ141" name="Rango2_88_91_52"/>
    <protectedRange algorithmName="SHA-512" hashValue="CHipOQaT63FWw628cQcXXJRZlrbNZ7OgmnEbDx38UmmH7z19GRYEzXFiVOzHAy1OAaAbST7g2bHZHDKQp2qm3w==" saltValue="iRVuL+373yLHv0ZHzS9qog==" spinCount="100000" sqref="AG141:AH141 AJ141 AL141" name="Rango2_88_7_5_56"/>
    <protectedRange algorithmName="SHA-512" hashValue="NkG6oHuDGvGBEiLAAq8MEJHEfLQUMyjihfH+DBXhT+eQW0r1yri7tOJEFRM9nbOejjjXiviq9RFo7KB7wF+xJA==" saltValue="bpjB0AAANu2X/PeR3eiFkA==" spinCount="100000" sqref="AM141:AS141" name="Rango2_88_65_53"/>
    <protectedRange algorithmName="SHA-512" hashValue="fPHvtIAf3pQeZUoAI9C2/vdXMHBpqqEq+67P5Ypyu4+9IWqs3yc9TZcMWQ0THLxUwqseQPyVvakuYFtCwJHsxA==" saltValue="QHIogSs2PrwAfdqa9PAOFQ==" spinCount="100000" sqref="AC141" name="Rango2_88_5_5_53"/>
    <protectedRange algorithmName="SHA-512" hashValue="LEEeiU6pKqm7TAP46VGlz0q+evvFwpT/0iLpRuWuQ7MacbP0OGL1/FSmrIEOg2rb6M+Jla2bPbVWiGag27j87w==" saltValue="HEVt+pS5OloNDlqSnzGLLw==" spinCount="100000" sqref="AI141" name="Rango2_8_7_53"/>
    <protectedRange algorithmName="SHA-512" hashValue="AYYX88LSDB6RDNMvSqt0KPGWPjBqTk56tMxTOlv5QD61MGTKAAQnSnudvNDWPN0Bbllh2qRQC+P5uq7goxjdrw==" saltValue="i/iPMewnks1FoXYOjKMEVg==" spinCount="100000" sqref="AB141" name="Rango2_87_6_53"/>
    <protectedRange algorithmName="SHA-512" hashValue="NUll9P9xh7KbSfMYpMxsRZLfDw/y/AzW2LSWlpXVscBDqiAxmzo71xjs+a2lh+jRa7pceOC849slke4+ZKx8LA==" saltValue="8qbkKpQ+CiQuLnqgShNvXA==" spinCount="100000" sqref="T141" name="Rango2_88_6_53"/>
    <protectedRange algorithmName="SHA-512" hashValue="KHhv3JU/LRdRrRTxxkgFceEHPZ5UzadmpZRZR3zmQRnPvkUJZuanRafIJ+qde0IWwLZSvFIQDyUAHq6v6k7XIg==" saltValue="2GKG1kCzVNNcn+vbOPuhJA==" spinCount="100000" sqref="Q141" name="Rango2_2_5_53"/>
    <protectedRange algorithmName="SHA-512" hashValue="EEHzbvEYwO1eufllBljOz0uf9BJ2ENtvOScQ7IsS321QhYbwKn7qhHKKP8cKj02rTDvVRMWvwQ1ZP0mZWsBprQ==" saltValue="CjXqBRFbKezlWOFV37MnDQ==" spinCount="100000" sqref="GQ125:GR125 GW125 GN125" name="Rango2_30_2_56"/>
    <protectedRange algorithmName="SHA-512" hashValue="Rgskw+AQdeJ5qbJdarzTa3SCkJfDGziy0Uan5N0F3IWn/H3Z/e+VcB56R7Nes7MPxNHewNP1sSSucVjz3iTLeA==" saltValue="qKZH3DnwaZHBzy3cBZo1qQ==" spinCount="100000" sqref="GF125" name="Rango2_31_28_39"/>
    <protectedRange algorithmName="SHA-512" hashValue="Umj9+5Ys20VQPxBFtc6qE5LtKKSgPKwit+B8dd4XnEUaLfBM2ozpkEC4YxwK0SbBiAHDDex+pY+LomQ0lyuamQ==" saltValue="N2/MCRws+mmA+NXw0axolg==" spinCount="100000" sqref="GJ125 GH125 GE125 GB125 GL125 FY125" name="Rango2_31_2_71"/>
    <protectedRange algorithmName="SHA-512" hashValue="YXHanhqXL0e4jPrzkCF8r/22WmlCviFUW909WKuG1JOcU0mp0/Huh0aP3EaGYxV2ep0WGu48HsShAy4Ka2uOiw==" saltValue="h/7U5iwJm7DLR4tRVfwZYw==" spinCount="100000" sqref="GI125 GC125" name="Rango2_33_47"/>
    <protectedRange algorithmName="SHA-512" hashValue="pL4tgTKqwEsWSIEGFTBd+4pvEhE7d5Q99Eijs+L/Y1rhA0saQGGRJw5Pv2HLOP0quglztFwB6WVnQ1YGxd4AiQ==" saltValue="IF5mhk2RcoEjrcYppes1VA==" spinCount="100000" sqref="FT125" name="Rango2_30_41"/>
    <protectedRange algorithmName="SHA-512" hashValue="EEHzbvEYwO1eufllBljOz0uf9BJ2ENtvOScQ7IsS321QhYbwKn7qhHKKP8cKj02rTDvVRMWvwQ1ZP0mZWsBprQ==" saltValue="CjXqBRFbKezlWOFV37MnDQ==" spinCount="100000" sqref="GQ126:GR126 GW126 GN126" name="Rango2_30_2_59"/>
    <protectedRange algorithmName="SHA-512" hashValue="Rgskw+AQdeJ5qbJdarzTa3SCkJfDGziy0Uan5N0F3IWn/H3Z/e+VcB56R7Nes7MPxNHewNP1sSSucVjz3iTLeA==" saltValue="qKZH3DnwaZHBzy3cBZo1qQ==" spinCount="100000" sqref="GF126" name="Rango2_31_28_40"/>
    <protectedRange algorithmName="SHA-512" hashValue="Umj9+5Ys20VQPxBFtc6qE5LtKKSgPKwit+B8dd4XnEUaLfBM2ozpkEC4YxwK0SbBiAHDDex+pY+LomQ0lyuamQ==" saltValue="N2/MCRws+mmA+NXw0axolg==" spinCount="100000" sqref="GJ126 GH126 GE126 GL126 FY126" name="Rango2_31_2_72"/>
    <protectedRange algorithmName="SHA-512" hashValue="YXHanhqXL0e4jPrzkCF8r/22WmlCviFUW909WKuG1JOcU0mp0/Huh0aP3EaGYxV2ep0WGu48HsShAy4Ka2uOiw==" saltValue="h/7U5iwJm7DLR4tRVfwZYw==" spinCount="100000" sqref="GI126 GC126" name="Rango2_33_48"/>
    <protectedRange algorithmName="SHA-512" hashValue="pL4tgTKqwEsWSIEGFTBd+4pvEhE7d5Q99Eijs+L/Y1rhA0saQGGRJw5Pv2HLOP0quglztFwB6WVnQ1YGxd4AiQ==" saltValue="IF5mhk2RcoEjrcYppes1VA==" spinCount="100000" sqref="FT126" name="Rango2_30_42"/>
    <protectedRange algorithmName="SHA-512" hashValue="EEHzbvEYwO1eufllBljOz0uf9BJ2ENtvOScQ7IsS321QhYbwKn7qhHKKP8cKj02rTDvVRMWvwQ1ZP0mZWsBprQ==" saltValue="CjXqBRFbKezlWOFV37MnDQ==" spinCount="100000" sqref="GQ127:GR127 GW127 GN127" name="Rango2_30_2_65"/>
    <protectedRange algorithmName="SHA-512" hashValue="Rgskw+AQdeJ5qbJdarzTa3SCkJfDGziy0Uan5N0F3IWn/H3Z/e+VcB56R7Nes7MPxNHewNP1sSSucVjz3iTLeA==" saltValue="qKZH3DnwaZHBzy3cBZo1qQ==" spinCount="100000" sqref="GF127" name="Rango2_31_28_41"/>
    <protectedRange algorithmName="SHA-512" hashValue="Umj9+5Ys20VQPxBFtc6qE5LtKKSgPKwit+B8dd4XnEUaLfBM2ozpkEC4YxwK0SbBiAHDDex+pY+LomQ0lyuamQ==" saltValue="N2/MCRws+mmA+NXw0axolg==" spinCount="100000" sqref="GJ127 GH127 GE127 GL127 FY127" name="Rango2_31_2_73"/>
    <protectedRange algorithmName="SHA-512" hashValue="YXHanhqXL0e4jPrzkCF8r/22WmlCviFUW909WKuG1JOcU0mp0/Huh0aP3EaGYxV2ep0WGu48HsShAy4Ka2uOiw==" saltValue="h/7U5iwJm7DLR4tRVfwZYw==" spinCount="100000" sqref="GI127 GC127" name="Rango2_33_49"/>
    <protectedRange algorithmName="SHA-512" hashValue="pL4tgTKqwEsWSIEGFTBd+4pvEhE7d5Q99Eijs+L/Y1rhA0saQGGRJw5Pv2HLOP0quglztFwB6WVnQ1YGxd4AiQ==" saltValue="IF5mhk2RcoEjrcYppes1VA==" spinCount="100000" sqref="FT127" name="Rango2_30_43"/>
    <protectedRange algorithmName="SHA-512" hashValue="EEHzbvEYwO1eufllBljOz0uf9BJ2ENtvOScQ7IsS321QhYbwKn7qhHKKP8cKj02rTDvVRMWvwQ1ZP0mZWsBprQ==" saltValue="CjXqBRFbKezlWOFV37MnDQ==" spinCount="100000" sqref="GQ128:GR129 GW128:GW129 GN128:GN129" name="Rango2_30_2_67"/>
    <protectedRange algorithmName="SHA-512" hashValue="Rgskw+AQdeJ5qbJdarzTa3SCkJfDGziy0Uan5N0F3IWn/H3Z/e+VcB56R7Nes7MPxNHewNP1sSSucVjz3iTLeA==" saltValue="qKZH3DnwaZHBzy3cBZo1qQ==" spinCount="100000" sqref="GF128:GF129" name="Rango2_31_28_42"/>
    <protectedRange algorithmName="SHA-512" hashValue="Umj9+5Ys20VQPxBFtc6qE5LtKKSgPKwit+B8dd4XnEUaLfBM2ozpkEC4YxwK0SbBiAHDDex+pY+LomQ0lyuamQ==" saltValue="N2/MCRws+mmA+NXw0axolg==" spinCount="100000" sqref="GJ128:GJ129 GH128:GH129 GE128:GE129 GB129 GL128:GL129 FY128:FY129" name="Rango2_31_2_74"/>
    <protectedRange algorithmName="SHA-512" hashValue="YXHanhqXL0e4jPrzkCF8r/22WmlCviFUW909WKuG1JOcU0mp0/Huh0aP3EaGYxV2ep0WGu48HsShAy4Ka2uOiw==" saltValue="h/7U5iwJm7DLR4tRVfwZYw==" spinCount="100000" sqref="GI128:GI129 GC128:GC129" name="Rango2_33_50"/>
    <protectedRange algorithmName="SHA-512" hashValue="pL4tgTKqwEsWSIEGFTBd+4pvEhE7d5Q99Eijs+L/Y1rhA0saQGGRJw5Pv2HLOP0quglztFwB6WVnQ1YGxd4AiQ==" saltValue="IF5mhk2RcoEjrcYppes1VA==" spinCount="100000" sqref="FT128:FT129" name="Rango2_30_44"/>
    <protectedRange algorithmName="SHA-512" hashValue="EEHzbvEYwO1eufllBljOz0uf9BJ2ENtvOScQ7IsS321QhYbwKn7qhHKKP8cKj02rTDvVRMWvwQ1ZP0mZWsBprQ==" saltValue="CjXqBRFbKezlWOFV37MnDQ==" spinCount="100000" sqref="GQ130:GR130 GW130 GN130" name="Rango2_30_2_68"/>
    <protectedRange algorithmName="SHA-512" hashValue="Rgskw+AQdeJ5qbJdarzTa3SCkJfDGziy0Uan5N0F3IWn/H3Z/e+VcB56R7Nes7MPxNHewNP1sSSucVjz3iTLeA==" saltValue="qKZH3DnwaZHBzy3cBZo1qQ==" spinCount="100000" sqref="GF130" name="Rango2_31_28_43"/>
    <protectedRange algorithmName="SHA-512" hashValue="Umj9+5Ys20VQPxBFtc6qE5LtKKSgPKwit+B8dd4XnEUaLfBM2ozpkEC4YxwK0SbBiAHDDex+pY+LomQ0lyuamQ==" saltValue="N2/MCRws+mmA+NXw0axolg==" spinCount="100000" sqref="GJ130 GH130 GE130 GB130 GL130 FY130" name="Rango2_31_2_75"/>
    <protectedRange algorithmName="SHA-512" hashValue="YXHanhqXL0e4jPrzkCF8r/22WmlCviFUW909WKuG1JOcU0mp0/Huh0aP3EaGYxV2ep0WGu48HsShAy4Ka2uOiw==" saltValue="h/7U5iwJm7DLR4tRVfwZYw==" spinCount="100000" sqref="GI130 GC130" name="Rango2_33_51"/>
    <protectedRange algorithmName="SHA-512" hashValue="pL4tgTKqwEsWSIEGFTBd+4pvEhE7d5Q99Eijs+L/Y1rhA0saQGGRJw5Pv2HLOP0quglztFwB6WVnQ1YGxd4AiQ==" saltValue="IF5mhk2RcoEjrcYppes1VA==" spinCount="100000" sqref="FT130" name="Rango2_30_45"/>
    <protectedRange algorithmName="SHA-512" hashValue="EEHzbvEYwO1eufllBljOz0uf9BJ2ENtvOScQ7IsS321QhYbwKn7qhHKKP8cKj02rTDvVRMWvwQ1ZP0mZWsBprQ==" saltValue="CjXqBRFbKezlWOFV37MnDQ==" spinCount="100000" sqref="GQ131:GR131 GW131 GN131" name="Rango2_30_2_69"/>
    <protectedRange algorithmName="SHA-512" hashValue="Rgskw+AQdeJ5qbJdarzTa3SCkJfDGziy0Uan5N0F3IWn/H3Z/e+VcB56R7Nes7MPxNHewNP1sSSucVjz3iTLeA==" saltValue="qKZH3DnwaZHBzy3cBZo1qQ==" spinCount="100000" sqref="GF131" name="Rango2_31_28_44"/>
    <protectedRange algorithmName="SHA-512" hashValue="Umj9+5Ys20VQPxBFtc6qE5LtKKSgPKwit+B8dd4XnEUaLfBM2ozpkEC4YxwK0SbBiAHDDex+pY+LomQ0lyuamQ==" saltValue="N2/MCRws+mmA+NXw0axolg==" spinCount="100000" sqref="GJ131 GH131 GE131 GB131 GL131 FY131" name="Rango2_31_2_76"/>
    <protectedRange algorithmName="SHA-512" hashValue="YXHanhqXL0e4jPrzkCF8r/22WmlCviFUW909WKuG1JOcU0mp0/Huh0aP3EaGYxV2ep0WGu48HsShAy4Ka2uOiw==" saltValue="h/7U5iwJm7DLR4tRVfwZYw==" spinCount="100000" sqref="GI131 GC131" name="Rango2_33_52"/>
    <protectedRange algorithmName="SHA-512" hashValue="pL4tgTKqwEsWSIEGFTBd+4pvEhE7d5Q99Eijs+L/Y1rhA0saQGGRJw5Pv2HLOP0quglztFwB6WVnQ1YGxd4AiQ==" saltValue="IF5mhk2RcoEjrcYppes1VA==" spinCount="100000" sqref="FT131" name="Rango2_30_46"/>
    <protectedRange algorithmName="SHA-512" hashValue="EEHzbvEYwO1eufllBljOz0uf9BJ2ENtvOScQ7IsS321QhYbwKn7qhHKKP8cKj02rTDvVRMWvwQ1ZP0mZWsBprQ==" saltValue="CjXqBRFbKezlWOFV37MnDQ==" spinCount="100000" sqref="GQ132:GR132 GW132 GN132" name="Rango2_30_2_70"/>
    <protectedRange algorithmName="SHA-512" hashValue="Rgskw+AQdeJ5qbJdarzTa3SCkJfDGziy0Uan5N0F3IWn/H3Z/e+VcB56R7Nes7MPxNHewNP1sSSucVjz3iTLeA==" saltValue="qKZH3DnwaZHBzy3cBZo1qQ==" spinCount="100000" sqref="GF132" name="Rango2_31_28_45"/>
    <protectedRange algorithmName="SHA-512" hashValue="Umj9+5Ys20VQPxBFtc6qE5LtKKSgPKwit+B8dd4XnEUaLfBM2ozpkEC4YxwK0SbBiAHDDex+pY+LomQ0lyuamQ==" saltValue="N2/MCRws+mmA+NXw0axolg==" spinCount="100000" sqref="GJ132 GH132 GE132 GB132 GL132 FY132" name="Rango2_31_2_77"/>
    <protectedRange algorithmName="SHA-512" hashValue="YXHanhqXL0e4jPrzkCF8r/22WmlCviFUW909WKuG1JOcU0mp0/Huh0aP3EaGYxV2ep0WGu48HsShAy4Ka2uOiw==" saltValue="h/7U5iwJm7DLR4tRVfwZYw==" spinCount="100000" sqref="GI132 GC132" name="Rango2_33_53"/>
    <protectedRange algorithmName="SHA-512" hashValue="pL4tgTKqwEsWSIEGFTBd+4pvEhE7d5Q99Eijs+L/Y1rhA0saQGGRJw5Pv2HLOP0quglztFwB6WVnQ1YGxd4AiQ==" saltValue="IF5mhk2RcoEjrcYppes1VA==" spinCount="100000" sqref="FT132" name="Rango2_30_47"/>
    <protectedRange algorithmName="SHA-512" hashValue="EEHzbvEYwO1eufllBljOz0uf9BJ2ENtvOScQ7IsS321QhYbwKn7qhHKKP8cKj02rTDvVRMWvwQ1ZP0mZWsBprQ==" saltValue="CjXqBRFbKezlWOFV37MnDQ==" spinCount="100000" sqref="GQ133:GR133 GW133 GN133" name="Rango2_30_2_71"/>
    <protectedRange algorithmName="SHA-512" hashValue="Rgskw+AQdeJ5qbJdarzTa3SCkJfDGziy0Uan5N0F3IWn/H3Z/e+VcB56R7Nes7MPxNHewNP1sSSucVjz3iTLeA==" saltValue="qKZH3DnwaZHBzy3cBZo1qQ==" spinCount="100000" sqref="GF133" name="Rango2_31_28_46"/>
    <protectedRange algorithmName="SHA-512" hashValue="Umj9+5Ys20VQPxBFtc6qE5LtKKSgPKwit+B8dd4XnEUaLfBM2ozpkEC4YxwK0SbBiAHDDex+pY+LomQ0lyuamQ==" saltValue="N2/MCRws+mmA+NXw0axolg==" spinCount="100000" sqref="GJ133 GH133 GE133 GL133 FY133" name="Rango2_31_2_78"/>
    <protectedRange algorithmName="SHA-512" hashValue="YXHanhqXL0e4jPrzkCF8r/22WmlCviFUW909WKuG1JOcU0mp0/Huh0aP3EaGYxV2ep0WGu48HsShAy4Ka2uOiw==" saltValue="h/7U5iwJm7DLR4tRVfwZYw==" spinCount="100000" sqref="GI133 GC133" name="Rango2_33_54"/>
    <protectedRange algorithmName="SHA-512" hashValue="pL4tgTKqwEsWSIEGFTBd+4pvEhE7d5Q99Eijs+L/Y1rhA0saQGGRJw5Pv2HLOP0quglztFwB6WVnQ1YGxd4AiQ==" saltValue="IF5mhk2RcoEjrcYppes1VA==" spinCount="100000" sqref="FT133" name="Rango2_30_48"/>
    <protectedRange algorithmName="SHA-512" hashValue="EEHzbvEYwO1eufllBljOz0uf9BJ2ENtvOScQ7IsS321QhYbwKn7qhHKKP8cKj02rTDvVRMWvwQ1ZP0mZWsBprQ==" saltValue="CjXqBRFbKezlWOFV37MnDQ==" spinCount="100000" sqref="GQ134:GR134 GW134 GN134" name="Rango2_30_2_72"/>
    <protectedRange algorithmName="SHA-512" hashValue="Rgskw+AQdeJ5qbJdarzTa3SCkJfDGziy0Uan5N0F3IWn/H3Z/e+VcB56R7Nes7MPxNHewNP1sSSucVjz3iTLeA==" saltValue="qKZH3DnwaZHBzy3cBZo1qQ==" spinCount="100000" sqref="GF134" name="Rango2_31_28_47"/>
    <protectedRange algorithmName="SHA-512" hashValue="Umj9+5Ys20VQPxBFtc6qE5LtKKSgPKwit+B8dd4XnEUaLfBM2ozpkEC4YxwK0SbBiAHDDex+pY+LomQ0lyuamQ==" saltValue="N2/MCRws+mmA+NXw0axolg==" spinCount="100000" sqref="GJ134 GH134 GE134 GL134 FY134" name="Rango2_31_2_79"/>
    <protectedRange algorithmName="SHA-512" hashValue="YXHanhqXL0e4jPrzkCF8r/22WmlCviFUW909WKuG1JOcU0mp0/Huh0aP3EaGYxV2ep0WGu48HsShAy4Ka2uOiw==" saltValue="h/7U5iwJm7DLR4tRVfwZYw==" spinCount="100000" sqref="GI134 GC134" name="Rango2_33_55"/>
    <protectedRange algorithmName="SHA-512" hashValue="pL4tgTKqwEsWSIEGFTBd+4pvEhE7d5Q99Eijs+L/Y1rhA0saQGGRJw5Pv2HLOP0quglztFwB6WVnQ1YGxd4AiQ==" saltValue="IF5mhk2RcoEjrcYppes1VA==" spinCount="100000" sqref="FT134" name="Rango2_30_49"/>
    <protectedRange algorithmName="SHA-512" hashValue="EEHzbvEYwO1eufllBljOz0uf9BJ2ENtvOScQ7IsS321QhYbwKn7qhHKKP8cKj02rTDvVRMWvwQ1ZP0mZWsBprQ==" saltValue="CjXqBRFbKezlWOFV37MnDQ==" spinCount="100000" sqref="GQ135:GR135 GW135 GN135" name="Rango2_30_2_73"/>
    <protectedRange algorithmName="SHA-512" hashValue="Rgskw+AQdeJ5qbJdarzTa3SCkJfDGziy0Uan5N0F3IWn/H3Z/e+VcB56R7Nes7MPxNHewNP1sSSucVjz3iTLeA==" saltValue="qKZH3DnwaZHBzy3cBZo1qQ==" spinCount="100000" sqref="GF135" name="Rango2_31_28_48"/>
    <protectedRange algorithmName="SHA-512" hashValue="Umj9+5Ys20VQPxBFtc6qE5LtKKSgPKwit+B8dd4XnEUaLfBM2ozpkEC4YxwK0SbBiAHDDex+pY+LomQ0lyuamQ==" saltValue="N2/MCRws+mmA+NXw0axolg==" spinCount="100000" sqref="GJ135 GH135 GE135 GL135 FY135" name="Rango2_31_2_80"/>
    <protectedRange algorithmName="SHA-512" hashValue="YXHanhqXL0e4jPrzkCF8r/22WmlCviFUW909WKuG1JOcU0mp0/Huh0aP3EaGYxV2ep0WGu48HsShAy4Ka2uOiw==" saltValue="h/7U5iwJm7DLR4tRVfwZYw==" spinCount="100000" sqref="GI135 GC135" name="Rango2_33_56"/>
    <protectedRange algorithmName="SHA-512" hashValue="pL4tgTKqwEsWSIEGFTBd+4pvEhE7d5Q99Eijs+L/Y1rhA0saQGGRJw5Pv2HLOP0quglztFwB6WVnQ1YGxd4AiQ==" saltValue="IF5mhk2RcoEjrcYppes1VA==" spinCount="100000" sqref="FT135" name="Rango2_30_50"/>
    <protectedRange algorithmName="SHA-512" hashValue="EEHzbvEYwO1eufllBljOz0uf9BJ2ENtvOScQ7IsS321QhYbwKn7qhHKKP8cKj02rTDvVRMWvwQ1ZP0mZWsBprQ==" saltValue="CjXqBRFbKezlWOFV37MnDQ==" spinCount="100000" sqref="GQ136:GR138 GW136:GW138 GN136:GN138" name="Rango2_30_2_74"/>
    <protectedRange algorithmName="SHA-512" hashValue="Rgskw+AQdeJ5qbJdarzTa3SCkJfDGziy0Uan5N0F3IWn/H3Z/e+VcB56R7Nes7MPxNHewNP1sSSucVjz3iTLeA==" saltValue="qKZH3DnwaZHBzy3cBZo1qQ==" spinCount="100000" sqref="GF136:GF138" name="Rango2_31_28_49"/>
    <protectedRange algorithmName="SHA-512" hashValue="Umj9+5Ys20VQPxBFtc6qE5LtKKSgPKwit+B8dd4XnEUaLfBM2ozpkEC4YxwK0SbBiAHDDex+pY+LomQ0lyuamQ==" saltValue="N2/MCRws+mmA+NXw0axolg==" spinCount="100000" sqref="GJ136:GJ138 GH136:GH138 GE136:GE138 GB136 GL136:GL138 FY136:FY138" name="Rango2_31_2_81"/>
    <protectedRange algorithmName="SHA-512" hashValue="YXHanhqXL0e4jPrzkCF8r/22WmlCviFUW909WKuG1JOcU0mp0/Huh0aP3EaGYxV2ep0WGu48HsShAy4Ka2uOiw==" saltValue="h/7U5iwJm7DLR4tRVfwZYw==" spinCount="100000" sqref="GI136:GI138 GC136:GC138" name="Rango2_33_57"/>
    <protectedRange algorithmName="SHA-512" hashValue="pL4tgTKqwEsWSIEGFTBd+4pvEhE7d5Q99Eijs+L/Y1rhA0saQGGRJw5Pv2HLOP0quglztFwB6WVnQ1YGxd4AiQ==" saltValue="IF5mhk2RcoEjrcYppes1VA==" spinCount="100000" sqref="FT136:FT138" name="Rango2_30_51"/>
    <protectedRange algorithmName="SHA-512" hashValue="EEHzbvEYwO1eufllBljOz0uf9BJ2ENtvOScQ7IsS321QhYbwKn7qhHKKP8cKj02rTDvVRMWvwQ1ZP0mZWsBprQ==" saltValue="CjXqBRFbKezlWOFV37MnDQ==" spinCount="100000" sqref="GQ139:GR139 GW139 GN139" name="Rango2_30_2_75"/>
    <protectedRange algorithmName="SHA-512" hashValue="Rgskw+AQdeJ5qbJdarzTa3SCkJfDGziy0Uan5N0F3IWn/H3Z/e+VcB56R7Nes7MPxNHewNP1sSSucVjz3iTLeA==" saltValue="qKZH3DnwaZHBzy3cBZo1qQ==" spinCount="100000" sqref="GF139" name="Rango2_31_28_50"/>
    <protectedRange algorithmName="SHA-512" hashValue="Umj9+5Ys20VQPxBFtc6qE5LtKKSgPKwit+B8dd4XnEUaLfBM2ozpkEC4YxwK0SbBiAHDDex+pY+LomQ0lyuamQ==" saltValue="N2/MCRws+mmA+NXw0axolg==" spinCount="100000" sqref="GJ139 GH139 GE139 GB139 GL139 FY139" name="Rango2_31_2_82"/>
    <protectedRange algorithmName="SHA-512" hashValue="YXHanhqXL0e4jPrzkCF8r/22WmlCviFUW909WKuG1JOcU0mp0/Huh0aP3EaGYxV2ep0WGu48HsShAy4Ka2uOiw==" saltValue="h/7U5iwJm7DLR4tRVfwZYw==" spinCount="100000" sqref="GI139 GC139" name="Rango2_33_58"/>
    <protectedRange algorithmName="SHA-512" hashValue="pL4tgTKqwEsWSIEGFTBd+4pvEhE7d5Q99Eijs+L/Y1rhA0saQGGRJw5Pv2HLOP0quglztFwB6WVnQ1YGxd4AiQ==" saltValue="IF5mhk2RcoEjrcYppes1VA==" spinCount="100000" sqref="FT139" name="Rango2_30_52"/>
    <protectedRange algorithmName="SHA-512" hashValue="EEHzbvEYwO1eufllBljOz0uf9BJ2ENtvOScQ7IsS321QhYbwKn7qhHKKP8cKj02rTDvVRMWvwQ1ZP0mZWsBprQ==" saltValue="CjXqBRFbKezlWOFV37MnDQ==" spinCount="100000" sqref="GQ140:GR140 GW140 GN140" name="Rango2_30_2_76"/>
    <protectedRange algorithmName="SHA-512" hashValue="Rgskw+AQdeJ5qbJdarzTa3SCkJfDGziy0Uan5N0F3IWn/H3Z/e+VcB56R7Nes7MPxNHewNP1sSSucVjz3iTLeA==" saltValue="qKZH3DnwaZHBzy3cBZo1qQ==" spinCount="100000" sqref="GF140" name="Rango2_31_28_51"/>
    <protectedRange algorithmName="SHA-512" hashValue="Umj9+5Ys20VQPxBFtc6qE5LtKKSgPKwit+B8dd4XnEUaLfBM2ozpkEC4YxwK0SbBiAHDDex+pY+LomQ0lyuamQ==" saltValue="N2/MCRws+mmA+NXw0axolg==" spinCount="100000" sqref="GJ140 GH140 GE140 GB140 GL140 FY140" name="Rango2_31_2_83"/>
    <protectedRange algorithmName="SHA-512" hashValue="YXHanhqXL0e4jPrzkCF8r/22WmlCviFUW909WKuG1JOcU0mp0/Huh0aP3EaGYxV2ep0WGu48HsShAy4Ka2uOiw==" saltValue="h/7U5iwJm7DLR4tRVfwZYw==" spinCount="100000" sqref="GI140 GC140" name="Rango2_33_59"/>
    <protectedRange algorithmName="SHA-512" hashValue="pL4tgTKqwEsWSIEGFTBd+4pvEhE7d5Q99Eijs+L/Y1rhA0saQGGRJw5Pv2HLOP0quglztFwB6WVnQ1YGxd4AiQ==" saltValue="IF5mhk2RcoEjrcYppes1VA==" spinCount="100000" sqref="FT140" name="Rango2_30_53"/>
    <protectedRange algorithmName="SHA-512" hashValue="EEHzbvEYwO1eufllBljOz0uf9BJ2ENtvOScQ7IsS321QhYbwKn7qhHKKP8cKj02rTDvVRMWvwQ1ZP0mZWsBprQ==" saltValue="CjXqBRFbKezlWOFV37MnDQ==" spinCount="100000" sqref="GQ141:GR141 GW141 GN141" name="Rango2_30_2_77"/>
    <protectedRange algorithmName="SHA-512" hashValue="Rgskw+AQdeJ5qbJdarzTa3SCkJfDGziy0Uan5N0F3IWn/H3Z/e+VcB56R7Nes7MPxNHewNP1sSSucVjz3iTLeA==" saltValue="qKZH3DnwaZHBzy3cBZo1qQ==" spinCount="100000" sqref="GF141" name="Rango2_31_28_52"/>
    <protectedRange algorithmName="SHA-512" hashValue="Umj9+5Ys20VQPxBFtc6qE5LtKKSgPKwit+B8dd4XnEUaLfBM2ozpkEC4YxwK0SbBiAHDDex+pY+LomQ0lyuamQ==" saltValue="N2/MCRws+mmA+NXw0axolg==" spinCount="100000" sqref="GJ141 GH141 GE141 GB141 GL141 FY141" name="Rango2_31_2_84"/>
    <protectedRange algorithmName="SHA-512" hashValue="YXHanhqXL0e4jPrzkCF8r/22WmlCviFUW909WKuG1JOcU0mp0/Huh0aP3EaGYxV2ep0WGu48HsShAy4Ka2uOiw==" saltValue="h/7U5iwJm7DLR4tRVfwZYw==" spinCount="100000" sqref="GI141 GC141" name="Rango2_33_60"/>
    <protectedRange algorithmName="SHA-512" hashValue="pL4tgTKqwEsWSIEGFTBd+4pvEhE7d5Q99Eijs+L/Y1rhA0saQGGRJw5Pv2HLOP0quglztFwB6WVnQ1YGxd4AiQ==" saltValue="IF5mhk2RcoEjrcYppes1VA==" spinCount="100000" sqref="FT141" name="Rango2_30_54"/>
    <protectedRange algorithmName="SHA-512" hashValue="Gqwr8n5jYbCESAqCFk8dpOzViQICBV+k0xoqBoQaZ5lHaRlvT9TZDB4yXtm+qC6OhD064ZDBOFWkwo+LHXu1sg==" saltValue="gEL9PCN2ekF2IxW9yqAGYA==" spinCount="100000" sqref="IS125" name="Rango2_40_2_40"/>
    <protectedRange algorithmName="SHA-512" hashValue="D8TacORwT7iz0mF9GEucchnMHfB5er2FFjQsxyeWWyeJkM6Bt3gYQ3LbcHPxZXFpVAYtFOuTrzYOCJrlZDx16g==" saltValue="QtCzIBktdS4NZkOEGcLTRQ==" spinCount="100000" sqref="IW125" name="Rango2_41_40"/>
    <protectedRange algorithmName="SHA-512" hashValue="Gqwr8n5jYbCESAqCFk8dpOzViQICBV+k0xoqBoQaZ5lHaRlvT9TZDB4yXtm+qC6OhD064ZDBOFWkwo+LHXu1sg==" saltValue="gEL9PCN2ekF2IxW9yqAGYA==" spinCount="100000" sqref="IS126" name="Rango2_40_2_41"/>
    <protectedRange algorithmName="SHA-512" hashValue="D8TacORwT7iz0mF9GEucchnMHfB5er2FFjQsxyeWWyeJkM6Bt3gYQ3LbcHPxZXFpVAYtFOuTrzYOCJrlZDx16g==" saltValue="QtCzIBktdS4NZkOEGcLTRQ==" spinCount="100000" sqref="IW126" name="Rango2_41_41"/>
    <protectedRange algorithmName="SHA-512" hashValue="Gqwr8n5jYbCESAqCFk8dpOzViQICBV+k0xoqBoQaZ5lHaRlvT9TZDB4yXtm+qC6OhD064ZDBOFWkwo+LHXu1sg==" saltValue="gEL9PCN2ekF2IxW9yqAGYA==" spinCount="100000" sqref="IS127" name="Rango2_40_2_42"/>
    <protectedRange algorithmName="SHA-512" hashValue="D8TacORwT7iz0mF9GEucchnMHfB5er2FFjQsxyeWWyeJkM6Bt3gYQ3LbcHPxZXFpVAYtFOuTrzYOCJrlZDx16g==" saltValue="QtCzIBktdS4NZkOEGcLTRQ==" spinCount="100000" sqref="IW127" name="Rango2_41_42"/>
    <protectedRange algorithmName="SHA-512" hashValue="Gqwr8n5jYbCESAqCFk8dpOzViQICBV+k0xoqBoQaZ5lHaRlvT9TZDB4yXtm+qC6OhD064ZDBOFWkwo+LHXu1sg==" saltValue="gEL9PCN2ekF2IxW9yqAGYA==" spinCount="100000" sqref="IS128:IS129" name="Rango2_40_2_43"/>
    <protectedRange algorithmName="SHA-512" hashValue="D8TacORwT7iz0mF9GEucchnMHfB5er2FFjQsxyeWWyeJkM6Bt3gYQ3LbcHPxZXFpVAYtFOuTrzYOCJrlZDx16g==" saltValue="QtCzIBktdS4NZkOEGcLTRQ==" spinCount="100000" sqref="IW128:IW129" name="Rango2_41_43"/>
    <protectedRange algorithmName="SHA-512" hashValue="Gqwr8n5jYbCESAqCFk8dpOzViQICBV+k0xoqBoQaZ5lHaRlvT9TZDB4yXtm+qC6OhD064ZDBOFWkwo+LHXu1sg==" saltValue="gEL9PCN2ekF2IxW9yqAGYA==" spinCount="100000" sqref="IS130" name="Rango2_40_2_44"/>
    <protectedRange algorithmName="SHA-512" hashValue="D8TacORwT7iz0mF9GEucchnMHfB5er2FFjQsxyeWWyeJkM6Bt3gYQ3LbcHPxZXFpVAYtFOuTrzYOCJrlZDx16g==" saltValue="QtCzIBktdS4NZkOEGcLTRQ==" spinCount="100000" sqref="IW130" name="Rango2_41_44"/>
    <protectedRange algorithmName="SHA-512" hashValue="Gqwr8n5jYbCESAqCFk8dpOzViQICBV+k0xoqBoQaZ5lHaRlvT9TZDB4yXtm+qC6OhD064ZDBOFWkwo+LHXu1sg==" saltValue="gEL9PCN2ekF2IxW9yqAGYA==" spinCount="100000" sqref="IS131" name="Rango2_40_2_45"/>
    <protectedRange algorithmName="SHA-512" hashValue="D8TacORwT7iz0mF9GEucchnMHfB5er2FFjQsxyeWWyeJkM6Bt3gYQ3LbcHPxZXFpVAYtFOuTrzYOCJrlZDx16g==" saltValue="QtCzIBktdS4NZkOEGcLTRQ==" spinCount="100000" sqref="IW131" name="Rango2_41_45"/>
    <protectedRange algorithmName="SHA-512" hashValue="Gqwr8n5jYbCESAqCFk8dpOzViQICBV+k0xoqBoQaZ5lHaRlvT9TZDB4yXtm+qC6OhD064ZDBOFWkwo+LHXu1sg==" saltValue="gEL9PCN2ekF2IxW9yqAGYA==" spinCount="100000" sqref="IS132" name="Rango2_40_2_46"/>
    <protectedRange algorithmName="SHA-512" hashValue="D8TacORwT7iz0mF9GEucchnMHfB5er2FFjQsxyeWWyeJkM6Bt3gYQ3LbcHPxZXFpVAYtFOuTrzYOCJrlZDx16g==" saltValue="QtCzIBktdS4NZkOEGcLTRQ==" spinCount="100000" sqref="IW132" name="Rango2_41_46"/>
    <protectedRange algorithmName="SHA-512" hashValue="Gqwr8n5jYbCESAqCFk8dpOzViQICBV+k0xoqBoQaZ5lHaRlvT9TZDB4yXtm+qC6OhD064ZDBOFWkwo+LHXu1sg==" saltValue="gEL9PCN2ekF2IxW9yqAGYA==" spinCount="100000" sqref="IS133" name="Rango2_40_2_47"/>
    <protectedRange algorithmName="SHA-512" hashValue="D8TacORwT7iz0mF9GEucchnMHfB5er2FFjQsxyeWWyeJkM6Bt3gYQ3LbcHPxZXFpVAYtFOuTrzYOCJrlZDx16g==" saltValue="QtCzIBktdS4NZkOEGcLTRQ==" spinCount="100000" sqref="IW133" name="Rango2_41_47"/>
    <protectedRange algorithmName="SHA-512" hashValue="Gqwr8n5jYbCESAqCFk8dpOzViQICBV+k0xoqBoQaZ5lHaRlvT9TZDB4yXtm+qC6OhD064ZDBOFWkwo+LHXu1sg==" saltValue="gEL9PCN2ekF2IxW9yqAGYA==" spinCount="100000" sqref="IS134" name="Rango2_40_2_48"/>
    <protectedRange algorithmName="SHA-512" hashValue="D8TacORwT7iz0mF9GEucchnMHfB5er2FFjQsxyeWWyeJkM6Bt3gYQ3LbcHPxZXFpVAYtFOuTrzYOCJrlZDx16g==" saltValue="QtCzIBktdS4NZkOEGcLTRQ==" spinCount="100000" sqref="IW134" name="Rango2_41_48"/>
    <protectedRange algorithmName="SHA-512" hashValue="Gqwr8n5jYbCESAqCFk8dpOzViQICBV+k0xoqBoQaZ5lHaRlvT9TZDB4yXtm+qC6OhD064ZDBOFWkwo+LHXu1sg==" saltValue="gEL9PCN2ekF2IxW9yqAGYA==" spinCount="100000" sqref="IS135" name="Rango2_40_2_49"/>
    <protectedRange algorithmName="SHA-512" hashValue="D8TacORwT7iz0mF9GEucchnMHfB5er2FFjQsxyeWWyeJkM6Bt3gYQ3LbcHPxZXFpVAYtFOuTrzYOCJrlZDx16g==" saltValue="QtCzIBktdS4NZkOEGcLTRQ==" spinCount="100000" sqref="IW135" name="Rango2_41_49"/>
    <protectedRange algorithmName="SHA-512" hashValue="Gqwr8n5jYbCESAqCFk8dpOzViQICBV+k0xoqBoQaZ5lHaRlvT9TZDB4yXtm+qC6OhD064ZDBOFWkwo+LHXu1sg==" saltValue="gEL9PCN2ekF2IxW9yqAGYA==" spinCount="100000" sqref="IS136:IS138" name="Rango2_40_2_50"/>
    <protectedRange algorithmName="SHA-512" hashValue="D8TacORwT7iz0mF9GEucchnMHfB5er2FFjQsxyeWWyeJkM6Bt3gYQ3LbcHPxZXFpVAYtFOuTrzYOCJrlZDx16g==" saltValue="QtCzIBktdS4NZkOEGcLTRQ==" spinCount="100000" sqref="IW136:IW138" name="Rango2_41_50"/>
    <protectedRange algorithmName="SHA-512" hashValue="Gqwr8n5jYbCESAqCFk8dpOzViQICBV+k0xoqBoQaZ5lHaRlvT9TZDB4yXtm+qC6OhD064ZDBOFWkwo+LHXu1sg==" saltValue="gEL9PCN2ekF2IxW9yqAGYA==" spinCount="100000" sqref="IS139" name="Rango2_40_2_51"/>
    <protectedRange algorithmName="SHA-512" hashValue="D8TacORwT7iz0mF9GEucchnMHfB5er2FFjQsxyeWWyeJkM6Bt3gYQ3LbcHPxZXFpVAYtFOuTrzYOCJrlZDx16g==" saltValue="QtCzIBktdS4NZkOEGcLTRQ==" spinCount="100000" sqref="IW139" name="Rango2_41_51"/>
    <protectedRange algorithmName="SHA-512" hashValue="Gqwr8n5jYbCESAqCFk8dpOzViQICBV+k0xoqBoQaZ5lHaRlvT9TZDB4yXtm+qC6OhD064ZDBOFWkwo+LHXu1sg==" saltValue="gEL9PCN2ekF2IxW9yqAGYA==" spinCount="100000" sqref="IS140" name="Rango2_40_2_52"/>
    <protectedRange algorithmName="SHA-512" hashValue="D8TacORwT7iz0mF9GEucchnMHfB5er2FFjQsxyeWWyeJkM6Bt3gYQ3LbcHPxZXFpVAYtFOuTrzYOCJrlZDx16g==" saltValue="QtCzIBktdS4NZkOEGcLTRQ==" spinCount="100000" sqref="IW140" name="Rango2_41_52"/>
    <protectedRange algorithmName="SHA-512" hashValue="Gqwr8n5jYbCESAqCFk8dpOzViQICBV+k0xoqBoQaZ5lHaRlvT9TZDB4yXtm+qC6OhD064ZDBOFWkwo+LHXu1sg==" saltValue="gEL9PCN2ekF2IxW9yqAGYA==" spinCount="100000" sqref="IS141" name="Rango2_40_2_53"/>
    <protectedRange algorithmName="SHA-512" hashValue="D8TacORwT7iz0mF9GEucchnMHfB5er2FFjQsxyeWWyeJkM6Bt3gYQ3LbcHPxZXFpVAYtFOuTrzYOCJrlZDx16g==" saltValue="QtCzIBktdS4NZkOEGcLTRQ==" spinCount="100000" sqref="IW141" name="Rango2_41_53"/>
    <protectedRange algorithmName="SHA-512" hashValue="6a5oYwZw9WJcgjqXpleUXH8uaqNEuymPPpeOb7lKBc1WoM6IG/DNyDLWmj2lYwxnZO2yhl+B61kwrxD9m9AdhQ==" saltValue="tdNQPzLQd+n9Ww064QJIaQ==" spinCount="100000" sqref="I142:I143" name="Rango2_61_29"/>
    <protectedRange algorithmName="SHA-512" hashValue="XM8+0Jh5zLWw02PI0Lt8dLqjTcW5ulySion19FAnruDN6QRp4UwcVqdfQxnOQAItgpWG7rNsELzjwy0iXOonxw==" saltValue="Sd4WFUedDfLKoMQTDrxJuQ==" spinCount="100000" sqref="K142:K143" name="Rango2_88_4_4_29"/>
    <protectedRange algorithmName="SHA-512" hashValue="EMMPgE8t/az1rHHzaZAQIhz+GQV0k2O/tQGA96sJqEEMzz1efIRa4CcLzC7iY9CCscto3g7dwz41haOE28iXYg==" saltValue="CVzFsG4X4LXUMo7796PiDQ==" spinCount="100000" sqref="L142:M143 J142:J143 B142:H142 B143 D143:H143 C143:C187" name="Rango2_10_29"/>
    <protectedRange algorithmName="SHA-512" hashValue="6a5oYwZw9WJcgjqXpleUXH8uaqNEuymPPpeOb7lKBc1WoM6IG/DNyDLWmj2lYwxnZO2yhl+B61kwrxD9m9AdhQ==" saltValue="tdNQPzLQd+n9Ww064QJIaQ==" spinCount="100000" sqref="I144" name="Rango2_61_30"/>
    <protectedRange algorithmName="SHA-512" hashValue="XM8+0Jh5zLWw02PI0Lt8dLqjTcW5ulySion19FAnruDN6QRp4UwcVqdfQxnOQAItgpWG7rNsELzjwy0iXOonxw==" saltValue="Sd4WFUedDfLKoMQTDrxJuQ==" spinCount="100000" sqref="K144" name="Rango2_88_4_4_30"/>
    <protectedRange algorithmName="SHA-512" hashValue="EMMPgE8t/az1rHHzaZAQIhz+GQV0k2O/tQGA96sJqEEMzz1efIRa4CcLzC7iY9CCscto3g7dwz41haOE28iXYg==" saltValue="CVzFsG4X4LXUMo7796PiDQ==" spinCount="100000" sqref="L144:M144 J144 B144 D144:H144" name="Rango2_10_30"/>
    <protectedRange algorithmName="SHA-512" hashValue="6a5oYwZw9WJcgjqXpleUXH8uaqNEuymPPpeOb7lKBc1WoM6IG/DNyDLWmj2lYwxnZO2yhl+B61kwrxD9m9AdhQ==" saltValue="tdNQPzLQd+n9Ww064QJIaQ==" spinCount="100000" sqref="I145" name="Rango2_61_31"/>
    <protectedRange algorithmName="SHA-512" hashValue="XM8+0Jh5zLWw02PI0Lt8dLqjTcW5ulySion19FAnruDN6QRp4UwcVqdfQxnOQAItgpWG7rNsELzjwy0iXOonxw==" saltValue="Sd4WFUedDfLKoMQTDrxJuQ==" spinCount="100000" sqref="K145" name="Rango2_88_4_4_31"/>
    <protectedRange algorithmName="SHA-512" hashValue="EMMPgE8t/az1rHHzaZAQIhz+GQV0k2O/tQGA96sJqEEMzz1efIRa4CcLzC7iY9CCscto3g7dwz41haOE28iXYg==" saltValue="CVzFsG4X4LXUMo7796PiDQ==" spinCount="100000" sqref="L145:M145 J145 B145 D145:H145" name="Rango2_10_31"/>
    <protectedRange algorithmName="SHA-512" hashValue="6a5oYwZw9WJcgjqXpleUXH8uaqNEuymPPpeOb7lKBc1WoM6IG/DNyDLWmj2lYwxnZO2yhl+B61kwrxD9m9AdhQ==" saltValue="tdNQPzLQd+n9Ww064QJIaQ==" spinCount="100000" sqref="I146:I147" name="Rango2_61_32"/>
    <protectedRange algorithmName="SHA-512" hashValue="XM8+0Jh5zLWw02PI0Lt8dLqjTcW5ulySion19FAnruDN6QRp4UwcVqdfQxnOQAItgpWG7rNsELzjwy0iXOonxw==" saltValue="Sd4WFUedDfLKoMQTDrxJuQ==" spinCount="100000" sqref="K146:K147" name="Rango2_88_4_4_32"/>
    <protectedRange algorithmName="SHA-512" hashValue="EMMPgE8t/az1rHHzaZAQIhz+GQV0k2O/tQGA96sJqEEMzz1efIRa4CcLzC7iY9CCscto3g7dwz41haOE28iXYg==" saltValue="CVzFsG4X4LXUMo7796PiDQ==" spinCount="100000" sqref="L146:M147 J146:J147 B146:B147 D146:H147" name="Rango2_10_32"/>
    <protectedRange algorithmName="SHA-512" hashValue="6a5oYwZw9WJcgjqXpleUXH8uaqNEuymPPpeOb7lKBc1WoM6IG/DNyDLWmj2lYwxnZO2yhl+B61kwrxD9m9AdhQ==" saltValue="tdNQPzLQd+n9Ww064QJIaQ==" spinCount="100000" sqref="I148:I149" name="Rango2_61_33"/>
    <protectedRange algorithmName="SHA-512" hashValue="XM8+0Jh5zLWw02PI0Lt8dLqjTcW5ulySion19FAnruDN6QRp4UwcVqdfQxnOQAItgpWG7rNsELzjwy0iXOonxw==" saltValue="Sd4WFUedDfLKoMQTDrxJuQ==" spinCount="100000" sqref="K148:K149" name="Rango2_88_4_4_33"/>
    <protectedRange algorithmName="SHA-512" hashValue="EMMPgE8t/az1rHHzaZAQIhz+GQV0k2O/tQGA96sJqEEMzz1efIRa4CcLzC7iY9CCscto3g7dwz41haOE28iXYg==" saltValue="CVzFsG4X4LXUMo7796PiDQ==" spinCount="100000" sqref="L148:M149 J148:J149 B148:B149 D148:H149" name="Rango2_10_33"/>
    <protectedRange algorithmName="SHA-512" hashValue="6a5oYwZw9WJcgjqXpleUXH8uaqNEuymPPpeOb7lKBc1WoM6IG/DNyDLWmj2lYwxnZO2yhl+B61kwrxD9m9AdhQ==" saltValue="tdNQPzLQd+n9Ww064QJIaQ==" spinCount="100000" sqref="I150" name="Rango2_61_34"/>
    <protectedRange algorithmName="SHA-512" hashValue="XM8+0Jh5zLWw02PI0Lt8dLqjTcW5ulySion19FAnruDN6QRp4UwcVqdfQxnOQAItgpWG7rNsELzjwy0iXOonxw==" saltValue="Sd4WFUedDfLKoMQTDrxJuQ==" spinCount="100000" sqref="K150" name="Rango2_88_4_4_34"/>
    <protectedRange algorithmName="SHA-512" hashValue="EMMPgE8t/az1rHHzaZAQIhz+GQV0k2O/tQGA96sJqEEMzz1efIRa4CcLzC7iY9CCscto3g7dwz41haOE28iXYg==" saltValue="CVzFsG4X4LXUMo7796PiDQ==" spinCount="100000" sqref="L150:M150 J150 B150 D150:H150" name="Rango2_10_34"/>
    <protectedRange algorithmName="SHA-512" hashValue="6a5oYwZw9WJcgjqXpleUXH8uaqNEuymPPpeOb7lKBc1WoM6IG/DNyDLWmj2lYwxnZO2yhl+B61kwrxD9m9AdhQ==" saltValue="tdNQPzLQd+n9Ww064QJIaQ==" spinCount="100000" sqref="I151" name="Rango2_61_35"/>
    <protectedRange algorithmName="SHA-512" hashValue="XM8+0Jh5zLWw02PI0Lt8dLqjTcW5ulySion19FAnruDN6QRp4UwcVqdfQxnOQAItgpWG7rNsELzjwy0iXOonxw==" saltValue="Sd4WFUedDfLKoMQTDrxJuQ==" spinCount="100000" sqref="K151" name="Rango2_88_4_4_35"/>
    <protectedRange algorithmName="SHA-512" hashValue="EMMPgE8t/az1rHHzaZAQIhz+GQV0k2O/tQGA96sJqEEMzz1efIRa4CcLzC7iY9CCscto3g7dwz41haOE28iXYg==" saltValue="CVzFsG4X4LXUMo7796PiDQ==" spinCount="100000" sqref="L151:M151 J151 B151 D151:H151" name="Rango2_10_35"/>
    <protectedRange algorithmName="SHA-512" hashValue="6a5oYwZw9WJcgjqXpleUXH8uaqNEuymPPpeOb7lKBc1WoM6IG/DNyDLWmj2lYwxnZO2yhl+B61kwrxD9m9AdhQ==" saltValue="tdNQPzLQd+n9Ww064QJIaQ==" spinCount="100000" sqref="I152" name="Rango2_61_36"/>
    <protectedRange algorithmName="SHA-512" hashValue="XM8+0Jh5zLWw02PI0Lt8dLqjTcW5ulySion19FAnruDN6QRp4UwcVqdfQxnOQAItgpWG7rNsELzjwy0iXOonxw==" saltValue="Sd4WFUedDfLKoMQTDrxJuQ==" spinCount="100000" sqref="K152" name="Rango2_88_4_4_36"/>
    <protectedRange algorithmName="SHA-512" hashValue="EMMPgE8t/az1rHHzaZAQIhz+GQV0k2O/tQGA96sJqEEMzz1efIRa4CcLzC7iY9CCscto3g7dwz41haOE28iXYg==" saltValue="CVzFsG4X4LXUMo7796PiDQ==" spinCount="100000" sqref="L152:M152 J152 B152 D152:H152" name="Rango2_10_36"/>
    <protectedRange algorithmName="SHA-512" hashValue="6a5oYwZw9WJcgjqXpleUXH8uaqNEuymPPpeOb7lKBc1WoM6IG/DNyDLWmj2lYwxnZO2yhl+B61kwrxD9m9AdhQ==" saltValue="tdNQPzLQd+n9Ww064QJIaQ==" spinCount="100000" sqref="I153" name="Rango2_61_37"/>
    <protectedRange algorithmName="SHA-512" hashValue="XM8+0Jh5zLWw02PI0Lt8dLqjTcW5ulySion19FAnruDN6QRp4UwcVqdfQxnOQAItgpWG7rNsELzjwy0iXOonxw==" saltValue="Sd4WFUedDfLKoMQTDrxJuQ==" spinCount="100000" sqref="K153" name="Rango2_88_4_4_37"/>
    <protectedRange algorithmName="SHA-512" hashValue="EMMPgE8t/az1rHHzaZAQIhz+GQV0k2O/tQGA96sJqEEMzz1efIRa4CcLzC7iY9CCscto3g7dwz41haOE28iXYg==" saltValue="CVzFsG4X4LXUMo7796PiDQ==" spinCount="100000" sqref="L153:M153 J153 B153 D153:H153" name="Rango2_10_37"/>
    <protectedRange algorithmName="SHA-512" hashValue="6a5oYwZw9WJcgjqXpleUXH8uaqNEuymPPpeOb7lKBc1WoM6IG/DNyDLWmj2lYwxnZO2yhl+B61kwrxD9m9AdhQ==" saltValue="tdNQPzLQd+n9Ww064QJIaQ==" spinCount="100000" sqref="I154" name="Rango2_61_38"/>
    <protectedRange algorithmName="SHA-512" hashValue="XM8+0Jh5zLWw02PI0Lt8dLqjTcW5ulySion19FAnruDN6QRp4UwcVqdfQxnOQAItgpWG7rNsELzjwy0iXOonxw==" saltValue="Sd4WFUedDfLKoMQTDrxJuQ==" spinCount="100000" sqref="K154" name="Rango2_88_4_4_38"/>
    <protectedRange algorithmName="SHA-512" hashValue="EMMPgE8t/az1rHHzaZAQIhz+GQV0k2O/tQGA96sJqEEMzz1efIRa4CcLzC7iY9CCscto3g7dwz41haOE28iXYg==" saltValue="CVzFsG4X4LXUMo7796PiDQ==" spinCount="100000" sqref="L154:M154 J154 B154 D154:H154" name="Rango2_10_38"/>
    <protectedRange algorithmName="SHA-512" hashValue="6a5oYwZw9WJcgjqXpleUXH8uaqNEuymPPpeOb7lKBc1WoM6IG/DNyDLWmj2lYwxnZO2yhl+B61kwrxD9m9AdhQ==" saltValue="tdNQPzLQd+n9Ww064QJIaQ==" spinCount="100000" sqref="I155:I156" name="Rango2_61_39"/>
    <protectedRange algorithmName="SHA-512" hashValue="XM8+0Jh5zLWw02PI0Lt8dLqjTcW5ulySion19FAnruDN6QRp4UwcVqdfQxnOQAItgpWG7rNsELzjwy0iXOonxw==" saltValue="Sd4WFUedDfLKoMQTDrxJuQ==" spinCount="100000" sqref="K155:K156" name="Rango2_88_4_4_39"/>
    <protectedRange algorithmName="SHA-512" hashValue="EMMPgE8t/az1rHHzaZAQIhz+GQV0k2O/tQGA96sJqEEMzz1efIRa4CcLzC7iY9CCscto3g7dwz41haOE28iXYg==" saltValue="CVzFsG4X4LXUMo7796PiDQ==" spinCount="100000" sqref="L155:M156 J155:J156 B155:B156 D155:H156" name="Rango2_10_39"/>
    <protectedRange algorithmName="SHA-512" hashValue="6a5oYwZw9WJcgjqXpleUXH8uaqNEuymPPpeOb7lKBc1WoM6IG/DNyDLWmj2lYwxnZO2yhl+B61kwrxD9m9AdhQ==" saltValue="tdNQPzLQd+n9Ww064QJIaQ==" spinCount="100000" sqref="I157" name="Rango2_61_40"/>
    <protectedRange algorithmName="SHA-512" hashValue="XM8+0Jh5zLWw02PI0Lt8dLqjTcW5ulySion19FAnruDN6QRp4UwcVqdfQxnOQAItgpWG7rNsELzjwy0iXOonxw==" saltValue="Sd4WFUedDfLKoMQTDrxJuQ==" spinCount="100000" sqref="K157" name="Rango2_88_4_4_40"/>
    <protectedRange algorithmName="SHA-512" hashValue="EMMPgE8t/az1rHHzaZAQIhz+GQV0k2O/tQGA96sJqEEMzz1efIRa4CcLzC7iY9CCscto3g7dwz41haOE28iXYg==" saltValue="CVzFsG4X4LXUMo7796PiDQ==" spinCount="100000" sqref="L157:M157 J157 B157 D157:H157" name="Rango2_10_40"/>
    <protectedRange algorithmName="SHA-512" hashValue="6a5oYwZw9WJcgjqXpleUXH8uaqNEuymPPpeOb7lKBc1WoM6IG/DNyDLWmj2lYwxnZO2yhl+B61kwrxD9m9AdhQ==" saltValue="tdNQPzLQd+n9Ww064QJIaQ==" spinCount="100000" sqref="I158:I161" name="Rango2_61_41"/>
    <protectedRange algorithmName="SHA-512" hashValue="XM8+0Jh5zLWw02PI0Lt8dLqjTcW5ulySion19FAnruDN6QRp4UwcVqdfQxnOQAItgpWG7rNsELzjwy0iXOonxw==" saltValue="Sd4WFUedDfLKoMQTDrxJuQ==" spinCount="100000" sqref="K158:K161" name="Rango2_88_4_4_41"/>
    <protectedRange algorithmName="SHA-512" hashValue="EMMPgE8t/az1rHHzaZAQIhz+GQV0k2O/tQGA96sJqEEMzz1efIRa4CcLzC7iY9CCscto3g7dwz41haOE28iXYg==" saltValue="CVzFsG4X4LXUMo7796PiDQ==" spinCount="100000" sqref="L158:M161 J158:J161 B158:B161 D158:H161" name="Rango2_10_41"/>
    <protectedRange algorithmName="SHA-512" hashValue="6a5oYwZw9WJcgjqXpleUXH8uaqNEuymPPpeOb7lKBc1WoM6IG/DNyDLWmj2lYwxnZO2yhl+B61kwrxD9m9AdhQ==" saltValue="tdNQPzLQd+n9Ww064QJIaQ==" spinCount="100000" sqref="I162" name="Rango2_61_42"/>
    <protectedRange algorithmName="SHA-512" hashValue="XM8+0Jh5zLWw02PI0Lt8dLqjTcW5ulySion19FAnruDN6QRp4UwcVqdfQxnOQAItgpWG7rNsELzjwy0iXOonxw==" saltValue="Sd4WFUedDfLKoMQTDrxJuQ==" spinCount="100000" sqref="K162" name="Rango2_88_4_4_42"/>
    <protectedRange algorithmName="SHA-512" hashValue="EMMPgE8t/az1rHHzaZAQIhz+GQV0k2O/tQGA96sJqEEMzz1efIRa4CcLzC7iY9CCscto3g7dwz41haOE28iXYg==" saltValue="CVzFsG4X4LXUMo7796PiDQ==" spinCount="100000" sqref="L162:M162 J162 B162 D162:H162" name="Rango2_10_42"/>
    <protectedRange algorithmName="SHA-512" hashValue="6a5oYwZw9WJcgjqXpleUXH8uaqNEuymPPpeOb7lKBc1WoM6IG/DNyDLWmj2lYwxnZO2yhl+B61kwrxD9m9AdhQ==" saltValue="tdNQPzLQd+n9Ww064QJIaQ==" spinCount="100000" sqref="I163" name="Rango2_61_43"/>
    <protectedRange algorithmName="SHA-512" hashValue="XM8+0Jh5zLWw02PI0Lt8dLqjTcW5ulySion19FAnruDN6QRp4UwcVqdfQxnOQAItgpWG7rNsELzjwy0iXOonxw==" saltValue="Sd4WFUedDfLKoMQTDrxJuQ==" spinCount="100000" sqref="K163" name="Rango2_88_4_4_43"/>
    <protectedRange algorithmName="SHA-512" hashValue="EMMPgE8t/az1rHHzaZAQIhz+GQV0k2O/tQGA96sJqEEMzz1efIRa4CcLzC7iY9CCscto3g7dwz41haOE28iXYg==" saltValue="CVzFsG4X4LXUMo7796PiDQ==" spinCount="100000" sqref="L163:M163 J163 B163 D163:H163" name="Rango2_10_43"/>
    <protectedRange algorithmName="SHA-512" hashValue="6a5oYwZw9WJcgjqXpleUXH8uaqNEuymPPpeOb7lKBc1WoM6IG/DNyDLWmj2lYwxnZO2yhl+B61kwrxD9m9AdhQ==" saltValue="tdNQPzLQd+n9Ww064QJIaQ==" spinCount="100000" sqref="I164:I165" name="Rango2_61_44"/>
    <protectedRange algorithmName="SHA-512" hashValue="XM8+0Jh5zLWw02PI0Lt8dLqjTcW5ulySion19FAnruDN6QRp4UwcVqdfQxnOQAItgpWG7rNsELzjwy0iXOonxw==" saltValue="Sd4WFUedDfLKoMQTDrxJuQ==" spinCount="100000" sqref="K164:K165" name="Rango2_88_4_4_44"/>
    <protectedRange algorithmName="SHA-512" hashValue="EMMPgE8t/az1rHHzaZAQIhz+GQV0k2O/tQGA96sJqEEMzz1efIRa4CcLzC7iY9CCscto3g7dwz41haOE28iXYg==" saltValue="CVzFsG4X4LXUMo7796PiDQ==" spinCount="100000" sqref="L164:M165 J164:J165 B164:B165 D164:H165" name="Rango2_10_44"/>
    <protectedRange algorithmName="SHA-512" hashValue="6a5oYwZw9WJcgjqXpleUXH8uaqNEuymPPpeOb7lKBc1WoM6IG/DNyDLWmj2lYwxnZO2yhl+B61kwrxD9m9AdhQ==" saltValue="tdNQPzLQd+n9Ww064QJIaQ==" spinCount="100000" sqref="I166" name="Rango2_61_45"/>
    <protectedRange algorithmName="SHA-512" hashValue="XM8+0Jh5zLWw02PI0Lt8dLqjTcW5ulySion19FAnruDN6QRp4UwcVqdfQxnOQAItgpWG7rNsELzjwy0iXOonxw==" saltValue="Sd4WFUedDfLKoMQTDrxJuQ==" spinCount="100000" sqref="K166" name="Rango2_88_4_4_45"/>
    <protectedRange algorithmName="SHA-512" hashValue="EMMPgE8t/az1rHHzaZAQIhz+GQV0k2O/tQGA96sJqEEMzz1efIRa4CcLzC7iY9CCscto3g7dwz41haOE28iXYg==" saltValue="CVzFsG4X4LXUMo7796PiDQ==" spinCount="100000" sqref="L166:M166 J166 B166 D166:H166" name="Rango2_10_45"/>
    <protectedRange algorithmName="SHA-512" hashValue="6a5oYwZw9WJcgjqXpleUXH8uaqNEuymPPpeOb7lKBc1WoM6IG/DNyDLWmj2lYwxnZO2yhl+B61kwrxD9m9AdhQ==" saltValue="tdNQPzLQd+n9Ww064QJIaQ==" spinCount="100000" sqref="I167" name="Rango2_61_46"/>
    <protectedRange algorithmName="SHA-512" hashValue="XM8+0Jh5zLWw02PI0Lt8dLqjTcW5ulySion19FAnruDN6QRp4UwcVqdfQxnOQAItgpWG7rNsELzjwy0iXOonxw==" saltValue="Sd4WFUedDfLKoMQTDrxJuQ==" spinCount="100000" sqref="K167" name="Rango2_88_4_4_46"/>
    <protectedRange algorithmName="SHA-512" hashValue="EMMPgE8t/az1rHHzaZAQIhz+GQV0k2O/tQGA96sJqEEMzz1efIRa4CcLzC7iY9CCscto3g7dwz41haOE28iXYg==" saltValue="CVzFsG4X4LXUMo7796PiDQ==" spinCount="100000" sqref="L167:M167 J167 B167 D167:H167" name="Rango2_10_46"/>
    <protectedRange algorithmName="SHA-512" hashValue="6a5oYwZw9WJcgjqXpleUXH8uaqNEuymPPpeOb7lKBc1WoM6IG/DNyDLWmj2lYwxnZO2yhl+B61kwrxD9m9AdhQ==" saltValue="tdNQPzLQd+n9Ww064QJIaQ==" spinCount="100000" sqref="I168" name="Rango2_61_47"/>
    <protectedRange algorithmName="SHA-512" hashValue="XM8+0Jh5zLWw02PI0Lt8dLqjTcW5ulySion19FAnruDN6QRp4UwcVqdfQxnOQAItgpWG7rNsELzjwy0iXOonxw==" saltValue="Sd4WFUedDfLKoMQTDrxJuQ==" spinCount="100000" sqref="K168" name="Rango2_88_4_4_47"/>
    <protectedRange algorithmName="SHA-512" hashValue="EMMPgE8t/az1rHHzaZAQIhz+GQV0k2O/tQGA96sJqEEMzz1efIRa4CcLzC7iY9CCscto3g7dwz41haOE28iXYg==" saltValue="CVzFsG4X4LXUMo7796PiDQ==" spinCount="100000" sqref="L168:M168 J168 B168 D168:H168" name="Rango2_10_47"/>
    <protectedRange algorithmName="SHA-512" hashValue="6a5oYwZw9WJcgjqXpleUXH8uaqNEuymPPpeOb7lKBc1WoM6IG/DNyDLWmj2lYwxnZO2yhl+B61kwrxD9m9AdhQ==" saltValue="tdNQPzLQd+n9Ww064QJIaQ==" spinCount="100000" sqref="I169" name="Rango2_61_48"/>
    <protectedRange algorithmName="SHA-512" hashValue="XM8+0Jh5zLWw02PI0Lt8dLqjTcW5ulySion19FAnruDN6QRp4UwcVqdfQxnOQAItgpWG7rNsELzjwy0iXOonxw==" saltValue="Sd4WFUedDfLKoMQTDrxJuQ==" spinCount="100000" sqref="K169" name="Rango2_88_4_4_48"/>
    <protectedRange algorithmName="SHA-512" hashValue="EMMPgE8t/az1rHHzaZAQIhz+GQV0k2O/tQGA96sJqEEMzz1efIRa4CcLzC7iY9CCscto3g7dwz41haOE28iXYg==" saltValue="CVzFsG4X4LXUMo7796PiDQ==" spinCount="100000" sqref="L169:M169 J169 B169 D169:H169" name="Rango2_10_48"/>
    <protectedRange algorithmName="SHA-512" hashValue="6a5oYwZw9WJcgjqXpleUXH8uaqNEuymPPpeOb7lKBc1WoM6IG/DNyDLWmj2lYwxnZO2yhl+B61kwrxD9m9AdhQ==" saltValue="tdNQPzLQd+n9Ww064QJIaQ==" spinCount="100000" sqref="I170" name="Rango2_61_49"/>
    <protectedRange algorithmName="SHA-512" hashValue="XM8+0Jh5zLWw02PI0Lt8dLqjTcW5ulySion19FAnruDN6QRp4UwcVqdfQxnOQAItgpWG7rNsELzjwy0iXOonxw==" saltValue="Sd4WFUedDfLKoMQTDrxJuQ==" spinCount="100000" sqref="K170" name="Rango2_88_4_4_49"/>
    <protectedRange algorithmName="SHA-512" hashValue="EMMPgE8t/az1rHHzaZAQIhz+GQV0k2O/tQGA96sJqEEMzz1efIRa4CcLzC7iY9CCscto3g7dwz41haOE28iXYg==" saltValue="CVzFsG4X4LXUMo7796PiDQ==" spinCount="100000" sqref="L170:M170 J170 B170 D170:H170" name="Rango2_10_49"/>
    <protectedRange algorithmName="SHA-512" hashValue="6a5oYwZw9WJcgjqXpleUXH8uaqNEuymPPpeOb7lKBc1WoM6IG/DNyDLWmj2lYwxnZO2yhl+B61kwrxD9m9AdhQ==" saltValue="tdNQPzLQd+n9Ww064QJIaQ==" spinCount="100000" sqref="I171:I172" name="Rango2_61_50"/>
    <protectedRange algorithmName="SHA-512" hashValue="XM8+0Jh5zLWw02PI0Lt8dLqjTcW5ulySion19FAnruDN6QRp4UwcVqdfQxnOQAItgpWG7rNsELzjwy0iXOonxw==" saltValue="Sd4WFUedDfLKoMQTDrxJuQ==" spinCount="100000" sqref="K171:K172" name="Rango2_88_4_4_50"/>
    <protectedRange algorithmName="SHA-512" hashValue="EMMPgE8t/az1rHHzaZAQIhz+GQV0k2O/tQGA96sJqEEMzz1efIRa4CcLzC7iY9CCscto3g7dwz41haOE28iXYg==" saltValue="CVzFsG4X4LXUMo7796PiDQ==" spinCount="100000" sqref="L171:M172 J171:J172 B171:B172 D171:H172" name="Rango2_10_50"/>
    <protectedRange algorithmName="SHA-512" hashValue="6a5oYwZw9WJcgjqXpleUXH8uaqNEuymPPpeOb7lKBc1WoM6IG/DNyDLWmj2lYwxnZO2yhl+B61kwrxD9m9AdhQ==" saltValue="tdNQPzLQd+n9Ww064QJIaQ==" spinCount="100000" sqref="I173:I175" name="Rango2_61_51"/>
    <protectedRange algorithmName="SHA-512" hashValue="XM8+0Jh5zLWw02PI0Lt8dLqjTcW5ulySion19FAnruDN6QRp4UwcVqdfQxnOQAItgpWG7rNsELzjwy0iXOonxw==" saltValue="Sd4WFUedDfLKoMQTDrxJuQ==" spinCount="100000" sqref="K173:K175" name="Rango2_88_4_4_51"/>
    <protectedRange algorithmName="SHA-512" hashValue="EMMPgE8t/az1rHHzaZAQIhz+GQV0k2O/tQGA96sJqEEMzz1efIRa4CcLzC7iY9CCscto3g7dwz41haOE28iXYg==" saltValue="CVzFsG4X4LXUMo7796PiDQ==" spinCount="100000" sqref="L173:M175 J173:J175 B173:B175 D173:H175" name="Rango2_10_51"/>
    <protectedRange algorithmName="SHA-512" hashValue="6a5oYwZw9WJcgjqXpleUXH8uaqNEuymPPpeOb7lKBc1WoM6IG/DNyDLWmj2lYwxnZO2yhl+B61kwrxD9m9AdhQ==" saltValue="tdNQPzLQd+n9Ww064QJIaQ==" spinCount="100000" sqref="I176" name="Rango2_61_52"/>
    <protectedRange algorithmName="SHA-512" hashValue="XM8+0Jh5zLWw02PI0Lt8dLqjTcW5ulySion19FAnruDN6QRp4UwcVqdfQxnOQAItgpWG7rNsELzjwy0iXOonxw==" saltValue="Sd4WFUedDfLKoMQTDrxJuQ==" spinCount="100000" sqref="K176" name="Rango2_88_4_4_52"/>
    <protectedRange algorithmName="SHA-512" hashValue="EMMPgE8t/az1rHHzaZAQIhz+GQV0k2O/tQGA96sJqEEMzz1efIRa4CcLzC7iY9CCscto3g7dwz41haOE28iXYg==" saltValue="CVzFsG4X4LXUMo7796PiDQ==" spinCount="100000" sqref="L176:M176 J176 B176 D176:H176" name="Rango2_10_52"/>
    <protectedRange algorithmName="SHA-512" hashValue="6a5oYwZw9WJcgjqXpleUXH8uaqNEuymPPpeOb7lKBc1WoM6IG/DNyDLWmj2lYwxnZO2yhl+B61kwrxD9m9AdhQ==" saltValue="tdNQPzLQd+n9Ww064QJIaQ==" spinCount="100000" sqref="I177:I178" name="Rango2_61_53"/>
    <protectedRange algorithmName="SHA-512" hashValue="XM8+0Jh5zLWw02PI0Lt8dLqjTcW5ulySion19FAnruDN6QRp4UwcVqdfQxnOQAItgpWG7rNsELzjwy0iXOonxw==" saltValue="Sd4WFUedDfLKoMQTDrxJuQ==" spinCount="100000" sqref="K177:K178" name="Rango2_88_4_4_53"/>
    <protectedRange algorithmName="SHA-512" hashValue="EMMPgE8t/az1rHHzaZAQIhz+GQV0k2O/tQGA96sJqEEMzz1efIRa4CcLzC7iY9CCscto3g7dwz41haOE28iXYg==" saltValue="CVzFsG4X4LXUMo7796PiDQ==" spinCount="100000" sqref="L177:M178 J177:J178 B177:B178 D177:H178" name="Rango2_10_53"/>
    <protectedRange algorithmName="SHA-512" hashValue="6a5oYwZw9WJcgjqXpleUXH8uaqNEuymPPpeOb7lKBc1WoM6IG/DNyDLWmj2lYwxnZO2yhl+B61kwrxD9m9AdhQ==" saltValue="tdNQPzLQd+n9Ww064QJIaQ==" spinCount="100000" sqref="I179" name="Rango2_61_54"/>
    <protectedRange algorithmName="SHA-512" hashValue="XM8+0Jh5zLWw02PI0Lt8dLqjTcW5ulySion19FAnruDN6QRp4UwcVqdfQxnOQAItgpWG7rNsELzjwy0iXOonxw==" saltValue="Sd4WFUedDfLKoMQTDrxJuQ==" spinCount="100000" sqref="K179" name="Rango2_88_4_4_54"/>
    <protectedRange algorithmName="SHA-512" hashValue="EMMPgE8t/az1rHHzaZAQIhz+GQV0k2O/tQGA96sJqEEMzz1efIRa4CcLzC7iY9CCscto3g7dwz41haOE28iXYg==" saltValue="CVzFsG4X4LXUMo7796PiDQ==" spinCount="100000" sqref="L179:M179 J179 B179 D179:H179" name="Rango2_10_54"/>
    <protectedRange algorithmName="SHA-512" hashValue="6a5oYwZw9WJcgjqXpleUXH8uaqNEuymPPpeOb7lKBc1WoM6IG/DNyDLWmj2lYwxnZO2yhl+B61kwrxD9m9AdhQ==" saltValue="tdNQPzLQd+n9Ww064QJIaQ==" spinCount="100000" sqref="I180" name="Rango2_61_55"/>
    <protectedRange algorithmName="SHA-512" hashValue="XM8+0Jh5zLWw02PI0Lt8dLqjTcW5ulySion19FAnruDN6QRp4UwcVqdfQxnOQAItgpWG7rNsELzjwy0iXOonxw==" saltValue="Sd4WFUedDfLKoMQTDrxJuQ==" spinCount="100000" sqref="K180" name="Rango2_88_4_4_55"/>
    <protectedRange algorithmName="SHA-512" hashValue="EMMPgE8t/az1rHHzaZAQIhz+GQV0k2O/tQGA96sJqEEMzz1efIRa4CcLzC7iY9CCscto3g7dwz41haOE28iXYg==" saltValue="CVzFsG4X4LXUMo7796PiDQ==" spinCount="100000" sqref="L180:M180 J180 B180 D180:H180" name="Rango2_10_55"/>
    <protectedRange algorithmName="SHA-512" hashValue="6a5oYwZw9WJcgjqXpleUXH8uaqNEuymPPpeOb7lKBc1WoM6IG/DNyDLWmj2lYwxnZO2yhl+B61kwrxD9m9AdhQ==" saltValue="tdNQPzLQd+n9Ww064QJIaQ==" spinCount="100000" sqref="I181" name="Rango2_61_56"/>
    <protectedRange algorithmName="SHA-512" hashValue="XM8+0Jh5zLWw02PI0Lt8dLqjTcW5ulySion19FAnruDN6QRp4UwcVqdfQxnOQAItgpWG7rNsELzjwy0iXOonxw==" saltValue="Sd4WFUedDfLKoMQTDrxJuQ==" spinCount="100000" sqref="K181" name="Rango2_88_4_4_56"/>
    <protectedRange algorithmName="SHA-512" hashValue="EMMPgE8t/az1rHHzaZAQIhz+GQV0k2O/tQGA96sJqEEMzz1efIRa4CcLzC7iY9CCscto3g7dwz41haOE28iXYg==" saltValue="CVzFsG4X4LXUMo7796PiDQ==" spinCount="100000" sqref="L181:M181 J181 B181 D181:H181" name="Rango2_10_56"/>
    <protectedRange algorithmName="SHA-512" hashValue="6a5oYwZw9WJcgjqXpleUXH8uaqNEuymPPpeOb7lKBc1WoM6IG/DNyDLWmj2lYwxnZO2yhl+B61kwrxD9m9AdhQ==" saltValue="tdNQPzLQd+n9Ww064QJIaQ==" spinCount="100000" sqref="I182" name="Rango2_61_57"/>
    <protectedRange algorithmName="SHA-512" hashValue="XM8+0Jh5zLWw02PI0Lt8dLqjTcW5ulySion19FAnruDN6QRp4UwcVqdfQxnOQAItgpWG7rNsELzjwy0iXOonxw==" saltValue="Sd4WFUedDfLKoMQTDrxJuQ==" spinCount="100000" sqref="K182" name="Rango2_88_4_4_57"/>
    <protectedRange algorithmName="SHA-512" hashValue="EMMPgE8t/az1rHHzaZAQIhz+GQV0k2O/tQGA96sJqEEMzz1efIRa4CcLzC7iY9CCscto3g7dwz41haOE28iXYg==" saltValue="CVzFsG4X4LXUMo7796PiDQ==" spinCount="100000" sqref="L182:M182 J182 B182 D182:H182" name="Rango2_10_57"/>
    <protectedRange algorithmName="SHA-512" hashValue="6a5oYwZw9WJcgjqXpleUXH8uaqNEuymPPpeOb7lKBc1WoM6IG/DNyDLWmj2lYwxnZO2yhl+B61kwrxD9m9AdhQ==" saltValue="tdNQPzLQd+n9Ww064QJIaQ==" spinCount="100000" sqref="I183" name="Rango2_61_58"/>
    <protectedRange algorithmName="SHA-512" hashValue="XM8+0Jh5zLWw02PI0Lt8dLqjTcW5ulySion19FAnruDN6QRp4UwcVqdfQxnOQAItgpWG7rNsELzjwy0iXOonxw==" saltValue="Sd4WFUedDfLKoMQTDrxJuQ==" spinCount="100000" sqref="K183" name="Rango2_88_4_4_58"/>
    <protectedRange algorithmName="SHA-512" hashValue="EMMPgE8t/az1rHHzaZAQIhz+GQV0k2O/tQGA96sJqEEMzz1efIRa4CcLzC7iY9CCscto3g7dwz41haOE28iXYg==" saltValue="CVzFsG4X4LXUMo7796PiDQ==" spinCount="100000" sqref="L183:M183 J183 B183 D183:H183" name="Rango2_10_58"/>
    <protectedRange algorithmName="SHA-512" hashValue="6a5oYwZw9WJcgjqXpleUXH8uaqNEuymPPpeOb7lKBc1WoM6IG/DNyDLWmj2lYwxnZO2yhl+B61kwrxD9m9AdhQ==" saltValue="tdNQPzLQd+n9Ww064QJIaQ==" spinCount="100000" sqref="I184:I187" name="Rango2_61_59"/>
    <protectedRange algorithmName="SHA-512" hashValue="XM8+0Jh5zLWw02PI0Lt8dLqjTcW5ulySion19FAnruDN6QRp4UwcVqdfQxnOQAItgpWG7rNsELzjwy0iXOonxw==" saltValue="Sd4WFUedDfLKoMQTDrxJuQ==" spinCount="100000" sqref="K184:K187" name="Rango2_88_4_4_59"/>
    <protectedRange algorithmName="SHA-512" hashValue="EMMPgE8t/az1rHHzaZAQIhz+GQV0k2O/tQGA96sJqEEMzz1efIRa4CcLzC7iY9CCscto3g7dwz41haOE28iXYg==" saltValue="CVzFsG4X4LXUMo7796PiDQ==" spinCount="100000" sqref="L184:M187 J184:J187 B184:B187 D184:H187" name="Rango2_10_59"/>
    <protectedRange algorithmName="SHA-512" hashValue="RQ91b7oAw60DVtcgB2vRpial2kSdzJx5guGCTYUwXYkKrtrUHfiYnLf9R+SNpYXlJDYpyEJLhcWwP0EqNN86dQ==" saltValue="W3RbH3zrcY9sy39xNwXNxg==" spinCount="100000" sqref="BA142:BI143 BV142:BY143" name="Rango2_88_99_57"/>
    <protectedRange algorithmName="SHA-512" hashValue="fMbmUM1DQ7FuAPRNvFL5mPdHUYjQnlLFhkuaxvHguaqR7aWyDxcmJs0jLYQfQKY+oyhsMb4Lew4VL6i7um3/ew==" saltValue="ydaTm0CeH8+/cYqoL/AMaQ==" spinCount="100000" sqref="AU142:AU143 AW142:AZ143" name="Rango2_88_91_53"/>
    <protectedRange algorithmName="SHA-512" hashValue="CHipOQaT63FWw628cQcXXJRZlrbNZ7OgmnEbDx38UmmH7z19GRYEzXFiVOzHAy1OAaAbST7g2bHZHDKQp2qm3w==" saltValue="iRVuL+373yLHv0ZHzS9qog==" spinCount="100000" sqref="AJ142:AJ143 AG142:AH143 AL142:AL143" name="Rango2_88_7_5_57"/>
    <protectedRange algorithmName="SHA-512" hashValue="NkG6oHuDGvGBEiLAAq8MEJHEfLQUMyjihfH+DBXhT+eQW0r1yri7tOJEFRM9nbOejjjXiviq9RFo7KB7wF+xJA==" saltValue="bpjB0AAANu2X/PeR3eiFkA==" spinCount="100000" sqref="AM142:AS143" name="Rango2_88_65_54"/>
    <protectedRange algorithmName="SHA-512" hashValue="fPHvtIAf3pQeZUoAI9C2/vdXMHBpqqEq+67P5Ypyu4+9IWqs3yc9TZcMWQ0THLxUwqseQPyVvakuYFtCwJHsxA==" saltValue="QHIogSs2PrwAfdqa9PAOFQ==" spinCount="100000" sqref="AC142:AC143" name="Rango2_88_5_5_54"/>
    <protectedRange algorithmName="SHA-512" hashValue="LEEeiU6pKqm7TAP46VGlz0q+evvFwpT/0iLpRuWuQ7MacbP0OGL1/FSmrIEOg2rb6M+Jla2bPbVWiGag27j87w==" saltValue="HEVt+pS5OloNDlqSnzGLLw==" spinCount="100000" sqref="AI142:AI143" name="Rango2_8_7_54"/>
    <protectedRange algorithmName="SHA-512" hashValue="AYYX88LSDB6RDNMvSqt0KPGWPjBqTk56tMxTOlv5QD61MGTKAAQnSnudvNDWPN0Bbllh2qRQC+P5uq7goxjdrw==" saltValue="i/iPMewnks1FoXYOjKMEVg==" spinCount="100000" sqref="AB142:AB143" name="Rango2_87_6_54"/>
    <protectedRange algorithmName="SHA-512" hashValue="NUll9P9xh7KbSfMYpMxsRZLfDw/y/AzW2LSWlpXVscBDqiAxmzo71xjs+a2lh+jRa7pceOC849slke4+ZKx8LA==" saltValue="8qbkKpQ+CiQuLnqgShNvXA==" spinCount="100000" sqref="T142:T143" name="Rango2_88_6_54"/>
    <protectedRange algorithmName="SHA-512" hashValue="KHhv3JU/LRdRrRTxxkgFceEHPZ5UzadmpZRZR3zmQRnPvkUJZuanRafIJ+qde0IWwLZSvFIQDyUAHq6v6k7XIg==" saltValue="2GKG1kCzVNNcn+vbOPuhJA==" spinCount="100000" sqref="Q142:Q143" name="Rango2_2_5_54"/>
    <protectedRange algorithmName="SHA-512" hashValue="RQ91b7oAw60DVtcgB2vRpial2kSdzJx5guGCTYUwXYkKrtrUHfiYnLf9R+SNpYXlJDYpyEJLhcWwP0EqNN86dQ==" saltValue="W3RbH3zrcY9sy39xNwXNxg==" spinCount="100000" sqref="BA144:BI144 BV144:BY144" name="Rango2_88_99_58"/>
    <protectedRange algorithmName="SHA-512" hashValue="fMbmUM1DQ7FuAPRNvFL5mPdHUYjQnlLFhkuaxvHguaqR7aWyDxcmJs0jLYQfQKY+oyhsMb4Lew4VL6i7um3/ew==" saltValue="ydaTm0CeH8+/cYqoL/AMaQ==" spinCount="100000" sqref="AU144 AW144:AZ144" name="Rango2_88_91_54"/>
    <protectedRange algorithmName="SHA-512" hashValue="CHipOQaT63FWw628cQcXXJRZlrbNZ7OgmnEbDx38UmmH7z19GRYEzXFiVOzHAy1OAaAbST7g2bHZHDKQp2qm3w==" saltValue="iRVuL+373yLHv0ZHzS9qog==" spinCount="100000" sqref="AJ144 AG144:AH144 AL144" name="Rango2_88_7_5_58"/>
    <protectedRange algorithmName="SHA-512" hashValue="NkG6oHuDGvGBEiLAAq8MEJHEfLQUMyjihfH+DBXhT+eQW0r1yri7tOJEFRM9nbOejjjXiviq9RFo7KB7wF+xJA==" saltValue="bpjB0AAANu2X/PeR3eiFkA==" spinCount="100000" sqref="AM144:AS144" name="Rango2_88_65_55"/>
    <protectedRange algorithmName="SHA-512" hashValue="fPHvtIAf3pQeZUoAI9C2/vdXMHBpqqEq+67P5Ypyu4+9IWqs3yc9TZcMWQ0THLxUwqseQPyVvakuYFtCwJHsxA==" saltValue="QHIogSs2PrwAfdqa9PAOFQ==" spinCount="100000" sqref="AC144" name="Rango2_88_5_5_55"/>
    <protectedRange algorithmName="SHA-512" hashValue="LEEeiU6pKqm7TAP46VGlz0q+evvFwpT/0iLpRuWuQ7MacbP0OGL1/FSmrIEOg2rb6M+Jla2bPbVWiGag27j87w==" saltValue="HEVt+pS5OloNDlqSnzGLLw==" spinCount="100000" sqref="AI144" name="Rango2_8_7_55"/>
    <protectedRange algorithmName="SHA-512" hashValue="AYYX88LSDB6RDNMvSqt0KPGWPjBqTk56tMxTOlv5QD61MGTKAAQnSnudvNDWPN0Bbllh2qRQC+P5uq7goxjdrw==" saltValue="i/iPMewnks1FoXYOjKMEVg==" spinCount="100000" sqref="AB144" name="Rango2_87_6_55"/>
    <protectedRange algorithmName="SHA-512" hashValue="NUll9P9xh7KbSfMYpMxsRZLfDw/y/AzW2LSWlpXVscBDqiAxmzo71xjs+a2lh+jRa7pceOC849slke4+ZKx8LA==" saltValue="8qbkKpQ+CiQuLnqgShNvXA==" spinCount="100000" sqref="T144" name="Rango2_88_6_55"/>
    <protectedRange algorithmName="SHA-512" hashValue="KHhv3JU/LRdRrRTxxkgFceEHPZ5UzadmpZRZR3zmQRnPvkUJZuanRafIJ+qde0IWwLZSvFIQDyUAHq6v6k7XIg==" saltValue="2GKG1kCzVNNcn+vbOPuhJA==" spinCount="100000" sqref="Q144" name="Rango2_2_5_55"/>
    <protectedRange algorithmName="SHA-512" hashValue="RQ91b7oAw60DVtcgB2vRpial2kSdzJx5guGCTYUwXYkKrtrUHfiYnLf9R+SNpYXlJDYpyEJLhcWwP0EqNN86dQ==" saltValue="W3RbH3zrcY9sy39xNwXNxg==" spinCount="100000" sqref="BA145:BI145 BV145:BY145" name="Rango2_88_99_59"/>
    <protectedRange algorithmName="SHA-512" hashValue="fMbmUM1DQ7FuAPRNvFL5mPdHUYjQnlLFhkuaxvHguaqR7aWyDxcmJs0jLYQfQKY+oyhsMb4Lew4VL6i7um3/ew==" saltValue="ydaTm0CeH8+/cYqoL/AMaQ==" spinCount="100000" sqref="AU145 AW145:AZ145" name="Rango2_88_91_55"/>
    <protectedRange algorithmName="SHA-512" hashValue="CHipOQaT63FWw628cQcXXJRZlrbNZ7OgmnEbDx38UmmH7z19GRYEzXFiVOzHAy1OAaAbST7g2bHZHDKQp2qm3w==" saltValue="iRVuL+373yLHv0ZHzS9qog==" spinCount="100000" sqref="AJ145 AG145:AH145 AL145" name="Rango2_88_7_5_59"/>
    <protectedRange algorithmName="SHA-512" hashValue="NkG6oHuDGvGBEiLAAq8MEJHEfLQUMyjihfH+DBXhT+eQW0r1yri7tOJEFRM9nbOejjjXiviq9RFo7KB7wF+xJA==" saltValue="bpjB0AAANu2X/PeR3eiFkA==" spinCount="100000" sqref="AM145:AS145" name="Rango2_88_65_56"/>
    <protectedRange algorithmName="SHA-512" hashValue="fPHvtIAf3pQeZUoAI9C2/vdXMHBpqqEq+67P5Ypyu4+9IWqs3yc9TZcMWQ0THLxUwqseQPyVvakuYFtCwJHsxA==" saltValue="QHIogSs2PrwAfdqa9PAOFQ==" spinCount="100000" sqref="AC145" name="Rango2_88_5_5_56"/>
    <protectedRange algorithmName="SHA-512" hashValue="LEEeiU6pKqm7TAP46VGlz0q+evvFwpT/0iLpRuWuQ7MacbP0OGL1/FSmrIEOg2rb6M+Jla2bPbVWiGag27j87w==" saltValue="HEVt+pS5OloNDlqSnzGLLw==" spinCount="100000" sqref="AI145" name="Rango2_8_7_56"/>
    <protectedRange algorithmName="SHA-512" hashValue="AYYX88LSDB6RDNMvSqt0KPGWPjBqTk56tMxTOlv5QD61MGTKAAQnSnudvNDWPN0Bbllh2qRQC+P5uq7goxjdrw==" saltValue="i/iPMewnks1FoXYOjKMEVg==" spinCount="100000" sqref="AB145" name="Rango2_87_6_56"/>
    <protectedRange algorithmName="SHA-512" hashValue="NUll9P9xh7KbSfMYpMxsRZLfDw/y/AzW2LSWlpXVscBDqiAxmzo71xjs+a2lh+jRa7pceOC849slke4+ZKx8LA==" saltValue="8qbkKpQ+CiQuLnqgShNvXA==" spinCount="100000" sqref="T145" name="Rango2_88_6_56"/>
    <protectedRange algorithmName="SHA-512" hashValue="KHhv3JU/LRdRrRTxxkgFceEHPZ5UzadmpZRZR3zmQRnPvkUJZuanRafIJ+qde0IWwLZSvFIQDyUAHq6v6k7XIg==" saltValue="2GKG1kCzVNNcn+vbOPuhJA==" spinCount="100000" sqref="Q145" name="Rango2_2_5_56"/>
    <protectedRange algorithmName="SHA-512" hashValue="RQ91b7oAw60DVtcgB2vRpial2kSdzJx5guGCTYUwXYkKrtrUHfiYnLf9R+SNpYXlJDYpyEJLhcWwP0EqNN86dQ==" saltValue="W3RbH3zrcY9sy39xNwXNxg==" spinCount="100000" sqref="BA146:BI147 BV146:BY147" name="Rango2_88_99_60"/>
    <protectedRange algorithmName="SHA-512" hashValue="fMbmUM1DQ7FuAPRNvFL5mPdHUYjQnlLFhkuaxvHguaqR7aWyDxcmJs0jLYQfQKY+oyhsMb4Lew4VL6i7um3/ew==" saltValue="ydaTm0CeH8+/cYqoL/AMaQ==" spinCount="100000" sqref="AU146:AU147 AW146:AZ147" name="Rango2_88_91_56"/>
    <protectedRange algorithmName="SHA-512" hashValue="CHipOQaT63FWw628cQcXXJRZlrbNZ7OgmnEbDx38UmmH7z19GRYEzXFiVOzHAy1OAaAbST7g2bHZHDKQp2qm3w==" saltValue="iRVuL+373yLHv0ZHzS9qog==" spinCount="100000" sqref="AJ146:AJ147 AG146:AH147 AL146:AL147" name="Rango2_88_7_5_60"/>
    <protectedRange algorithmName="SHA-512" hashValue="NkG6oHuDGvGBEiLAAq8MEJHEfLQUMyjihfH+DBXhT+eQW0r1yri7tOJEFRM9nbOejjjXiviq9RFo7KB7wF+xJA==" saltValue="bpjB0AAANu2X/PeR3eiFkA==" spinCount="100000" sqref="AM146:AS147" name="Rango2_88_65_57"/>
    <protectedRange algorithmName="SHA-512" hashValue="fPHvtIAf3pQeZUoAI9C2/vdXMHBpqqEq+67P5Ypyu4+9IWqs3yc9TZcMWQ0THLxUwqseQPyVvakuYFtCwJHsxA==" saltValue="QHIogSs2PrwAfdqa9PAOFQ==" spinCount="100000" sqref="AC146:AC147" name="Rango2_88_5_5_57"/>
    <protectedRange algorithmName="SHA-512" hashValue="LEEeiU6pKqm7TAP46VGlz0q+evvFwpT/0iLpRuWuQ7MacbP0OGL1/FSmrIEOg2rb6M+Jla2bPbVWiGag27j87w==" saltValue="HEVt+pS5OloNDlqSnzGLLw==" spinCount="100000" sqref="AI146:AI147" name="Rango2_8_7_57"/>
    <protectedRange algorithmName="SHA-512" hashValue="AYYX88LSDB6RDNMvSqt0KPGWPjBqTk56tMxTOlv5QD61MGTKAAQnSnudvNDWPN0Bbllh2qRQC+P5uq7goxjdrw==" saltValue="i/iPMewnks1FoXYOjKMEVg==" spinCount="100000" sqref="AB146:AB147" name="Rango2_87_6_57"/>
    <protectedRange algorithmName="SHA-512" hashValue="NUll9P9xh7KbSfMYpMxsRZLfDw/y/AzW2LSWlpXVscBDqiAxmzo71xjs+a2lh+jRa7pceOC849slke4+ZKx8LA==" saltValue="8qbkKpQ+CiQuLnqgShNvXA==" spinCount="100000" sqref="T146:T147" name="Rango2_88_6_57"/>
    <protectedRange algorithmName="SHA-512" hashValue="KHhv3JU/LRdRrRTxxkgFceEHPZ5UzadmpZRZR3zmQRnPvkUJZuanRafIJ+qde0IWwLZSvFIQDyUAHq6v6k7XIg==" saltValue="2GKG1kCzVNNcn+vbOPuhJA==" spinCount="100000" sqref="Q146:Q147" name="Rango2_2_5_57"/>
    <protectedRange algorithmName="SHA-512" hashValue="RQ91b7oAw60DVtcgB2vRpial2kSdzJx5guGCTYUwXYkKrtrUHfiYnLf9R+SNpYXlJDYpyEJLhcWwP0EqNN86dQ==" saltValue="W3RbH3zrcY9sy39xNwXNxg==" spinCount="100000" sqref="BA148:BI149 BV148:BY149" name="Rango2_88_99_61"/>
    <protectedRange algorithmName="SHA-512" hashValue="fMbmUM1DQ7FuAPRNvFL5mPdHUYjQnlLFhkuaxvHguaqR7aWyDxcmJs0jLYQfQKY+oyhsMb4Lew4VL6i7um3/ew==" saltValue="ydaTm0CeH8+/cYqoL/AMaQ==" spinCount="100000" sqref="AU148:AU149 AW148:AZ149" name="Rango2_88_91_57"/>
    <protectedRange algorithmName="SHA-512" hashValue="CHipOQaT63FWw628cQcXXJRZlrbNZ7OgmnEbDx38UmmH7z19GRYEzXFiVOzHAy1OAaAbST7g2bHZHDKQp2qm3w==" saltValue="iRVuL+373yLHv0ZHzS9qog==" spinCount="100000" sqref="AJ148:AJ149 AG148:AH149 AL148:AL149" name="Rango2_88_7_5_61"/>
    <protectedRange algorithmName="SHA-512" hashValue="NkG6oHuDGvGBEiLAAq8MEJHEfLQUMyjihfH+DBXhT+eQW0r1yri7tOJEFRM9nbOejjjXiviq9RFo7KB7wF+xJA==" saltValue="bpjB0AAANu2X/PeR3eiFkA==" spinCount="100000" sqref="AM148:AS149" name="Rango2_88_65_58"/>
    <protectedRange algorithmName="SHA-512" hashValue="fPHvtIAf3pQeZUoAI9C2/vdXMHBpqqEq+67P5Ypyu4+9IWqs3yc9TZcMWQ0THLxUwqseQPyVvakuYFtCwJHsxA==" saltValue="QHIogSs2PrwAfdqa9PAOFQ==" spinCount="100000" sqref="AC148:AC149" name="Rango2_88_5_5_58"/>
    <protectedRange algorithmName="SHA-512" hashValue="LEEeiU6pKqm7TAP46VGlz0q+evvFwpT/0iLpRuWuQ7MacbP0OGL1/FSmrIEOg2rb6M+Jla2bPbVWiGag27j87w==" saltValue="HEVt+pS5OloNDlqSnzGLLw==" spinCount="100000" sqref="AI148:AI149" name="Rango2_8_7_58"/>
    <protectedRange algorithmName="SHA-512" hashValue="AYYX88LSDB6RDNMvSqt0KPGWPjBqTk56tMxTOlv5QD61MGTKAAQnSnudvNDWPN0Bbllh2qRQC+P5uq7goxjdrw==" saltValue="i/iPMewnks1FoXYOjKMEVg==" spinCount="100000" sqref="AB148:AB149" name="Rango2_87_6_58"/>
    <protectedRange algorithmName="SHA-512" hashValue="NUll9P9xh7KbSfMYpMxsRZLfDw/y/AzW2LSWlpXVscBDqiAxmzo71xjs+a2lh+jRa7pceOC849slke4+ZKx8LA==" saltValue="8qbkKpQ+CiQuLnqgShNvXA==" spinCount="100000" sqref="T148:T149" name="Rango2_88_6_58"/>
    <protectedRange algorithmName="SHA-512" hashValue="KHhv3JU/LRdRrRTxxkgFceEHPZ5UzadmpZRZR3zmQRnPvkUJZuanRafIJ+qde0IWwLZSvFIQDyUAHq6v6k7XIg==" saltValue="2GKG1kCzVNNcn+vbOPuhJA==" spinCount="100000" sqref="Q148:Q149" name="Rango2_2_5_58"/>
    <protectedRange algorithmName="SHA-512" hashValue="RQ91b7oAw60DVtcgB2vRpial2kSdzJx5guGCTYUwXYkKrtrUHfiYnLf9R+SNpYXlJDYpyEJLhcWwP0EqNN86dQ==" saltValue="W3RbH3zrcY9sy39xNwXNxg==" spinCount="100000" sqref="BA150:BI150 BV150:BY150" name="Rango2_88_99_62"/>
    <protectedRange algorithmName="SHA-512" hashValue="fMbmUM1DQ7FuAPRNvFL5mPdHUYjQnlLFhkuaxvHguaqR7aWyDxcmJs0jLYQfQKY+oyhsMb4Lew4VL6i7um3/ew==" saltValue="ydaTm0CeH8+/cYqoL/AMaQ==" spinCount="100000" sqref="AU150 AW150:AZ150" name="Rango2_88_91_58"/>
    <protectedRange algorithmName="SHA-512" hashValue="CHipOQaT63FWw628cQcXXJRZlrbNZ7OgmnEbDx38UmmH7z19GRYEzXFiVOzHAy1OAaAbST7g2bHZHDKQp2qm3w==" saltValue="iRVuL+373yLHv0ZHzS9qog==" spinCount="100000" sqref="AJ150 AG150:AH150 AL150" name="Rango2_88_7_5_62"/>
    <protectedRange algorithmName="SHA-512" hashValue="NkG6oHuDGvGBEiLAAq8MEJHEfLQUMyjihfH+DBXhT+eQW0r1yri7tOJEFRM9nbOejjjXiviq9RFo7KB7wF+xJA==" saltValue="bpjB0AAANu2X/PeR3eiFkA==" spinCount="100000" sqref="AM150:AS150" name="Rango2_88_65_59"/>
    <protectedRange algorithmName="SHA-512" hashValue="fPHvtIAf3pQeZUoAI9C2/vdXMHBpqqEq+67P5Ypyu4+9IWqs3yc9TZcMWQ0THLxUwqseQPyVvakuYFtCwJHsxA==" saltValue="QHIogSs2PrwAfdqa9PAOFQ==" spinCount="100000" sqref="AC150" name="Rango2_88_5_5_59"/>
    <protectedRange algorithmName="SHA-512" hashValue="LEEeiU6pKqm7TAP46VGlz0q+evvFwpT/0iLpRuWuQ7MacbP0OGL1/FSmrIEOg2rb6M+Jla2bPbVWiGag27j87w==" saltValue="HEVt+pS5OloNDlqSnzGLLw==" spinCount="100000" sqref="AI150" name="Rango2_8_7_59"/>
    <protectedRange algorithmName="SHA-512" hashValue="AYYX88LSDB6RDNMvSqt0KPGWPjBqTk56tMxTOlv5QD61MGTKAAQnSnudvNDWPN0Bbllh2qRQC+P5uq7goxjdrw==" saltValue="i/iPMewnks1FoXYOjKMEVg==" spinCount="100000" sqref="AB150" name="Rango2_87_6_59"/>
    <protectedRange algorithmName="SHA-512" hashValue="NUll9P9xh7KbSfMYpMxsRZLfDw/y/AzW2LSWlpXVscBDqiAxmzo71xjs+a2lh+jRa7pceOC849slke4+ZKx8LA==" saltValue="8qbkKpQ+CiQuLnqgShNvXA==" spinCount="100000" sqref="T150" name="Rango2_88_6_59"/>
    <protectedRange algorithmName="SHA-512" hashValue="KHhv3JU/LRdRrRTxxkgFceEHPZ5UzadmpZRZR3zmQRnPvkUJZuanRafIJ+qde0IWwLZSvFIQDyUAHq6v6k7XIg==" saltValue="2GKG1kCzVNNcn+vbOPuhJA==" spinCount="100000" sqref="Q150" name="Rango2_2_5_59"/>
    <protectedRange algorithmName="SHA-512" hashValue="RQ91b7oAw60DVtcgB2vRpial2kSdzJx5guGCTYUwXYkKrtrUHfiYnLf9R+SNpYXlJDYpyEJLhcWwP0EqNN86dQ==" saltValue="W3RbH3zrcY9sy39xNwXNxg==" spinCount="100000" sqref="BA151:BI151 BV151:BY151" name="Rango2_88_99_63"/>
    <protectedRange algorithmName="SHA-512" hashValue="fMbmUM1DQ7FuAPRNvFL5mPdHUYjQnlLFhkuaxvHguaqR7aWyDxcmJs0jLYQfQKY+oyhsMb4Lew4VL6i7um3/ew==" saltValue="ydaTm0CeH8+/cYqoL/AMaQ==" spinCount="100000" sqref="AU151 AW151:AZ151" name="Rango2_88_91_59"/>
    <protectedRange algorithmName="SHA-512" hashValue="CHipOQaT63FWw628cQcXXJRZlrbNZ7OgmnEbDx38UmmH7z19GRYEzXFiVOzHAy1OAaAbST7g2bHZHDKQp2qm3w==" saltValue="iRVuL+373yLHv0ZHzS9qog==" spinCount="100000" sqref="AJ151 AG151:AH151 AL151" name="Rango2_88_7_5_63"/>
    <protectedRange algorithmName="SHA-512" hashValue="NkG6oHuDGvGBEiLAAq8MEJHEfLQUMyjihfH+DBXhT+eQW0r1yri7tOJEFRM9nbOejjjXiviq9RFo7KB7wF+xJA==" saltValue="bpjB0AAANu2X/PeR3eiFkA==" spinCount="100000" sqref="AM151:AS151" name="Rango2_88_65_60"/>
    <protectedRange algorithmName="SHA-512" hashValue="fPHvtIAf3pQeZUoAI9C2/vdXMHBpqqEq+67P5Ypyu4+9IWqs3yc9TZcMWQ0THLxUwqseQPyVvakuYFtCwJHsxA==" saltValue="QHIogSs2PrwAfdqa9PAOFQ==" spinCount="100000" sqref="AC151" name="Rango2_88_5_5_60"/>
    <protectedRange algorithmName="SHA-512" hashValue="LEEeiU6pKqm7TAP46VGlz0q+evvFwpT/0iLpRuWuQ7MacbP0OGL1/FSmrIEOg2rb6M+Jla2bPbVWiGag27j87w==" saltValue="HEVt+pS5OloNDlqSnzGLLw==" spinCount="100000" sqref="AI151" name="Rango2_8_7_60"/>
    <protectedRange algorithmName="SHA-512" hashValue="AYYX88LSDB6RDNMvSqt0KPGWPjBqTk56tMxTOlv5QD61MGTKAAQnSnudvNDWPN0Bbllh2qRQC+P5uq7goxjdrw==" saltValue="i/iPMewnks1FoXYOjKMEVg==" spinCount="100000" sqref="AB151" name="Rango2_87_6_60"/>
    <protectedRange algorithmName="SHA-512" hashValue="NUll9P9xh7KbSfMYpMxsRZLfDw/y/AzW2LSWlpXVscBDqiAxmzo71xjs+a2lh+jRa7pceOC849slke4+ZKx8LA==" saltValue="8qbkKpQ+CiQuLnqgShNvXA==" spinCount="100000" sqref="T151" name="Rango2_88_6_60"/>
    <protectedRange algorithmName="SHA-512" hashValue="KHhv3JU/LRdRrRTxxkgFceEHPZ5UzadmpZRZR3zmQRnPvkUJZuanRafIJ+qde0IWwLZSvFIQDyUAHq6v6k7XIg==" saltValue="2GKG1kCzVNNcn+vbOPuhJA==" spinCount="100000" sqref="Q151" name="Rango2_2_5_60"/>
    <protectedRange algorithmName="SHA-512" hashValue="RQ91b7oAw60DVtcgB2vRpial2kSdzJx5guGCTYUwXYkKrtrUHfiYnLf9R+SNpYXlJDYpyEJLhcWwP0EqNN86dQ==" saltValue="W3RbH3zrcY9sy39xNwXNxg==" spinCount="100000" sqref="BA152:BI152 BV152:BY152" name="Rango2_88_99_64"/>
    <protectedRange algorithmName="SHA-512" hashValue="fMbmUM1DQ7FuAPRNvFL5mPdHUYjQnlLFhkuaxvHguaqR7aWyDxcmJs0jLYQfQKY+oyhsMb4Lew4VL6i7um3/ew==" saltValue="ydaTm0CeH8+/cYqoL/AMaQ==" spinCount="100000" sqref="AU152 AW152:AZ152" name="Rango2_88_91_60"/>
    <protectedRange algorithmName="SHA-512" hashValue="CHipOQaT63FWw628cQcXXJRZlrbNZ7OgmnEbDx38UmmH7z19GRYEzXFiVOzHAy1OAaAbST7g2bHZHDKQp2qm3w==" saltValue="iRVuL+373yLHv0ZHzS9qog==" spinCount="100000" sqref="AJ152 AG152:AH152 AL152" name="Rango2_88_7_5_64"/>
    <protectedRange algorithmName="SHA-512" hashValue="NkG6oHuDGvGBEiLAAq8MEJHEfLQUMyjihfH+DBXhT+eQW0r1yri7tOJEFRM9nbOejjjXiviq9RFo7KB7wF+xJA==" saltValue="bpjB0AAANu2X/PeR3eiFkA==" spinCount="100000" sqref="AM152:AS152" name="Rango2_88_65_61"/>
    <protectedRange algorithmName="SHA-512" hashValue="fPHvtIAf3pQeZUoAI9C2/vdXMHBpqqEq+67P5Ypyu4+9IWqs3yc9TZcMWQ0THLxUwqseQPyVvakuYFtCwJHsxA==" saltValue="QHIogSs2PrwAfdqa9PAOFQ==" spinCount="100000" sqref="AC152" name="Rango2_88_5_5_61"/>
    <protectedRange algorithmName="SHA-512" hashValue="LEEeiU6pKqm7TAP46VGlz0q+evvFwpT/0iLpRuWuQ7MacbP0OGL1/FSmrIEOg2rb6M+Jla2bPbVWiGag27j87w==" saltValue="HEVt+pS5OloNDlqSnzGLLw==" spinCount="100000" sqref="AI152" name="Rango2_8_7_61"/>
    <protectedRange algorithmName="SHA-512" hashValue="AYYX88LSDB6RDNMvSqt0KPGWPjBqTk56tMxTOlv5QD61MGTKAAQnSnudvNDWPN0Bbllh2qRQC+P5uq7goxjdrw==" saltValue="i/iPMewnks1FoXYOjKMEVg==" spinCount="100000" sqref="AB152" name="Rango2_87_6_61"/>
    <protectedRange algorithmName="SHA-512" hashValue="NUll9P9xh7KbSfMYpMxsRZLfDw/y/AzW2LSWlpXVscBDqiAxmzo71xjs+a2lh+jRa7pceOC849slke4+ZKx8LA==" saltValue="8qbkKpQ+CiQuLnqgShNvXA==" spinCount="100000" sqref="T152" name="Rango2_88_6_61"/>
    <protectedRange algorithmName="SHA-512" hashValue="KHhv3JU/LRdRrRTxxkgFceEHPZ5UzadmpZRZR3zmQRnPvkUJZuanRafIJ+qde0IWwLZSvFIQDyUAHq6v6k7XIg==" saltValue="2GKG1kCzVNNcn+vbOPuhJA==" spinCount="100000" sqref="Q152" name="Rango2_2_5_61"/>
    <protectedRange algorithmName="SHA-512" hashValue="RQ91b7oAw60DVtcgB2vRpial2kSdzJx5guGCTYUwXYkKrtrUHfiYnLf9R+SNpYXlJDYpyEJLhcWwP0EqNN86dQ==" saltValue="W3RbH3zrcY9sy39xNwXNxg==" spinCount="100000" sqref="BA153:BI153 BV153:BY153" name="Rango2_88_99_65"/>
    <protectedRange algorithmName="SHA-512" hashValue="fMbmUM1DQ7FuAPRNvFL5mPdHUYjQnlLFhkuaxvHguaqR7aWyDxcmJs0jLYQfQKY+oyhsMb4Lew4VL6i7um3/ew==" saltValue="ydaTm0CeH8+/cYqoL/AMaQ==" spinCount="100000" sqref="AU153 AW153:AZ153" name="Rango2_88_91_61"/>
    <protectedRange algorithmName="SHA-512" hashValue="CHipOQaT63FWw628cQcXXJRZlrbNZ7OgmnEbDx38UmmH7z19GRYEzXFiVOzHAy1OAaAbST7g2bHZHDKQp2qm3w==" saltValue="iRVuL+373yLHv0ZHzS9qog==" spinCount="100000" sqref="AJ153 AG153:AH153 AL153" name="Rango2_88_7_5_65"/>
    <protectedRange algorithmName="SHA-512" hashValue="NkG6oHuDGvGBEiLAAq8MEJHEfLQUMyjihfH+DBXhT+eQW0r1yri7tOJEFRM9nbOejjjXiviq9RFo7KB7wF+xJA==" saltValue="bpjB0AAANu2X/PeR3eiFkA==" spinCount="100000" sqref="AM153:AS153" name="Rango2_88_65_62"/>
    <protectedRange algorithmName="SHA-512" hashValue="fPHvtIAf3pQeZUoAI9C2/vdXMHBpqqEq+67P5Ypyu4+9IWqs3yc9TZcMWQ0THLxUwqseQPyVvakuYFtCwJHsxA==" saltValue="QHIogSs2PrwAfdqa9PAOFQ==" spinCount="100000" sqref="AC153" name="Rango2_88_5_5_62"/>
    <protectedRange algorithmName="SHA-512" hashValue="LEEeiU6pKqm7TAP46VGlz0q+evvFwpT/0iLpRuWuQ7MacbP0OGL1/FSmrIEOg2rb6M+Jla2bPbVWiGag27j87w==" saltValue="HEVt+pS5OloNDlqSnzGLLw==" spinCount="100000" sqref="AI153" name="Rango2_8_7_62"/>
    <protectedRange algorithmName="SHA-512" hashValue="AYYX88LSDB6RDNMvSqt0KPGWPjBqTk56tMxTOlv5QD61MGTKAAQnSnudvNDWPN0Bbllh2qRQC+P5uq7goxjdrw==" saltValue="i/iPMewnks1FoXYOjKMEVg==" spinCount="100000" sqref="AB153" name="Rango2_87_6_62"/>
    <protectedRange algorithmName="SHA-512" hashValue="NUll9P9xh7KbSfMYpMxsRZLfDw/y/AzW2LSWlpXVscBDqiAxmzo71xjs+a2lh+jRa7pceOC849slke4+ZKx8LA==" saltValue="8qbkKpQ+CiQuLnqgShNvXA==" spinCount="100000" sqref="T153" name="Rango2_88_6_62"/>
    <protectedRange algorithmName="SHA-512" hashValue="KHhv3JU/LRdRrRTxxkgFceEHPZ5UzadmpZRZR3zmQRnPvkUJZuanRafIJ+qde0IWwLZSvFIQDyUAHq6v6k7XIg==" saltValue="2GKG1kCzVNNcn+vbOPuhJA==" spinCount="100000" sqref="Q153" name="Rango2_2_5_62"/>
    <protectedRange algorithmName="SHA-512" hashValue="RQ91b7oAw60DVtcgB2vRpial2kSdzJx5guGCTYUwXYkKrtrUHfiYnLf9R+SNpYXlJDYpyEJLhcWwP0EqNN86dQ==" saltValue="W3RbH3zrcY9sy39xNwXNxg==" spinCount="100000" sqref="BA154:BI154 BV154:BY154" name="Rango2_88_99_66"/>
    <protectedRange algorithmName="SHA-512" hashValue="fMbmUM1DQ7FuAPRNvFL5mPdHUYjQnlLFhkuaxvHguaqR7aWyDxcmJs0jLYQfQKY+oyhsMb4Lew4VL6i7um3/ew==" saltValue="ydaTm0CeH8+/cYqoL/AMaQ==" spinCount="100000" sqref="AU154 AW154:AZ154" name="Rango2_88_91_62"/>
    <protectedRange algorithmName="SHA-512" hashValue="CHipOQaT63FWw628cQcXXJRZlrbNZ7OgmnEbDx38UmmH7z19GRYEzXFiVOzHAy1OAaAbST7g2bHZHDKQp2qm3w==" saltValue="iRVuL+373yLHv0ZHzS9qog==" spinCount="100000" sqref="AJ154 AG154:AH154 AL154" name="Rango2_88_7_5_66"/>
    <protectedRange algorithmName="SHA-512" hashValue="NkG6oHuDGvGBEiLAAq8MEJHEfLQUMyjihfH+DBXhT+eQW0r1yri7tOJEFRM9nbOejjjXiviq9RFo7KB7wF+xJA==" saltValue="bpjB0AAANu2X/PeR3eiFkA==" spinCount="100000" sqref="AM154:AS154" name="Rango2_88_65_63"/>
    <protectedRange algorithmName="SHA-512" hashValue="fPHvtIAf3pQeZUoAI9C2/vdXMHBpqqEq+67P5Ypyu4+9IWqs3yc9TZcMWQ0THLxUwqseQPyVvakuYFtCwJHsxA==" saltValue="QHIogSs2PrwAfdqa9PAOFQ==" spinCount="100000" sqref="AC154" name="Rango2_88_5_5_63"/>
    <protectedRange algorithmName="SHA-512" hashValue="LEEeiU6pKqm7TAP46VGlz0q+evvFwpT/0iLpRuWuQ7MacbP0OGL1/FSmrIEOg2rb6M+Jla2bPbVWiGag27j87w==" saltValue="HEVt+pS5OloNDlqSnzGLLw==" spinCount="100000" sqref="AI154" name="Rango2_8_7_63"/>
    <protectedRange algorithmName="SHA-512" hashValue="AYYX88LSDB6RDNMvSqt0KPGWPjBqTk56tMxTOlv5QD61MGTKAAQnSnudvNDWPN0Bbllh2qRQC+P5uq7goxjdrw==" saltValue="i/iPMewnks1FoXYOjKMEVg==" spinCount="100000" sqref="AB154" name="Rango2_87_6_63"/>
    <protectedRange algorithmName="SHA-512" hashValue="NUll9P9xh7KbSfMYpMxsRZLfDw/y/AzW2LSWlpXVscBDqiAxmzo71xjs+a2lh+jRa7pceOC849slke4+ZKx8LA==" saltValue="8qbkKpQ+CiQuLnqgShNvXA==" spinCount="100000" sqref="T154" name="Rango2_88_6_63"/>
    <protectedRange algorithmName="SHA-512" hashValue="KHhv3JU/LRdRrRTxxkgFceEHPZ5UzadmpZRZR3zmQRnPvkUJZuanRafIJ+qde0IWwLZSvFIQDyUAHq6v6k7XIg==" saltValue="2GKG1kCzVNNcn+vbOPuhJA==" spinCount="100000" sqref="Q154" name="Rango2_2_5_63"/>
    <protectedRange algorithmName="SHA-512" hashValue="RQ91b7oAw60DVtcgB2vRpial2kSdzJx5guGCTYUwXYkKrtrUHfiYnLf9R+SNpYXlJDYpyEJLhcWwP0EqNN86dQ==" saltValue="W3RbH3zrcY9sy39xNwXNxg==" spinCount="100000" sqref="BA155:BI156 BV155:BY156" name="Rango2_88_99_67"/>
    <protectedRange algorithmName="SHA-512" hashValue="fMbmUM1DQ7FuAPRNvFL5mPdHUYjQnlLFhkuaxvHguaqR7aWyDxcmJs0jLYQfQKY+oyhsMb4Lew4VL6i7um3/ew==" saltValue="ydaTm0CeH8+/cYqoL/AMaQ==" spinCount="100000" sqref="AU155:AU156 AW155:AZ156" name="Rango2_88_91_63"/>
    <protectedRange algorithmName="SHA-512" hashValue="CHipOQaT63FWw628cQcXXJRZlrbNZ7OgmnEbDx38UmmH7z19GRYEzXFiVOzHAy1OAaAbST7g2bHZHDKQp2qm3w==" saltValue="iRVuL+373yLHv0ZHzS9qog==" spinCount="100000" sqref="AJ155:AJ156 AG155:AH156 AL155:AL156" name="Rango2_88_7_5_67"/>
    <protectedRange algorithmName="SHA-512" hashValue="NkG6oHuDGvGBEiLAAq8MEJHEfLQUMyjihfH+DBXhT+eQW0r1yri7tOJEFRM9nbOejjjXiviq9RFo7KB7wF+xJA==" saltValue="bpjB0AAANu2X/PeR3eiFkA==" spinCount="100000" sqref="AM155:AS156" name="Rango2_88_65_64"/>
    <protectedRange algorithmName="SHA-512" hashValue="fPHvtIAf3pQeZUoAI9C2/vdXMHBpqqEq+67P5Ypyu4+9IWqs3yc9TZcMWQ0THLxUwqseQPyVvakuYFtCwJHsxA==" saltValue="QHIogSs2PrwAfdqa9PAOFQ==" spinCount="100000" sqref="AC155:AC156" name="Rango2_88_5_5_64"/>
    <protectedRange algorithmName="SHA-512" hashValue="LEEeiU6pKqm7TAP46VGlz0q+evvFwpT/0iLpRuWuQ7MacbP0OGL1/FSmrIEOg2rb6M+Jla2bPbVWiGag27j87w==" saltValue="HEVt+pS5OloNDlqSnzGLLw==" spinCount="100000" sqref="AI155:AI156" name="Rango2_8_7_64"/>
    <protectedRange algorithmName="SHA-512" hashValue="AYYX88LSDB6RDNMvSqt0KPGWPjBqTk56tMxTOlv5QD61MGTKAAQnSnudvNDWPN0Bbllh2qRQC+P5uq7goxjdrw==" saltValue="i/iPMewnks1FoXYOjKMEVg==" spinCount="100000" sqref="AB155:AB156" name="Rango2_87_6_64"/>
    <protectedRange algorithmName="SHA-512" hashValue="NUll9P9xh7KbSfMYpMxsRZLfDw/y/AzW2LSWlpXVscBDqiAxmzo71xjs+a2lh+jRa7pceOC849slke4+ZKx8LA==" saltValue="8qbkKpQ+CiQuLnqgShNvXA==" spinCount="100000" sqref="T155:T156" name="Rango2_88_6_64"/>
    <protectedRange algorithmName="SHA-512" hashValue="KHhv3JU/LRdRrRTxxkgFceEHPZ5UzadmpZRZR3zmQRnPvkUJZuanRafIJ+qde0IWwLZSvFIQDyUAHq6v6k7XIg==" saltValue="2GKG1kCzVNNcn+vbOPuhJA==" spinCount="100000" sqref="Q155:Q156" name="Rango2_2_5_64"/>
    <protectedRange algorithmName="SHA-512" hashValue="RQ91b7oAw60DVtcgB2vRpial2kSdzJx5guGCTYUwXYkKrtrUHfiYnLf9R+SNpYXlJDYpyEJLhcWwP0EqNN86dQ==" saltValue="W3RbH3zrcY9sy39xNwXNxg==" spinCount="100000" sqref="BA157:BI157 BV157:BY157" name="Rango2_88_99_68"/>
    <protectedRange algorithmName="SHA-512" hashValue="fMbmUM1DQ7FuAPRNvFL5mPdHUYjQnlLFhkuaxvHguaqR7aWyDxcmJs0jLYQfQKY+oyhsMb4Lew4VL6i7um3/ew==" saltValue="ydaTm0CeH8+/cYqoL/AMaQ==" spinCount="100000" sqref="AU157 AW157:AZ157" name="Rango2_88_91_64"/>
    <protectedRange algorithmName="SHA-512" hashValue="CHipOQaT63FWw628cQcXXJRZlrbNZ7OgmnEbDx38UmmH7z19GRYEzXFiVOzHAy1OAaAbST7g2bHZHDKQp2qm3w==" saltValue="iRVuL+373yLHv0ZHzS9qog==" spinCount="100000" sqref="AJ157 AG157:AH157 AL157" name="Rango2_88_7_5_68"/>
    <protectedRange algorithmName="SHA-512" hashValue="NkG6oHuDGvGBEiLAAq8MEJHEfLQUMyjihfH+DBXhT+eQW0r1yri7tOJEFRM9nbOejjjXiviq9RFo7KB7wF+xJA==" saltValue="bpjB0AAANu2X/PeR3eiFkA==" spinCount="100000" sqref="AM157:AS157" name="Rango2_88_65_65"/>
    <protectedRange algorithmName="SHA-512" hashValue="fPHvtIAf3pQeZUoAI9C2/vdXMHBpqqEq+67P5Ypyu4+9IWqs3yc9TZcMWQ0THLxUwqseQPyVvakuYFtCwJHsxA==" saltValue="QHIogSs2PrwAfdqa9PAOFQ==" spinCount="100000" sqref="AC157" name="Rango2_88_5_5_65"/>
    <protectedRange algorithmName="SHA-512" hashValue="LEEeiU6pKqm7TAP46VGlz0q+evvFwpT/0iLpRuWuQ7MacbP0OGL1/FSmrIEOg2rb6M+Jla2bPbVWiGag27j87w==" saltValue="HEVt+pS5OloNDlqSnzGLLw==" spinCount="100000" sqref="AI157" name="Rango2_8_7_65"/>
    <protectedRange algorithmName="SHA-512" hashValue="AYYX88LSDB6RDNMvSqt0KPGWPjBqTk56tMxTOlv5QD61MGTKAAQnSnudvNDWPN0Bbllh2qRQC+P5uq7goxjdrw==" saltValue="i/iPMewnks1FoXYOjKMEVg==" spinCount="100000" sqref="AB157" name="Rango2_87_6_65"/>
    <protectedRange algorithmName="SHA-512" hashValue="NUll9P9xh7KbSfMYpMxsRZLfDw/y/AzW2LSWlpXVscBDqiAxmzo71xjs+a2lh+jRa7pceOC849slke4+ZKx8LA==" saltValue="8qbkKpQ+CiQuLnqgShNvXA==" spinCount="100000" sqref="T157" name="Rango2_88_6_65"/>
    <protectedRange algorithmName="SHA-512" hashValue="KHhv3JU/LRdRrRTxxkgFceEHPZ5UzadmpZRZR3zmQRnPvkUJZuanRafIJ+qde0IWwLZSvFIQDyUAHq6v6k7XIg==" saltValue="2GKG1kCzVNNcn+vbOPuhJA==" spinCount="100000" sqref="Q157" name="Rango2_2_5_65"/>
    <protectedRange algorithmName="SHA-512" hashValue="RQ91b7oAw60DVtcgB2vRpial2kSdzJx5guGCTYUwXYkKrtrUHfiYnLf9R+SNpYXlJDYpyEJLhcWwP0EqNN86dQ==" saltValue="W3RbH3zrcY9sy39xNwXNxg==" spinCount="100000" sqref="BA158:BI161 BV158:BY161" name="Rango2_88_99_69"/>
    <protectedRange algorithmName="SHA-512" hashValue="fMbmUM1DQ7FuAPRNvFL5mPdHUYjQnlLFhkuaxvHguaqR7aWyDxcmJs0jLYQfQKY+oyhsMb4Lew4VL6i7um3/ew==" saltValue="ydaTm0CeH8+/cYqoL/AMaQ==" spinCount="100000" sqref="AU158:AU161 AW158:AZ161" name="Rango2_88_91_65"/>
    <protectedRange algorithmName="SHA-512" hashValue="CHipOQaT63FWw628cQcXXJRZlrbNZ7OgmnEbDx38UmmH7z19GRYEzXFiVOzHAy1OAaAbST7g2bHZHDKQp2qm3w==" saltValue="iRVuL+373yLHv0ZHzS9qog==" spinCount="100000" sqref="AJ158:AJ161 AG158:AH161 AL158:AL161" name="Rango2_88_7_5_69"/>
    <protectedRange algorithmName="SHA-512" hashValue="NkG6oHuDGvGBEiLAAq8MEJHEfLQUMyjihfH+DBXhT+eQW0r1yri7tOJEFRM9nbOejjjXiviq9RFo7KB7wF+xJA==" saltValue="bpjB0AAANu2X/PeR3eiFkA==" spinCount="100000" sqref="AM158:AS161" name="Rango2_88_65_66"/>
    <protectedRange algorithmName="SHA-512" hashValue="fPHvtIAf3pQeZUoAI9C2/vdXMHBpqqEq+67P5Ypyu4+9IWqs3yc9TZcMWQ0THLxUwqseQPyVvakuYFtCwJHsxA==" saltValue="QHIogSs2PrwAfdqa9PAOFQ==" spinCount="100000" sqref="AC158:AC161" name="Rango2_88_5_5_66"/>
    <protectedRange algorithmName="SHA-512" hashValue="LEEeiU6pKqm7TAP46VGlz0q+evvFwpT/0iLpRuWuQ7MacbP0OGL1/FSmrIEOg2rb6M+Jla2bPbVWiGag27j87w==" saltValue="HEVt+pS5OloNDlqSnzGLLw==" spinCount="100000" sqref="AI158:AI161" name="Rango2_8_7_66"/>
    <protectedRange algorithmName="SHA-512" hashValue="AYYX88LSDB6RDNMvSqt0KPGWPjBqTk56tMxTOlv5QD61MGTKAAQnSnudvNDWPN0Bbllh2qRQC+P5uq7goxjdrw==" saltValue="i/iPMewnks1FoXYOjKMEVg==" spinCount="100000" sqref="AB158:AB161" name="Rango2_87_6_66"/>
    <protectedRange algorithmName="SHA-512" hashValue="NUll9P9xh7KbSfMYpMxsRZLfDw/y/AzW2LSWlpXVscBDqiAxmzo71xjs+a2lh+jRa7pceOC849slke4+ZKx8LA==" saltValue="8qbkKpQ+CiQuLnqgShNvXA==" spinCount="100000" sqref="T158:T161" name="Rango2_88_6_66"/>
    <protectedRange algorithmName="SHA-512" hashValue="KHhv3JU/LRdRrRTxxkgFceEHPZ5UzadmpZRZR3zmQRnPvkUJZuanRafIJ+qde0IWwLZSvFIQDyUAHq6v6k7XIg==" saltValue="2GKG1kCzVNNcn+vbOPuhJA==" spinCount="100000" sqref="Q158:Q161" name="Rango2_2_5_66"/>
    <protectedRange algorithmName="SHA-512" hashValue="RQ91b7oAw60DVtcgB2vRpial2kSdzJx5guGCTYUwXYkKrtrUHfiYnLf9R+SNpYXlJDYpyEJLhcWwP0EqNN86dQ==" saltValue="W3RbH3zrcY9sy39xNwXNxg==" spinCount="100000" sqref="BA162:BI162 BV162:BY162" name="Rango2_88_99_70"/>
    <protectedRange algorithmName="SHA-512" hashValue="fMbmUM1DQ7FuAPRNvFL5mPdHUYjQnlLFhkuaxvHguaqR7aWyDxcmJs0jLYQfQKY+oyhsMb4Lew4VL6i7um3/ew==" saltValue="ydaTm0CeH8+/cYqoL/AMaQ==" spinCount="100000" sqref="AU162 AW162:AZ162" name="Rango2_88_91_66"/>
    <protectedRange algorithmName="SHA-512" hashValue="CHipOQaT63FWw628cQcXXJRZlrbNZ7OgmnEbDx38UmmH7z19GRYEzXFiVOzHAy1OAaAbST7g2bHZHDKQp2qm3w==" saltValue="iRVuL+373yLHv0ZHzS9qog==" spinCount="100000" sqref="AJ162 AG162:AH162 AL162" name="Rango2_88_7_5_70"/>
    <protectedRange algorithmName="SHA-512" hashValue="NkG6oHuDGvGBEiLAAq8MEJHEfLQUMyjihfH+DBXhT+eQW0r1yri7tOJEFRM9nbOejjjXiviq9RFo7KB7wF+xJA==" saltValue="bpjB0AAANu2X/PeR3eiFkA==" spinCount="100000" sqref="AM162:AS162" name="Rango2_88_65_67"/>
    <protectedRange algorithmName="SHA-512" hashValue="fPHvtIAf3pQeZUoAI9C2/vdXMHBpqqEq+67P5Ypyu4+9IWqs3yc9TZcMWQ0THLxUwqseQPyVvakuYFtCwJHsxA==" saltValue="QHIogSs2PrwAfdqa9PAOFQ==" spinCount="100000" sqref="AC162" name="Rango2_88_5_5_67"/>
    <protectedRange algorithmName="SHA-512" hashValue="LEEeiU6pKqm7TAP46VGlz0q+evvFwpT/0iLpRuWuQ7MacbP0OGL1/FSmrIEOg2rb6M+Jla2bPbVWiGag27j87w==" saltValue="HEVt+pS5OloNDlqSnzGLLw==" spinCount="100000" sqref="AI162" name="Rango2_8_7_67"/>
    <protectedRange algorithmName="SHA-512" hashValue="AYYX88LSDB6RDNMvSqt0KPGWPjBqTk56tMxTOlv5QD61MGTKAAQnSnudvNDWPN0Bbllh2qRQC+P5uq7goxjdrw==" saltValue="i/iPMewnks1FoXYOjKMEVg==" spinCount="100000" sqref="AB162" name="Rango2_87_6_67"/>
    <protectedRange algorithmName="SHA-512" hashValue="NUll9P9xh7KbSfMYpMxsRZLfDw/y/AzW2LSWlpXVscBDqiAxmzo71xjs+a2lh+jRa7pceOC849slke4+ZKx8LA==" saltValue="8qbkKpQ+CiQuLnqgShNvXA==" spinCount="100000" sqref="T162" name="Rango2_88_6_67"/>
    <protectedRange algorithmName="SHA-512" hashValue="KHhv3JU/LRdRrRTxxkgFceEHPZ5UzadmpZRZR3zmQRnPvkUJZuanRafIJ+qde0IWwLZSvFIQDyUAHq6v6k7XIg==" saltValue="2GKG1kCzVNNcn+vbOPuhJA==" spinCount="100000" sqref="Q162" name="Rango2_2_5_67"/>
    <protectedRange algorithmName="SHA-512" hashValue="RQ91b7oAw60DVtcgB2vRpial2kSdzJx5guGCTYUwXYkKrtrUHfiYnLf9R+SNpYXlJDYpyEJLhcWwP0EqNN86dQ==" saltValue="W3RbH3zrcY9sy39xNwXNxg==" spinCount="100000" sqref="BA163:BI163 BV163:BY163" name="Rango2_88_99_71"/>
    <protectedRange algorithmName="SHA-512" hashValue="fMbmUM1DQ7FuAPRNvFL5mPdHUYjQnlLFhkuaxvHguaqR7aWyDxcmJs0jLYQfQKY+oyhsMb4Lew4VL6i7um3/ew==" saltValue="ydaTm0CeH8+/cYqoL/AMaQ==" spinCount="100000" sqref="AU163 AW163:AZ163" name="Rango2_88_91_67"/>
    <protectedRange algorithmName="SHA-512" hashValue="CHipOQaT63FWw628cQcXXJRZlrbNZ7OgmnEbDx38UmmH7z19GRYEzXFiVOzHAy1OAaAbST7g2bHZHDKQp2qm3w==" saltValue="iRVuL+373yLHv0ZHzS9qog==" spinCount="100000" sqref="AJ163 AG163:AH163 AL163" name="Rango2_88_7_5_71"/>
    <protectedRange algorithmName="SHA-512" hashValue="NkG6oHuDGvGBEiLAAq8MEJHEfLQUMyjihfH+DBXhT+eQW0r1yri7tOJEFRM9nbOejjjXiviq9RFo7KB7wF+xJA==" saltValue="bpjB0AAANu2X/PeR3eiFkA==" spinCount="100000" sqref="AM163:AS163" name="Rango2_88_65_68"/>
    <protectedRange algorithmName="SHA-512" hashValue="fPHvtIAf3pQeZUoAI9C2/vdXMHBpqqEq+67P5Ypyu4+9IWqs3yc9TZcMWQ0THLxUwqseQPyVvakuYFtCwJHsxA==" saltValue="QHIogSs2PrwAfdqa9PAOFQ==" spinCount="100000" sqref="AC163" name="Rango2_88_5_5_68"/>
    <protectedRange algorithmName="SHA-512" hashValue="LEEeiU6pKqm7TAP46VGlz0q+evvFwpT/0iLpRuWuQ7MacbP0OGL1/FSmrIEOg2rb6M+Jla2bPbVWiGag27j87w==" saltValue="HEVt+pS5OloNDlqSnzGLLw==" spinCount="100000" sqref="AI163" name="Rango2_8_7_68"/>
    <protectedRange algorithmName="SHA-512" hashValue="AYYX88LSDB6RDNMvSqt0KPGWPjBqTk56tMxTOlv5QD61MGTKAAQnSnudvNDWPN0Bbllh2qRQC+P5uq7goxjdrw==" saltValue="i/iPMewnks1FoXYOjKMEVg==" spinCount="100000" sqref="AB163" name="Rango2_87_6_68"/>
    <protectedRange algorithmName="SHA-512" hashValue="NUll9P9xh7KbSfMYpMxsRZLfDw/y/AzW2LSWlpXVscBDqiAxmzo71xjs+a2lh+jRa7pceOC849slke4+ZKx8LA==" saltValue="8qbkKpQ+CiQuLnqgShNvXA==" spinCount="100000" sqref="T163" name="Rango2_88_6_68"/>
    <protectedRange algorithmName="SHA-512" hashValue="KHhv3JU/LRdRrRTxxkgFceEHPZ5UzadmpZRZR3zmQRnPvkUJZuanRafIJ+qde0IWwLZSvFIQDyUAHq6v6k7XIg==" saltValue="2GKG1kCzVNNcn+vbOPuhJA==" spinCount="100000" sqref="Q163" name="Rango2_2_5_68"/>
    <protectedRange algorithmName="SHA-512" hashValue="RQ91b7oAw60DVtcgB2vRpial2kSdzJx5guGCTYUwXYkKrtrUHfiYnLf9R+SNpYXlJDYpyEJLhcWwP0EqNN86dQ==" saltValue="W3RbH3zrcY9sy39xNwXNxg==" spinCount="100000" sqref="BA164:BI165 BV164:BY165" name="Rango2_88_99_72"/>
    <protectedRange algorithmName="SHA-512" hashValue="fMbmUM1DQ7FuAPRNvFL5mPdHUYjQnlLFhkuaxvHguaqR7aWyDxcmJs0jLYQfQKY+oyhsMb4Lew4VL6i7um3/ew==" saltValue="ydaTm0CeH8+/cYqoL/AMaQ==" spinCount="100000" sqref="AU164:AU165 AW164:AZ165" name="Rango2_88_91_68"/>
    <protectedRange algorithmName="SHA-512" hashValue="CHipOQaT63FWw628cQcXXJRZlrbNZ7OgmnEbDx38UmmH7z19GRYEzXFiVOzHAy1OAaAbST7g2bHZHDKQp2qm3w==" saltValue="iRVuL+373yLHv0ZHzS9qog==" spinCount="100000" sqref="AJ164:AJ165 AG164:AH165 AL164:AL165" name="Rango2_88_7_5_72"/>
    <protectedRange algorithmName="SHA-512" hashValue="NkG6oHuDGvGBEiLAAq8MEJHEfLQUMyjihfH+DBXhT+eQW0r1yri7tOJEFRM9nbOejjjXiviq9RFo7KB7wF+xJA==" saltValue="bpjB0AAANu2X/PeR3eiFkA==" spinCount="100000" sqref="AM164:AS165" name="Rango2_88_65_69"/>
    <protectedRange algorithmName="SHA-512" hashValue="fPHvtIAf3pQeZUoAI9C2/vdXMHBpqqEq+67P5Ypyu4+9IWqs3yc9TZcMWQ0THLxUwqseQPyVvakuYFtCwJHsxA==" saltValue="QHIogSs2PrwAfdqa9PAOFQ==" spinCount="100000" sqref="AC164:AC165" name="Rango2_88_5_5_69"/>
    <protectedRange algorithmName="SHA-512" hashValue="LEEeiU6pKqm7TAP46VGlz0q+evvFwpT/0iLpRuWuQ7MacbP0OGL1/FSmrIEOg2rb6M+Jla2bPbVWiGag27j87w==" saltValue="HEVt+pS5OloNDlqSnzGLLw==" spinCount="100000" sqref="AI164:AI165" name="Rango2_8_7_69"/>
    <protectedRange algorithmName="SHA-512" hashValue="AYYX88LSDB6RDNMvSqt0KPGWPjBqTk56tMxTOlv5QD61MGTKAAQnSnudvNDWPN0Bbllh2qRQC+P5uq7goxjdrw==" saltValue="i/iPMewnks1FoXYOjKMEVg==" spinCount="100000" sqref="AB164:AB165" name="Rango2_87_6_69"/>
    <protectedRange algorithmName="SHA-512" hashValue="NUll9P9xh7KbSfMYpMxsRZLfDw/y/AzW2LSWlpXVscBDqiAxmzo71xjs+a2lh+jRa7pceOC849slke4+ZKx8LA==" saltValue="8qbkKpQ+CiQuLnqgShNvXA==" spinCount="100000" sqref="T164:T165" name="Rango2_88_6_69"/>
    <protectedRange algorithmName="SHA-512" hashValue="KHhv3JU/LRdRrRTxxkgFceEHPZ5UzadmpZRZR3zmQRnPvkUJZuanRafIJ+qde0IWwLZSvFIQDyUAHq6v6k7XIg==" saltValue="2GKG1kCzVNNcn+vbOPuhJA==" spinCount="100000" sqref="Q164:Q165" name="Rango2_2_5_69"/>
    <protectedRange algorithmName="SHA-512" hashValue="RQ91b7oAw60DVtcgB2vRpial2kSdzJx5guGCTYUwXYkKrtrUHfiYnLf9R+SNpYXlJDYpyEJLhcWwP0EqNN86dQ==" saltValue="W3RbH3zrcY9sy39xNwXNxg==" spinCount="100000" sqref="BA166:BI166 BV166:BY166" name="Rango2_88_99_73"/>
    <protectedRange algorithmName="SHA-512" hashValue="fMbmUM1DQ7FuAPRNvFL5mPdHUYjQnlLFhkuaxvHguaqR7aWyDxcmJs0jLYQfQKY+oyhsMb4Lew4VL6i7um3/ew==" saltValue="ydaTm0CeH8+/cYqoL/AMaQ==" spinCount="100000" sqref="AU166 AW166:AZ166" name="Rango2_88_91_69"/>
    <protectedRange algorithmName="SHA-512" hashValue="CHipOQaT63FWw628cQcXXJRZlrbNZ7OgmnEbDx38UmmH7z19GRYEzXFiVOzHAy1OAaAbST7g2bHZHDKQp2qm3w==" saltValue="iRVuL+373yLHv0ZHzS9qog==" spinCount="100000" sqref="AJ166 AG166:AH166 AL166" name="Rango2_88_7_5_73"/>
    <protectedRange algorithmName="SHA-512" hashValue="NkG6oHuDGvGBEiLAAq8MEJHEfLQUMyjihfH+DBXhT+eQW0r1yri7tOJEFRM9nbOejjjXiviq9RFo7KB7wF+xJA==" saltValue="bpjB0AAANu2X/PeR3eiFkA==" spinCount="100000" sqref="AM166:AS166" name="Rango2_88_65_70"/>
    <protectedRange algorithmName="SHA-512" hashValue="fPHvtIAf3pQeZUoAI9C2/vdXMHBpqqEq+67P5Ypyu4+9IWqs3yc9TZcMWQ0THLxUwqseQPyVvakuYFtCwJHsxA==" saltValue="QHIogSs2PrwAfdqa9PAOFQ==" spinCount="100000" sqref="AC166" name="Rango2_88_5_5_70"/>
    <protectedRange algorithmName="SHA-512" hashValue="LEEeiU6pKqm7TAP46VGlz0q+evvFwpT/0iLpRuWuQ7MacbP0OGL1/FSmrIEOg2rb6M+Jla2bPbVWiGag27j87w==" saltValue="HEVt+pS5OloNDlqSnzGLLw==" spinCount="100000" sqref="AI166" name="Rango2_8_7_70"/>
    <protectedRange algorithmName="SHA-512" hashValue="AYYX88LSDB6RDNMvSqt0KPGWPjBqTk56tMxTOlv5QD61MGTKAAQnSnudvNDWPN0Bbllh2qRQC+P5uq7goxjdrw==" saltValue="i/iPMewnks1FoXYOjKMEVg==" spinCount="100000" sqref="AB166" name="Rango2_87_6_70"/>
    <protectedRange algorithmName="SHA-512" hashValue="NUll9P9xh7KbSfMYpMxsRZLfDw/y/AzW2LSWlpXVscBDqiAxmzo71xjs+a2lh+jRa7pceOC849slke4+ZKx8LA==" saltValue="8qbkKpQ+CiQuLnqgShNvXA==" spinCount="100000" sqref="T166" name="Rango2_88_6_70"/>
    <protectedRange algorithmName="SHA-512" hashValue="KHhv3JU/LRdRrRTxxkgFceEHPZ5UzadmpZRZR3zmQRnPvkUJZuanRafIJ+qde0IWwLZSvFIQDyUAHq6v6k7XIg==" saltValue="2GKG1kCzVNNcn+vbOPuhJA==" spinCount="100000" sqref="Q166" name="Rango2_2_5_70"/>
    <protectedRange algorithmName="SHA-512" hashValue="RQ91b7oAw60DVtcgB2vRpial2kSdzJx5guGCTYUwXYkKrtrUHfiYnLf9R+SNpYXlJDYpyEJLhcWwP0EqNN86dQ==" saltValue="W3RbH3zrcY9sy39xNwXNxg==" spinCount="100000" sqref="BA167:BI167 BV167:BY167" name="Rango2_88_99_74"/>
    <protectedRange algorithmName="SHA-512" hashValue="fMbmUM1DQ7FuAPRNvFL5mPdHUYjQnlLFhkuaxvHguaqR7aWyDxcmJs0jLYQfQKY+oyhsMb4Lew4VL6i7um3/ew==" saltValue="ydaTm0CeH8+/cYqoL/AMaQ==" spinCount="100000" sqref="AU167 AW167:AZ167" name="Rango2_88_91_70"/>
    <protectedRange algorithmName="SHA-512" hashValue="CHipOQaT63FWw628cQcXXJRZlrbNZ7OgmnEbDx38UmmH7z19GRYEzXFiVOzHAy1OAaAbST7g2bHZHDKQp2qm3w==" saltValue="iRVuL+373yLHv0ZHzS9qog==" spinCount="100000" sqref="AJ167 AG167:AH167 AL167" name="Rango2_88_7_5_74"/>
    <protectedRange algorithmName="SHA-512" hashValue="NkG6oHuDGvGBEiLAAq8MEJHEfLQUMyjihfH+DBXhT+eQW0r1yri7tOJEFRM9nbOejjjXiviq9RFo7KB7wF+xJA==" saltValue="bpjB0AAANu2X/PeR3eiFkA==" spinCount="100000" sqref="AM167:AS167" name="Rango2_88_65_71"/>
    <protectedRange algorithmName="SHA-512" hashValue="fPHvtIAf3pQeZUoAI9C2/vdXMHBpqqEq+67P5Ypyu4+9IWqs3yc9TZcMWQ0THLxUwqseQPyVvakuYFtCwJHsxA==" saltValue="QHIogSs2PrwAfdqa9PAOFQ==" spinCount="100000" sqref="AC167" name="Rango2_88_5_5_71"/>
    <protectedRange algorithmName="SHA-512" hashValue="LEEeiU6pKqm7TAP46VGlz0q+evvFwpT/0iLpRuWuQ7MacbP0OGL1/FSmrIEOg2rb6M+Jla2bPbVWiGag27j87w==" saltValue="HEVt+pS5OloNDlqSnzGLLw==" spinCount="100000" sqref="AI167" name="Rango2_8_7_71"/>
    <protectedRange algorithmName="SHA-512" hashValue="AYYX88LSDB6RDNMvSqt0KPGWPjBqTk56tMxTOlv5QD61MGTKAAQnSnudvNDWPN0Bbllh2qRQC+P5uq7goxjdrw==" saltValue="i/iPMewnks1FoXYOjKMEVg==" spinCount="100000" sqref="AB167" name="Rango2_87_6_71"/>
    <protectedRange algorithmName="SHA-512" hashValue="NUll9P9xh7KbSfMYpMxsRZLfDw/y/AzW2LSWlpXVscBDqiAxmzo71xjs+a2lh+jRa7pceOC849slke4+ZKx8LA==" saltValue="8qbkKpQ+CiQuLnqgShNvXA==" spinCount="100000" sqref="T167" name="Rango2_88_6_71"/>
    <protectedRange algorithmName="SHA-512" hashValue="KHhv3JU/LRdRrRTxxkgFceEHPZ5UzadmpZRZR3zmQRnPvkUJZuanRafIJ+qde0IWwLZSvFIQDyUAHq6v6k7XIg==" saltValue="2GKG1kCzVNNcn+vbOPuhJA==" spinCount="100000" sqref="Q167" name="Rango2_2_5_71"/>
    <protectedRange algorithmName="SHA-512" hashValue="RQ91b7oAw60DVtcgB2vRpial2kSdzJx5guGCTYUwXYkKrtrUHfiYnLf9R+SNpYXlJDYpyEJLhcWwP0EqNN86dQ==" saltValue="W3RbH3zrcY9sy39xNwXNxg==" spinCount="100000" sqref="BA168:BI168 BV168:BY168" name="Rango2_88_99_75"/>
    <protectedRange algorithmName="SHA-512" hashValue="fMbmUM1DQ7FuAPRNvFL5mPdHUYjQnlLFhkuaxvHguaqR7aWyDxcmJs0jLYQfQKY+oyhsMb4Lew4VL6i7um3/ew==" saltValue="ydaTm0CeH8+/cYqoL/AMaQ==" spinCount="100000" sqref="AU168 AW168:AZ168" name="Rango2_88_91_71"/>
    <protectedRange algorithmName="SHA-512" hashValue="CHipOQaT63FWw628cQcXXJRZlrbNZ7OgmnEbDx38UmmH7z19GRYEzXFiVOzHAy1OAaAbST7g2bHZHDKQp2qm3w==" saltValue="iRVuL+373yLHv0ZHzS9qog==" spinCount="100000" sqref="AJ168 AG168:AH168 AL168" name="Rango2_88_7_5_75"/>
    <protectedRange algorithmName="SHA-512" hashValue="NkG6oHuDGvGBEiLAAq8MEJHEfLQUMyjihfH+DBXhT+eQW0r1yri7tOJEFRM9nbOejjjXiviq9RFo7KB7wF+xJA==" saltValue="bpjB0AAANu2X/PeR3eiFkA==" spinCount="100000" sqref="AM168:AS168" name="Rango2_88_65_72"/>
    <protectedRange algorithmName="SHA-512" hashValue="fPHvtIAf3pQeZUoAI9C2/vdXMHBpqqEq+67P5Ypyu4+9IWqs3yc9TZcMWQ0THLxUwqseQPyVvakuYFtCwJHsxA==" saltValue="QHIogSs2PrwAfdqa9PAOFQ==" spinCount="100000" sqref="AC168" name="Rango2_88_5_5_72"/>
    <protectedRange algorithmName="SHA-512" hashValue="LEEeiU6pKqm7TAP46VGlz0q+evvFwpT/0iLpRuWuQ7MacbP0OGL1/FSmrIEOg2rb6M+Jla2bPbVWiGag27j87w==" saltValue="HEVt+pS5OloNDlqSnzGLLw==" spinCount="100000" sqref="AI168" name="Rango2_8_7_72"/>
    <protectedRange algorithmName="SHA-512" hashValue="AYYX88LSDB6RDNMvSqt0KPGWPjBqTk56tMxTOlv5QD61MGTKAAQnSnudvNDWPN0Bbllh2qRQC+P5uq7goxjdrw==" saltValue="i/iPMewnks1FoXYOjKMEVg==" spinCount="100000" sqref="AB168" name="Rango2_87_6_72"/>
    <protectedRange algorithmName="SHA-512" hashValue="NUll9P9xh7KbSfMYpMxsRZLfDw/y/AzW2LSWlpXVscBDqiAxmzo71xjs+a2lh+jRa7pceOC849slke4+ZKx8LA==" saltValue="8qbkKpQ+CiQuLnqgShNvXA==" spinCount="100000" sqref="T168" name="Rango2_88_6_72"/>
    <protectedRange algorithmName="SHA-512" hashValue="KHhv3JU/LRdRrRTxxkgFceEHPZ5UzadmpZRZR3zmQRnPvkUJZuanRafIJ+qde0IWwLZSvFIQDyUAHq6v6k7XIg==" saltValue="2GKG1kCzVNNcn+vbOPuhJA==" spinCount="100000" sqref="Q168" name="Rango2_2_5_72"/>
    <protectedRange algorithmName="SHA-512" hashValue="RQ91b7oAw60DVtcgB2vRpial2kSdzJx5guGCTYUwXYkKrtrUHfiYnLf9R+SNpYXlJDYpyEJLhcWwP0EqNN86dQ==" saltValue="W3RbH3zrcY9sy39xNwXNxg==" spinCount="100000" sqref="BA169:BI169 BV169:BY169" name="Rango2_88_99_76"/>
    <protectedRange algorithmName="SHA-512" hashValue="fMbmUM1DQ7FuAPRNvFL5mPdHUYjQnlLFhkuaxvHguaqR7aWyDxcmJs0jLYQfQKY+oyhsMb4Lew4VL6i7um3/ew==" saltValue="ydaTm0CeH8+/cYqoL/AMaQ==" spinCount="100000" sqref="AU169 AW169:AZ169" name="Rango2_88_91_72"/>
    <protectedRange algorithmName="SHA-512" hashValue="CHipOQaT63FWw628cQcXXJRZlrbNZ7OgmnEbDx38UmmH7z19GRYEzXFiVOzHAy1OAaAbST7g2bHZHDKQp2qm3w==" saltValue="iRVuL+373yLHv0ZHzS9qog==" spinCount="100000" sqref="AJ169 AG169:AH169 AL169" name="Rango2_88_7_5_76"/>
    <protectedRange algorithmName="SHA-512" hashValue="NkG6oHuDGvGBEiLAAq8MEJHEfLQUMyjihfH+DBXhT+eQW0r1yri7tOJEFRM9nbOejjjXiviq9RFo7KB7wF+xJA==" saltValue="bpjB0AAANu2X/PeR3eiFkA==" spinCount="100000" sqref="AM169:AS169" name="Rango2_88_65_73"/>
    <protectedRange algorithmName="SHA-512" hashValue="fPHvtIAf3pQeZUoAI9C2/vdXMHBpqqEq+67P5Ypyu4+9IWqs3yc9TZcMWQ0THLxUwqseQPyVvakuYFtCwJHsxA==" saltValue="QHIogSs2PrwAfdqa9PAOFQ==" spinCount="100000" sqref="AC169" name="Rango2_88_5_5_73"/>
    <protectedRange algorithmName="SHA-512" hashValue="LEEeiU6pKqm7TAP46VGlz0q+evvFwpT/0iLpRuWuQ7MacbP0OGL1/FSmrIEOg2rb6M+Jla2bPbVWiGag27j87w==" saltValue="HEVt+pS5OloNDlqSnzGLLw==" spinCount="100000" sqref="AI169" name="Rango2_8_7_73"/>
    <protectedRange algorithmName="SHA-512" hashValue="AYYX88LSDB6RDNMvSqt0KPGWPjBqTk56tMxTOlv5QD61MGTKAAQnSnudvNDWPN0Bbllh2qRQC+P5uq7goxjdrw==" saltValue="i/iPMewnks1FoXYOjKMEVg==" spinCount="100000" sqref="AB169" name="Rango2_87_6_73"/>
    <protectedRange algorithmName="SHA-512" hashValue="NUll9P9xh7KbSfMYpMxsRZLfDw/y/AzW2LSWlpXVscBDqiAxmzo71xjs+a2lh+jRa7pceOC849slke4+ZKx8LA==" saltValue="8qbkKpQ+CiQuLnqgShNvXA==" spinCount="100000" sqref="T169" name="Rango2_88_6_73"/>
    <protectedRange algorithmName="SHA-512" hashValue="KHhv3JU/LRdRrRTxxkgFceEHPZ5UzadmpZRZR3zmQRnPvkUJZuanRafIJ+qde0IWwLZSvFIQDyUAHq6v6k7XIg==" saltValue="2GKG1kCzVNNcn+vbOPuhJA==" spinCount="100000" sqref="Q169" name="Rango2_2_5_73"/>
    <protectedRange algorithmName="SHA-512" hashValue="RQ91b7oAw60DVtcgB2vRpial2kSdzJx5guGCTYUwXYkKrtrUHfiYnLf9R+SNpYXlJDYpyEJLhcWwP0EqNN86dQ==" saltValue="W3RbH3zrcY9sy39xNwXNxg==" spinCount="100000" sqref="BA170:BI170 BV170:BY170" name="Rango2_88_99_77"/>
    <protectedRange algorithmName="SHA-512" hashValue="fMbmUM1DQ7FuAPRNvFL5mPdHUYjQnlLFhkuaxvHguaqR7aWyDxcmJs0jLYQfQKY+oyhsMb4Lew4VL6i7um3/ew==" saltValue="ydaTm0CeH8+/cYqoL/AMaQ==" spinCount="100000" sqref="AU170 AW170:AZ170" name="Rango2_88_91_73"/>
    <protectedRange algorithmName="SHA-512" hashValue="CHipOQaT63FWw628cQcXXJRZlrbNZ7OgmnEbDx38UmmH7z19GRYEzXFiVOzHAy1OAaAbST7g2bHZHDKQp2qm3w==" saltValue="iRVuL+373yLHv0ZHzS9qog==" spinCount="100000" sqref="AJ170 AG170:AH170 AL170" name="Rango2_88_7_5_77"/>
    <protectedRange algorithmName="SHA-512" hashValue="NkG6oHuDGvGBEiLAAq8MEJHEfLQUMyjihfH+DBXhT+eQW0r1yri7tOJEFRM9nbOejjjXiviq9RFo7KB7wF+xJA==" saltValue="bpjB0AAANu2X/PeR3eiFkA==" spinCount="100000" sqref="AM170:AS170" name="Rango2_88_65_74"/>
    <protectedRange algorithmName="SHA-512" hashValue="fPHvtIAf3pQeZUoAI9C2/vdXMHBpqqEq+67P5Ypyu4+9IWqs3yc9TZcMWQ0THLxUwqseQPyVvakuYFtCwJHsxA==" saltValue="QHIogSs2PrwAfdqa9PAOFQ==" spinCount="100000" sqref="AC170" name="Rango2_88_5_5_74"/>
    <protectedRange algorithmName="SHA-512" hashValue="LEEeiU6pKqm7TAP46VGlz0q+evvFwpT/0iLpRuWuQ7MacbP0OGL1/FSmrIEOg2rb6M+Jla2bPbVWiGag27j87w==" saltValue="HEVt+pS5OloNDlqSnzGLLw==" spinCount="100000" sqref="AI170" name="Rango2_8_7_74"/>
    <protectedRange algorithmName="SHA-512" hashValue="AYYX88LSDB6RDNMvSqt0KPGWPjBqTk56tMxTOlv5QD61MGTKAAQnSnudvNDWPN0Bbllh2qRQC+P5uq7goxjdrw==" saltValue="i/iPMewnks1FoXYOjKMEVg==" spinCount="100000" sqref="AB170" name="Rango2_87_6_74"/>
    <protectedRange algorithmName="SHA-512" hashValue="NUll9P9xh7KbSfMYpMxsRZLfDw/y/AzW2LSWlpXVscBDqiAxmzo71xjs+a2lh+jRa7pceOC849slke4+ZKx8LA==" saltValue="8qbkKpQ+CiQuLnqgShNvXA==" spinCount="100000" sqref="T170" name="Rango2_88_6_74"/>
    <protectedRange algorithmName="SHA-512" hashValue="KHhv3JU/LRdRrRTxxkgFceEHPZ5UzadmpZRZR3zmQRnPvkUJZuanRafIJ+qde0IWwLZSvFIQDyUAHq6v6k7XIg==" saltValue="2GKG1kCzVNNcn+vbOPuhJA==" spinCount="100000" sqref="Q170" name="Rango2_2_5_74"/>
    <protectedRange algorithmName="SHA-512" hashValue="RQ91b7oAw60DVtcgB2vRpial2kSdzJx5guGCTYUwXYkKrtrUHfiYnLf9R+SNpYXlJDYpyEJLhcWwP0EqNN86dQ==" saltValue="W3RbH3zrcY9sy39xNwXNxg==" spinCount="100000" sqref="BA171:BI172 BV171:BY172" name="Rango2_88_99_78"/>
    <protectedRange algorithmName="SHA-512" hashValue="fMbmUM1DQ7FuAPRNvFL5mPdHUYjQnlLFhkuaxvHguaqR7aWyDxcmJs0jLYQfQKY+oyhsMb4Lew4VL6i7um3/ew==" saltValue="ydaTm0CeH8+/cYqoL/AMaQ==" spinCount="100000" sqref="AU171:AU172 AW171:AZ172" name="Rango2_88_91_74"/>
    <protectedRange algorithmName="SHA-512" hashValue="CHipOQaT63FWw628cQcXXJRZlrbNZ7OgmnEbDx38UmmH7z19GRYEzXFiVOzHAy1OAaAbST7g2bHZHDKQp2qm3w==" saltValue="iRVuL+373yLHv0ZHzS9qog==" spinCount="100000" sqref="AJ171:AJ172 AG171:AH172 AL171:AL172" name="Rango2_88_7_5_78"/>
    <protectedRange algorithmName="SHA-512" hashValue="NkG6oHuDGvGBEiLAAq8MEJHEfLQUMyjihfH+DBXhT+eQW0r1yri7tOJEFRM9nbOejjjXiviq9RFo7KB7wF+xJA==" saltValue="bpjB0AAANu2X/PeR3eiFkA==" spinCount="100000" sqref="AM171:AS172" name="Rango2_88_65_75"/>
    <protectedRange algorithmName="SHA-512" hashValue="fPHvtIAf3pQeZUoAI9C2/vdXMHBpqqEq+67P5Ypyu4+9IWqs3yc9TZcMWQ0THLxUwqseQPyVvakuYFtCwJHsxA==" saltValue="QHIogSs2PrwAfdqa9PAOFQ==" spinCount="100000" sqref="AC171:AC172" name="Rango2_88_5_5_75"/>
    <protectedRange algorithmName="SHA-512" hashValue="LEEeiU6pKqm7TAP46VGlz0q+evvFwpT/0iLpRuWuQ7MacbP0OGL1/FSmrIEOg2rb6M+Jla2bPbVWiGag27j87w==" saltValue="HEVt+pS5OloNDlqSnzGLLw==" spinCount="100000" sqref="AI171:AI172" name="Rango2_8_7_75"/>
    <protectedRange algorithmName="SHA-512" hashValue="AYYX88LSDB6RDNMvSqt0KPGWPjBqTk56tMxTOlv5QD61MGTKAAQnSnudvNDWPN0Bbllh2qRQC+P5uq7goxjdrw==" saltValue="i/iPMewnks1FoXYOjKMEVg==" spinCount="100000" sqref="AB171:AB172" name="Rango2_87_6_75"/>
    <protectedRange algorithmName="SHA-512" hashValue="NUll9P9xh7KbSfMYpMxsRZLfDw/y/AzW2LSWlpXVscBDqiAxmzo71xjs+a2lh+jRa7pceOC849slke4+ZKx8LA==" saltValue="8qbkKpQ+CiQuLnqgShNvXA==" spinCount="100000" sqref="T171:T172" name="Rango2_88_6_75"/>
    <protectedRange algorithmName="SHA-512" hashValue="KHhv3JU/LRdRrRTxxkgFceEHPZ5UzadmpZRZR3zmQRnPvkUJZuanRafIJ+qde0IWwLZSvFIQDyUAHq6v6k7XIg==" saltValue="2GKG1kCzVNNcn+vbOPuhJA==" spinCount="100000" sqref="Q171:Q172" name="Rango2_2_5_75"/>
    <protectedRange algorithmName="SHA-512" hashValue="RQ91b7oAw60DVtcgB2vRpial2kSdzJx5guGCTYUwXYkKrtrUHfiYnLf9R+SNpYXlJDYpyEJLhcWwP0EqNN86dQ==" saltValue="W3RbH3zrcY9sy39xNwXNxg==" spinCount="100000" sqref="BA173:BI175 BV173:BY175" name="Rango2_88_99_79"/>
    <protectedRange algorithmName="SHA-512" hashValue="fMbmUM1DQ7FuAPRNvFL5mPdHUYjQnlLFhkuaxvHguaqR7aWyDxcmJs0jLYQfQKY+oyhsMb4Lew4VL6i7um3/ew==" saltValue="ydaTm0CeH8+/cYqoL/AMaQ==" spinCount="100000" sqref="AU173:AU175 AW173:AZ175" name="Rango2_88_91_75"/>
    <protectedRange algorithmName="SHA-512" hashValue="CHipOQaT63FWw628cQcXXJRZlrbNZ7OgmnEbDx38UmmH7z19GRYEzXFiVOzHAy1OAaAbST7g2bHZHDKQp2qm3w==" saltValue="iRVuL+373yLHv0ZHzS9qog==" spinCount="100000" sqref="AJ173:AJ175 AG173:AH175 AL173:AL175" name="Rango2_88_7_5_79"/>
    <protectedRange algorithmName="SHA-512" hashValue="NkG6oHuDGvGBEiLAAq8MEJHEfLQUMyjihfH+DBXhT+eQW0r1yri7tOJEFRM9nbOejjjXiviq9RFo7KB7wF+xJA==" saltValue="bpjB0AAANu2X/PeR3eiFkA==" spinCount="100000" sqref="AM173:AS175" name="Rango2_88_65_76"/>
    <protectedRange algorithmName="SHA-512" hashValue="fPHvtIAf3pQeZUoAI9C2/vdXMHBpqqEq+67P5Ypyu4+9IWqs3yc9TZcMWQ0THLxUwqseQPyVvakuYFtCwJHsxA==" saltValue="QHIogSs2PrwAfdqa9PAOFQ==" spinCount="100000" sqref="AC173:AC175" name="Rango2_88_5_5_76"/>
    <protectedRange algorithmName="SHA-512" hashValue="LEEeiU6pKqm7TAP46VGlz0q+evvFwpT/0iLpRuWuQ7MacbP0OGL1/FSmrIEOg2rb6M+Jla2bPbVWiGag27j87w==" saltValue="HEVt+pS5OloNDlqSnzGLLw==" spinCount="100000" sqref="AI173:AI175" name="Rango2_8_7_76"/>
    <protectedRange algorithmName="SHA-512" hashValue="AYYX88LSDB6RDNMvSqt0KPGWPjBqTk56tMxTOlv5QD61MGTKAAQnSnudvNDWPN0Bbllh2qRQC+P5uq7goxjdrw==" saltValue="i/iPMewnks1FoXYOjKMEVg==" spinCount="100000" sqref="AB173:AB175" name="Rango2_87_6_76"/>
    <protectedRange algorithmName="SHA-512" hashValue="NUll9P9xh7KbSfMYpMxsRZLfDw/y/AzW2LSWlpXVscBDqiAxmzo71xjs+a2lh+jRa7pceOC849slke4+ZKx8LA==" saltValue="8qbkKpQ+CiQuLnqgShNvXA==" spinCount="100000" sqref="T173:T175" name="Rango2_88_6_76"/>
    <protectedRange algorithmName="SHA-512" hashValue="KHhv3JU/LRdRrRTxxkgFceEHPZ5UzadmpZRZR3zmQRnPvkUJZuanRafIJ+qde0IWwLZSvFIQDyUAHq6v6k7XIg==" saltValue="2GKG1kCzVNNcn+vbOPuhJA==" spinCount="100000" sqref="Q173:Q175" name="Rango2_2_5_76"/>
    <protectedRange algorithmName="SHA-512" hashValue="RQ91b7oAw60DVtcgB2vRpial2kSdzJx5guGCTYUwXYkKrtrUHfiYnLf9R+SNpYXlJDYpyEJLhcWwP0EqNN86dQ==" saltValue="W3RbH3zrcY9sy39xNwXNxg==" spinCount="100000" sqref="BA176:BI176 BV176:BY176" name="Rango2_88_99_80"/>
    <protectedRange algorithmName="SHA-512" hashValue="fMbmUM1DQ7FuAPRNvFL5mPdHUYjQnlLFhkuaxvHguaqR7aWyDxcmJs0jLYQfQKY+oyhsMb4Lew4VL6i7um3/ew==" saltValue="ydaTm0CeH8+/cYqoL/AMaQ==" spinCount="100000" sqref="AU176 AW176:AZ176" name="Rango2_88_91_76"/>
    <protectedRange algorithmName="SHA-512" hashValue="CHipOQaT63FWw628cQcXXJRZlrbNZ7OgmnEbDx38UmmH7z19GRYEzXFiVOzHAy1OAaAbST7g2bHZHDKQp2qm3w==" saltValue="iRVuL+373yLHv0ZHzS9qog==" spinCount="100000" sqref="AJ176 AG176:AH176 AL176" name="Rango2_88_7_5_80"/>
    <protectedRange algorithmName="SHA-512" hashValue="NkG6oHuDGvGBEiLAAq8MEJHEfLQUMyjihfH+DBXhT+eQW0r1yri7tOJEFRM9nbOejjjXiviq9RFo7KB7wF+xJA==" saltValue="bpjB0AAANu2X/PeR3eiFkA==" spinCount="100000" sqref="AM176:AS176" name="Rango2_88_65_77"/>
    <protectedRange algorithmName="SHA-512" hashValue="fPHvtIAf3pQeZUoAI9C2/vdXMHBpqqEq+67P5Ypyu4+9IWqs3yc9TZcMWQ0THLxUwqseQPyVvakuYFtCwJHsxA==" saltValue="QHIogSs2PrwAfdqa9PAOFQ==" spinCount="100000" sqref="AC176" name="Rango2_88_5_5_77"/>
    <protectedRange algorithmName="SHA-512" hashValue="LEEeiU6pKqm7TAP46VGlz0q+evvFwpT/0iLpRuWuQ7MacbP0OGL1/FSmrIEOg2rb6M+Jla2bPbVWiGag27j87w==" saltValue="HEVt+pS5OloNDlqSnzGLLw==" spinCount="100000" sqref="AI176" name="Rango2_8_7_77"/>
    <protectedRange algorithmName="SHA-512" hashValue="AYYX88LSDB6RDNMvSqt0KPGWPjBqTk56tMxTOlv5QD61MGTKAAQnSnudvNDWPN0Bbllh2qRQC+P5uq7goxjdrw==" saltValue="i/iPMewnks1FoXYOjKMEVg==" spinCount="100000" sqref="AB176" name="Rango2_87_6_77"/>
    <protectedRange algorithmName="SHA-512" hashValue="NUll9P9xh7KbSfMYpMxsRZLfDw/y/AzW2LSWlpXVscBDqiAxmzo71xjs+a2lh+jRa7pceOC849slke4+ZKx8LA==" saltValue="8qbkKpQ+CiQuLnqgShNvXA==" spinCount="100000" sqref="T176" name="Rango2_88_6_77"/>
    <protectedRange algorithmName="SHA-512" hashValue="KHhv3JU/LRdRrRTxxkgFceEHPZ5UzadmpZRZR3zmQRnPvkUJZuanRafIJ+qde0IWwLZSvFIQDyUAHq6v6k7XIg==" saltValue="2GKG1kCzVNNcn+vbOPuhJA==" spinCount="100000" sqref="Q176" name="Rango2_2_5_77"/>
    <protectedRange algorithmName="SHA-512" hashValue="RQ91b7oAw60DVtcgB2vRpial2kSdzJx5guGCTYUwXYkKrtrUHfiYnLf9R+SNpYXlJDYpyEJLhcWwP0EqNN86dQ==" saltValue="W3RbH3zrcY9sy39xNwXNxg==" spinCount="100000" sqref="BA177:BI178 BV177:BY178" name="Rango2_88_99_81"/>
    <protectedRange algorithmName="SHA-512" hashValue="fMbmUM1DQ7FuAPRNvFL5mPdHUYjQnlLFhkuaxvHguaqR7aWyDxcmJs0jLYQfQKY+oyhsMb4Lew4VL6i7um3/ew==" saltValue="ydaTm0CeH8+/cYqoL/AMaQ==" spinCount="100000" sqref="AU177:AU178 AW177:AZ178" name="Rango2_88_91_77"/>
    <protectedRange algorithmName="SHA-512" hashValue="CHipOQaT63FWw628cQcXXJRZlrbNZ7OgmnEbDx38UmmH7z19GRYEzXFiVOzHAy1OAaAbST7g2bHZHDKQp2qm3w==" saltValue="iRVuL+373yLHv0ZHzS9qog==" spinCount="100000" sqref="AJ177:AJ178 AG177:AH178 AL177:AL178" name="Rango2_88_7_5_81"/>
    <protectedRange algorithmName="SHA-512" hashValue="NkG6oHuDGvGBEiLAAq8MEJHEfLQUMyjihfH+DBXhT+eQW0r1yri7tOJEFRM9nbOejjjXiviq9RFo7KB7wF+xJA==" saltValue="bpjB0AAANu2X/PeR3eiFkA==" spinCount="100000" sqref="AM177:AS178" name="Rango2_88_65_78"/>
    <protectedRange algorithmName="SHA-512" hashValue="fPHvtIAf3pQeZUoAI9C2/vdXMHBpqqEq+67P5Ypyu4+9IWqs3yc9TZcMWQ0THLxUwqseQPyVvakuYFtCwJHsxA==" saltValue="QHIogSs2PrwAfdqa9PAOFQ==" spinCount="100000" sqref="AC177:AC178" name="Rango2_88_5_5_78"/>
    <protectedRange algorithmName="SHA-512" hashValue="LEEeiU6pKqm7TAP46VGlz0q+evvFwpT/0iLpRuWuQ7MacbP0OGL1/FSmrIEOg2rb6M+Jla2bPbVWiGag27j87w==" saltValue="HEVt+pS5OloNDlqSnzGLLw==" spinCount="100000" sqref="AI177:AI178" name="Rango2_8_7_78"/>
    <protectedRange algorithmName="SHA-512" hashValue="AYYX88LSDB6RDNMvSqt0KPGWPjBqTk56tMxTOlv5QD61MGTKAAQnSnudvNDWPN0Bbllh2qRQC+P5uq7goxjdrw==" saltValue="i/iPMewnks1FoXYOjKMEVg==" spinCount="100000" sqref="AB177:AB178" name="Rango2_87_6_78"/>
    <protectedRange algorithmName="SHA-512" hashValue="NUll9P9xh7KbSfMYpMxsRZLfDw/y/AzW2LSWlpXVscBDqiAxmzo71xjs+a2lh+jRa7pceOC849slke4+ZKx8LA==" saltValue="8qbkKpQ+CiQuLnqgShNvXA==" spinCount="100000" sqref="T177:T178" name="Rango2_88_6_78"/>
    <protectedRange algorithmName="SHA-512" hashValue="KHhv3JU/LRdRrRTxxkgFceEHPZ5UzadmpZRZR3zmQRnPvkUJZuanRafIJ+qde0IWwLZSvFIQDyUAHq6v6k7XIg==" saltValue="2GKG1kCzVNNcn+vbOPuhJA==" spinCount="100000" sqref="Q177:Q178" name="Rango2_2_5_78"/>
    <protectedRange algorithmName="SHA-512" hashValue="RQ91b7oAw60DVtcgB2vRpial2kSdzJx5guGCTYUwXYkKrtrUHfiYnLf9R+SNpYXlJDYpyEJLhcWwP0EqNN86dQ==" saltValue="W3RbH3zrcY9sy39xNwXNxg==" spinCount="100000" sqref="BA179:BI179 BV179:BY179" name="Rango2_88_99_82"/>
    <protectedRange algorithmName="SHA-512" hashValue="fMbmUM1DQ7FuAPRNvFL5mPdHUYjQnlLFhkuaxvHguaqR7aWyDxcmJs0jLYQfQKY+oyhsMb4Lew4VL6i7um3/ew==" saltValue="ydaTm0CeH8+/cYqoL/AMaQ==" spinCount="100000" sqref="AU179 AW179:AZ179" name="Rango2_88_91_78"/>
    <protectedRange algorithmName="SHA-512" hashValue="CHipOQaT63FWw628cQcXXJRZlrbNZ7OgmnEbDx38UmmH7z19GRYEzXFiVOzHAy1OAaAbST7g2bHZHDKQp2qm3w==" saltValue="iRVuL+373yLHv0ZHzS9qog==" spinCount="100000" sqref="AJ179 AG179:AH179 AL179" name="Rango2_88_7_5_82"/>
    <protectedRange algorithmName="SHA-512" hashValue="NkG6oHuDGvGBEiLAAq8MEJHEfLQUMyjihfH+DBXhT+eQW0r1yri7tOJEFRM9nbOejjjXiviq9RFo7KB7wF+xJA==" saltValue="bpjB0AAANu2X/PeR3eiFkA==" spinCount="100000" sqref="AM179:AS179" name="Rango2_88_65_79"/>
    <protectedRange algorithmName="SHA-512" hashValue="fPHvtIAf3pQeZUoAI9C2/vdXMHBpqqEq+67P5Ypyu4+9IWqs3yc9TZcMWQ0THLxUwqseQPyVvakuYFtCwJHsxA==" saltValue="QHIogSs2PrwAfdqa9PAOFQ==" spinCount="100000" sqref="AC179" name="Rango2_88_5_5_79"/>
    <protectedRange algorithmName="SHA-512" hashValue="LEEeiU6pKqm7TAP46VGlz0q+evvFwpT/0iLpRuWuQ7MacbP0OGL1/FSmrIEOg2rb6M+Jla2bPbVWiGag27j87w==" saltValue="HEVt+pS5OloNDlqSnzGLLw==" spinCount="100000" sqref="AI179" name="Rango2_8_7_79"/>
    <protectedRange algorithmName="SHA-512" hashValue="AYYX88LSDB6RDNMvSqt0KPGWPjBqTk56tMxTOlv5QD61MGTKAAQnSnudvNDWPN0Bbllh2qRQC+P5uq7goxjdrw==" saltValue="i/iPMewnks1FoXYOjKMEVg==" spinCount="100000" sqref="AB179" name="Rango2_87_6_79"/>
    <protectedRange algorithmName="SHA-512" hashValue="NUll9P9xh7KbSfMYpMxsRZLfDw/y/AzW2LSWlpXVscBDqiAxmzo71xjs+a2lh+jRa7pceOC849slke4+ZKx8LA==" saltValue="8qbkKpQ+CiQuLnqgShNvXA==" spinCount="100000" sqref="T179" name="Rango2_88_6_79"/>
    <protectedRange algorithmName="SHA-512" hashValue="KHhv3JU/LRdRrRTxxkgFceEHPZ5UzadmpZRZR3zmQRnPvkUJZuanRafIJ+qde0IWwLZSvFIQDyUAHq6v6k7XIg==" saltValue="2GKG1kCzVNNcn+vbOPuhJA==" spinCount="100000" sqref="Q179" name="Rango2_2_5_79"/>
    <protectedRange algorithmName="SHA-512" hashValue="RQ91b7oAw60DVtcgB2vRpial2kSdzJx5guGCTYUwXYkKrtrUHfiYnLf9R+SNpYXlJDYpyEJLhcWwP0EqNN86dQ==" saltValue="W3RbH3zrcY9sy39xNwXNxg==" spinCount="100000" sqref="BA180:BI180 BV180:BY180" name="Rango2_88_99_83"/>
    <protectedRange algorithmName="SHA-512" hashValue="fMbmUM1DQ7FuAPRNvFL5mPdHUYjQnlLFhkuaxvHguaqR7aWyDxcmJs0jLYQfQKY+oyhsMb4Lew4VL6i7um3/ew==" saltValue="ydaTm0CeH8+/cYqoL/AMaQ==" spinCount="100000" sqref="AU180 AW180:AZ180" name="Rango2_88_91_79"/>
    <protectedRange algorithmName="SHA-512" hashValue="CHipOQaT63FWw628cQcXXJRZlrbNZ7OgmnEbDx38UmmH7z19GRYEzXFiVOzHAy1OAaAbST7g2bHZHDKQp2qm3w==" saltValue="iRVuL+373yLHv0ZHzS9qog==" spinCount="100000" sqref="AJ180 AG180:AH180 AL180" name="Rango2_88_7_5_83"/>
    <protectedRange algorithmName="SHA-512" hashValue="NkG6oHuDGvGBEiLAAq8MEJHEfLQUMyjihfH+DBXhT+eQW0r1yri7tOJEFRM9nbOejjjXiviq9RFo7KB7wF+xJA==" saltValue="bpjB0AAANu2X/PeR3eiFkA==" spinCount="100000" sqref="AM180:AS180" name="Rango2_88_65_80"/>
    <protectedRange algorithmName="SHA-512" hashValue="fPHvtIAf3pQeZUoAI9C2/vdXMHBpqqEq+67P5Ypyu4+9IWqs3yc9TZcMWQ0THLxUwqseQPyVvakuYFtCwJHsxA==" saltValue="QHIogSs2PrwAfdqa9PAOFQ==" spinCount="100000" sqref="AC180" name="Rango2_88_5_5_80"/>
    <protectedRange algorithmName="SHA-512" hashValue="LEEeiU6pKqm7TAP46VGlz0q+evvFwpT/0iLpRuWuQ7MacbP0OGL1/FSmrIEOg2rb6M+Jla2bPbVWiGag27j87w==" saltValue="HEVt+pS5OloNDlqSnzGLLw==" spinCount="100000" sqref="AI180" name="Rango2_8_7_80"/>
    <protectedRange algorithmName="SHA-512" hashValue="AYYX88LSDB6RDNMvSqt0KPGWPjBqTk56tMxTOlv5QD61MGTKAAQnSnudvNDWPN0Bbllh2qRQC+P5uq7goxjdrw==" saltValue="i/iPMewnks1FoXYOjKMEVg==" spinCount="100000" sqref="AB180" name="Rango2_87_6_80"/>
    <protectedRange algorithmName="SHA-512" hashValue="NUll9P9xh7KbSfMYpMxsRZLfDw/y/AzW2LSWlpXVscBDqiAxmzo71xjs+a2lh+jRa7pceOC849slke4+ZKx8LA==" saltValue="8qbkKpQ+CiQuLnqgShNvXA==" spinCount="100000" sqref="T180" name="Rango2_88_6_80"/>
    <protectedRange algorithmName="SHA-512" hashValue="KHhv3JU/LRdRrRTxxkgFceEHPZ5UzadmpZRZR3zmQRnPvkUJZuanRafIJ+qde0IWwLZSvFIQDyUAHq6v6k7XIg==" saltValue="2GKG1kCzVNNcn+vbOPuhJA==" spinCount="100000" sqref="Q180" name="Rango2_2_5_80"/>
    <protectedRange algorithmName="SHA-512" hashValue="RQ91b7oAw60DVtcgB2vRpial2kSdzJx5guGCTYUwXYkKrtrUHfiYnLf9R+SNpYXlJDYpyEJLhcWwP0EqNN86dQ==" saltValue="W3RbH3zrcY9sy39xNwXNxg==" spinCount="100000" sqref="BA181:BI181 BV181:BY181" name="Rango2_88_99_84"/>
    <protectedRange algorithmName="SHA-512" hashValue="fMbmUM1DQ7FuAPRNvFL5mPdHUYjQnlLFhkuaxvHguaqR7aWyDxcmJs0jLYQfQKY+oyhsMb4Lew4VL6i7um3/ew==" saltValue="ydaTm0CeH8+/cYqoL/AMaQ==" spinCount="100000" sqref="AU181 AW181:AZ181" name="Rango2_88_91_80"/>
    <protectedRange algorithmName="SHA-512" hashValue="CHipOQaT63FWw628cQcXXJRZlrbNZ7OgmnEbDx38UmmH7z19GRYEzXFiVOzHAy1OAaAbST7g2bHZHDKQp2qm3w==" saltValue="iRVuL+373yLHv0ZHzS9qog==" spinCount="100000" sqref="AJ181 AG181:AH181 AL181" name="Rango2_88_7_5_84"/>
    <protectedRange algorithmName="SHA-512" hashValue="NkG6oHuDGvGBEiLAAq8MEJHEfLQUMyjihfH+DBXhT+eQW0r1yri7tOJEFRM9nbOejjjXiviq9RFo7KB7wF+xJA==" saltValue="bpjB0AAANu2X/PeR3eiFkA==" spinCount="100000" sqref="AM181:AS181" name="Rango2_88_65_81"/>
    <protectedRange algorithmName="SHA-512" hashValue="fPHvtIAf3pQeZUoAI9C2/vdXMHBpqqEq+67P5Ypyu4+9IWqs3yc9TZcMWQ0THLxUwqseQPyVvakuYFtCwJHsxA==" saltValue="QHIogSs2PrwAfdqa9PAOFQ==" spinCount="100000" sqref="AC181" name="Rango2_88_5_5_81"/>
    <protectedRange algorithmName="SHA-512" hashValue="LEEeiU6pKqm7TAP46VGlz0q+evvFwpT/0iLpRuWuQ7MacbP0OGL1/FSmrIEOg2rb6M+Jla2bPbVWiGag27j87w==" saltValue="HEVt+pS5OloNDlqSnzGLLw==" spinCount="100000" sqref="AI181" name="Rango2_8_7_81"/>
    <protectedRange algorithmName="SHA-512" hashValue="AYYX88LSDB6RDNMvSqt0KPGWPjBqTk56tMxTOlv5QD61MGTKAAQnSnudvNDWPN0Bbllh2qRQC+P5uq7goxjdrw==" saltValue="i/iPMewnks1FoXYOjKMEVg==" spinCount="100000" sqref="AB181" name="Rango2_87_6_81"/>
    <protectedRange algorithmName="SHA-512" hashValue="NUll9P9xh7KbSfMYpMxsRZLfDw/y/AzW2LSWlpXVscBDqiAxmzo71xjs+a2lh+jRa7pceOC849slke4+ZKx8LA==" saltValue="8qbkKpQ+CiQuLnqgShNvXA==" spinCount="100000" sqref="T181" name="Rango2_88_6_81"/>
    <protectedRange algorithmName="SHA-512" hashValue="KHhv3JU/LRdRrRTxxkgFceEHPZ5UzadmpZRZR3zmQRnPvkUJZuanRafIJ+qde0IWwLZSvFIQDyUAHq6v6k7XIg==" saltValue="2GKG1kCzVNNcn+vbOPuhJA==" spinCount="100000" sqref="Q181" name="Rango2_2_5_81"/>
    <protectedRange algorithmName="SHA-512" hashValue="RQ91b7oAw60DVtcgB2vRpial2kSdzJx5guGCTYUwXYkKrtrUHfiYnLf9R+SNpYXlJDYpyEJLhcWwP0EqNN86dQ==" saltValue="W3RbH3zrcY9sy39xNwXNxg==" spinCount="100000" sqref="BA182:BI182 BV182:BY182" name="Rango2_88_99_85"/>
    <protectedRange algorithmName="SHA-512" hashValue="fMbmUM1DQ7FuAPRNvFL5mPdHUYjQnlLFhkuaxvHguaqR7aWyDxcmJs0jLYQfQKY+oyhsMb4Lew4VL6i7um3/ew==" saltValue="ydaTm0CeH8+/cYqoL/AMaQ==" spinCount="100000" sqref="AU182 AW182:AZ182" name="Rango2_88_91_81"/>
    <protectedRange algorithmName="SHA-512" hashValue="CHipOQaT63FWw628cQcXXJRZlrbNZ7OgmnEbDx38UmmH7z19GRYEzXFiVOzHAy1OAaAbST7g2bHZHDKQp2qm3w==" saltValue="iRVuL+373yLHv0ZHzS9qog==" spinCount="100000" sqref="AJ182 AG182:AH182 AL182" name="Rango2_88_7_5_85"/>
    <protectedRange algorithmName="SHA-512" hashValue="NkG6oHuDGvGBEiLAAq8MEJHEfLQUMyjihfH+DBXhT+eQW0r1yri7tOJEFRM9nbOejjjXiviq9RFo7KB7wF+xJA==" saltValue="bpjB0AAANu2X/PeR3eiFkA==" spinCount="100000" sqref="AM182:AS182" name="Rango2_88_65_82"/>
    <protectedRange algorithmName="SHA-512" hashValue="fPHvtIAf3pQeZUoAI9C2/vdXMHBpqqEq+67P5Ypyu4+9IWqs3yc9TZcMWQ0THLxUwqseQPyVvakuYFtCwJHsxA==" saltValue="QHIogSs2PrwAfdqa9PAOFQ==" spinCount="100000" sqref="AC182" name="Rango2_88_5_5_82"/>
    <protectedRange algorithmName="SHA-512" hashValue="LEEeiU6pKqm7TAP46VGlz0q+evvFwpT/0iLpRuWuQ7MacbP0OGL1/FSmrIEOg2rb6M+Jla2bPbVWiGag27j87w==" saltValue="HEVt+pS5OloNDlqSnzGLLw==" spinCount="100000" sqref="AI182" name="Rango2_8_7_82"/>
    <protectedRange algorithmName="SHA-512" hashValue="AYYX88LSDB6RDNMvSqt0KPGWPjBqTk56tMxTOlv5QD61MGTKAAQnSnudvNDWPN0Bbllh2qRQC+P5uq7goxjdrw==" saltValue="i/iPMewnks1FoXYOjKMEVg==" spinCount="100000" sqref="AB182" name="Rango2_87_6_82"/>
    <protectedRange algorithmName="SHA-512" hashValue="NUll9P9xh7KbSfMYpMxsRZLfDw/y/AzW2LSWlpXVscBDqiAxmzo71xjs+a2lh+jRa7pceOC849slke4+ZKx8LA==" saltValue="8qbkKpQ+CiQuLnqgShNvXA==" spinCount="100000" sqref="T182" name="Rango2_88_6_82"/>
    <protectedRange algorithmName="SHA-512" hashValue="KHhv3JU/LRdRrRTxxkgFceEHPZ5UzadmpZRZR3zmQRnPvkUJZuanRafIJ+qde0IWwLZSvFIQDyUAHq6v6k7XIg==" saltValue="2GKG1kCzVNNcn+vbOPuhJA==" spinCount="100000" sqref="Q182" name="Rango2_2_5_82"/>
    <protectedRange algorithmName="SHA-512" hashValue="RQ91b7oAw60DVtcgB2vRpial2kSdzJx5guGCTYUwXYkKrtrUHfiYnLf9R+SNpYXlJDYpyEJLhcWwP0EqNN86dQ==" saltValue="W3RbH3zrcY9sy39xNwXNxg==" spinCount="100000" sqref="BA183:BI183 BV183:BY183" name="Rango2_88_99_86"/>
    <protectedRange algorithmName="SHA-512" hashValue="fMbmUM1DQ7FuAPRNvFL5mPdHUYjQnlLFhkuaxvHguaqR7aWyDxcmJs0jLYQfQKY+oyhsMb4Lew4VL6i7um3/ew==" saltValue="ydaTm0CeH8+/cYqoL/AMaQ==" spinCount="100000" sqref="AU183 AW183:AZ183" name="Rango2_88_91_82"/>
    <protectedRange algorithmName="SHA-512" hashValue="CHipOQaT63FWw628cQcXXJRZlrbNZ7OgmnEbDx38UmmH7z19GRYEzXFiVOzHAy1OAaAbST7g2bHZHDKQp2qm3w==" saltValue="iRVuL+373yLHv0ZHzS9qog==" spinCount="100000" sqref="AJ183 AG183:AH183 AL183" name="Rango2_88_7_5_86"/>
    <protectedRange algorithmName="SHA-512" hashValue="NkG6oHuDGvGBEiLAAq8MEJHEfLQUMyjihfH+DBXhT+eQW0r1yri7tOJEFRM9nbOejjjXiviq9RFo7KB7wF+xJA==" saltValue="bpjB0AAANu2X/PeR3eiFkA==" spinCount="100000" sqref="AM183:AS183" name="Rango2_88_65_83"/>
    <protectedRange algorithmName="SHA-512" hashValue="fPHvtIAf3pQeZUoAI9C2/vdXMHBpqqEq+67P5Ypyu4+9IWqs3yc9TZcMWQ0THLxUwqseQPyVvakuYFtCwJHsxA==" saltValue="QHIogSs2PrwAfdqa9PAOFQ==" spinCount="100000" sqref="AC183" name="Rango2_88_5_5_83"/>
    <protectedRange algorithmName="SHA-512" hashValue="LEEeiU6pKqm7TAP46VGlz0q+evvFwpT/0iLpRuWuQ7MacbP0OGL1/FSmrIEOg2rb6M+Jla2bPbVWiGag27j87w==" saltValue="HEVt+pS5OloNDlqSnzGLLw==" spinCount="100000" sqref="AI183" name="Rango2_8_7_83"/>
    <protectedRange algorithmName="SHA-512" hashValue="AYYX88LSDB6RDNMvSqt0KPGWPjBqTk56tMxTOlv5QD61MGTKAAQnSnudvNDWPN0Bbllh2qRQC+P5uq7goxjdrw==" saltValue="i/iPMewnks1FoXYOjKMEVg==" spinCount="100000" sqref="AB183" name="Rango2_87_6_83"/>
    <protectedRange algorithmName="SHA-512" hashValue="NUll9P9xh7KbSfMYpMxsRZLfDw/y/AzW2LSWlpXVscBDqiAxmzo71xjs+a2lh+jRa7pceOC849slke4+ZKx8LA==" saltValue="8qbkKpQ+CiQuLnqgShNvXA==" spinCount="100000" sqref="T183" name="Rango2_88_6_83"/>
    <protectedRange algorithmName="SHA-512" hashValue="KHhv3JU/LRdRrRTxxkgFceEHPZ5UzadmpZRZR3zmQRnPvkUJZuanRafIJ+qde0IWwLZSvFIQDyUAHq6v6k7XIg==" saltValue="2GKG1kCzVNNcn+vbOPuhJA==" spinCount="100000" sqref="Q183" name="Rango2_2_5_83"/>
    <protectedRange algorithmName="SHA-512" hashValue="RQ91b7oAw60DVtcgB2vRpial2kSdzJx5guGCTYUwXYkKrtrUHfiYnLf9R+SNpYXlJDYpyEJLhcWwP0EqNN86dQ==" saltValue="W3RbH3zrcY9sy39xNwXNxg==" spinCount="100000" sqref="BA184:BI187 BV184:BY187" name="Rango2_88_99_87"/>
    <protectedRange algorithmName="SHA-512" hashValue="fMbmUM1DQ7FuAPRNvFL5mPdHUYjQnlLFhkuaxvHguaqR7aWyDxcmJs0jLYQfQKY+oyhsMb4Lew4VL6i7um3/ew==" saltValue="ydaTm0CeH8+/cYqoL/AMaQ==" spinCount="100000" sqref="AU184:AU187 AW184:AZ187" name="Rango2_88_91_83"/>
    <protectedRange algorithmName="SHA-512" hashValue="CHipOQaT63FWw628cQcXXJRZlrbNZ7OgmnEbDx38UmmH7z19GRYEzXFiVOzHAy1OAaAbST7g2bHZHDKQp2qm3w==" saltValue="iRVuL+373yLHv0ZHzS9qog==" spinCount="100000" sqref="AJ184:AJ187 AG184:AH187 AL184:AL187" name="Rango2_88_7_5_87"/>
    <protectedRange algorithmName="SHA-512" hashValue="NkG6oHuDGvGBEiLAAq8MEJHEfLQUMyjihfH+DBXhT+eQW0r1yri7tOJEFRM9nbOejjjXiviq9RFo7KB7wF+xJA==" saltValue="bpjB0AAANu2X/PeR3eiFkA==" spinCount="100000" sqref="AM184:AS187" name="Rango2_88_65_84"/>
    <protectedRange algorithmName="SHA-512" hashValue="fPHvtIAf3pQeZUoAI9C2/vdXMHBpqqEq+67P5Ypyu4+9IWqs3yc9TZcMWQ0THLxUwqseQPyVvakuYFtCwJHsxA==" saltValue="QHIogSs2PrwAfdqa9PAOFQ==" spinCount="100000" sqref="AC184:AC187" name="Rango2_88_5_5_84"/>
    <protectedRange algorithmName="SHA-512" hashValue="LEEeiU6pKqm7TAP46VGlz0q+evvFwpT/0iLpRuWuQ7MacbP0OGL1/FSmrIEOg2rb6M+Jla2bPbVWiGag27j87w==" saltValue="HEVt+pS5OloNDlqSnzGLLw==" spinCount="100000" sqref="AI184:AI187" name="Rango2_8_7_84"/>
    <protectedRange algorithmName="SHA-512" hashValue="AYYX88LSDB6RDNMvSqt0KPGWPjBqTk56tMxTOlv5QD61MGTKAAQnSnudvNDWPN0Bbllh2qRQC+P5uq7goxjdrw==" saltValue="i/iPMewnks1FoXYOjKMEVg==" spinCount="100000" sqref="AB184:AB187" name="Rango2_87_6_84"/>
    <protectedRange algorithmName="SHA-512" hashValue="NUll9P9xh7KbSfMYpMxsRZLfDw/y/AzW2LSWlpXVscBDqiAxmzo71xjs+a2lh+jRa7pceOC849slke4+ZKx8LA==" saltValue="8qbkKpQ+CiQuLnqgShNvXA==" spinCount="100000" sqref="T184:T187" name="Rango2_88_6_84"/>
    <protectedRange algorithmName="SHA-512" hashValue="KHhv3JU/LRdRrRTxxkgFceEHPZ5UzadmpZRZR3zmQRnPvkUJZuanRafIJ+qde0IWwLZSvFIQDyUAHq6v6k7XIg==" saltValue="2GKG1kCzVNNcn+vbOPuhJA==" spinCount="100000" sqref="Q184:Q187" name="Rango2_2_5_84"/>
    <protectedRange algorithmName="SHA-512" hashValue="9+DNppQbWrLYYUMoJ+lyQctV2bX3Vq9kZnegLbpjTLP49It2ovUbcartuoQTeXgP+TGpY//7mDH/UQlFCKDGiA==" saltValue="KUnni6YEm00anzSSvyLqQA==" spinCount="100000" sqref="FN142" name="Rango2_20_2"/>
    <protectedRange algorithmName="SHA-512" hashValue="9+DNppQbWrLYYUMoJ+lyQctV2bX3Vq9kZnegLbpjTLP49It2ovUbcartuoQTeXgP+TGpY//7mDH/UQlFCKDGiA==" saltValue="KUnni6YEm00anzSSvyLqQA==" spinCount="100000" sqref="FK142" name="Rango2_19_2"/>
    <protectedRange algorithmName="SHA-512" hashValue="9+DNppQbWrLYYUMoJ+lyQctV2bX3Vq9kZnegLbpjTLP49It2ovUbcartuoQTeXgP+TGpY//7mDH/UQlFCKDGiA==" saltValue="KUnni6YEm00anzSSvyLqQA==" spinCount="100000" sqref="FH142" name="Rango2_18_2"/>
    <protectedRange algorithmName="SHA-512" hashValue="9+DNppQbWrLYYUMoJ+lyQctV2bX3Vq9kZnegLbpjTLP49It2ovUbcartuoQTeXgP+TGpY//7mDH/UQlFCKDGiA==" saltValue="KUnni6YEm00anzSSvyLqQA==" spinCount="100000" sqref="FE142" name="Rango2_17_2"/>
    <protectedRange algorithmName="SHA-512" hashValue="9+DNppQbWrLYYUMoJ+lyQctV2bX3Vq9kZnegLbpjTLP49It2ovUbcartuoQTeXgP+TGpY//7mDH/UQlFCKDGiA==" saltValue="KUnni6YEm00anzSSvyLqQA==" spinCount="100000" sqref="HD142:HI142" name="Rango2_15_2"/>
    <protectedRange algorithmName="SHA-512" hashValue="EEHzbvEYwO1eufllBljOz0uf9BJ2ENtvOScQ7IsS321QhYbwKn7qhHKKP8cKj02rTDvVRMWvwQ1ZP0mZWsBprQ==" saltValue="CjXqBRFbKezlWOFV37MnDQ==" spinCount="100000" sqref="GW142:GW143 GN142:GN143 GQ142:GR143" name="Rango2_30_2_78"/>
    <protectedRange algorithmName="SHA-512" hashValue="Rgskw+AQdeJ5qbJdarzTa3SCkJfDGziy0Uan5N0F3IWn/H3Z/e+VcB56R7Nes7MPxNHewNP1sSSucVjz3iTLeA==" saltValue="qKZH3DnwaZHBzy3cBZo1qQ==" spinCount="100000" sqref="GF142:GF143" name="Rango2_31_28_53"/>
    <protectedRange algorithmName="SHA-512" hashValue="Umj9+5Ys20VQPxBFtc6qE5LtKKSgPKwit+B8dd4XnEUaLfBM2ozpkEC4YxwK0SbBiAHDDex+pY+LomQ0lyuamQ==" saltValue="N2/MCRws+mmA+NXw0axolg==" spinCount="100000" sqref="GJ142:GJ143 GH142:GH143 GE142:GE143 GL142:GL143 FY142:FY143 GB142" name="Rango2_31_2_85"/>
    <protectedRange algorithmName="SHA-512" hashValue="YXHanhqXL0e4jPrzkCF8r/22WmlCviFUW909WKuG1JOcU0mp0/Huh0aP3EaGYxV2ep0WGu48HsShAy4Ka2uOiw==" saltValue="h/7U5iwJm7DLR4tRVfwZYw==" spinCount="100000" sqref="GI142:GI143 GC142:GC143" name="Rango2_33_61"/>
    <protectedRange algorithmName="SHA-512" hashValue="pL4tgTKqwEsWSIEGFTBd+4pvEhE7d5Q99Eijs+L/Y1rhA0saQGGRJw5Pv2HLOP0quglztFwB6WVnQ1YGxd4AiQ==" saltValue="IF5mhk2RcoEjrcYppes1VA==" spinCount="100000" sqref="FT142:FT143" name="Rango2_30_55"/>
    <protectedRange algorithmName="SHA-512" hashValue="EEHzbvEYwO1eufllBljOz0uf9BJ2ENtvOScQ7IsS321QhYbwKn7qhHKKP8cKj02rTDvVRMWvwQ1ZP0mZWsBprQ==" saltValue="CjXqBRFbKezlWOFV37MnDQ==" spinCount="100000" sqref="GW144 GN144 GQ144:GR144" name="Rango2_30_2_79"/>
    <protectedRange algorithmName="SHA-512" hashValue="Rgskw+AQdeJ5qbJdarzTa3SCkJfDGziy0Uan5N0F3IWn/H3Z/e+VcB56R7Nes7MPxNHewNP1sSSucVjz3iTLeA==" saltValue="qKZH3DnwaZHBzy3cBZo1qQ==" spinCount="100000" sqref="GF144" name="Rango2_31_28_54"/>
    <protectedRange algorithmName="SHA-512" hashValue="Umj9+5Ys20VQPxBFtc6qE5LtKKSgPKwit+B8dd4XnEUaLfBM2ozpkEC4YxwK0SbBiAHDDex+pY+LomQ0lyuamQ==" saltValue="N2/MCRws+mmA+NXw0axolg==" spinCount="100000" sqref="GJ144 GH144 GE144 GL144 FY144 GB144" name="Rango2_31_2_86"/>
    <protectedRange algorithmName="SHA-512" hashValue="YXHanhqXL0e4jPrzkCF8r/22WmlCviFUW909WKuG1JOcU0mp0/Huh0aP3EaGYxV2ep0WGu48HsShAy4Ka2uOiw==" saltValue="h/7U5iwJm7DLR4tRVfwZYw==" spinCount="100000" sqref="GI144 GC144" name="Rango2_33_62"/>
    <protectedRange algorithmName="SHA-512" hashValue="pL4tgTKqwEsWSIEGFTBd+4pvEhE7d5Q99Eijs+L/Y1rhA0saQGGRJw5Pv2HLOP0quglztFwB6WVnQ1YGxd4AiQ==" saltValue="IF5mhk2RcoEjrcYppes1VA==" spinCount="100000" sqref="FT144" name="Rango2_30_56"/>
    <protectedRange algorithmName="SHA-512" hashValue="EEHzbvEYwO1eufllBljOz0uf9BJ2ENtvOScQ7IsS321QhYbwKn7qhHKKP8cKj02rTDvVRMWvwQ1ZP0mZWsBprQ==" saltValue="CjXqBRFbKezlWOFV37MnDQ==" spinCount="100000" sqref="GW145 GN145 GQ145:GR145" name="Rango2_30_2_80"/>
    <protectedRange algorithmName="SHA-512" hashValue="Rgskw+AQdeJ5qbJdarzTa3SCkJfDGziy0Uan5N0F3IWn/H3Z/e+VcB56R7Nes7MPxNHewNP1sSSucVjz3iTLeA==" saltValue="qKZH3DnwaZHBzy3cBZo1qQ==" spinCount="100000" sqref="GF145" name="Rango2_31_28_55"/>
    <protectedRange algorithmName="SHA-512" hashValue="Umj9+5Ys20VQPxBFtc6qE5LtKKSgPKwit+B8dd4XnEUaLfBM2ozpkEC4YxwK0SbBiAHDDex+pY+LomQ0lyuamQ==" saltValue="N2/MCRws+mmA+NXw0axolg==" spinCount="100000" sqref="GJ145 GH145 GE145 GL145 FY145 GB145" name="Rango2_31_2_87"/>
    <protectedRange algorithmName="SHA-512" hashValue="YXHanhqXL0e4jPrzkCF8r/22WmlCviFUW909WKuG1JOcU0mp0/Huh0aP3EaGYxV2ep0WGu48HsShAy4Ka2uOiw==" saltValue="h/7U5iwJm7DLR4tRVfwZYw==" spinCount="100000" sqref="GI145 GC145" name="Rango2_33_63"/>
    <protectedRange algorithmName="SHA-512" hashValue="pL4tgTKqwEsWSIEGFTBd+4pvEhE7d5Q99Eijs+L/Y1rhA0saQGGRJw5Pv2HLOP0quglztFwB6WVnQ1YGxd4AiQ==" saltValue="IF5mhk2RcoEjrcYppes1VA==" spinCount="100000" sqref="FT145" name="Rango2_30_57"/>
    <protectedRange algorithmName="SHA-512" hashValue="EEHzbvEYwO1eufllBljOz0uf9BJ2ENtvOScQ7IsS321QhYbwKn7qhHKKP8cKj02rTDvVRMWvwQ1ZP0mZWsBprQ==" saltValue="CjXqBRFbKezlWOFV37MnDQ==" spinCount="100000" sqref="GW146:GW147 GN146:GN147 GQ146:GR147" name="Rango2_30_2_81"/>
    <protectedRange algorithmName="SHA-512" hashValue="Rgskw+AQdeJ5qbJdarzTa3SCkJfDGziy0Uan5N0F3IWn/H3Z/e+VcB56R7Nes7MPxNHewNP1sSSucVjz3iTLeA==" saltValue="qKZH3DnwaZHBzy3cBZo1qQ==" spinCount="100000" sqref="GF146:GF147" name="Rango2_31_28_56"/>
    <protectedRange algorithmName="SHA-512" hashValue="Umj9+5Ys20VQPxBFtc6qE5LtKKSgPKwit+B8dd4XnEUaLfBM2ozpkEC4YxwK0SbBiAHDDex+pY+LomQ0lyuamQ==" saltValue="N2/MCRws+mmA+NXw0axolg==" spinCount="100000" sqref="GJ146:GJ147 GH146:GH147 GE146:GE147 GL146:GL147 FY146:FY147 GB147" name="Rango2_31_2_88"/>
    <protectedRange algorithmName="SHA-512" hashValue="YXHanhqXL0e4jPrzkCF8r/22WmlCviFUW909WKuG1JOcU0mp0/Huh0aP3EaGYxV2ep0WGu48HsShAy4Ka2uOiw==" saltValue="h/7U5iwJm7DLR4tRVfwZYw==" spinCount="100000" sqref="GI146:GI147 GC146:GC147" name="Rango2_33_64"/>
    <protectedRange algorithmName="SHA-512" hashValue="pL4tgTKqwEsWSIEGFTBd+4pvEhE7d5Q99Eijs+L/Y1rhA0saQGGRJw5Pv2HLOP0quglztFwB6WVnQ1YGxd4AiQ==" saltValue="IF5mhk2RcoEjrcYppes1VA==" spinCount="100000" sqref="FT146:FT147" name="Rango2_30_58"/>
    <protectedRange algorithmName="SHA-512" hashValue="EEHzbvEYwO1eufllBljOz0uf9BJ2ENtvOScQ7IsS321QhYbwKn7qhHKKP8cKj02rTDvVRMWvwQ1ZP0mZWsBprQ==" saltValue="CjXqBRFbKezlWOFV37MnDQ==" spinCount="100000" sqref="GW148:GW149 GN148:GN149 GQ148:GR149" name="Rango2_30_2_82"/>
    <protectedRange algorithmName="SHA-512" hashValue="Rgskw+AQdeJ5qbJdarzTa3SCkJfDGziy0Uan5N0F3IWn/H3Z/e+VcB56R7Nes7MPxNHewNP1sSSucVjz3iTLeA==" saltValue="qKZH3DnwaZHBzy3cBZo1qQ==" spinCount="100000" sqref="GF148:GF149" name="Rango2_31_28_57"/>
    <protectedRange algorithmName="SHA-512" hashValue="Umj9+5Ys20VQPxBFtc6qE5LtKKSgPKwit+B8dd4XnEUaLfBM2ozpkEC4YxwK0SbBiAHDDex+pY+LomQ0lyuamQ==" saltValue="N2/MCRws+mmA+NXw0axolg==" spinCount="100000" sqref="GJ148:GJ149 GH148:GH149 GE148:GE149 GL148:GL149 FY148:FY149" name="Rango2_31_2_89"/>
    <protectedRange algorithmName="SHA-512" hashValue="YXHanhqXL0e4jPrzkCF8r/22WmlCviFUW909WKuG1JOcU0mp0/Huh0aP3EaGYxV2ep0WGu48HsShAy4Ka2uOiw==" saltValue="h/7U5iwJm7DLR4tRVfwZYw==" spinCount="100000" sqref="GI148:GI149 GC148:GC149" name="Rango2_33_65"/>
    <protectedRange algorithmName="SHA-512" hashValue="pL4tgTKqwEsWSIEGFTBd+4pvEhE7d5Q99Eijs+L/Y1rhA0saQGGRJw5Pv2HLOP0quglztFwB6WVnQ1YGxd4AiQ==" saltValue="IF5mhk2RcoEjrcYppes1VA==" spinCount="100000" sqref="FT148:FT149" name="Rango2_30_59"/>
    <protectedRange algorithmName="SHA-512" hashValue="EEHzbvEYwO1eufllBljOz0uf9BJ2ENtvOScQ7IsS321QhYbwKn7qhHKKP8cKj02rTDvVRMWvwQ1ZP0mZWsBprQ==" saltValue="CjXqBRFbKezlWOFV37MnDQ==" spinCount="100000" sqref="GW150 GN150 GQ150:GR150" name="Rango2_30_2_83"/>
    <protectedRange algorithmName="SHA-512" hashValue="Rgskw+AQdeJ5qbJdarzTa3SCkJfDGziy0Uan5N0F3IWn/H3Z/e+VcB56R7Nes7MPxNHewNP1sSSucVjz3iTLeA==" saltValue="qKZH3DnwaZHBzy3cBZo1qQ==" spinCount="100000" sqref="GF150" name="Rango2_31_28_58"/>
    <protectedRange algorithmName="SHA-512" hashValue="Umj9+5Ys20VQPxBFtc6qE5LtKKSgPKwit+B8dd4XnEUaLfBM2ozpkEC4YxwK0SbBiAHDDex+pY+LomQ0lyuamQ==" saltValue="N2/MCRws+mmA+NXw0axolg==" spinCount="100000" sqref="GJ150 GH150 GE150 GL150 FY150 GB150" name="Rango2_31_2_90"/>
    <protectedRange algorithmName="SHA-512" hashValue="YXHanhqXL0e4jPrzkCF8r/22WmlCviFUW909WKuG1JOcU0mp0/Huh0aP3EaGYxV2ep0WGu48HsShAy4Ka2uOiw==" saltValue="h/7U5iwJm7DLR4tRVfwZYw==" spinCount="100000" sqref="GI150 GC150" name="Rango2_33_66"/>
    <protectedRange algorithmName="SHA-512" hashValue="pL4tgTKqwEsWSIEGFTBd+4pvEhE7d5Q99Eijs+L/Y1rhA0saQGGRJw5Pv2HLOP0quglztFwB6WVnQ1YGxd4AiQ==" saltValue="IF5mhk2RcoEjrcYppes1VA==" spinCount="100000" sqref="FT150" name="Rango2_30_60"/>
    <protectedRange algorithmName="SHA-512" hashValue="EEHzbvEYwO1eufllBljOz0uf9BJ2ENtvOScQ7IsS321QhYbwKn7qhHKKP8cKj02rTDvVRMWvwQ1ZP0mZWsBprQ==" saltValue="CjXqBRFbKezlWOFV37MnDQ==" spinCount="100000" sqref="GW151 GN151 GQ151:GR151" name="Rango2_30_2_84"/>
    <protectedRange algorithmName="SHA-512" hashValue="Rgskw+AQdeJ5qbJdarzTa3SCkJfDGziy0Uan5N0F3IWn/H3Z/e+VcB56R7Nes7MPxNHewNP1sSSucVjz3iTLeA==" saltValue="qKZH3DnwaZHBzy3cBZo1qQ==" spinCount="100000" sqref="GF151" name="Rango2_31_28_59"/>
    <protectedRange algorithmName="SHA-512" hashValue="Umj9+5Ys20VQPxBFtc6qE5LtKKSgPKwit+B8dd4XnEUaLfBM2ozpkEC4YxwK0SbBiAHDDex+pY+LomQ0lyuamQ==" saltValue="N2/MCRws+mmA+NXw0axolg==" spinCount="100000" sqref="GJ151 GH151 GE151 GL151 FY151 GB151" name="Rango2_31_2_91"/>
    <protectedRange algorithmName="SHA-512" hashValue="YXHanhqXL0e4jPrzkCF8r/22WmlCviFUW909WKuG1JOcU0mp0/Huh0aP3EaGYxV2ep0WGu48HsShAy4Ka2uOiw==" saltValue="h/7U5iwJm7DLR4tRVfwZYw==" spinCount="100000" sqref="GI151 GC151" name="Rango2_33_67"/>
    <protectedRange algorithmName="SHA-512" hashValue="pL4tgTKqwEsWSIEGFTBd+4pvEhE7d5Q99Eijs+L/Y1rhA0saQGGRJw5Pv2HLOP0quglztFwB6WVnQ1YGxd4AiQ==" saltValue="IF5mhk2RcoEjrcYppes1VA==" spinCount="100000" sqref="FT151" name="Rango2_30_61"/>
    <protectedRange algorithmName="SHA-512" hashValue="EEHzbvEYwO1eufllBljOz0uf9BJ2ENtvOScQ7IsS321QhYbwKn7qhHKKP8cKj02rTDvVRMWvwQ1ZP0mZWsBprQ==" saltValue="CjXqBRFbKezlWOFV37MnDQ==" spinCount="100000" sqref="GW152 GN152 GQ152:GR152" name="Rango2_30_2_85"/>
    <protectedRange algorithmName="SHA-512" hashValue="Rgskw+AQdeJ5qbJdarzTa3SCkJfDGziy0Uan5N0F3IWn/H3Z/e+VcB56R7Nes7MPxNHewNP1sSSucVjz3iTLeA==" saltValue="qKZH3DnwaZHBzy3cBZo1qQ==" spinCount="100000" sqref="GF152" name="Rango2_31_28_60"/>
    <protectedRange algorithmName="SHA-512" hashValue="Umj9+5Ys20VQPxBFtc6qE5LtKKSgPKwit+B8dd4XnEUaLfBM2ozpkEC4YxwK0SbBiAHDDex+pY+LomQ0lyuamQ==" saltValue="N2/MCRws+mmA+NXw0axolg==" spinCount="100000" sqref="GJ152 GH152 GE152 GL152 FY152" name="Rango2_31_2_92"/>
    <protectedRange algorithmName="SHA-512" hashValue="YXHanhqXL0e4jPrzkCF8r/22WmlCviFUW909WKuG1JOcU0mp0/Huh0aP3EaGYxV2ep0WGu48HsShAy4Ka2uOiw==" saltValue="h/7U5iwJm7DLR4tRVfwZYw==" spinCount="100000" sqref="GI152 GC152" name="Rango2_33_68"/>
    <protectedRange algorithmName="SHA-512" hashValue="pL4tgTKqwEsWSIEGFTBd+4pvEhE7d5Q99Eijs+L/Y1rhA0saQGGRJw5Pv2HLOP0quglztFwB6WVnQ1YGxd4AiQ==" saltValue="IF5mhk2RcoEjrcYppes1VA==" spinCount="100000" sqref="FT152" name="Rango2_30_62"/>
    <protectedRange algorithmName="SHA-512" hashValue="EEHzbvEYwO1eufllBljOz0uf9BJ2ENtvOScQ7IsS321QhYbwKn7qhHKKP8cKj02rTDvVRMWvwQ1ZP0mZWsBprQ==" saltValue="CjXqBRFbKezlWOFV37MnDQ==" spinCount="100000" sqref="GW153 GN153 GQ153:GR153" name="Rango2_30_2_86"/>
    <protectedRange algorithmName="SHA-512" hashValue="Rgskw+AQdeJ5qbJdarzTa3SCkJfDGziy0Uan5N0F3IWn/H3Z/e+VcB56R7Nes7MPxNHewNP1sSSucVjz3iTLeA==" saltValue="qKZH3DnwaZHBzy3cBZo1qQ==" spinCount="100000" sqref="GF153" name="Rango2_31_28_61"/>
    <protectedRange algorithmName="SHA-512" hashValue="Umj9+5Ys20VQPxBFtc6qE5LtKKSgPKwit+B8dd4XnEUaLfBM2ozpkEC4YxwK0SbBiAHDDex+pY+LomQ0lyuamQ==" saltValue="N2/MCRws+mmA+NXw0axolg==" spinCount="100000" sqref="GJ153 GH153 GE153 GL153 FY153" name="Rango2_31_2_93"/>
    <protectedRange algorithmName="SHA-512" hashValue="YXHanhqXL0e4jPrzkCF8r/22WmlCviFUW909WKuG1JOcU0mp0/Huh0aP3EaGYxV2ep0WGu48HsShAy4Ka2uOiw==" saltValue="h/7U5iwJm7DLR4tRVfwZYw==" spinCount="100000" sqref="GI153 GC153" name="Rango2_33_69"/>
    <protectedRange algorithmName="SHA-512" hashValue="pL4tgTKqwEsWSIEGFTBd+4pvEhE7d5Q99Eijs+L/Y1rhA0saQGGRJw5Pv2HLOP0quglztFwB6WVnQ1YGxd4AiQ==" saltValue="IF5mhk2RcoEjrcYppes1VA==" spinCount="100000" sqref="FT153" name="Rango2_30_63"/>
    <protectedRange algorithmName="SHA-512" hashValue="EEHzbvEYwO1eufllBljOz0uf9BJ2ENtvOScQ7IsS321QhYbwKn7qhHKKP8cKj02rTDvVRMWvwQ1ZP0mZWsBprQ==" saltValue="CjXqBRFbKezlWOFV37MnDQ==" spinCount="100000" sqref="GW154 GN154 GQ154:GR154" name="Rango2_30_2_87"/>
    <protectedRange algorithmName="SHA-512" hashValue="Rgskw+AQdeJ5qbJdarzTa3SCkJfDGziy0Uan5N0F3IWn/H3Z/e+VcB56R7Nes7MPxNHewNP1sSSucVjz3iTLeA==" saltValue="qKZH3DnwaZHBzy3cBZo1qQ==" spinCount="100000" sqref="GF154" name="Rango2_31_28_62"/>
    <protectedRange algorithmName="SHA-512" hashValue="Umj9+5Ys20VQPxBFtc6qE5LtKKSgPKwit+B8dd4XnEUaLfBM2ozpkEC4YxwK0SbBiAHDDex+pY+LomQ0lyuamQ==" saltValue="N2/MCRws+mmA+NXw0axolg==" spinCount="100000" sqref="GJ154 GH154 GE154 GL154 FY154 GB154" name="Rango2_31_2_94"/>
    <protectedRange algorithmName="SHA-512" hashValue="YXHanhqXL0e4jPrzkCF8r/22WmlCviFUW909WKuG1JOcU0mp0/Huh0aP3EaGYxV2ep0WGu48HsShAy4Ka2uOiw==" saltValue="h/7U5iwJm7DLR4tRVfwZYw==" spinCount="100000" sqref="GI154 GC154" name="Rango2_33_70"/>
    <protectedRange algorithmName="SHA-512" hashValue="pL4tgTKqwEsWSIEGFTBd+4pvEhE7d5Q99Eijs+L/Y1rhA0saQGGRJw5Pv2HLOP0quglztFwB6WVnQ1YGxd4AiQ==" saltValue="IF5mhk2RcoEjrcYppes1VA==" spinCount="100000" sqref="FT154" name="Rango2_30_64"/>
    <protectedRange algorithmName="SHA-512" hashValue="EEHzbvEYwO1eufllBljOz0uf9BJ2ENtvOScQ7IsS321QhYbwKn7qhHKKP8cKj02rTDvVRMWvwQ1ZP0mZWsBprQ==" saltValue="CjXqBRFbKezlWOFV37MnDQ==" spinCount="100000" sqref="GW155:GW156 GN155:GN156 GQ155:GR156" name="Rango2_30_2_88"/>
    <protectedRange algorithmName="SHA-512" hashValue="Rgskw+AQdeJ5qbJdarzTa3SCkJfDGziy0Uan5N0F3IWn/H3Z/e+VcB56R7Nes7MPxNHewNP1sSSucVjz3iTLeA==" saltValue="qKZH3DnwaZHBzy3cBZo1qQ==" spinCount="100000" sqref="GF155:GF156" name="Rango2_31_28_63"/>
    <protectedRange algorithmName="SHA-512" hashValue="Umj9+5Ys20VQPxBFtc6qE5LtKKSgPKwit+B8dd4XnEUaLfBM2ozpkEC4YxwK0SbBiAHDDex+pY+LomQ0lyuamQ==" saltValue="N2/MCRws+mmA+NXw0axolg==" spinCount="100000" sqref="GJ155:GJ156 GH155:GH156 GE155:GE156 GL155:GL156 FY155:FY156 GB156" name="Rango2_31_2_95"/>
    <protectedRange algorithmName="SHA-512" hashValue="YXHanhqXL0e4jPrzkCF8r/22WmlCviFUW909WKuG1JOcU0mp0/Huh0aP3EaGYxV2ep0WGu48HsShAy4Ka2uOiw==" saltValue="h/7U5iwJm7DLR4tRVfwZYw==" spinCount="100000" sqref="GI155:GI156 GC155:GC156" name="Rango2_33_71"/>
    <protectedRange algorithmName="SHA-512" hashValue="pL4tgTKqwEsWSIEGFTBd+4pvEhE7d5Q99Eijs+L/Y1rhA0saQGGRJw5Pv2HLOP0quglztFwB6WVnQ1YGxd4AiQ==" saltValue="IF5mhk2RcoEjrcYppes1VA==" spinCount="100000" sqref="FT155:FT156" name="Rango2_30_65"/>
    <protectedRange algorithmName="SHA-512" hashValue="EEHzbvEYwO1eufllBljOz0uf9BJ2ENtvOScQ7IsS321QhYbwKn7qhHKKP8cKj02rTDvVRMWvwQ1ZP0mZWsBprQ==" saltValue="CjXqBRFbKezlWOFV37MnDQ==" spinCount="100000" sqref="GW157 GN157 GQ157:GR157" name="Rango2_30_2_89"/>
    <protectedRange algorithmName="SHA-512" hashValue="Rgskw+AQdeJ5qbJdarzTa3SCkJfDGziy0Uan5N0F3IWn/H3Z/e+VcB56R7Nes7MPxNHewNP1sSSucVjz3iTLeA==" saltValue="qKZH3DnwaZHBzy3cBZo1qQ==" spinCount="100000" sqref="GF157" name="Rango2_31_28_64"/>
    <protectedRange algorithmName="SHA-512" hashValue="Umj9+5Ys20VQPxBFtc6qE5LtKKSgPKwit+B8dd4XnEUaLfBM2ozpkEC4YxwK0SbBiAHDDex+pY+LomQ0lyuamQ==" saltValue="N2/MCRws+mmA+NXw0axolg==" spinCount="100000" sqref="GJ157 GH157 GE157 GL157 FY157" name="Rango2_31_2_96"/>
    <protectedRange algorithmName="SHA-512" hashValue="YXHanhqXL0e4jPrzkCF8r/22WmlCviFUW909WKuG1JOcU0mp0/Huh0aP3EaGYxV2ep0WGu48HsShAy4Ka2uOiw==" saltValue="h/7U5iwJm7DLR4tRVfwZYw==" spinCount="100000" sqref="GI157 GC157" name="Rango2_33_72"/>
    <protectedRange algorithmName="SHA-512" hashValue="pL4tgTKqwEsWSIEGFTBd+4pvEhE7d5Q99Eijs+L/Y1rhA0saQGGRJw5Pv2HLOP0quglztFwB6WVnQ1YGxd4AiQ==" saltValue="IF5mhk2RcoEjrcYppes1VA==" spinCount="100000" sqref="FT157" name="Rango2_30_66"/>
    <protectedRange algorithmName="SHA-512" hashValue="EEHzbvEYwO1eufllBljOz0uf9BJ2ENtvOScQ7IsS321QhYbwKn7qhHKKP8cKj02rTDvVRMWvwQ1ZP0mZWsBprQ==" saltValue="CjXqBRFbKezlWOFV37MnDQ==" spinCount="100000" sqref="GW158:GW161 GN158:GN161 GQ158:GR161" name="Rango2_30_2_90"/>
    <protectedRange algorithmName="SHA-512" hashValue="Rgskw+AQdeJ5qbJdarzTa3SCkJfDGziy0Uan5N0F3IWn/H3Z/e+VcB56R7Nes7MPxNHewNP1sSSucVjz3iTLeA==" saltValue="qKZH3DnwaZHBzy3cBZo1qQ==" spinCount="100000" sqref="GF158:GF161" name="Rango2_31_28_65"/>
    <protectedRange algorithmName="SHA-512" hashValue="Umj9+5Ys20VQPxBFtc6qE5LtKKSgPKwit+B8dd4XnEUaLfBM2ozpkEC4YxwK0SbBiAHDDex+pY+LomQ0lyuamQ==" saltValue="N2/MCRws+mmA+NXw0axolg==" spinCount="100000" sqref="GJ158:GJ161 GH158:GH161 GE158:GE161 GL158:GL161 FY158:FY161 GB161" name="Rango2_31_2_97"/>
    <protectedRange algorithmName="SHA-512" hashValue="YXHanhqXL0e4jPrzkCF8r/22WmlCviFUW909WKuG1JOcU0mp0/Huh0aP3EaGYxV2ep0WGu48HsShAy4Ka2uOiw==" saltValue="h/7U5iwJm7DLR4tRVfwZYw==" spinCount="100000" sqref="GI158:GI161 GC158:GC159 GC161" name="Rango2_33_73"/>
    <protectedRange algorithmName="SHA-512" hashValue="pL4tgTKqwEsWSIEGFTBd+4pvEhE7d5Q99Eijs+L/Y1rhA0saQGGRJw5Pv2HLOP0quglztFwB6WVnQ1YGxd4AiQ==" saltValue="IF5mhk2RcoEjrcYppes1VA==" spinCount="100000" sqref="FT158:FT161" name="Rango2_30_67"/>
    <protectedRange algorithmName="SHA-512" hashValue="EEHzbvEYwO1eufllBljOz0uf9BJ2ENtvOScQ7IsS321QhYbwKn7qhHKKP8cKj02rTDvVRMWvwQ1ZP0mZWsBprQ==" saltValue="CjXqBRFbKezlWOFV37MnDQ==" spinCount="100000" sqref="GW162 GN162 GQ162:GR162" name="Rango2_30_2_91"/>
    <protectedRange algorithmName="SHA-512" hashValue="Rgskw+AQdeJ5qbJdarzTa3SCkJfDGziy0Uan5N0F3IWn/H3Z/e+VcB56R7Nes7MPxNHewNP1sSSucVjz3iTLeA==" saltValue="qKZH3DnwaZHBzy3cBZo1qQ==" spinCount="100000" sqref="GF162" name="Rango2_31_28_66"/>
    <protectedRange algorithmName="SHA-512" hashValue="Umj9+5Ys20VQPxBFtc6qE5LtKKSgPKwit+B8dd4XnEUaLfBM2ozpkEC4YxwK0SbBiAHDDex+pY+LomQ0lyuamQ==" saltValue="N2/MCRws+mmA+NXw0axolg==" spinCount="100000" sqref="GJ162 GH162 GE162 GL162 FY162" name="Rango2_31_2_98"/>
    <protectedRange algorithmName="SHA-512" hashValue="YXHanhqXL0e4jPrzkCF8r/22WmlCviFUW909WKuG1JOcU0mp0/Huh0aP3EaGYxV2ep0WGu48HsShAy4Ka2uOiw==" saltValue="h/7U5iwJm7DLR4tRVfwZYw==" spinCount="100000" sqref="GI162 GC162" name="Rango2_33_74"/>
    <protectedRange algorithmName="SHA-512" hashValue="pL4tgTKqwEsWSIEGFTBd+4pvEhE7d5Q99Eijs+L/Y1rhA0saQGGRJw5Pv2HLOP0quglztFwB6WVnQ1YGxd4AiQ==" saltValue="IF5mhk2RcoEjrcYppes1VA==" spinCount="100000" sqref="FT162" name="Rango2_30_68"/>
    <protectedRange algorithmName="SHA-512" hashValue="EEHzbvEYwO1eufllBljOz0uf9BJ2ENtvOScQ7IsS321QhYbwKn7qhHKKP8cKj02rTDvVRMWvwQ1ZP0mZWsBprQ==" saltValue="CjXqBRFbKezlWOFV37MnDQ==" spinCount="100000" sqref="GW163 GN163 GQ163:GR163" name="Rango2_30_2_92"/>
    <protectedRange algorithmName="SHA-512" hashValue="Rgskw+AQdeJ5qbJdarzTa3SCkJfDGziy0Uan5N0F3IWn/H3Z/e+VcB56R7Nes7MPxNHewNP1sSSucVjz3iTLeA==" saltValue="qKZH3DnwaZHBzy3cBZo1qQ==" spinCount="100000" sqref="GF163" name="Rango2_31_28_67"/>
    <protectedRange algorithmName="SHA-512" hashValue="Umj9+5Ys20VQPxBFtc6qE5LtKKSgPKwit+B8dd4XnEUaLfBM2ozpkEC4YxwK0SbBiAHDDex+pY+LomQ0lyuamQ==" saltValue="N2/MCRws+mmA+NXw0axolg==" spinCount="100000" sqref="GJ163 GH163 GE163 GL163 FY163 GB163" name="Rango2_31_2_99"/>
    <protectedRange algorithmName="SHA-512" hashValue="YXHanhqXL0e4jPrzkCF8r/22WmlCviFUW909WKuG1JOcU0mp0/Huh0aP3EaGYxV2ep0WGu48HsShAy4Ka2uOiw==" saltValue="h/7U5iwJm7DLR4tRVfwZYw==" spinCount="100000" sqref="GI163 GC163" name="Rango2_33_75"/>
    <protectedRange algorithmName="SHA-512" hashValue="pL4tgTKqwEsWSIEGFTBd+4pvEhE7d5Q99Eijs+L/Y1rhA0saQGGRJw5Pv2HLOP0quglztFwB6WVnQ1YGxd4AiQ==" saltValue="IF5mhk2RcoEjrcYppes1VA==" spinCount="100000" sqref="FT163" name="Rango2_30_69"/>
    <protectedRange algorithmName="SHA-512" hashValue="EEHzbvEYwO1eufllBljOz0uf9BJ2ENtvOScQ7IsS321QhYbwKn7qhHKKP8cKj02rTDvVRMWvwQ1ZP0mZWsBprQ==" saltValue="CjXqBRFbKezlWOFV37MnDQ==" spinCount="100000" sqref="GW164:GW165 GN164:GN165 GQ164:GR165" name="Rango2_30_2_93"/>
    <protectedRange algorithmName="SHA-512" hashValue="Rgskw+AQdeJ5qbJdarzTa3SCkJfDGziy0Uan5N0F3IWn/H3Z/e+VcB56R7Nes7MPxNHewNP1sSSucVjz3iTLeA==" saltValue="qKZH3DnwaZHBzy3cBZo1qQ==" spinCount="100000" sqref="GF165" name="Rango2_31_28_68"/>
    <protectedRange algorithmName="SHA-512" hashValue="YXHanhqXL0e4jPrzkCF8r/22WmlCviFUW909WKuG1JOcU0mp0/Huh0aP3EaGYxV2ep0WGu48HsShAy4Ka2uOiw==" saltValue="h/7U5iwJm7DLR4tRVfwZYw==" spinCount="100000" sqref="GI164:GI165 GC164:GC165" name="Rango2_33_76"/>
    <protectedRange algorithmName="SHA-512" hashValue="pL4tgTKqwEsWSIEGFTBd+4pvEhE7d5Q99Eijs+L/Y1rhA0saQGGRJw5Pv2HLOP0quglztFwB6WVnQ1YGxd4AiQ==" saltValue="IF5mhk2RcoEjrcYppes1VA==" spinCount="100000" sqref="FT164:FT165" name="Rango2_30_70"/>
    <protectedRange algorithmName="SHA-512" hashValue="EEHzbvEYwO1eufllBljOz0uf9BJ2ENtvOScQ7IsS321QhYbwKn7qhHKKP8cKj02rTDvVRMWvwQ1ZP0mZWsBprQ==" saltValue="CjXqBRFbKezlWOFV37MnDQ==" spinCount="100000" sqref="GW166 GN166 GQ166:GR166" name="Rango2_30_2_94"/>
    <protectedRange algorithmName="SHA-512" hashValue="Rgskw+AQdeJ5qbJdarzTa3SCkJfDGziy0Uan5N0F3IWn/H3Z/e+VcB56R7Nes7MPxNHewNP1sSSucVjz3iTLeA==" saltValue="qKZH3DnwaZHBzy3cBZo1qQ==" spinCount="100000" sqref="GF166" name="Rango2_31_28_69"/>
    <protectedRange algorithmName="SHA-512" hashValue="YXHanhqXL0e4jPrzkCF8r/22WmlCviFUW909WKuG1JOcU0mp0/Huh0aP3EaGYxV2ep0WGu48HsShAy4Ka2uOiw==" saltValue="h/7U5iwJm7DLR4tRVfwZYw==" spinCount="100000" sqref="GI166" name="Rango2_33_77"/>
    <protectedRange algorithmName="SHA-512" hashValue="pL4tgTKqwEsWSIEGFTBd+4pvEhE7d5Q99Eijs+L/Y1rhA0saQGGRJw5Pv2HLOP0quglztFwB6WVnQ1YGxd4AiQ==" saltValue="IF5mhk2RcoEjrcYppes1VA==" spinCount="100000" sqref="FT166" name="Rango2_30_71"/>
    <protectedRange algorithmName="SHA-512" hashValue="EEHzbvEYwO1eufllBljOz0uf9BJ2ENtvOScQ7IsS321QhYbwKn7qhHKKP8cKj02rTDvVRMWvwQ1ZP0mZWsBprQ==" saltValue="CjXqBRFbKezlWOFV37MnDQ==" spinCount="100000" sqref="GW167 GN167 GQ167:GR167" name="Rango2_30_2_95"/>
    <protectedRange algorithmName="SHA-512" hashValue="Rgskw+AQdeJ5qbJdarzTa3SCkJfDGziy0Uan5N0F3IWn/H3Z/e+VcB56R7Nes7MPxNHewNP1sSSucVjz3iTLeA==" saltValue="qKZH3DnwaZHBzy3cBZo1qQ==" spinCount="100000" sqref="GF167" name="Rango2_31_28_70"/>
    <protectedRange algorithmName="SHA-512" hashValue="YXHanhqXL0e4jPrzkCF8r/22WmlCviFUW909WKuG1JOcU0mp0/Huh0aP3EaGYxV2ep0WGu48HsShAy4Ka2uOiw==" saltValue="h/7U5iwJm7DLR4tRVfwZYw==" spinCount="100000" sqref="GI167" name="Rango2_33_78"/>
    <protectedRange algorithmName="SHA-512" hashValue="pL4tgTKqwEsWSIEGFTBd+4pvEhE7d5Q99Eijs+L/Y1rhA0saQGGRJw5Pv2HLOP0quglztFwB6WVnQ1YGxd4AiQ==" saltValue="IF5mhk2RcoEjrcYppes1VA==" spinCount="100000" sqref="FT167" name="Rango2_30_72"/>
    <protectedRange algorithmName="SHA-512" hashValue="EEHzbvEYwO1eufllBljOz0uf9BJ2ENtvOScQ7IsS321QhYbwKn7qhHKKP8cKj02rTDvVRMWvwQ1ZP0mZWsBprQ==" saltValue="CjXqBRFbKezlWOFV37MnDQ==" spinCount="100000" sqref="GW168 GN168 GQ168:GR168" name="Rango2_30_2_96"/>
    <protectedRange algorithmName="SHA-512" hashValue="Rgskw+AQdeJ5qbJdarzTa3SCkJfDGziy0Uan5N0F3IWn/H3Z/e+VcB56R7Nes7MPxNHewNP1sSSucVjz3iTLeA==" saltValue="qKZH3DnwaZHBzy3cBZo1qQ==" spinCount="100000" sqref="GF168" name="Rango2_31_28_71"/>
    <protectedRange algorithmName="SHA-512" hashValue="YXHanhqXL0e4jPrzkCF8r/22WmlCviFUW909WKuG1JOcU0mp0/Huh0aP3EaGYxV2ep0WGu48HsShAy4Ka2uOiw==" saltValue="h/7U5iwJm7DLR4tRVfwZYw==" spinCount="100000" sqref="GI168 GC168" name="Rango2_33_79"/>
    <protectedRange algorithmName="SHA-512" hashValue="pL4tgTKqwEsWSIEGFTBd+4pvEhE7d5Q99Eijs+L/Y1rhA0saQGGRJw5Pv2HLOP0quglztFwB6WVnQ1YGxd4AiQ==" saltValue="IF5mhk2RcoEjrcYppes1VA==" spinCount="100000" sqref="FT168" name="Rango2_30_73"/>
    <protectedRange algorithmName="SHA-512" hashValue="EEHzbvEYwO1eufllBljOz0uf9BJ2ENtvOScQ7IsS321QhYbwKn7qhHKKP8cKj02rTDvVRMWvwQ1ZP0mZWsBprQ==" saltValue="CjXqBRFbKezlWOFV37MnDQ==" spinCount="100000" sqref="GW169 GN169 GQ169:GR169" name="Rango2_30_2_97"/>
    <protectedRange algorithmName="SHA-512" hashValue="Rgskw+AQdeJ5qbJdarzTa3SCkJfDGziy0Uan5N0F3IWn/H3Z/e+VcB56R7Nes7MPxNHewNP1sSSucVjz3iTLeA==" saltValue="qKZH3DnwaZHBzy3cBZo1qQ==" spinCount="100000" sqref="GF169" name="Rango2_31_28_72"/>
    <protectedRange algorithmName="SHA-512" hashValue="YXHanhqXL0e4jPrzkCF8r/22WmlCviFUW909WKuG1JOcU0mp0/Huh0aP3EaGYxV2ep0WGu48HsShAy4Ka2uOiw==" saltValue="h/7U5iwJm7DLR4tRVfwZYw==" spinCount="100000" sqref="GI169 GC169" name="Rango2_33_80"/>
    <protectedRange algorithmName="SHA-512" hashValue="pL4tgTKqwEsWSIEGFTBd+4pvEhE7d5Q99Eijs+L/Y1rhA0saQGGRJw5Pv2HLOP0quglztFwB6WVnQ1YGxd4AiQ==" saltValue="IF5mhk2RcoEjrcYppes1VA==" spinCount="100000" sqref="FT169" name="Rango2_30_74"/>
    <protectedRange algorithmName="SHA-512" hashValue="EEHzbvEYwO1eufllBljOz0uf9BJ2ENtvOScQ7IsS321QhYbwKn7qhHKKP8cKj02rTDvVRMWvwQ1ZP0mZWsBprQ==" saltValue="CjXqBRFbKezlWOFV37MnDQ==" spinCount="100000" sqref="GW170 GN170 GQ170:GR170" name="Rango2_30_2_98"/>
    <protectedRange algorithmName="SHA-512" hashValue="Rgskw+AQdeJ5qbJdarzTa3SCkJfDGziy0Uan5N0F3IWn/H3Z/e+VcB56R7Nes7MPxNHewNP1sSSucVjz3iTLeA==" saltValue="qKZH3DnwaZHBzy3cBZo1qQ==" spinCount="100000" sqref="GF170" name="Rango2_31_28_73"/>
    <protectedRange algorithmName="SHA-512" hashValue="YXHanhqXL0e4jPrzkCF8r/22WmlCviFUW909WKuG1JOcU0mp0/Huh0aP3EaGYxV2ep0WGu48HsShAy4Ka2uOiw==" saltValue="h/7U5iwJm7DLR4tRVfwZYw==" spinCount="100000" sqref="GI170" name="Rango2_33_81"/>
    <protectedRange algorithmName="SHA-512" hashValue="pL4tgTKqwEsWSIEGFTBd+4pvEhE7d5Q99Eijs+L/Y1rhA0saQGGRJw5Pv2HLOP0quglztFwB6WVnQ1YGxd4AiQ==" saltValue="IF5mhk2RcoEjrcYppes1VA==" spinCount="100000" sqref="FT170" name="Rango2_30_75"/>
    <protectedRange algorithmName="SHA-512" hashValue="EEHzbvEYwO1eufllBljOz0uf9BJ2ENtvOScQ7IsS321QhYbwKn7qhHKKP8cKj02rTDvVRMWvwQ1ZP0mZWsBprQ==" saltValue="CjXqBRFbKezlWOFV37MnDQ==" spinCount="100000" sqref="GW171:GW172 GN171:GN172 GQ171:GR172" name="Rango2_30_2_99"/>
    <protectedRange algorithmName="SHA-512" hashValue="Rgskw+AQdeJ5qbJdarzTa3SCkJfDGziy0Uan5N0F3IWn/H3Z/e+VcB56R7Nes7MPxNHewNP1sSSucVjz3iTLeA==" saltValue="qKZH3DnwaZHBzy3cBZo1qQ==" spinCount="100000" sqref="GF171:GF172" name="Rango2_31_28_74"/>
    <protectedRange algorithmName="SHA-512" hashValue="YXHanhqXL0e4jPrzkCF8r/22WmlCviFUW909WKuG1JOcU0mp0/Huh0aP3EaGYxV2ep0WGu48HsShAy4Ka2uOiw==" saltValue="h/7U5iwJm7DLR4tRVfwZYw==" spinCount="100000" sqref="GI171:GI172 GC171:GC172" name="Rango2_33_82"/>
    <protectedRange algorithmName="SHA-512" hashValue="pL4tgTKqwEsWSIEGFTBd+4pvEhE7d5Q99Eijs+L/Y1rhA0saQGGRJw5Pv2HLOP0quglztFwB6WVnQ1YGxd4AiQ==" saltValue="IF5mhk2RcoEjrcYppes1VA==" spinCount="100000" sqref="FT171:FT172" name="Rango2_30_76"/>
    <protectedRange algorithmName="SHA-512" hashValue="Rgskw+AQdeJ5qbJdarzTa3SCkJfDGziy0Uan5N0F3IWn/H3Z/e+VcB56R7Nes7MPxNHewNP1sSSucVjz3iTLeA==" saltValue="qKZH3DnwaZHBzy3cBZo1qQ==" spinCount="100000" sqref="GF173:GF175" name="Rango2_31_28_75"/>
    <protectedRange algorithmName="SHA-512" hashValue="YXHanhqXL0e4jPrzkCF8r/22WmlCviFUW909WKuG1JOcU0mp0/Huh0aP3EaGYxV2ep0WGu48HsShAy4Ka2uOiw==" saltValue="h/7U5iwJm7DLR4tRVfwZYw==" spinCount="100000" sqref="GI173:GI175 GC174:GC175" name="Rango2_33_83"/>
    <protectedRange algorithmName="SHA-512" hashValue="pL4tgTKqwEsWSIEGFTBd+4pvEhE7d5Q99Eijs+L/Y1rhA0saQGGRJw5Pv2HLOP0quglztFwB6WVnQ1YGxd4AiQ==" saltValue="IF5mhk2RcoEjrcYppes1VA==" spinCount="100000" sqref="FT173:FT175" name="Rango2_30_77"/>
    <protectedRange algorithmName="SHA-512" hashValue="Rgskw+AQdeJ5qbJdarzTa3SCkJfDGziy0Uan5N0F3IWn/H3Z/e+VcB56R7Nes7MPxNHewNP1sSSucVjz3iTLeA==" saltValue="qKZH3DnwaZHBzy3cBZo1qQ==" spinCount="100000" sqref="GF176" name="Rango2_31_28_76"/>
    <protectedRange algorithmName="SHA-512" hashValue="YXHanhqXL0e4jPrzkCF8r/22WmlCviFUW909WKuG1JOcU0mp0/Huh0aP3EaGYxV2ep0WGu48HsShAy4Ka2uOiw==" saltValue="h/7U5iwJm7DLR4tRVfwZYw==" spinCount="100000" sqref="GI176 GC176" name="Rango2_33_84"/>
    <protectedRange algorithmName="SHA-512" hashValue="pL4tgTKqwEsWSIEGFTBd+4pvEhE7d5Q99Eijs+L/Y1rhA0saQGGRJw5Pv2HLOP0quglztFwB6WVnQ1YGxd4AiQ==" saltValue="IF5mhk2RcoEjrcYppes1VA==" spinCount="100000" sqref="FT176" name="Rango2_30_78"/>
    <protectedRange algorithmName="SHA-512" hashValue="Rgskw+AQdeJ5qbJdarzTa3SCkJfDGziy0Uan5N0F3IWn/H3Z/e+VcB56R7Nes7MPxNHewNP1sSSucVjz3iTLeA==" saltValue="qKZH3DnwaZHBzy3cBZo1qQ==" spinCount="100000" sqref="GF177:GF178" name="Rango2_31_28_77"/>
    <protectedRange algorithmName="SHA-512" hashValue="YXHanhqXL0e4jPrzkCF8r/22WmlCviFUW909WKuG1JOcU0mp0/Huh0aP3EaGYxV2ep0WGu48HsShAy4Ka2uOiw==" saltValue="h/7U5iwJm7DLR4tRVfwZYw==" spinCount="100000" sqref="GI177:GI178 GC177" name="Rango2_33_85"/>
    <protectedRange algorithmName="SHA-512" hashValue="pL4tgTKqwEsWSIEGFTBd+4pvEhE7d5Q99Eijs+L/Y1rhA0saQGGRJw5Pv2HLOP0quglztFwB6WVnQ1YGxd4AiQ==" saltValue="IF5mhk2RcoEjrcYppes1VA==" spinCount="100000" sqref="FT177:FT178" name="Rango2_30_79"/>
    <protectedRange algorithmName="SHA-512" hashValue="Rgskw+AQdeJ5qbJdarzTa3SCkJfDGziy0Uan5N0F3IWn/H3Z/e+VcB56R7Nes7MPxNHewNP1sSSucVjz3iTLeA==" saltValue="qKZH3DnwaZHBzy3cBZo1qQ==" spinCount="100000" sqref="GF179" name="Rango2_31_28_78"/>
    <protectedRange algorithmName="SHA-512" hashValue="YXHanhqXL0e4jPrzkCF8r/22WmlCviFUW909WKuG1JOcU0mp0/Huh0aP3EaGYxV2ep0WGu48HsShAy4Ka2uOiw==" saltValue="h/7U5iwJm7DLR4tRVfwZYw==" spinCount="100000" sqref="GI179 GC179" name="Rango2_33_86"/>
    <protectedRange algorithmName="SHA-512" hashValue="pL4tgTKqwEsWSIEGFTBd+4pvEhE7d5Q99Eijs+L/Y1rhA0saQGGRJw5Pv2HLOP0quglztFwB6WVnQ1YGxd4AiQ==" saltValue="IF5mhk2RcoEjrcYppes1VA==" spinCount="100000" sqref="FT179" name="Rango2_30_80"/>
    <protectedRange algorithmName="SHA-512" hashValue="Rgskw+AQdeJ5qbJdarzTa3SCkJfDGziy0Uan5N0F3IWn/H3Z/e+VcB56R7Nes7MPxNHewNP1sSSucVjz3iTLeA==" saltValue="qKZH3DnwaZHBzy3cBZo1qQ==" spinCount="100000" sqref="GF180" name="Rango2_31_28_79"/>
    <protectedRange algorithmName="SHA-512" hashValue="YXHanhqXL0e4jPrzkCF8r/22WmlCviFUW909WKuG1JOcU0mp0/Huh0aP3EaGYxV2ep0WGu48HsShAy4Ka2uOiw==" saltValue="h/7U5iwJm7DLR4tRVfwZYw==" spinCount="100000" sqref="GI180 GC180" name="Rango2_33_87"/>
    <protectedRange algorithmName="SHA-512" hashValue="pL4tgTKqwEsWSIEGFTBd+4pvEhE7d5Q99Eijs+L/Y1rhA0saQGGRJw5Pv2HLOP0quglztFwB6WVnQ1YGxd4AiQ==" saltValue="IF5mhk2RcoEjrcYppes1VA==" spinCount="100000" sqref="FT180" name="Rango2_30_81"/>
    <protectedRange algorithmName="SHA-512" hashValue="Rgskw+AQdeJ5qbJdarzTa3SCkJfDGziy0Uan5N0F3IWn/H3Z/e+VcB56R7Nes7MPxNHewNP1sSSucVjz3iTLeA==" saltValue="qKZH3DnwaZHBzy3cBZo1qQ==" spinCount="100000" sqref="GF181" name="Rango2_31_28_80"/>
    <protectedRange algorithmName="SHA-512" hashValue="YXHanhqXL0e4jPrzkCF8r/22WmlCviFUW909WKuG1JOcU0mp0/Huh0aP3EaGYxV2ep0WGu48HsShAy4Ka2uOiw==" saltValue="h/7U5iwJm7DLR4tRVfwZYw==" spinCount="100000" sqref="GI181 GC181" name="Rango2_33_88"/>
    <protectedRange algorithmName="SHA-512" hashValue="pL4tgTKqwEsWSIEGFTBd+4pvEhE7d5Q99Eijs+L/Y1rhA0saQGGRJw5Pv2HLOP0quglztFwB6WVnQ1YGxd4AiQ==" saltValue="IF5mhk2RcoEjrcYppes1VA==" spinCount="100000" sqref="FT181" name="Rango2_30_82"/>
    <protectedRange algorithmName="SHA-512" hashValue="Rgskw+AQdeJ5qbJdarzTa3SCkJfDGziy0Uan5N0F3IWn/H3Z/e+VcB56R7Nes7MPxNHewNP1sSSucVjz3iTLeA==" saltValue="qKZH3DnwaZHBzy3cBZo1qQ==" spinCount="100000" sqref="GF182" name="Rango2_31_28_81"/>
    <protectedRange algorithmName="SHA-512" hashValue="YXHanhqXL0e4jPrzkCF8r/22WmlCviFUW909WKuG1JOcU0mp0/Huh0aP3EaGYxV2ep0WGu48HsShAy4Ka2uOiw==" saltValue="h/7U5iwJm7DLR4tRVfwZYw==" spinCount="100000" sqref="GI182 GC182" name="Rango2_33_89"/>
    <protectedRange algorithmName="SHA-512" hashValue="pL4tgTKqwEsWSIEGFTBd+4pvEhE7d5Q99Eijs+L/Y1rhA0saQGGRJw5Pv2HLOP0quglztFwB6WVnQ1YGxd4AiQ==" saltValue="IF5mhk2RcoEjrcYppes1VA==" spinCount="100000" sqref="FT182" name="Rango2_30_83"/>
    <protectedRange algorithmName="SHA-512" hashValue="Rgskw+AQdeJ5qbJdarzTa3SCkJfDGziy0Uan5N0F3IWn/H3Z/e+VcB56R7Nes7MPxNHewNP1sSSucVjz3iTLeA==" saltValue="qKZH3DnwaZHBzy3cBZo1qQ==" spinCount="100000" sqref="GF183" name="Rango2_31_28_82"/>
    <protectedRange algorithmName="SHA-512" hashValue="YXHanhqXL0e4jPrzkCF8r/22WmlCviFUW909WKuG1JOcU0mp0/Huh0aP3EaGYxV2ep0WGu48HsShAy4Ka2uOiw==" saltValue="h/7U5iwJm7DLR4tRVfwZYw==" spinCount="100000" sqref="GI183 GC183" name="Rango2_33_90"/>
    <protectedRange algorithmName="SHA-512" hashValue="pL4tgTKqwEsWSIEGFTBd+4pvEhE7d5Q99Eijs+L/Y1rhA0saQGGRJw5Pv2HLOP0quglztFwB6WVnQ1YGxd4AiQ==" saltValue="IF5mhk2RcoEjrcYppes1VA==" spinCount="100000" sqref="FT183" name="Rango2_30_84"/>
    <protectedRange algorithmName="SHA-512" hashValue="Rgskw+AQdeJ5qbJdarzTa3SCkJfDGziy0Uan5N0F3IWn/H3Z/e+VcB56R7Nes7MPxNHewNP1sSSucVjz3iTLeA==" saltValue="qKZH3DnwaZHBzy3cBZo1qQ==" spinCount="100000" sqref="GF184:GF187" name="Rango2_31_28_83"/>
    <protectedRange algorithmName="SHA-512" hashValue="YXHanhqXL0e4jPrzkCF8r/22WmlCviFUW909WKuG1JOcU0mp0/Huh0aP3EaGYxV2ep0WGu48HsShAy4Ka2uOiw==" saltValue="h/7U5iwJm7DLR4tRVfwZYw==" spinCount="100000" sqref="GI184:GI187 GC184:GC187" name="Rango2_33_91"/>
    <protectedRange algorithmName="SHA-512" hashValue="pL4tgTKqwEsWSIEGFTBd+4pvEhE7d5Q99Eijs+L/Y1rhA0saQGGRJw5Pv2HLOP0quglztFwB6WVnQ1YGxd4AiQ==" saltValue="IF5mhk2RcoEjrcYppes1VA==" spinCount="100000" sqref="FT184:FT187" name="Rango2_30_85"/>
    <protectedRange algorithmName="SHA-512" hashValue="9+DNppQbWrLYYUMoJ+lyQctV2bX3Vq9kZnegLbpjTLP49It2ovUbcartuoQTeXgP+TGpY//7mDH/UQlFCKDGiA==" saltValue="KUnni6YEm00anzSSvyLqQA==" spinCount="100000" sqref="JC142" name="Rango2_21_2"/>
    <protectedRange algorithmName="SHA-512" hashValue="Gqwr8n5jYbCESAqCFk8dpOzViQICBV+k0xoqBoQaZ5lHaRlvT9TZDB4yXtm+qC6OhD064ZDBOFWkwo+LHXu1sg==" saltValue="gEL9PCN2ekF2IxW9yqAGYA==" spinCount="100000" sqref="IS142:IS143" name="Rango2_40_2_54"/>
    <protectedRange algorithmName="SHA-512" hashValue="D8TacORwT7iz0mF9GEucchnMHfB5er2FFjQsxyeWWyeJkM6Bt3gYQ3LbcHPxZXFpVAYtFOuTrzYOCJrlZDx16g==" saltValue="QtCzIBktdS4NZkOEGcLTRQ==" spinCount="100000" sqref="IW142:IW143" name="Rango2_41_54"/>
    <protectedRange algorithmName="SHA-512" hashValue="Gqwr8n5jYbCESAqCFk8dpOzViQICBV+k0xoqBoQaZ5lHaRlvT9TZDB4yXtm+qC6OhD064ZDBOFWkwo+LHXu1sg==" saltValue="gEL9PCN2ekF2IxW9yqAGYA==" spinCount="100000" sqref="IS144" name="Rango2_40_2_55"/>
    <protectedRange algorithmName="SHA-512" hashValue="D8TacORwT7iz0mF9GEucchnMHfB5er2FFjQsxyeWWyeJkM6Bt3gYQ3LbcHPxZXFpVAYtFOuTrzYOCJrlZDx16g==" saltValue="QtCzIBktdS4NZkOEGcLTRQ==" spinCount="100000" sqref="IW144" name="Rango2_41_55"/>
    <protectedRange algorithmName="SHA-512" hashValue="Gqwr8n5jYbCESAqCFk8dpOzViQICBV+k0xoqBoQaZ5lHaRlvT9TZDB4yXtm+qC6OhD064ZDBOFWkwo+LHXu1sg==" saltValue="gEL9PCN2ekF2IxW9yqAGYA==" spinCount="100000" sqref="IS145" name="Rango2_40_2_56"/>
    <protectedRange algorithmName="SHA-512" hashValue="D8TacORwT7iz0mF9GEucchnMHfB5er2FFjQsxyeWWyeJkM6Bt3gYQ3LbcHPxZXFpVAYtFOuTrzYOCJrlZDx16g==" saltValue="QtCzIBktdS4NZkOEGcLTRQ==" spinCount="100000" sqref="IW145" name="Rango2_41_56"/>
    <protectedRange algorithmName="SHA-512" hashValue="Gqwr8n5jYbCESAqCFk8dpOzViQICBV+k0xoqBoQaZ5lHaRlvT9TZDB4yXtm+qC6OhD064ZDBOFWkwo+LHXu1sg==" saltValue="gEL9PCN2ekF2IxW9yqAGYA==" spinCount="100000" sqref="IS146:IS147" name="Rango2_40_2_57"/>
    <protectedRange algorithmName="SHA-512" hashValue="D8TacORwT7iz0mF9GEucchnMHfB5er2FFjQsxyeWWyeJkM6Bt3gYQ3LbcHPxZXFpVAYtFOuTrzYOCJrlZDx16g==" saltValue="QtCzIBktdS4NZkOEGcLTRQ==" spinCount="100000" sqref="IW146:IW147" name="Rango2_41_57"/>
    <protectedRange algorithmName="SHA-512" hashValue="Gqwr8n5jYbCESAqCFk8dpOzViQICBV+k0xoqBoQaZ5lHaRlvT9TZDB4yXtm+qC6OhD064ZDBOFWkwo+LHXu1sg==" saltValue="gEL9PCN2ekF2IxW9yqAGYA==" spinCount="100000" sqref="IS148:IS149" name="Rango2_40_2_58"/>
    <protectedRange algorithmName="SHA-512" hashValue="D8TacORwT7iz0mF9GEucchnMHfB5er2FFjQsxyeWWyeJkM6Bt3gYQ3LbcHPxZXFpVAYtFOuTrzYOCJrlZDx16g==" saltValue="QtCzIBktdS4NZkOEGcLTRQ==" spinCount="100000" sqref="IW148:IW149" name="Rango2_41_58"/>
    <protectedRange algorithmName="SHA-512" hashValue="Gqwr8n5jYbCESAqCFk8dpOzViQICBV+k0xoqBoQaZ5lHaRlvT9TZDB4yXtm+qC6OhD064ZDBOFWkwo+LHXu1sg==" saltValue="gEL9PCN2ekF2IxW9yqAGYA==" spinCount="100000" sqref="IS150" name="Rango2_40_2_59"/>
    <protectedRange algorithmName="SHA-512" hashValue="D8TacORwT7iz0mF9GEucchnMHfB5er2FFjQsxyeWWyeJkM6Bt3gYQ3LbcHPxZXFpVAYtFOuTrzYOCJrlZDx16g==" saltValue="QtCzIBktdS4NZkOEGcLTRQ==" spinCount="100000" sqref="IW150" name="Rango2_41_59"/>
    <protectedRange algorithmName="SHA-512" hashValue="Gqwr8n5jYbCESAqCFk8dpOzViQICBV+k0xoqBoQaZ5lHaRlvT9TZDB4yXtm+qC6OhD064ZDBOFWkwo+LHXu1sg==" saltValue="gEL9PCN2ekF2IxW9yqAGYA==" spinCount="100000" sqref="IS151" name="Rango2_40_2_60"/>
    <protectedRange algorithmName="SHA-512" hashValue="D8TacORwT7iz0mF9GEucchnMHfB5er2FFjQsxyeWWyeJkM6Bt3gYQ3LbcHPxZXFpVAYtFOuTrzYOCJrlZDx16g==" saltValue="QtCzIBktdS4NZkOEGcLTRQ==" spinCount="100000" sqref="IW151" name="Rango2_41_60"/>
    <protectedRange algorithmName="SHA-512" hashValue="Gqwr8n5jYbCESAqCFk8dpOzViQICBV+k0xoqBoQaZ5lHaRlvT9TZDB4yXtm+qC6OhD064ZDBOFWkwo+LHXu1sg==" saltValue="gEL9PCN2ekF2IxW9yqAGYA==" spinCount="100000" sqref="IS152" name="Rango2_40_2_61"/>
    <protectedRange algorithmName="SHA-512" hashValue="D8TacORwT7iz0mF9GEucchnMHfB5er2FFjQsxyeWWyeJkM6Bt3gYQ3LbcHPxZXFpVAYtFOuTrzYOCJrlZDx16g==" saltValue="QtCzIBktdS4NZkOEGcLTRQ==" spinCount="100000" sqref="IW152" name="Rango2_41_61"/>
    <protectedRange algorithmName="SHA-512" hashValue="Gqwr8n5jYbCESAqCFk8dpOzViQICBV+k0xoqBoQaZ5lHaRlvT9TZDB4yXtm+qC6OhD064ZDBOFWkwo+LHXu1sg==" saltValue="gEL9PCN2ekF2IxW9yqAGYA==" spinCount="100000" sqref="IS153" name="Rango2_40_2_62"/>
    <protectedRange algorithmName="SHA-512" hashValue="D8TacORwT7iz0mF9GEucchnMHfB5er2FFjQsxyeWWyeJkM6Bt3gYQ3LbcHPxZXFpVAYtFOuTrzYOCJrlZDx16g==" saltValue="QtCzIBktdS4NZkOEGcLTRQ==" spinCount="100000" sqref="IW153" name="Rango2_41_62"/>
    <protectedRange algorithmName="SHA-512" hashValue="Gqwr8n5jYbCESAqCFk8dpOzViQICBV+k0xoqBoQaZ5lHaRlvT9TZDB4yXtm+qC6OhD064ZDBOFWkwo+LHXu1sg==" saltValue="gEL9PCN2ekF2IxW9yqAGYA==" spinCount="100000" sqref="IS154" name="Rango2_40_2_63"/>
    <protectedRange algorithmName="SHA-512" hashValue="D8TacORwT7iz0mF9GEucchnMHfB5er2FFjQsxyeWWyeJkM6Bt3gYQ3LbcHPxZXFpVAYtFOuTrzYOCJrlZDx16g==" saltValue="QtCzIBktdS4NZkOEGcLTRQ==" spinCount="100000" sqref="IW154" name="Rango2_41_63"/>
    <protectedRange algorithmName="SHA-512" hashValue="Gqwr8n5jYbCESAqCFk8dpOzViQICBV+k0xoqBoQaZ5lHaRlvT9TZDB4yXtm+qC6OhD064ZDBOFWkwo+LHXu1sg==" saltValue="gEL9PCN2ekF2IxW9yqAGYA==" spinCount="100000" sqref="IS155:IS156" name="Rango2_40_2_64"/>
    <protectedRange algorithmName="SHA-512" hashValue="D8TacORwT7iz0mF9GEucchnMHfB5er2FFjQsxyeWWyeJkM6Bt3gYQ3LbcHPxZXFpVAYtFOuTrzYOCJrlZDx16g==" saltValue="QtCzIBktdS4NZkOEGcLTRQ==" spinCount="100000" sqref="IW155:IW156" name="Rango2_41_64"/>
    <protectedRange algorithmName="SHA-512" hashValue="Gqwr8n5jYbCESAqCFk8dpOzViQICBV+k0xoqBoQaZ5lHaRlvT9TZDB4yXtm+qC6OhD064ZDBOFWkwo+LHXu1sg==" saltValue="gEL9PCN2ekF2IxW9yqAGYA==" spinCount="100000" sqref="IS157" name="Rango2_40_2_65"/>
    <protectedRange algorithmName="SHA-512" hashValue="D8TacORwT7iz0mF9GEucchnMHfB5er2FFjQsxyeWWyeJkM6Bt3gYQ3LbcHPxZXFpVAYtFOuTrzYOCJrlZDx16g==" saltValue="QtCzIBktdS4NZkOEGcLTRQ==" spinCount="100000" sqref="IW157" name="Rango2_41_65"/>
    <protectedRange algorithmName="SHA-512" hashValue="Gqwr8n5jYbCESAqCFk8dpOzViQICBV+k0xoqBoQaZ5lHaRlvT9TZDB4yXtm+qC6OhD064ZDBOFWkwo+LHXu1sg==" saltValue="gEL9PCN2ekF2IxW9yqAGYA==" spinCount="100000" sqref="IS158:IS161" name="Rango2_40_2_66"/>
    <protectedRange algorithmName="SHA-512" hashValue="D8TacORwT7iz0mF9GEucchnMHfB5er2FFjQsxyeWWyeJkM6Bt3gYQ3LbcHPxZXFpVAYtFOuTrzYOCJrlZDx16g==" saltValue="QtCzIBktdS4NZkOEGcLTRQ==" spinCount="100000" sqref="IW158:IW161" name="Rango2_41_66"/>
    <protectedRange algorithmName="SHA-512" hashValue="Gqwr8n5jYbCESAqCFk8dpOzViQICBV+k0xoqBoQaZ5lHaRlvT9TZDB4yXtm+qC6OhD064ZDBOFWkwo+LHXu1sg==" saltValue="gEL9PCN2ekF2IxW9yqAGYA==" spinCount="100000" sqref="IS162" name="Rango2_40_2_67"/>
    <protectedRange algorithmName="SHA-512" hashValue="D8TacORwT7iz0mF9GEucchnMHfB5er2FFjQsxyeWWyeJkM6Bt3gYQ3LbcHPxZXFpVAYtFOuTrzYOCJrlZDx16g==" saltValue="QtCzIBktdS4NZkOEGcLTRQ==" spinCount="100000" sqref="IW162" name="Rango2_41_67"/>
    <protectedRange algorithmName="SHA-512" hashValue="Gqwr8n5jYbCESAqCFk8dpOzViQICBV+k0xoqBoQaZ5lHaRlvT9TZDB4yXtm+qC6OhD064ZDBOFWkwo+LHXu1sg==" saltValue="gEL9PCN2ekF2IxW9yqAGYA==" spinCount="100000" sqref="IS163" name="Rango2_40_2_68"/>
    <protectedRange algorithmName="SHA-512" hashValue="D8TacORwT7iz0mF9GEucchnMHfB5er2FFjQsxyeWWyeJkM6Bt3gYQ3LbcHPxZXFpVAYtFOuTrzYOCJrlZDx16g==" saltValue="QtCzIBktdS4NZkOEGcLTRQ==" spinCount="100000" sqref="IW163" name="Rango2_41_68"/>
    <protectedRange algorithmName="SHA-512" hashValue="Gqwr8n5jYbCESAqCFk8dpOzViQICBV+k0xoqBoQaZ5lHaRlvT9TZDB4yXtm+qC6OhD064ZDBOFWkwo+LHXu1sg==" saltValue="gEL9PCN2ekF2IxW9yqAGYA==" spinCount="100000" sqref="IS164:IS165" name="Rango2_40_2_69"/>
    <protectedRange algorithmName="SHA-512" hashValue="D8TacORwT7iz0mF9GEucchnMHfB5er2FFjQsxyeWWyeJkM6Bt3gYQ3LbcHPxZXFpVAYtFOuTrzYOCJrlZDx16g==" saltValue="QtCzIBktdS4NZkOEGcLTRQ==" spinCount="100000" sqref="IW164:IW165" name="Rango2_41_69"/>
    <protectedRange algorithmName="SHA-512" hashValue="Gqwr8n5jYbCESAqCFk8dpOzViQICBV+k0xoqBoQaZ5lHaRlvT9TZDB4yXtm+qC6OhD064ZDBOFWkwo+LHXu1sg==" saltValue="gEL9PCN2ekF2IxW9yqAGYA==" spinCount="100000" sqref="IS166" name="Rango2_40_2_70"/>
    <protectedRange algorithmName="SHA-512" hashValue="D8TacORwT7iz0mF9GEucchnMHfB5er2FFjQsxyeWWyeJkM6Bt3gYQ3LbcHPxZXFpVAYtFOuTrzYOCJrlZDx16g==" saltValue="QtCzIBktdS4NZkOEGcLTRQ==" spinCount="100000" sqref="IW166" name="Rango2_41_70"/>
    <protectedRange algorithmName="SHA-512" hashValue="Gqwr8n5jYbCESAqCFk8dpOzViQICBV+k0xoqBoQaZ5lHaRlvT9TZDB4yXtm+qC6OhD064ZDBOFWkwo+LHXu1sg==" saltValue="gEL9PCN2ekF2IxW9yqAGYA==" spinCount="100000" sqref="IS167" name="Rango2_40_2_71"/>
    <protectedRange algorithmName="SHA-512" hashValue="D8TacORwT7iz0mF9GEucchnMHfB5er2FFjQsxyeWWyeJkM6Bt3gYQ3LbcHPxZXFpVAYtFOuTrzYOCJrlZDx16g==" saltValue="QtCzIBktdS4NZkOEGcLTRQ==" spinCount="100000" sqref="IW167" name="Rango2_41_71"/>
    <protectedRange algorithmName="SHA-512" hashValue="Gqwr8n5jYbCESAqCFk8dpOzViQICBV+k0xoqBoQaZ5lHaRlvT9TZDB4yXtm+qC6OhD064ZDBOFWkwo+LHXu1sg==" saltValue="gEL9PCN2ekF2IxW9yqAGYA==" spinCount="100000" sqref="IS168" name="Rango2_40_2_72"/>
    <protectedRange algorithmName="SHA-512" hashValue="D8TacORwT7iz0mF9GEucchnMHfB5er2FFjQsxyeWWyeJkM6Bt3gYQ3LbcHPxZXFpVAYtFOuTrzYOCJrlZDx16g==" saltValue="QtCzIBktdS4NZkOEGcLTRQ==" spinCount="100000" sqref="IW168" name="Rango2_41_72"/>
    <protectedRange algorithmName="SHA-512" hashValue="Gqwr8n5jYbCESAqCFk8dpOzViQICBV+k0xoqBoQaZ5lHaRlvT9TZDB4yXtm+qC6OhD064ZDBOFWkwo+LHXu1sg==" saltValue="gEL9PCN2ekF2IxW9yqAGYA==" spinCount="100000" sqref="IS169" name="Rango2_40_2_73"/>
    <protectedRange algorithmName="SHA-512" hashValue="D8TacORwT7iz0mF9GEucchnMHfB5er2FFjQsxyeWWyeJkM6Bt3gYQ3LbcHPxZXFpVAYtFOuTrzYOCJrlZDx16g==" saltValue="QtCzIBktdS4NZkOEGcLTRQ==" spinCount="100000" sqref="IW169" name="Rango2_41_73"/>
    <protectedRange algorithmName="SHA-512" hashValue="Gqwr8n5jYbCESAqCFk8dpOzViQICBV+k0xoqBoQaZ5lHaRlvT9TZDB4yXtm+qC6OhD064ZDBOFWkwo+LHXu1sg==" saltValue="gEL9PCN2ekF2IxW9yqAGYA==" spinCount="100000" sqref="IS170" name="Rango2_40_2_74"/>
    <protectedRange algorithmName="SHA-512" hashValue="D8TacORwT7iz0mF9GEucchnMHfB5er2FFjQsxyeWWyeJkM6Bt3gYQ3LbcHPxZXFpVAYtFOuTrzYOCJrlZDx16g==" saltValue="QtCzIBktdS4NZkOEGcLTRQ==" spinCount="100000" sqref="IW170" name="Rango2_41_74"/>
    <protectedRange algorithmName="SHA-512" hashValue="Gqwr8n5jYbCESAqCFk8dpOzViQICBV+k0xoqBoQaZ5lHaRlvT9TZDB4yXtm+qC6OhD064ZDBOFWkwo+LHXu1sg==" saltValue="gEL9PCN2ekF2IxW9yqAGYA==" spinCount="100000" sqref="IS171:IS172" name="Rango2_40_2_75"/>
    <protectedRange algorithmName="SHA-512" hashValue="D8TacORwT7iz0mF9GEucchnMHfB5er2FFjQsxyeWWyeJkM6Bt3gYQ3LbcHPxZXFpVAYtFOuTrzYOCJrlZDx16g==" saltValue="QtCzIBktdS4NZkOEGcLTRQ==" spinCount="100000" sqref="IW171:IW172" name="Rango2_41_75"/>
    <protectedRange algorithmName="SHA-512" hashValue="Gqwr8n5jYbCESAqCFk8dpOzViQICBV+k0xoqBoQaZ5lHaRlvT9TZDB4yXtm+qC6OhD064ZDBOFWkwo+LHXu1sg==" saltValue="gEL9PCN2ekF2IxW9yqAGYA==" spinCount="100000" sqref="IS173:IS175" name="Rango2_40_2_76"/>
    <protectedRange algorithmName="SHA-512" hashValue="D8TacORwT7iz0mF9GEucchnMHfB5er2FFjQsxyeWWyeJkM6Bt3gYQ3LbcHPxZXFpVAYtFOuTrzYOCJrlZDx16g==" saltValue="QtCzIBktdS4NZkOEGcLTRQ==" spinCount="100000" sqref="IW173:IW175" name="Rango2_41_76"/>
    <protectedRange algorithmName="SHA-512" hashValue="Gqwr8n5jYbCESAqCFk8dpOzViQICBV+k0xoqBoQaZ5lHaRlvT9TZDB4yXtm+qC6OhD064ZDBOFWkwo+LHXu1sg==" saltValue="gEL9PCN2ekF2IxW9yqAGYA==" spinCount="100000" sqref="IS176" name="Rango2_40_2_77"/>
    <protectedRange algorithmName="SHA-512" hashValue="D8TacORwT7iz0mF9GEucchnMHfB5er2FFjQsxyeWWyeJkM6Bt3gYQ3LbcHPxZXFpVAYtFOuTrzYOCJrlZDx16g==" saltValue="QtCzIBktdS4NZkOEGcLTRQ==" spinCount="100000" sqref="IW176" name="Rango2_41_77"/>
    <protectedRange algorithmName="SHA-512" hashValue="Gqwr8n5jYbCESAqCFk8dpOzViQICBV+k0xoqBoQaZ5lHaRlvT9TZDB4yXtm+qC6OhD064ZDBOFWkwo+LHXu1sg==" saltValue="gEL9PCN2ekF2IxW9yqAGYA==" spinCount="100000" sqref="IS177:IS178" name="Rango2_40_2_78"/>
    <protectedRange algorithmName="SHA-512" hashValue="D8TacORwT7iz0mF9GEucchnMHfB5er2FFjQsxyeWWyeJkM6Bt3gYQ3LbcHPxZXFpVAYtFOuTrzYOCJrlZDx16g==" saltValue="QtCzIBktdS4NZkOEGcLTRQ==" spinCount="100000" sqref="IW177:IW178" name="Rango2_41_78"/>
    <protectedRange algorithmName="SHA-512" hashValue="Gqwr8n5jYbCESAqCFk8dpOzViQICBV+k0xoqBoQaZ5lHaRlvT9TZDB4yXtm+qC6OhD064ZDBOFWkwo+LHXu1sg==" saltValue="gEL9PCN2ekF2IxW9yqAGYA==" spinCount="100000" sqref="IS179" name="Rango2_40_2_79"/>
    <protectedRange algorithmName="SHA-512" hashValue="D8TacORwT7iz0mF9GEucchnMHfB5er2FFjQsxyeWWyeJkM6Bt3gYQ3LbcHPxZXFpVAYtFOuTrzYOCJrlZDx16g==" saltValue="QtCzIBktdS4NZkOEGcLTRQ==" spinCount="100000" sqref="IW179" name="Rango2_41_79"/>
    <protectedRange algorithmName="SHA-512" hashValue="Gqwr8n5jYbCESAqCFk8dpOzViQICBV+k0xoqBoQaZ5lHaRlvT9TZDB4yXtm+qC6OhD064ZDBOFWkwo+LHXu1sg==" saltValue="gEL9PCN2ekF2IxW9yqAGYA==" spinCount="100000" sqref="IS180" name="Rango2_40_2_80"/>
    <protectedRange algorithmName="SHA-512" hashValue="D8TacORwT7iz0mF9GEucchnMHfB5er2FFjQsxyeWWyeJkM6Bt3gYQ3LbcHPxZXFpVAYtFOuTrzYOCJrlZDx16g==" saltValue="QtCzIBktdS4NZkOEGcLTRQ==" spinCount="100000" sqref="IW180" name="Rango2_41_80"/>
    <protectedRange algorithmName="SHA-512" hashValue="Gqwr8n5jYbCESAqCFk8dpOzViQICBV+k0xoqBoQaZ5lHaRlvT9TZDB4yXtm+qC6OhD064ZDBOFWkwo+LHXu1sg==" saltValue="gEL9PCN2ekF2IxW9yqAGYA==" spinCount="100000" sqref="IS181" name="Rango2_40_2_81"/>
    <protectedRange algorithmName="SHA-512" hashValue="D8TacORwT7iz0mF9GEucchnMHfB5er2FFjQsxyeWWyeJkM6Bt3gYQ3LbcHPxZXFpVAYtFOuTrzYOCJrlZDx16g==" saltValue="QtCzIBktdS4NZkOEGcLTRQ==" spinCount="100000" sqref="IW181" name="Rango2_41_81"/>
    <protectedRange algorithmName="SHA-512" hashValue="Gqwr8n5jYbCESAqCFk8dpOzViQICBV+k0xoqBoQaZ5lHaRlvT9TZDB4yXtm+qC6OhD064ZDBOFWkwo+LHXu1sg==" saltValue="gEL9PCN2ekF2IxW9yqAGYA==" spinCount="100000" sqref="IS182" name="Rango2_40_2_82"/>
    <protectedRange algorithmName="SHA-512" hashValue="D8TacORwT7iz0mF9GEucchnMHfB5er2FFjQsxyeWWyeJkM6Bt3gYQ3LbcHPxZXFpVAYtFOuTrzYOCJrlZDx16g==" saltValue="QtCzIBktdS4NZkOEGcLTRQ==" spinCount="100000" sqref="IW182" name="Rango2_41_82"/>
    <protectedRange algorithmName="SHA-512" hashValue="Gqwr8n5jYbCESAqCFk8dpOzViQICBV+k0xoqBoQaZ5lHaRlvT9TZDB4yXtm+qC6OhD064ZDBOFWkwo+LHXu1sg==" saltValue="gEL9PCN2ekF2IxW9yqAGYA==" spinCount="100000" sqref="IS183" name="Rango2_40_2_83"/>
    <protectedRange algorithmName="SHA-512" hashValue="D8TacORwT7iz0mF9GEucchnMHfB5er2FFjQsxyeWWyeJkM6Bt3gYQ3LbcHPxZXFpVAYtFOuTrzYOCJrlZDx16g==" saltValue="QtCzIBktdS4NZkOEGcLTRQ==" spinCount="100000" sqref="IW183" name="Rango2_41_83"/>
    <protectedRange algorithmName="SHA-512" hashValue="Gqwr8n5jYbCESAqCFk8dpOzViQICBV+k0xoqBoQaZ5lHaRlvT9TZDB4yXtm+qC6OhD064ZDBOFWkwo+LHXu1sg==" saltValue="gEL9PCN2ekF2IxW9yqAGYA==" spinCount="100000" sqref="IS184:IS187" name="Rango2_40_2_84"/>
    <protectedRange algorithmName="SHA-512" hashValue="D8TacORwT7iz0mF9GEucchnMHfB5er2FFjQsxyeWWyeJkM6Bt3gYQ3LbcHPxZXFpVAYtFOuTrzYOCJrlZDx16g==" saltValue="QtCzIBktdS4NZkOEGcLTRQ==" spinCount="100000" sqref="IW184:IW187" name="Rango2_41_84"/>
    <protectedRange algorithmName="SHA-512" hashValue="6a5oYwZw9WJcgjqXpleUXH8uaqNEuymPPpeOb7lKBc1WoM6IG/DNyDLWmj2lYwxnZO2yhl+B61kwrxD9m9AdhQ==" saltValue="tdNQPzLQd+n9Ww064QJIaQ==" spinCount="100000" sqref="I188" name="Rango2_61_60"/>
    <protectedRange algorithmName="SHA-512" hashValue="XM8+0Jh5zLWw02PI0Lt8dLqjTcW5ulySion19FAnruDN6QRp4UwcVqdfQxnOQAItgpWG7rNsELzjwy0iXOonxw==" saltValue="Sd4WFUedDfLKoMQTDrxJuQ==" spinCount="100000" sqref="K188" name="Rango2_88_4_4_60"/>
    <protectedRange algorithmName="SHA-512" hashValue="EMMPgE8t/az1rHHzaZAQIhz+GQV0k2O/tQGA96sJqEEMzz1efIRa4CcLzC7iY9CCscto3g7dwz41haOE28iXYg==" saltValue="CVzFsG4X4LXUMo7796PiDQ==" spinCount="100000" sqref="L188:M188 J188 B188:H188 C189:C228" name="Rango2_10_60"/>
    <protectedRange algorithmName="SHA-512" hashValue="6a5oYwZw9WJcgjqXpleUXH8uaqNEuymPPpeOb7lKBc1WoM6IG/DNyDLWmj2lYwxnZO2yhl+B61kwrxD9m9AdhQ==" saltValue="tdNQPzLQd+n9Ww064QJIaQ==" spinCount="100000" sqref="I189" name="Rango2_61_61"/>
    <protectedRange algorithmName="SHA-512" hashValue="XM8+0Jh5zLWw02PI0Lt8dLqjTcW5ulySion19FAnruDN6QRp4UwcVqdfQxnOQAItgpWG7rNsELzjwy0iXOonxw==" saltValue="Sd4WFUedDfLKoMQTDrxJuQ==" spinCount="100000" sqref="K189" name="Rango2_88_4_4_61"/>
    <protectedRange algorithmName="SHA-512" hashValue="EMMPgE8t/az1rHHzaZAQIhz+GQV0k2O/tQGA96sJqEEMzz1efIRa4CcLzC7iY9CCscto3g7dwz41haOE28iXYg==" saltValue="CVzFsG4X4LXUMo7796PiDQ==" spinCount="100000" sqref="L189:M189 J189 B189 D189:H189" name="Rango2_10_61"/>
    <protectedRange algorithmName="SHA-512" hashValue="6a5oYwZw9WJcgjqXpleUXH8uaqNEuymPPpeOb7lKBc1WoM6IG/DNyDLWmj2lYwxnZO2yhl+B61kwrxD9m9AdhQ==" saltValue="tdNQPzLQd+n9Ww064QJIaQ==" spinCount="100000" sqref="I190" name="Rango2_61_62"/>
    <protectedRange algorithmName="SHA-512" hashValue="XM8+0Jh5zLWw02PI0Lt8dLqjTcW5ulySion19FAnruDN6QRp4UwcVqdfQxnOQAItgpWG7rNsELzjwy0iXOonxw==" saltValue="Sd4WFUedDfLKoMQTDrxJuQ==" spinCount="100000" sqref="K190" name="Rango2_88_4_4_62"/>
    <protectedRange algorithmName="SHA-512" hashValue="EMMPgE8t/az1rHHzaZAQIhz+GQV0k2O/tQGA96sJqEEMzz1efIRa4CcLzC7iY9CCscto3g7dwz41haOE28iXYg==" saltValue="CVzFsG4X4LXUMo7796PiDQ==" spinCount="100000" sqref="L190:M190 J190 B190 D190:H190" name="Rango2_10_62"/>
    <protectedRange algorithmName="SHA-512" hashValue="6a5oYwZw9WJcgjqXpleUXH8uaqNEuymPPpeOb7lKBc1WoM6IG/DNyDLWmj2lYwxnZO2yhl+B61kwrxD9m9AdhQ==" saltValue="tdNQPzLQd+n9Ww064QJIaQ==" spinCount="100000" sqref="I191" name="Rango2_61_63"/>
    <protectedRange algorithmName="SHA-512" hashValue="XM8+0Jh5zLWw02PI0Lt8dLqjTcW5ulySion19FAnruDN6QRp4UwcVqdfQxnOQAItgpWG7rNsELzjwy0iXOonxw==" saltValue="Sd4WFUedDfLKoMQTDrxJuQ==" spinCount="100000" sqref="K191" name="Rango2_88_4_4_63"/>
    <protectedRange algorithmName="SHA-512" hashValue="EMMPgE8t/az1rHHzaZAQIhz+GQV0k2O/tQGA96sJqEEMzz1efIRa4CcLzC7iY9CCscto3g7dwz41haOE28iXYg==" saltValue="CVzFsG4X4LXUMo7796PiDQ==" spinCount="100000" sqref="L191:M191 J191 B191 D191:H191" name="Rango2_10_63"/>
    <protectedRange algorithmName="SHA-512" hashValue="6a5oYwZw9WJcgjqXpleUXH8uaqNEuymPPpeOb7lKBc1WoM6IG/DNyDLWmj2lYwxnZO2yhl+B61kwrxD9m9AdhQ==" saltValue="tdNQPzLQd+n9Ww064QJIaQ==" spinCount="100000" sqref="I192" name="Rango2_61_64"/>
    <protectedRange algorithmName="SHA-512" hashValue="XM8+0Jh5zLWw02PI0Lt8dLqjTcW5ulySion19FAnruDN6QRp4UwcVqdfQxnOQAItgpWG7rNsELzjwy0iXOonxw==" saltValue="Sd4WFUedDfLKoMQTDrxJuQ==" spinCount="100000" sqref="K192" name="Rango2_88_4_4_64"/>
    <protectedRange algorithmName="SHA-512" hashValue="EMMPgE8t/az1rHHzaZAQIhz+GQV0k2O/tQGA96sJqEEMzz1efIRa4CcLzC7iY9CCscto3g7dwz41haOE28iXYg==" saltValue="CVzFsG4X4LXUMo7796PiDQ==" spinCount="100000" sqref="L192:M192 J192 B192 D192:H192" name="Rango2_10_64"/>
    <protectedRange algorithmName="SHA-512" hashValue="6a5oYwZw9WJcgjqXpleUXH8uaqNEuymPPpeOb7lKBc1WoM6IG/DNyDLWmj2lYwxnZO2yhl+B61kwrxD9m9AdhQ==" saltValue="tdNQPzLQd+n9Ww064QJIaQ==" spinCount="100000" sqref="I193:I194" name="Rango2_61_65"/>
    <protectedRange algorithmName="SHA-512" hashValue="XM8+0Jh5zLWw02PI0Lt8dLqjTcW5ulySion19FAnruDN6QRp4UwcVqdfQxnOQAItgpWG7rNsELzjwy0iXOonxw==" saltValue="Sd4WFUedDfLKoMQTDrxJuQ==" spinCount="100000" sqref="K193:K194" name="Rango2_88_4_4_65"/>
    <protectedRange algorithmName="SHA-512" hashValue="EMMPgE8t/az1rHHzaZAQIhz+GQV0k2O/tQGA96sJqEEMzz1efIRa4CcLzC7iY9CCscto3g7dwz41haOE28iXYg==" saltValue="CVzFsG4X4LXUMo7796PiDQ==" spinCount="100000" sqref="L193:M194 J193:J194 B193:B194 D193:H194" name="Rango2_10_65"/>
    <protectedRange algorithmName="SHA-512" hashValue="6a5oYwZw9WJcgjqXpleUXH8uaqNEuymPPpeOb7lKBc1WoM6IG/DNyDLWmj2lYwxnZO2yhl+B61kwrxD9m9AdhQ==" saltValue="tdNQPzLQd+n9Ww064QJIaQ==" spinCount="100000" sqref="I195:I196" name="Rango2_61_66"/>
    <protectedRange algorithmName="SHA-512" hashValue="XM8+0Jh5zLWw02PI0Lt8dLqjTcW5ulySion19FAnruDN6QRp4UwcVqdfQxnOQAItgpWG7rNsELzjwy0iXOonxw==" saltValue="Sd4WFUedDfLKoMQTDrxJuQ==" spinCount="100000" sqref="K195:K196" name="Rango2_88_4_4_66"/>
    <protectedRange algorithmName="SHA-512" hashValue="EMMPgE8t/az1rHHzaZAQIhz+GQV0k2O/tQGA96sJqEEMzz1efIRa4CcLzC7iY9CCscto3g7dwz41haOE28iXYg==" saltValue="CVzFsG4X4LXUMo7796PiDQ==" spinCount="100000" sqref="L195:M196 J195:J196 B195:B196 D195:H196" name="Rango2_10_66"/>
    <protectedRange algorithmName="SHA-512" hashValue="6a5oYwZw9WJcgjqXpleUXH8uaqNEuymPPpeOb7lKBc1WoM6IG/DNyDLWmj2lYwxnZO2yhl+B61kwrxD9m9AdhQ==" saltValue="tdNQPzLQd+n9Ww064QJIaQ==" spinCount="100000" sqref="I197" name="Rango2_61_67"/>
    <protectedRange algorithmName="SHA-512" hashValue="XM8+0Jh5zLWw02PI0Lt8dLqjTcW5ulySion19FAnruDN6QRp4UwcVqdfQxnOQAItgpWG7rNsELzjwy0iXOonxw==" saltValue="Sd4WFUedDfLKoMQTDrxJuQ==" spinCount="100000" sqref="K197" name="Rango2_88_4_4_67"/>
    <protectedRange algorithmName="SHA-512" hashValue="EMMPgE8t/az1rHHzaZAQIhz+GQV0k2O/tQGA96sJqEEMzz1efIRa4CcLzC7iY9CCscto3g7dwz41haOE28iXYg==" saltValue="CVzFsG4X4LXUMo7796PiDQ==" spinCount="100000" sqref="L197:M197 J197 B197 D197:H197" name="Rango2_10_67"/>
    <protectedRange algorithmName="SHA-512" hashValue="6a5oYwZw9WJcgjqXpleUXH8uaqNEuymPPpeOb7lKBc1WoM6IG/DNyDLWmj2lYwxnZO2yhl+B61kwrxD9m9AdhQ==" saltValue="tdNQPzLQd+n9Ww064QJIaQ==" spinCount="100000" sqref="I198" name="Rango2_61_68"/>
    <protectedRange algorithmName="SHA-512" hashValue="XM8+0Jh5zLWw02PI0Lt8dLqjTcW5ulySion19FAnruDN6QRp4UwcVqdfQxnOQAItgpWG7rNsELzjwy0iXOonxw==" saltValue="Sd4WFUedDfLKoMQTDrxJuQ==" spinCount="100000" sqref="K198" name="Rango2_88_4_4_68"/>
    <protectedRange algorithmName="SHA-512" hashValue="EMMPgE8t/az1rHHzaZAQIhz+GQV0k2O/tQGA96sJqEEMzz1efIRa4CcLzC7iY9CCscto3g7dwz41haOE28iXYg==" saltValue="CVzFsG4X4LXUMo7796PiDQ==" spinCount="100000" sqref="L198:M198 J198 B198 D198:H198" name="Rango2_10_68"/>
    <protectedRange algorithmName="SHA-512" hashValue="6a5oYwZw9WJcgjqXpleUXH8uaqNEuymPPpeOb7lKBc1WoM6IG/DNyDLWmj2lYwxnZO2yhl+B61kwrxD9m9AdhQ==" saltValue="tdNQPzLQd+n9Ww064QJIaQ==" spinCount="100000" sqref="I199" name="Rango2_61_69"/>
    <protectedRange algorithmName="SHA-512" hashValue="XM8+0Jh5zLWw02PI0Lt8dLqjTcW5ulySion19FAnruDN6QRp4UwcVqdfQxnOQAItgpWG7rNsELzjwy0iXOonxw==" saltValue="Sd4WFUedDfLKoMQTDrxJuQ==" spinCount="100000" sqref="K199" name="Rango2_88_4_4_69"/>
    <protectedRange algorithmName="SHA-512" hashValue="EMMPgE8t/az1rHHzaZAQIhz+GQV0k2O/tQGA96sJqEEMzz1efIRa4CcLzC7iY9CCscto3g7dwz41haOE28iXYg==" saltValue="CVzFsG4X4LXUMo7796PiDQ==" spinCount="100000" sqref="L199:M199 J199 B199 D199:H199" name="Rango2_10_69"/>
    <protectedRange algorithmName="SHA-512" hashValue="6a5oYwZw9WJcgjqXpleUXH8uaqNEuymPPpeOb7lKBc1WoM6IG/DNyDLWmj2lYwxnZO2yhl+B61kwrxD9m9AdhQ==" saltValue="tdNQPzLQd+n9Ww064QJIaQ==" spinCount="100000" sqref="I200" name="Rango2_61_70"/>
    <protectedRange algorithmName="SHA-512" hashValue="XM8+0Jh5zLWw02PI0Lt8dLqjTcW5ulySion19FAnruDN6QRp4UwcVqdfQxnOQAItgpWG7rNsELzjwy0iXOonxw==" saltValue="Sd4WFUedDfLKoMQTDrxJuQ==" spinCount="100000" sqref="K200" name="Rango2_88_4_4_70"/>
    <protectedRange algorithmName="SHA-512" hashValue="EMMPgE8t/az1rHHzaZAQIhz+GQV0k2O/tQGA96sJqEEMzz1efIRa4CcLzC7iY9CCscto3g7dwz41haOE28iXYg==" saltValue="CVzFsG4X4LXUMo7796PiDQ==" spinCount="100000" sqref="L200:M200 J200 B200 D200:H200" name="Rango2_10_70"/>
    <protectedRange algorithmName="SHA-512" hashValue="6a5oYwZw9WJcgjqXpleUXH8uaqNEuymPPpeOb7lKBc1WoM6IG/DNyDLWmj2lYwxnZO2yhl+B61kwrxD9m9AdhQ==" saltValue="tdNQPzLQd+n9Ww064QJIaQ==" spinCount="100000" sqref="I201" name="Rango2_61_71"/>
    <protectedRange algorithmName="SHA-512" hashValue="XM8+0Jh5zLWw02PI0Lt8dLqjTcW5ulySion19FAnruDN6QRp4UwcVqdfQxnOQAItgpWG7rNsELzjwy0iXOonxw==" saltValue="Sd4WFUedDfLKoMQTDrxJuQ==" spinCount="100000" sqref="K201" name="Rango2_88_4_4_71"/>
    <protectedRange algorithmName="SHA-512" hashValue="EMMPgE8t/az1rHHzaZAQIhz+GQV0k2O/tQGA96sJqEEMzz1efIRa4CcLzC7iY9CCscto3g7dwz41haOE28iXYg==" saltValue="CVzFsG4X4LXUMo7796PiDQ==" spinCount="100000" sqref="L201:M201 J201 B201 D201:H201" name="Rango2_10_71"/>
    <protectedRange algorithmName="SHA-512" hashValue="6a5oYwZw9WJcgjqXpleUXH8uaqNEuymPPpeOb7lKBc1WoM6IG/DNyDLWmj2lYwxnZO2yhl+B61kwrxD9m9AdhQ==" saltValue="tdNQPzLQd+n9Ww064QJIaQ==" spinCount="100000" sqref="I202" name="Rango2_61_72"/>
    <protectedRange algorithmName="SHA-512" hashValue="XM8+0Jh5zLWw02PI0Lt8dLqjTcW5ulySion19FAnruDN6QRp4UwcVqdfQxnOQAItgpWG7rNsELzjwy0iXOonxw==" saltValue="Sd4WFUedDfLKoMQTDrxJuQ==" spinCount="100000" sqref="K202" name="Rango2_88_4_4_72"/>
    <protectedRange algorithmName="SHA-512" hashValue="EMMPgE8t/az1rHHzaZAQIhz+GQV0k2O/tQGA96sJqEEMzz1efIRa4CcLzC7iY9CCscto3g7dwz41haOE28iXYg==" saltValue="CVzFsG4X4LXUMo7796PiDQ==" spinCount="100000" sqref="L202:M202 J202 B202 D202:H202" name="Rango2_10_72"/>
    <protectedRange algorithmName="SHA-512" hashValue="6a5oYwZw9WJcgjqXpleUXH8uaqNEuymPPpeOb7lKBc1WoM6IG/DNyDLWmj2lYwxnZO2yhl+B61kwrxD9m9AdhQ==" saltValue="tdNQPzLQd+n9Ww064QJIaQ==" spinCount="100000" sqref="I203" name="Rango2_61_73"/>
    <protectedRange algorithmName="SHA-512" hashValue="XM8+0Jh5zLWw02PI0Lt8dLqjTcW5ulySion19FAnruDN6QRp4UwcVqdfQxnOQAItgpWG7rNsELzjwy0iXOonxw==" saltValue="Sd4WFUedDfLKoMQTDrxJuQ==" spinCount="100000" sqref="K203" name="Rango2_88_4_4_73"/>
    <protectedRange algorithmName="SHA-512" hashValue="EMMPgE8t/az1rHHzaZAQIhz+GQV0k2O/tQGA96sJqEEMzz1efIRa4CcLzC7iY9CCscto3g7dwz41haOE28iXYg==" saltValue="CVzFsG4X4LXUMo7796PiDQ==" spinCount="100000" sqref="L203:M203 J203 B203 D203:H203" name="Rango2_10_73"/>
    <protectedRange algorithmName="SHA-512" hashValue="6a5oYwZw9WJcgjqXpleUXH8uaqNEuymPPpeOb7lKBc1WoM6IG/DNyDLWmj2lYwxnZO2yhl+B61kwrxD9m9AdhQ==" saltValue="tdNQPzLQd+n9Ww064QJIaQ==" spinCount="100000" sqref="I204:I205" name="Rango2_61_74"/>
    <protectedRange algorithmName="SHA-512" hashValue="XM8+0Jh5zLWw02PI0Lt8dLqjTcW5ulySion19FAnruDN6QRp4UwcVqdfQxnOQAItgpWG7rNsELzjwy0iXOonxw==" saltValue="Sd4WFUedDfLKoMQTDrxJuQ==" spinCount="100000" sqref="K204:K205" name="Rango2_88_4_4_74"/>
    <protectedRange algorithmName="SHA-512" hashValue="EMMPgE8t/az1rHHzaZAQIhz+GQV0k2O/tQGA96sJqEEMzz1efIRa4CcLzC7iY9CCscto3g7dwz41haOE28iXYg==" saltValue="CVzFsG4X4LXUMo7796PiDQ==" spinCount="100000" sqref="L204:M205 J204:J205 B204:B205 D204:H205" name="Rango2_10_74"/>
    <protectedRange algorithmName="SHA-512" hashValue="6a5oYwZw9WJcgjqXpleUXH8uaqNEuymPPpeOb7lKBc1WoM6IG/DNyDLWmj2lYwxnZO2yhl+B61kwrxD9m9AdhQ==" saltValue="tdNQPzLQd+n9Ww064QJIaQ==" spinCount="100000" sqref="I206" name="Rango2_61_75"/>
    <protectedRange algorithmName="SHA-512" hashValue="XM8+0Jh5zLWw02PI0Lt8dLqjTcW5ulySion19FAnruDN6QRp4UwcVqdfQxnOQAItgpWG7rNsELzjwy0iXOonxw==" saltValue="Sd4WFUedDfLKoMQTDrxJuQ==" spinCount="100000" sqref="K206" name="Rango2_88_4_4_75"/>
    <protectedRange algorithmName="SHA-512" hashValue="EMMPgE8t/az1rHHzaZAQIhz+GQV0k2O/tQGA96sJqEEMzz1efIRa4CcLzC7iY9CCscto3g7dwz41haOE28iXYg==" saltValue="CVzFsG4X4LXUMo7796PiDQ==" spinCount="100000" sqref="L206:M206 J206 B206 D206:H206" name="Rango2_10_75"/>
    <protectedRange algorithmName="SHA-512" hashValue="6a5oYwZw9WJcgjqXpleUXH8uaqNEuymPPpeOb7lKBc1WoM6IG/DNyDLWmj2lYwxnZO2yhl+B61kwrxD9m9AdhQ==" saltValue="tdNQPzLQd+n9Ww064QJIaQ==" spinCount="100000" sqref="I207" name="Rango2_61_76"/>
    <protectedRange algorithmName="SHA-512" hashValue="XM8+0Jh5zLWw02PI0Lt8dLqjTcW5ulySion19FAnruDN6QRp4UwcVqdfQxnOQAItgpWG7rNsELzjwy0iXOonxw==" saltValue="Sd4WFUedDfLKoMQTDrxJuQ==" spinCount="100000" sqref="K207" name="Rango2_88_4_4_76"/>
    <protectedRange algorithmName="SHA-512" hashValue="EMMPgE8t/az1rHHzaZAQIhz+GQV0k2O/tQGA96sJqEEMzz1efIRa4CcLzC7iY9CCscto3g7dwz41haOE28iXYg==" saltValue="CVzFsG4X4LXUMo7796PiDQ==" spinCount="100000" sqref="L207:M207 J207 B207 D207:H207" name="Rango2_10_76"/>
    <protectedRange algorithmName="SHA-512" hashValue="6a5oYwZw9WJcgjqXpleUXH8uaqNEuymPPpeOb7lKBc1WoM6IG/DNyDLWmj2lYwxnZO2yhl+B61kwrxD9m9AdhQ==" saltValue="tdNQPzLQd+n9Ww064QJIaQ==" spinCount="100000" sqref="I208" name="Rango2_61_77"/>
    <protectedRange algorithmName="SHA-512" hashValue="XM8+0Jh5zLWw02PI0Lt8dLqjTcW5ulySion19FAnruDN6QRp4UwcVqdfQxnOQAItgpWG7rNsELzjwy0iXOonxw==" saltValue="Sd4WFUedDfLKoMQTDrxJuQ==" spinCount="100000" sqref="K208" name="Rango2_88_4_4_77"/>
    <protectedRange algorithmName="SHA-512" hashValue="EMMPgE8t/az1rHHzaZAQIhz+GQV0k2O/tQGA96sJqEEMzz1efIRa4CcLzC7iY9CCscto3g7dwz41haOE28iXYg==" saltValue="CVzFsG4X4LXUMo7796PiDQ==" spinCount="100000" sqref="L208:M208 J208 B208 D208:H208" name="Rango2_10_77"/>
    <protectedRange algorithmName="SHA-512" hashValue="6a5oYwZw9WJcgjqXpleUXH8uaqNEuymPPpeOb7lKBc1WoM6IG/DNyDLWmj2lYwxnZO2yhl+B61kwrxD9m9AdhQ==" saltValue="tdNQPzLQd+n9Ww064QJIaQ==" spinCount="100000" sqref="I209:I210" name="Rango2_61_78"/>
    <protectedRange algorithmName="SHA-512" hashValue="XM8+0Jh5zLWw02PI0Lt8dLqjTcW5ulySion19FAnruDN6QRp4UwcVqdfQxnOQAItgpWG7rNsELzjwy0iXOonxw==" saltValue="Sd4WFUedDfLKoMQTDrxJuQ==" spinCount="100000" sqref="K209:K210" name="Rango2_88_4_4_78"/>
    <protectedRange algorithmName="SHA-512" hashValue="EMMPgE8t/az1rHHzaZAQIhz+GQV0k2O/tQGA96sJqEEMzz1efIRa4CcLzC7iY9CCscto3g7dwz41haOE28iXYg==" saltValue="CVzFsG4X4LXUMo7796PiDQ==" spinCount="100000" sqref="L209:M210 J209:J210 B209:B210 D209:H210" name="Rango2_10_78"/>
    <protectedRange algorithmName="SHA-512" hashValue="6a5oYwZw9WJcgjqXpleUXH8uaqNEuymPPpeOb7lKBc1WoM6IG/DNyDLWmj2lYwxnZO2yhl+B61kwrxD9m9AdhQ==" saltValue="tdNQPzLQd+n9Ww064QJIaQ==" spinCount="100000" sqref="I211" name="Rango2_61_79"/>
    <protectedRange algorithmName="SHA-512" hashValue="XM8+0Jh5zLWw02PI0Lt8dLqjTcW5ulySion19FAnruDN6QRp4UwcVqdfQxnOQAItgpWG7rNsELzjwy0iXOonxw==" saltValue="Sd4WFUedDfLKoMQTDrxJuQ==" spinCount="100000" sqref="K211" name="Rango2_88_4_4_79"/>
    <protectedRange algorithmName="SHA-512" hashValue="EMMPgE8t/az1rHHzaZAQIhz+GQV0k2O/tQGA96sJqEEMzz1efIRa4CcLzC7iY9CCscto3g7dwz41haOE28iXYg==" saltValue="CVzFsG4X4LXUMo7796PiDQ==" spinCount="100000" sqref="L211:M211 J211 B211 D211:H211" name="Rango2_10_79"/>
    <protectedRange algorithmName="SHA-512" hashValue="6a5oYwZw9WJcgjqXpleUXH8uaqNEuymPPpeOb7lKBc1WoM6IG/DNyDLWmj2lYwxnZO2yhl+B61kwrxD9m9AdhQ==" saltValue="tdNQPzLQd+n9Ww064QJIaQ==" spinCount="100000" sqref="I212" name="Rango2_61_80"/>
    <protectedRange algorithmName="SHA-512" hashValue="XM8+0Jh5zLWw02PI0Lt8dLqjTcW5ulySion19FAnruDN6QRp4UwcVqdfQxnOQAItgpWG7rNsELzjwy0iXOonxw==" saltValue="Sd4WFUedDfLKoMQTDrxJuQ==" spinCount="100000" sqref="K212" name="Rango2_88_4_4_80"/>
    <protectedRange algorithmName="SHA-512" hashValue="EMMPgE8t/az1rHHzaZAQIhz+GQV0k2O/tQGA96sJqEEMzz1efIRa4CcLzC7iY9CCscto3g7dwz41haOE28iXYg==" saltValue="CVzFsG4X4LXUMo7796PiDQ==" spinCount="100000" sqref="L212:M212 J212 B212 D212:H212" name="Rango2_10_80"/>
    <protectedRange algorithmName="SHA-512" hashValue="6a5oYwZw9WJcgjqXpleUXH8uaqNEuymPPpeOb7lKBc1WoM6IG/DNyDLWmj2lYwxnZO2yhl+B61kwrxD9m9AdhQ==" saltValue="tdNQPzLQd+n9Ww064QJIaQ==" spinCount="100000" sqref="I213:I214" name="Rango2_61_81"/>
    <protectedRange algorithmName="SHA-512" hashValue="XM8+0Jh5zLWw02PI0Lt8dLqjTcW5ulySion19FAnruDN6QRp4UwcVqdfQxnOQAItgpWG7rNsELzjwy0iXOonxw==" saltValue="Sd4WFUedDfLKoMQTDrxJuQ==" spinCount="100000" sqref="K213:K214" name="Rango2_88_4_4_81"/>
    <protectedRange algorithmName="SHA-512" hashValue="EMMPgE8t/az1rHHzaZAQIhz+GQV0k2O/tQGA96sJqEEMzz1efIRa4CcLzC7iY9CCscto3g7dwz41haOE28iXYg==" saltValue="CVzFsG4X4LXUMo7796PiDQ==" spinCount="100000" sqref="L213:M214 J213:J214 B213:B214 D213:H214" name="Rango2_10_81"/>
    <protectedRange algorithmName="SHA-512" hashValue="6a5oYwZw9WJcgjqXpleUXH8uaqNEuymPPpeOb7lKBc1WoM6IG/DNyDLWmj2lYwxnZO2yhl+B61kwrxD9m9AdhQ==" saltValue="tdNQPzLQd+n9Ww064QJIaQ==" spinCount="100000" sqref="I215" name="Rango2_61_82"/>
    <protectedRange algorithmName="SHA-512" hashValue="XM8+0Jh5zLWw02PI0Lt8dLqjTcW5ulySion19FAnruDN6QRp4UwcVqdfQxnOQAItgpWG7rNsELzjwy0iXOonxw==" saltValue="Sd4WFUedDfLKoMQTDrxJuQ==" spinCount="100000" sqref="K215" name="Rango2_88_4_4_82"/>
    <protectedRange algorithmName="SHA-512" hashValue="EMMPgE8t/az1rHHzaZAQIhz+GQV0k2O/tQGA96sJqEEMzz1efIRa4CcLzC7iY9CCscto3g7dwz41haOE28iXYg==" saltValue="CVzFsG4X4LXUMo7796PiDQ==" spinCount="100000" sqref="L215:M215 J215 B215 D215:H215" name="Rango2_10_82"/>
    <protectedRange algorithmName="SHA-512" hashValue="6a5oYwZw9WJcgjqXpleUXH8uaqNEuymPPpeOb7lKBc1WoM6IG/DNyDLWmj2lYwxnZO2yhl+B61kwrxD9m9AdhQ==" saltValue="tdNQPzLQd+n9Ww064QJIaQ==" spinCount="100000" sqref="I216" name="Rango2_61_83"/>
    <protectedRange algorithmName="SHA-512" hashValue="XM8+0Jh5zLWw02PI0Lt8dLqjTcW5ulySion19FAnruDN6QRp4UwcVqdfQxnOQAItgpWG7rNsELzjwy0iXOonxw==" saltValue="Sd4WFUedDfLKoMQTDrxJuQ==" spinCount="100000" sqref="K216" name="Rango2_88_4_4_83"/>
    <protectedRange algorithmName="SHA-512" hashValue="EMMPgE8t/az1rHHzaZAQIhz+GQV0k2O/tQGA96sJqEEMzz1efIRa4CcLzC7iY9CCscto3g7dwz41haOE28iXYg==" saltValue="CVzFsG4X4LXUMo7796PiDQ==" spinCount="100000" sqref="L216:M216 J216 B216 D216:H216" name="Rango2_10_83"/>
    <protectedRange algorithmName="SHA-512" hashValue="6a5oYwZw9WJcgjqXpleUXH8uaqNEuymPPpeOb7lKBc1WoM6IG/DNyDLWmj2lYwxnZO2yhl+B61kwrxD9m9AdhQ==" saltValue="tdNQPzLQd+n9Ww064QJIaQ==" spinCount="100000" sqref="I217" name="Rango2_61_84"/>
    <protectedRange algorithmName="SHA-512" hashValue="XM8+0Jh5zLWw02PI0Lt8dLqjTcW5ulySion19FAnruDN6QRp4UwcVqdfQxnOQAItgpWG7rNsELzjwy0iXOonxw==" saltValue="Sd4WFUedDfLKoMQTDrxJuQ==" spinCount="100000" sqref="K217" name="Rango2_88_4_4_84"/>
    <protectedRange algorithmName="SHA-512" hashValue="EMMPgE8t/az1rHHzaZAQIhz+GQV0k2O/tQGA96sJqEEMzz1efIRa4CcLzC7iY9CCscto3g7dwz41haOE28iXYg==" saltValue="CVzFsG4X4LXUMo7796PiDQ==" spinCount="100000" sqref="L217:M217 J217 B217 D217:H217" name="Rango2_10_84"/>
    <protectedRange algorithmName="SHA-512" hashValue="6a5oYwZw9WJcgjqXpleUXH8uaqNEuymPPpeOb7lKBc1WoM6IG/DNyDLWmj2lYwxnZO2yhl+B61kwrxD9m9AdhQ==" saltValue="tdNQPzLQd+n9Ww064QJIaQ==" spinCount="100000" sqref="I218" name="Rango2_61_85"/>
    <protectedRange algorithmName="SHA-512" hashValue="XM8+0Jh5zLWw02PI0Lt8dLqjTcW5ulySion19FAnruDN6QRp4UwcVqdfQxnOQAItgpWG7rNsELzjwy0iXOonxw==" saltValue="Sd4WFUedDfLKoMQTDrxJuQ==" spinCount="100000" sqref="K218" name="Rango2_88_4_4_85"/>
    <protectedRange algorithmName="SHA-512" hashValue="EMMPgE8t/az1rHHzaZAQIhz+GQV0k2O/tQGA96sJqEEMzz1efIRa4CcLzC7iY9CCscto3g7dwz41haOE28iXYg==" saltValue="CVzFsG4X4LXUMo7796PiDQ==" spinCount="100000" sqref="L218:M218 J218 B218 D218:H218" name="Rango2_10_85"/>
    <protectedRange algorithmName="SHA-512" hashValue="6a5oYwZw9WJcgjqXpleUXH8uaqNEuymPPpeOb7lKBc1WoM6IG/DNyDLWmj2lYwxnZO2yhl+B61kwrxD9m9AdhQ==" saltValue="tdNQPzLQd+n9Ww064QJIaQ==" spinCount="100000" sqref="I219" name="Rango2_61_86"/>
    <protectedRange algorithmName="SHA-512" hashValue="XM8+0Jh5zLWw02PI0Lt8dLqjTcW5ulySion19FAnruDN6QRp4UwcVqdfQxnOQAItgpWG7rNsELzjwy0iXOonxw==" saltValue="Sd4WFUedDfLKoMQTDrxJuQ==" spinCount="100000" sqref="K219" name="Rango2_88_4_4_86"/>
    <protectedRange algorithmName="SHA-512" hashValue="EMMPgE8t/az1rHHzaZAQIhz+GQV0k2O/tQGA96sJqEEMzz1efIRa4CcLzC7iY9CCscto3g7dwz41haOE28iXYg==" saltValue="CVzFsG4X4LXUMo7796PiDQ==" spinCount="100000" sqref="L219:M219 J219 B219 D219:H219" name="Rango2_10_86"/>
    <protectedRange algorithmName="SHA-512" hashValue="6a5oYwZw9WJcgjqXpleUXH8uaqNEuymPPpeOb7lKBc1WoM6IG/DNyDLWmj2lYwxnZO2yhl+B61kwrxD9m9AdhQ==" saltValue="tdNQPzLQd+n9Ww064QJIaQ==" spinCount="100000" sqref="I220" name="Rango2_61_87"/>
    <protectedRange algorithmName="SHA-512" hashValue="XM8+0Jh5zLWw02PI0Lt8dLqjTcW5ulySion19FAnruDN6QRp4UwcVqdfQxnOQAItgpWG7rNsELzjwy0iXOonxw==" saltValue="Sd4WFUedDfLKoMQTDrxJuQ==" spinCount="100000" sqref="K220" name="Rango2_88_4_4_87"/>
    <protectedRange algorithmName="SHA-512" hashValue="EMMPgE8t/az1rHHzaZAQIhz+GQV0k2O/tQGA96sJqEEMzz1efIRa4CcLzC7iY9CCscto3g7dwz41haOE28iXYg==" saltValue="CVzFsG4X4LXUMo7796PiDQ==" spinCount="100000" sqref="L220:M220 J220 B220 D220:H220" name="Rango2_10_87"/>
    <protectedRange algorithmName="SHA-512" hashValue="6a5oYwZw9WJcgjqXpleUXH8uaqNEuymPPpeOb7lKBc1WoM6IG/DNyDLWmj2lYwxnZO2yhl+B61kwrxD9m9AdhQ==" saltValue="tdNQPzLQd+n9Ww064QJIaQ==" spinCount="100000" sqref="I221" name="Rango2_61_88"/>
    <protectedRange algorithmName="SHA-512" hashValue="XM8+0Jh5zLWw02PI0Lt8dLqjTcW5ulySion19FAnruDN6QRp4UwcVqdfQxnOQAItgpWG7rNsELzjwy0iXOonxw==" saltValue="Sd4WFUedDfLKoMQTDrxJuQ==" spinCount="100000" sqref="K221" name="Rango2_88_4_4_88"/>
    <protectedRange algorithmName="SHA-512" hashValue="EMMPgE8t/az1rHHzaZAQIhz+GQV0k2O/tQGA96sJqEEMzz1efIRa4CcLzC7iY9CCscto3g7dwz41haOE28iXYg==" saltValue="CVzFsG4X4LXUMo7796PiDQ==" spinCount="100000" sqref="L221:M221 J221 B221 D221:H221" name="Rango2_10_88"/>
    <protectedRange algorithmName="SHA-512" hashValue="6a5oYwZw9WJcgjqXpleUXH8uaqNEuymPPpeOb7lKBc1WoM6IG/DNyDLWmj2lYwxnZO2yhl+B61kwrxD9m9AdhQ==" saltValue="tdNQPzLQd+n9Ww064QJIaQ==" spinCount="100000" sqref="I222" name="Rango2_61_89"/>
    <protectedRange algorithmName="SHA-512" hashValue="XM8+0Jh5zLWw02PI0Lt8dLqjTcW5ulySion19FAnruDN6QRp4UwcVqdfQxnOQAItgpWG7rNsELzjwy0iXOonxw==" saltValue="Sd4WFUedDfLKoMQTDrxJuQ==" spinCount="100000" sqref="K222" name="Rango2_88_4_4_89"/>
    <protectedRange algorithmName="SHA-512" hashValue="EMMPgE8t/az1rHHzaZAQIhz+GQV0k2O/tQGA96sJqEEMzz1efIRa4CcLzC7iY9CCscto3g7dwz41haOE28iXYg==" saltValue="CVzFsG4X4LXUMo7796PiDQ==" spinCount="100000" sqref="L222:M222 J222 B222 D222:H222" name="Rango2_10_89"/>
    <protectedRange algorithmName="SHA-512" hashValue="6a5oYwZw9WJcgjqXpleUXH8uaqNEuymPPpeOb7lKBc1WoM6IG/DNyDLWmj2lYwxnZO2yhl+B61kwrxD9m9AdhQ==" saltValue="tdNQPzLQd+n9Ww064QJIaQ==" spinCount="100000" sqref="I223" name="Rango2_61_90"/>
    <protectedRange algorithmName="SHA-512" hashValue="XM8+0Jh5zLWw02PI0Lt8dLqjTcW5ulySion19FAnruDN6QRp4UwcVqdfQxnOQAItgpWG7rNsELzjwy0iXOonxw==" saltValue="Sd4WFUedDfLKoMQTDrxJuQ==" spinCount="100000" sqref="K223" name="Rango2_88_4_4_90"/>
    <protectedRange algorithmName="SHA-512" hashValue="EMMPgE8t/az1rHHzaZAQIhz+GQV0k2O/tQGA96sJqEEMzz1efIRa4CcLzC7iY9CCscto3g7dwz41haOE28iXYg==" saltValue="CVzFsG4X4LXUMo7796PiDQ==" spinCount="100000" sqref="L223:M223 J223 B223 D223:H223" name="Rango2_10_90"/>
    <protectedRange algorithmName="SHA-512" hashValue="6a5oYwZw9WJcgjqXpleUXH8uaqNEuymPPpeOb7lKBc1WoM6IG/DNyDLWmj2lYwxnZO2yhl+B61kwrxD9m9AdhQ==" saltValue="tdNQPzLQd+n9Ww064QJIaQ==" spinCount="100000" sqref="I224" name="Rango2_61_91"/>
    <protectedRange algorithmName="SHA-512" hashValue="XM8+0Jh5zLWw02PI0Lt8dLqjTcW5ulySion19FAnruDN6QRp4UwcVqdfQxnOQAItgpWG7rNsELzjwy0iXOonxw==" saltValue="Sd4WFUedDfLKoMQTDrxJuQ==" spinCount="100000" sqref="K224" name="Rango2_88_4_4_91"/>
    <protectedRange algorithmName="SHA-512" hashValue="EMMPgE8t/az1rHHzaZAQIhz+GQV0k2O/tQGA96sJqEEMzz1efIRa4CcLzC7iY9CCscto3g7dwz41haOE28iXYg==" saltValue="CVzFsG4X4LXUMo7796PiDQ==" spinCount="100000" sqref="L224:M224 J224 B224 D224:H224" name="Rango2_10_91"/>
    <protectedRange algorithmName="SHA-512" hashValue="6a5oYwZw9WJcgjqXpleUXH8uaqNEuymPPpeOb7lKBc1WoM6IG/DNyDLWmj2lYwxnZO2yhl+B61kwrxD9m9AdhQ==" saltValue="tdNQPzLQd+n9Ww064QJIaQ==" spinCount="100000" sqref="I225" name="Rango2_61_92"/>
    <protectedRange algorithmName="SHA-512" hashValue="XM8+0Jh5zLWw02PI0Lt8dLqjTcW5ulySion19FAnruDN6QRp4UwcVqdfQxnOQAItgpWG7rNsELzjwy0iXOonxw==" saltValue="Sd4WFUedDfLKoMQTDrxJuQ==" spinCount="100000" sqref="K225" name="Rango2_88_4_4_92"/>
    <protectedRange algorithmName="SHA-512" hashValue="EMMPgE8t/az1rHHzaZAQIhz+GQV0k2O/tQGA96sJqEEMzz1efIRa4CcLzC7iY9CCscto3g7dwz41haOE28iXYg==" saltValue="CVzFsG4X4LXUMo7796PiDQ==" spinCount="100000" sqref="L225:M225 J225 B225 D225:H225" name="Rango2_10_92"/>
    <protectedRange algorithmName="SHA-512" hashValue="6a5oYwZw9WJcgjqXpleUXH8uaqNEuymPPpeOb7lKBc1WoM6IG/DNyDLWmj2lYwxnZO2yhl+B61kwrxD9m9AdhQ==" saltValue="tdNQPzLQd+n9Ww064QJIaQ==" spinCount="100000" sqref="I226" name="Rango2_61_93"/>
    <protectedRange algorithmName="SHA-512" hashValue="XM8+0Jh5zLWw02PI0Lt8dLqjTcW5ulySion19FAnruDN6QRp4UwcVqdfQxnOQAItgpWG7rNsELzjwy0iXOonxw==" saltValue="Sd4WFUedDfLKoMQTDrxJuQ==" spinCount="100000" sqref="K226" name="Rango2_88_4_4_93"/>
    <protectedRange algorithmName="SHA-512" hashValue="EMMPgE8t/az1rHHzaZAQIhz+GQV0k2O/tQGA96sJqEEMzz1efIRa4CcLzC7iY9CCscto3g7dwz41haOE28iXYg==" saltValue="CVzFsG4X4LXUMo7796PiDQ==" spinCount="100000" sqref="L226:M226 J226 B226 D226:H226" name="Rango2_10_93"/>
    <protectedRange algorithmName="SHA-512" hashValue="6a5oYwZw9WJcgjqXpleUXH8uaqNEuymPPpeOb7lKBc1WoM6IG/DNyDLWmj2lYwxnZO2yhl+B61kwrxD9m9AdhQ==" saltValue="tdNQPzLQd+n9Ww064QJIaQ==" spinCount="100000" sqref="I227" name="Rango2_61_94"/>
    <protectedRange algorithmName="SHA-512" hashValue="XM8+0Jh5zLWw02PI0Lt8dLqjTcW5ulySion19FAnruDN6QRp4UwcVqdfQxnOQAItgpWG7rNsELzjwy0iXOonxw==" saltValue="Sd4WFUedDfLKoMQTDrxJuQ==" spinCount="100000" sqref="K227" name="Rango2_88_4_4_94"/>
    <protectedRange algorithmName="SHA-512" hashValue="EMMPgE8t/az1rHHzaZAQIhz+GQV0k2O/tQGA96sJqEEMzz1efIRa4CcLzC7iY9CCscto3g7dwz41haOE28iXYg==" saltValue="CVzFsG4X4LXUMo7796PiDQ==" spinCount="100000" sqref="L227:M227 J227 B227 D227:H227" name="Rango2_10_94"/>
    <protectedRange algorithmName="SHA-512" hashValue="6a5oYwZw9WJcgjqXpleUXH8uaqNEuymPPpeOb7lKBc1WoM6IG/DNyDLWmj2lYwxnZO2yhl+B61kwrxD9m9AdhQ==" saltValue="tdNQPzLQd+n9Ww064QJIaQ==" spinCount="100000" sqref="I228" name="Rango2_61_95"/>
    <protectedRange algorithmName="SHA-512" hashValue="XM8+0Jh5zLWw02PI0Lt8dLqjTcW5ulySion19FAnruDN6QRp4UwcVqdfQxnOQAItgpWG7rNsELzjwy0iXOonxw==" saltValue="Sd4WFUedDfLKoMQTDrxJuQ==" spinCount="100000" sqref="K228" name="Rango2_88_4_4_95"/>
    <protectedRange algorithmName="SHA-512" hashValue="EMMPgE8t/az1rHHzaZAQIhz+GQV0k2O/tQGA96sJqEEMzz1efIRa4CcLzC7iY9CCscto3g7dwz41haOE28iXYg==" saltValue="CVzFsG4X4LXUMo7796PiDQ==" spinCount="100000" sqref="L228:M228 J228 B228 D228:H228" name="Rango2_10_95"/>
    <protectedRange algorithmName="SHA-512" hashValue="RQ91b7oAw60DVtcgB2vRpial2kSdzJx5guGCTYUwXYkKrtrUHfiYnLf9R+SNpYXlJDYpyEJLhcWwP0EqNN86dQ==" saltValue="W3RbH3zrcY9sy39xNwXNxg==" spinCount="100000" sqref="BA188:BI188 BV188:BY188" name="Rango2_88_99_88"/>
    <protectedRange algorithmName="SHA-512" hashValue="fMbmUM1DQ7FuAPRNvFL5mPdHUYjQnlLFhkuaxvHguaqR7aWyDxcmJs0jLYQfQKY+oyhsMb4Lew4VL6i7um3/ew==" saltValue="ydaTm0CeH8+/cYqoL/AMaQ==" spinCount="100000" sqref="AU188 AW188:AZ188" name="Rango2_88_91_84"/>
    <protectedRange algorithmName="SHA-512" hashValue="CHipOQaT63FWw628cQcXXJRZlrbNZ7OgmnEbDx38UmmH7z19GRYEzXFiVOzHAy1OAaAbST7g2bHZHDKQp2qm3w==" saltValue="iRVuL+373yLHv0ZHzS9qog==" spinCount="100000" sqref="AG188:AH188 AJ188 AL188" name="Rango2_88_7_5_88"/>
    <protectedRange algorithmName="SHA-512" hashValue="NkG6oHuDGvGBEiLAAq8MEJHEfLQUMyjihfH+DBXhT+eQW0r1yri7tOJEFRM9nbOejjjXiviq9RFo7KB7wF+xJA==" saltValue="bpjB0AAANu2X/PeR3eiFkA==" spinCount="100000" sqref="AM188:AS188" name="Rango2_88_65_85"/>
    <protectedRange algorithmName="SHA-512" hashValue="fPHvtIAf3pQeZUoAI9C2/vdXMHBpqqEq+67P5Ypyu4+9IWqs3yc9TZcMWQ0THLxUwqseQPyVvakuYFtCwJHsxA==" saltValue="QHIogSs2PrwAfdqa9PAOFQ==" spinCount="100000" sqref="AC188" name="Rango2_88_5_5_85"/>
    <protectedRange algorithmName="SHA-512" hashValue="LEEeiU6pKqm7TAP46VGlz0q+evvFwpT/0iLpRuWuQ7MacbP0OGL1/FSmrIEOg2rb6M+Jla2bPbVWiGag27j87w==" saltValue="HEVt+pS5OloNDlqSnzGLLw==" spinCount="100000" sqref="AI188" name="Rango2_8_7_85"/>
    <protectedRange algorithmName="SHA-512" hashValue="AYYX88LSDB6RDNMvSqt0KPGWPjBqTk56tMxTOlv5QD61MGTKAAQnSnudvNDWPN0Bbllh2qRQC+P5uq7goxjdrw==" saltValue="i/iPMewnks1FoXYOjKMEVg==" spinCount="100000" sqref="AB188" name="Rango2_87_6_85"/>
    <protectedRange algorithmName="SHA-512" hashValue="NUll9P9xh7KbSfMYpMxsRZLfDw/y/AzW2LSWlpXVscBDqiAxmzo71xjs+a2lh+jRa7pceOC849slke4+ZKx8LA==" saltValue="8qbkKpQ+CiQuLnqgShNvXA==" spinCount="100000" sqref="T188" name="Rango2_88_6_85"/>
    <protectedRange algorithmName="SHA-512" hashValue="KHhv3JU/LRdRrRTxxkgFceEHPZ5UzadmpZRZR3zmQRnPvkUJZuanRafIJ+qde0IWwLZSvFIQDyUAHq6v6k7XIg==" saltValue="2GKG1kCzVNNcn+vbOPuhJA==" spinCount="100000" sqref="Q188" name="Rango2_2_5_85"/>
    <protectedRange algorithmName="SHA-512" hashValue="RQ91b7oAw60DVtcgB2vRpial2kSdzJx5guGCTYUwXYkKrtrUHfiYnLf9R+SNpYXlJDYpyEJLhcWwP0EqNN86dQ==" saltValue="W3RbH3zrcY9sy39xNwXNxg==" spinCount="100000" sqref="BA189:BI189 BV189:BY189" name="Rango2_88_99_89"/>
    <protectedRange algorithmName="SHA-512" hashValue="fMbmUM1DQ7FuAPRNvFL5mPdHUYjQnlLFhkuaxvHguaqR7aWyDxcmJs0jLYQfQKY+oyhsMb4Lew4VL6i7um3/ew==" saltValue="ydaTm0CeH8+/cYqoL/AMaQ==" spinCount="100000" sqref="AU189 AW189:AZ189" name="Rango2_88_91_85"/>
    <protectedRange algorithmName="SHA-512" hashValue="CHipOQaT63FWw628cQcXXJRZlrbNZ7OgmnEbDx38UmmH7z19GRYEzXFiVOzHAy1OAaAbST7g2bHZHDKQp2qm3w==" saltValue="iRVuL+373yLHv0ZHzS9qog==" spinCount="100000" sqref="AG189:AH189 AJ189 AL189" name="Rango2_88_7_5_89"/>
    <protectedRange algorithmName="SHA-512" hashValue="NkG6oHuDGvGBEiLAAq8MEJHEfLQUMyjihfH+DBXhT+eQW0r1yri7tOJEFRM9nbOejjjXiviq9RFo7KB7wF+xJA==" saltValue="bpjB0AAANu2X/PeR3eiFkA==" spinCount="100000" sqref="AM189:AS189" name="Rango2_88_65_86"/>
    <protectedRange algorithmName="SHA-512" hashValue="fPHvtIAf3pQeZUoAI9C2/vdXMHBpqqEq+67P5Ypyu4+9IWqs3yc9TZcMWQ0THLxUwqseQPyVvakuYFtCwJHsxA==" saltValue="QHIogSs2PrwAfdqa9PAOFQ==" spinCount="100000" sqref="AC189" name="Rango2_88_5_5_86"/>
    <protectedRange algorithmName="SHA-512" hashValue="LEEeiU6pKqm7TAP46VGlz0q+evvFwpT/0iLpRuWuQ7MacbP0OGL1/FSmrIEOg2rb6M+Jla2bPbVWiGag27j87w==" saltValue="HEVt+pS5OloNDlqSnzGLLw==" spinCount="100000" sqref="AI189" name="Rango2_8_7_86"/>
    <protectedRange algorithmName="SHA-512" hashValue="AYYX88LSDB6RDNMvSqt0KPGWPjBqTk56tMxTOlv5QD61MGTKAAQnSnudvNDWPN0Bbllh2qRQC+P5uq7goxjdrw==" saltValue="i/iPMewnks1FoXYOjKMEVg==" spinCount="100000" sqref="AB189" name="Rango2_87_6_86"/>
    <protectedRange algorithmName="SHA-512" hashValue="NUll9P9xh7KbSfMYpMxsRZLfDw/y/AzW2LSWlpXVscBDqiAxmzo71xjs+a2lh+jRa7pceOC849slke4+ZKx8LA==" saltValue="8qbkKpQ+CiQuLnqgShNvXA==" spinCount="100000" sqref="T189" name="Rango2_88_6_86"/>
    <protectedRange algorithmName="SHA-512" hashValue="KHhv3JU/LRdRrRTxxkgFceEHPZ5UzadmpZRZR3zmQRnPvkUJZuanRafIJ+qde0IWwLZSvFIQDyUAHq6v6k7XIg==" saltValue="2GKG1kCzVNNcn+vbOPuhJA==" spinCount="100000" sqref="Q189" name="Rango2_2_5_86"/>
    <protectedRange algorithmName="SHA-512" hashValue="RQ91b7oAw60DVtcgB2vRpial2kSdzJx5guGCTYUwXYkKrtrUHfiYnLf9R+SNpYXlJDYpyEJLhcWwP0EqNN86dQ==" saltValue="W3RbH3zrcY9sy39xNwXNxg==" spinCount="100000" sqref="BA190:BI190 BV190:BY190" name="Rango2_88_99_90"/>
    <protectedRange algorithmName="SHA-512" hashValue="fMbmUM1DQ7FuAPRNvFL5mPdHUYjQnlLFhkuaxvHguaqR7aWyDxcmJs0jLYQfQKY+oyhsMb4Lew4VL6i7um3/ew==" saltValue="ydaTm0CeH8+/cYqoL/AMaQ==" spinCount="100000" sqref="AU190 AW190:AZ190" name="Rango2_88_91_86"/>
    <protectedRange algorithmName="SHA-512" hashValue="CHipOQaT63FWw628cQcXXJRZlrbNZ7OgmnEbDx38UmmH7z19GRYEzXFiVOzHAy1OAaAbST7g2bHZHDKQp2qm3w==" saltValue="iRVuL+373yLHv0ZHzS9qog==" spinCount="100000" sqref="AG190:AH190 AJ190 AL190" name="Rango2_88_7_5_90"/>
    <protectedRange algorithmName="SHA-512" hashValue="NkG6oHuDGvGBEiLAAq8MEJHEfLQUMyjihfH+DBXhT+eQW0r1yri7tOJEFRM9nbOejjjXiviq9RFo7KB7wF+xJA==" saltValue="bpjB0AAANu2X/PeR3eiFkA==" spinCount="100000" sqref="AM190:AS190" name="Rango2_88_65_87"/>
    <protectedRange algorithmName="SHA-512" hashValue="fPHvtIAf3pQeZUoAI9C2/vdXMHBpqqEq+67P5Ypyu4+9IWqs3yc9TZcMWQ0THLxUwqseQPyVvakuYFtCwJHsxA==" saltValue="QHIogSs2PrwAfdqa9PAOFQ==" spinCount="100000" sqref="AC190" name="Rango2_88_5_5_87"/>
    <protectedRange algorithmName="SHA-512" hashValue="LEEeiU6pKqm7TAP46VGlz0q+evvFwpT/0iLpRuWuQ7MacbP0OGL1/FSmrIEOg2rb6M+Jla2bPbVWiGag27j87w==" saltValue="HEVt+pS5OloNDlqSnzGLLw==" spinCount="100000" sqref="AI190" name="Rango2_8_7_87"/>
    <protectedRange algorithmName="SHA-512" hashValue="AYYX88LSDB6RDNMvSqt0KPGWPjBqTk56tMxTOlv5QD61MGTKAAQnSnudvNDWPN0Bbllh2qRQC+P5uq7goxjdrw==" saltValue="i/iPMewnks1FoXYOjKMEVg==" spinCount="100000" sqref="AB190" name="Rango2_87_6_87"/>
    <protectedRange algorithmName="SHA-512" hashValue="NUll9P9xh7KbSfMYpMxsRZLfDw/y/AzW2LSWlpXVscBDqiAxmzo71xjs+a2lh+jRa7pceOC849slke4+ZKx8LA==" saltValue="8qbkKpQ+CiQuLnqgShNvXA==" spinCount="100000" sqref="T190" name="Rango2_88_6_87"/>
    <protectedRange algorithmName="SHA-512" hashValue="KHhv3JU/LRdRrRTxxkgFceEHPZ5UzadmpZRZR3zmQRnPvkUJZuanRafIJ+qde0IWwLZSvFIQDyUAHq6v6k7XIg==" saltValue="2GKG1kCzVNNcn+vbOPuhJA==" spinCount="100000" sqref="Q190" name="Rango2_2_5_87"/>
    <protectedRange algorithmName="SHA-512" hashValue="RQ91b7oAw60DVtcgB2vRpial2kSdzJx5guGCTYUwXYkKrtrUHfiYnLf9R+SNpYXlJDYpyEJLhcWwP0EqNN86dQ==" saltValue="W3RbH3zrcY9sy39xNwXNxg==" spinCount="100000" sqref="BA191:BI191 BV191:BY191" name="Rango2_88_99_91"/>
    <protectedRange algorithmName="SHA-512" hashValue="fMbmUM1DQ7FuAPRNvFL5mPdHUYjQnlLFhkuaxvHguaqR7aWyDxcmJs0jLYQfQKY+oyhsMb4Lew4VL6i7um3/ew==" saltValue="ydaTm0CeH8+/cYqoL/AMaQ==" spinCount="100000" sqref="AU191 AW191:AZ191" name="Rango2_88_91_87"/>
    <protectedRange algorithmName="SHA-512" hashValue="CHipOQaT63FWw628cQcXXJRZlrbNZ7OgmnEbDx38UmmH7z19GRYEzXFiVOzHAy1OAaAbST7g2bHZHDKQp2qm3w==" saltValue="iRVuL+373yLHv0ZHzS9qog==" spinCount="100000" sqref="AG191:AH191 AJ191 AL191" name="Rango2_88_7_5_91"/>
    <protectedRange algorithmName="SHA-512" hashValue="NkG6oHuDGvGBEiLAAq8MEJHEfLQUMyjihfH+DBXhT+eQW0r1yri7tOJEFRM9nbOejjjXiviq9RFo7KB7wF+xJA==" saltValue="bpjB0AAANu2X/PeR3eiFkA==" spinCount="100000" sqref="AM191:AS191" name="Rango2_88_65_88"/>
    <protectedRange algorithmName="SHA-512" hashValue="fPHvtIAf3pQeZUoAI9C2/vdXMHBpqqEq+67P5Ypyu4+9IWqs3yc9TZcMWQ0THLxUwqseQPyVvakuYFtCwJHsxA==" saltValue="QHIogSs2PrwAfdqa9PAOFQ==" spinCount="100000" sqref="AC191" name="Rango2_88_5_5_88"/>
    <protectedRange algorithmName="SHA-512" hashValue="LEEeiU6pKqm7TAP46VGlz0q+evvFwpT/0iLpRuWuQ7MacbP0OGL1/FSmrIEOg2rb6M+Jla2bPbVWiGag27j87w==" saltValue="HEVt+pS5OloNDlqSnzGLLw==" spinCount="100000" sqref="AI191" name="Rango2_8_7_88"/>
    <protectedRange algorithmName="SHA-512" hashValue="AYYX88LSDB6RDNMvSqt0KPGWPjBqTk56tMxTOlv5QD61MGTKAAQnSnudvNDWPN0Bbllh2qRQC+P5uq7goxjdrw==" saltValue="i/iPMewnks1FoXYOjKMEVg==" spinCount="100000" sqref="AB191" name="Rango2_87_6_88"/>
    <protectedRange algorithmName="SHA-512" hashValue="NUll9P9xh7KbSfMYpMxsRZLfDw/y/AzW2LSWlpXVscBDqiAxmzo71xjs+a2lh+jRa7pceOC849slke4+ZKx8LA==" saltValue="8qbkKpQ+CiQuLnqgShNvXA==" spinCount="100000" sqref="T191" name="Rango2_88_6_88"/>
    <protectedRange algorithmName="SHA-512" hashValue="KHhv3JU/LRdRrRTxxkgFceEHPZ5UzadmpZRZR3zmQRnPvkUJZuanRafIJ+qde0IWwLZSvFIQDyUAHq6v6k7XIg==" saltValue="2GKG1kCzVNNcn+vbOPuhJA==" spinCount="100000" sqref="Q191" name="Rango2_2_5_88"/>
    <protectedRange algorithmName="SHA-512" hashValue="RQ91b7oAw60DVtcgB2vRpial2kSdzJx5guGCTYUwXYkKrtrUHfiYnLf9R+SNpYXlJDYpyEJLhcWwP0EqNN86dQ==" saltValue="W3RbH3zrcY9sy39xNwXNxg==" spinCount="100000" sqref="BA192:BI192 BV192:BY192" name="Rango2_88_99_92"/>
    <protectedRange algorithmName="SHA-512" hashValue="fMbmUM1DQ7FuAPRNvFL5mPdHUYjQnlLFhkuaxvHguaqR7aWyDxcmJs0jLYQfQKY+oyhsMb4Lew4VL6i7um3/ew==" saltValue="ydaTm0CeH8+/cYqoL/AMaQ==" spinCount="100000" sqref="AU192 AW192:AZ192" name="Rango2_88_91_88"/>
    <protectedRange algorithmName="SHA-512" hashValue="CHipOQaT63FWw628cQcXXJRZlrbNZ7OgmnEbDx38UmmH7z19GRYEzXFiVOzHAy1OAaAbST7g2bHZHDKQp2qm3w==" saltValue="iRVuL+373yLHv0ZHzS9qog==" spinCount="100000" sqref="AG192:AH192 AJ192 AL192" name="Rango2_88_7_5_92"/>
    <protectedRange algorithmName="SHA-512" hashValue="NkG6oHuDGvGBEiLAAq8MEJHEfLQUMyjihfH+DBXhT+eQW0r1yri7tOJEFRM9nbOejjjXiviq9RFo7KB7wF+xJA==" saltValue="bpjB0AAANu2X/PeR3eiFkA==" spinCount="100000" sqref="AM192:AS192" name="Rango2_88_65_89"/>
    <protectedRange algorithmName="SHA-512" hashValue="fPHvtIAf3pQeZUoAI9C2/vdXMHBpqqEq+67P5Ypyu4+9IWqs3yc9TZcMWQ0THLxUwqseQPyVvakuYFtCwJHsxA==" saltValue="QHIogSs2PrwAfdqa9PAOFQ==" spinCount="100000" sqref="AC192" name="Rango2_88_5_5_89"/>
    <protectedRange algorithmName="SHA-512" hashValue="LEEeiU6pKqm7TAP46VGlz0q+evvFwpT/0iLpRuWuQ7MacbP0OGL1/FSmrIEOg2rb6M+Jla2bPbVWiGag27j87w==" saltValue="HEVt+pS5OloNDlqSnzGLLw==" spinCount="100000" sqref="AI192" name="Rango2_8_7_89"/>
    <protectedRange algorithmName="SHA-512" hashValue="AYYX88LSDB6RDNMvSqt0KPGWPjBqTk56tMxTOlv5QD61MGTKAAQnSnudvNDWPN0Bbllh2qRQC+P5uq7goxjdrw==" saltValue="i/iPMewnks1FoXYOjKMEVg==" spinCount="100000" sqref="AB192" name="Rango2_87_6_89"/>
    <protectedRange algorithmName="SHA-512" hashValue="NUll9P9xh7KbSfMYpMxsRZLfDw/y/AzW2LSWlpXVscBDqiAxmzo71xjs+a2lh+jRa7pceOC849slke4+ZKx8LA==" saltValue="8qbkKpQ+CiQuLnqgShNvXA==" spinCount="100000" sqref="T192" name="Rango2_88_6_89"/>
    <protectedRange algorithmName="SHA-512" hashValue="KHhv3JU/LRdRrRTxxkgFceEHPZ5UzadmpZRZR3zmQRnPvkUJZuanRafIJ+qde0IWwLZSvFIQDyUAHq6v6k7XIg==" saltValue="2GKG1kCzVNNcn+vbOPuhJA==" spinCount="100000" sqref="Q192" name="Rango2_2_5_89"/>
    <protectedRange algorithmName="SHA-512" hashValue="RQ91b7oAw60DVtcgB2vRpial2kSdzJx5guGCTYUwXYkKrtrUHfiYnLf9R+SNpYXlJDYpyEJLhcWwP0EqNN86dQ==" saltValue="W3RbH3zrcY9sy39xNwXNxg==" spinCount="100000" sqref="BA193:BI194 BV193:BY194" name="Rango2_88_99_93"/>
    <protectedRange algorithmName="SHA-512" hashValue="fMbmUM1DQ7FuAPRNvFL5mPdHUYjQnlLFhkuaxvHguaqR7aWyDxcmJs0jLYQfQKY+oyhsMb4Lew4VL6i7um3/ew==" saltValue="ydaTm0CeH8+/cYqoL/AMaQ==" spinCount="100000" sqref="AU193:AU194 AW193:AZ194" name="Rango2_88_91_89"/>
    <protectedRange algorithmName="SHA-512" hashValue="CHipOQaT63FWw628cQcXXJRZlrbNZ7OgmnEbDx38UmmH7z19GRYEzXFiVOzHAy1OAaAbST7g2bHZHDKQp2qm3w==" saltValue="iRVuL+373yLHv0ZHzS9qog==" spinCount="100000" sqref="AG193:AH194 AJ193:AJ194 AL193:AL194" name="Rango2_88_7_5_93"/>
    <protectedRange algorithmName="SHA-512" hashValue="NkG6oHuDGvGBEiLAAq8MEJHEfLQUMyjihfH+DBXhT+eQW0r1yri7tOJEFRM9nbOejjjXiviq9RFo7KB7wF+xJA==" saltValue="bpjB0AAANu2X/PeR3eiFkA==" spinCount="100000" sqref="AM193:AS194" name="Rango2_88_65_90"/>
    <protectedRange algorithmName="SHA-512" hashValue="fPHvtIAf3pQeZUoAI9C2/vdXMHBpqqEq+67P5Ypyu4+9IWqs3yc9TZcMWQ0THLxUwqseQPyVvakuYFtCwJHsxA==" saltValue="QHIogSs2PrwAfdqa9PAOFQ==" spinCount="100000" sqref="AC193:AC194" name="Rango2_88_5_5_90"/>
    <protectedRange algorithmName="SHA-512" hashValue="LEEeiU6pKqm7TAP46VGlz0q+evvFwpT/0iLpRuWuQ7MacbP0OGL1/FSmrIEOg2rb6M+Jla2bPbVWiGag27j87w==" saltValue="HEVt+pS5OloNDlqSnzGLLw==" spinCount="100000" sqref="AI193:AI194" name="Rango2_8_7_90"/>
    <protectedRange algorithmName="SHA-512" hashValue="AYYX88LSDB6RDNMvSqt0KPGWPjBqTk56tMxTOlv5QD61MGTKAAQnSnudvNDWPN0Bbllh2qRQC+P5uq7goxjdrw==" saltValue="i/iPMewnks1FoXYOjKMEVg==" spinCount="100000" sqref="AB193:AB194" name="Rango2_87_6_90"/>
    <protectedRange algorithmName="SHA-512" hashValue="NUll9P9xh7KbSfMYpMxsRZLfDw/y/AzW2LSWlpXVscBDqiAxmzo71xjs+a2lh+jRa7pceOC849slke4+ZKx8LA==" saltValue="8qbkKpQ+CiQuLnqgShNvXA==" spinCount="100000" sqref="T193:T194" name="Rango2_88_6_90"/>
    <protectedRange algorithmName="SHA-512" hashValue="KHhv3JU/LRdRrRTxxkgFceEHPZ5UzadmpZRZR3zmQRnPvkUJZuanRafIJ+qde0IWwLZSvFIQDyUAHq6v6k7XIg==" saltValue="2GKG1kCzVNNcn+vbOPuhJA==" spinCount="100000" sqref="Q193:Q194" name="Rango2_2_5_90"/>
    <protectedRange algorithmName="SHA-512" hashValue="RQ91b7oAw60DVtcgB2vRpial2kSdzJx5guGCTYUwXYkKrtrUHfiYnLf9R+SNpYXlJDYpyEJLhcWwP0EqNN86dQ==" saltValue="W3RbH3zrcY9sy39xNwXNxg==" spinCount="100000" sqref="BA195:BI196 BV195:BY196" name="Rango2_88_99_94"/>
    <protectedRange algorithmName="SHA-512" hashValue="fMbmUM1DQ7FuAPRNvFL5mPdHUYjQnlLFhkuaxvHguaqR7aWyDxcmJs0jLYQfQKY+oyhsMb4Lew4VL6i7um3/ew==" saltValue="ydaTm0CeH8+/cYqoL/AMaQ==" spinCount="100000" sqref="AU195:AU196 AW195:AZ196" name="Rango2_88_91_90"/>
    <protectedRange algorithmName="SHA-512" hashValue="CHipOQaT63FWw628cQcXXJRZlrbNZ7OgmnEbDx38UmmH7z19GRYEzXFiVOzHAy1OAaAbST7g2bHZHDKQp2qm3w==" saltValue="iRVuL+373yLHv0ZHzS9qog==" spinCount="100000" sqref="AG195:AH196 AJ195:AJ196 AL195:AL196" name="Rango2_88_7_5_94"/>
    <protectedRange algorithmName="SHA-512" hashValue="NkG6oHuDGvGBEiLAAq8MEJHEfLQUMyjihfH+DBXhT+eQW0r1yri7tOJEFRM9nbOejjjXiviq9RFo7KB7wF+xJA==" saltValue="bpjB0AAANu2X/PeR3eiFkA==" spinCount="100000" sqref="AM195:AS196" name="Rango2_88_65_91"/>
    <protectedRange algorithmName="SHA-512" hashValue="fPHvtIAf3pQeZUoAI9C2/vdXMHBpqqEq+67P5Ypyu4+9IWqs3yc9TZcMWQ0THLxUwqseQPyVvakuYFtCwJHsxA==" saltValue="QHIogSs2PrwAfdqa9PAOFQ==" spinCount="100000" sqref="AC195:AC196" name="Rango2_88_5_5_91"/>
    <protectedRange algorithmName="SHA-512" hashValue="LEEeiU6pKqm7TAP46VGlz0q+evvFwpT/0iLpRuWuQ7MacbP0OGL1/FSmrIEOg2rb6M+Jla2bPbVWiGag27j87w==" saltValue="HEVt+pS5OloNDlqSnzGLLw==" spinCount="100000" sqref="AI195:AI196" name="Rango2_8_7_91"/>
    <protectedRange algorithmName="SHA-512" hashValue="AYYX88LSDB6RDNMvSqt0KPGWPjBqTk56tMxTOlv5QD61MGTKAAQnSnudvNDWPN0Bbllh2qRQC+P5uq7goxjdrw==" saltValue="i/iPMewnks1FoXYOjKMEVg==" spinCount="100000" sqref="AB195:AB196" name="Rango2_87_6_91"/>
    <protectedRange algorithmName="SHA-512" hashValue="NUll9P9xh7KbSfMYpMxsRZLfDw/y/AzW2LSWlpXVscBDqiAxmzo71xjs+a2lh+jRa7pceOC849slke4+ZKx8LA==" saltValue="8qbkKpQ+CiQuLnqgShNvXA==" spinCount="100000" sqref="T195:T196" name="Rango2_88_6_91"/>
    <protectedRange algorithmName="SHA-512" hashValue="KHhv3JU/LRdRrRTxxkgFceEHPZ5UzadmpZRZR3zmQRnPvkUJZuanRafIJ+qde0IWwLZSvFIQDyUAHq6v6k7XIg==" saltValue="2GKG1kCzVNNcn+vbOPuhJA==" spinCount="100000" sqref="Q195:Q196" name="Rango2_2_5_91"/>
    <protectedRange algorithmName="SHA-512" hashValue="RQ91b7oAw60DVtcgB2vRpial2kSdzJx5guGCTYUwXYkKrtrUHfiYnLf9R+SNpYXlJDYpyEJLhcWwP0EqNN86dQ==" saltValue="W3RbH3zrcY9sy39xNwXNxg==" spinCount="100000" sqref="BA197:BI197 BV197:BY197" name="Rango2_88_99_95"/>
    <protectedRange algorithmName="SHA-512" hashValue="fMbmUM1DQ7FuAPRNvFL5mPdHUYjQnlLFhkuaxvHguaqR7aWyDxcmJs0jLYQfQKY+oyhsMb4Lew4VL6i7um3/ew==" saltValue="ydaTm0CeH8+/cYqoL/AMaQ==" spinCount="100000" sqref="AU197 AW197:AZ197" name="Rango2_88_91_91"/>
    <protectedRange algorithmName="SHA-512" hashValue="CHipOQaT63FWw628cQcXXJRZlrbNZ7OgmnEbDx38UmmH7z19GRYEzXFiVOzHAy1OAaAbST7g2bHZHDKQp2qm3w==" saltValue="iRVuL+373yLHv0ZHzS9qog==" spinCount="100000" sqref="AG197:AH197 AJ197 AL197" name="Rango2_88_7_5_95"/>
    <protectedRange algorithmName="SHA-512" hashValue="NkG6oHuDGvGBEiLAAq8MEJHEfLQUMyjihfH+DBXhT+eQW0r1yri7tOJEFRM9nbOejjjXiviq9RFo7KB7wF+xJA==" saltValue="bpjB0AAANu2X/PeR3eiFkA==" spinCount="100000" sqref="AM197:AS197" name="Rango2_88_65_92"/>
    <protectedRange algorithmName="SHA-512" hashValue="fPHvtIAf3pQeZUoAI9C2/vdXMHBpqqEq+67P5Ypyu4+9IWqs3yc9TZcMWQ0THLxUwqseQPyVvakuYFtCwJHsxA==" saltValue="QHIogSs2PrwAfdqa9PAOFQ==" spinCount="100000" sqref="AC197" name="Rango2_88_5_5_92"/>
    <protectedRange algorithmName="SHA-512" hashValue="LEEeiU6pKqm7TAP46VGlz0q+evvFwpT/0iLpRuWuQ7MacbP0OGL1/FSmrIEOg2rb6M+Jla2bPbVWiGag27j87w==" saltValue="HEVt+pS5OloNDlqSnzGLLw==" spinCount="100000" sqref="AI197" name="Rango2_8_7_92"/>
    <protectedRange algorithmName="SHA-512" hashValue="AYYX88LSDB6RDNMvSqt0KPGWPjBqTk56tMxTOlv5QD61MGTKAAQnSnudvNDWPN0Bbllh2qRQC+P5uq7goxjdrw==" saltValue="i/iPMewnks1FoXYOjKMEVg==" spinCount="100000" sqref="AB197" name="Rango2_87_6_92"/>
    <protectedRange algorithmName="SHA-512" hashValue="NUll9P9xh7KbSfMYpMxsRZLfDw/y/AzW2LSWlpXVscBDqiAxmzo71xjs+a2lh+jRa7pceOC849slke4+ZKx8LA==" saltValue="8qbkKpQ+CiQuLnqgShNvXA==" spinCount="100000" sqref="T197" name="Rango2_88_6_92"/>
    <protectedRange algorithmName="SHA-512" hashValue="KHhv3JU/LRdRrRTxxkgFceEHPZ5UzadmpZRZR3zmQRnPvkUJZuanRafIJ+qde0IWwLZSvFIQDyUAHq6v6k7XIg==" saltValue="2GKG1kCzVNNcn+vbOPuhJA==" spinCount="100000" sqref="Q197" name="Rango2_2_5_92"/>
    <protectedRange algorithmName="SHA-512" hashValue="RQ91b7oAw60DVtcgB2vRpial2kSdzJx5guGCTYUwXYkKrtrUHfiYnLf9R+SNpYXlJDYpyEJLhcWwP0EqNN86dQ==" saltValue="W3RbH3zrcY9sy39xNwXNxg==" spinCount="100000" sqref="BA198:BI198 BV198:BY198" name="Rango2_88_99_96"/>
    <protectedRange algorithmName="SHA-512" hashValue="fMbmUM1DQ7FuAPRNvFL5mPdHUYjQnlLFhkuaxvHguaqR7aWyDxcmJs0jLYQfQKY+oyhsMb4Lew4VL6i7um3/ew==" saltValue="ydaTm0CeH8+/cYqoL/AMaQ==" spinCount="100000" sqref="AU198 AW198:AZ198" name="Rango2_88_91_92"/>
    <protectedRange algorithmName="SHA-512" hashValue="CHipOQaT63FWw628cQcXXJRZlrbNZ7OgmnEbDx38UmmH7z19GRYEzXFiVOzHAy1OAaAbST7g2bHZHDKQp2qm3w==" saltValue="iRVuL+373yLHv0ZHzS9qog==" spinCount="100000" sqref="AG198:AH198 AJ198 AL198" name="Rango2_88_7_5_96"/>
    <protectedRange algorithmName="SHA-512" hashValue="NkG6oHuDGvGBEiLAAq8MEJHEfLQUMyjihfH+DBXhT+eQW0r1yri7tOJEFRM9nbOejjjXiviq9RFo7KB7wF+xJA==" saltValue="bpjB0AAANu2X/PeR3eiFkA==" spinCount="100000" sqref="AM198:AS198" name="Rango2_88_65_93"/>
    <protectedRange algorithmName="SHA-512" hashValue="fPHvtIAf3pQeZUoAI9C2/vdXMHBpqqEq+67P5Ypyu4+9IWqs3yc9TZcMWQ0THLxUwqseQPyVvakuYFtCwJHsxA==" saltValue="QHIogSs2PrwAfdqa9PAOFQ==" spinCount="100000" sqref="AC198" name="Rango2_88_5_5_93"/>
    <protectedRange algorithmName="SHA-512" hashValue="LEEeiU6pKqm7TAP46VGlz0q+evvFwpT/0iLpRuWuQ7MacbP0OGL1/FSmrIEOg2rb6M+Jla2bPbVWiGag27j87w==" saltValue="HEVt+pS5OloNDlqSnzGLLw==" spinCount="100000" sqref="AI198" name="Rango2_8_7_93"/>
    <protectedRange algorithmName="SHA-512" hashValue="AYYX88LSDB6RDNMvSqt0KPGWPjBqTk56tMxTOlv5QD61MGTKAAQnSnudvNDWPN0Bbllh2qRQC+P5uq7goxjdrw==" saltValue="i/iPMewnks1FoXYOjKMEVg==" spinCount="100000" sqref="AB198" name="Rango2_87_6_93"/>
    <protectedRange algorithmName="SHA-512" hashValue="NUll9P9xh7KbSfMYpMxsRZLfDw/y/AzW2LSWlpXVscBDqiAxmzo71xjs+a2lh+jRa7pceOC849slke4+ZKx8LA==" saltValue="8qbkKpQ+CiQuLnqgShNvXA==" spinCount="100000" sqref="T198" name="Rango2_88_6_93"/>
    <protectedRange algorithmName="SHA-512" hashValue="KHhv3JU/LRdRrRTxxkgFceEHPZ5UzadmpZRZR3zmQRnPvkUJZuanRafIJ+qde0IWwLZSvFIQDyUAHq6v6k7XIg==" saltValue="2GKG1kCzVNNcn+vbOPuhJA==" spinCount="100000" sqref="Q198" name="Rango2_2_5_93"/>
    <protectedRange algorithmName="SHA-512" hashValue="RQ91b7oAw60DVtcgB2vRpial2kSdzJx5guGCTYUwXYkKrtrUHfiYnLf9R+SNpYXlJDYpyEJLhcWwP0EqNN86dQ==" saltValue="W3RbH3zrcY9sy39xNwXNxg==" spinCount="100000" sqref="BA199:BI199 BV199:BY199" name="Rango2_88_99_97"/>
    <protectedRange algorithmName="SHA-512" hashValue="fMbmUM1DQ7FuAPRNvFL5mPdHUYjQnlLFhkuaxvHguaqR7aWyDxcmJs0jLYQfQKY+oyhsMb4Lew4VL6i7um3/ew==" saltValue="ydaTm0CeH8+/cYqoL/AMaQ==" spinCount="100000" sqref="AU199 AW199:AZ199" name="Rango2_88_91_93"/>
    <protectedRange algorithmName="SHA-512" hashValue="CHipOQaT63FWw628cQcXXJRZlrbNZ7OgmnEbDx38UmmH7z19GRYEzXFiVOzHAy1OAaAbST7g2bHZHDKQp2qm3w==" saltValue="iRVuL+373yLHv0ZHzS9qog==" spinCount="100000" sqref="AG199:AH199 AJ199 AL199" name="Rango2_88_7_5_97"/>
    <protectedRange algorithmName="SHA-512" hashValue="NkG6oHuDGvGBEiLAAq8MEJHEfLQUMyjihfH+DBXhT+eQW0r1yri7tOJEFRM9nbOejjjXiviq9RFo7KB7wF+xJA==" saltValue="bpjB0AAANu2X/PeR3eiFkA==" spinCount="100000" sqref="AM199:AS199" name="Rango2_88_65_94"/>
    <protectedRange algorithmName="SHA-512" hashValue="fPHvtIAf3pQeZUoAI9C2/vdXMHBpqqEq+67P5Ypyu4+9IWqs3yc9TZcMWQ0THLxUwqseQPyVvakuYFtCwJHsxA==" saltValue="QHIogSs2PrwAfdqa9PAOFQ==" spinCount="100000" sqref="AC199" name="Rango2_88_5_5_94"/>
    <protectedRange algorithmName="SHA-512" hashValue="LEEeiU6pKqm7TAP46VGlz0q+evvFwpT/0iLpRuWuQ7MacbP0OGL1/FSmrIEOg2rb6M+Jla2bPbVWiGag27j87w==" saltValue="HEVt+pS5OloNDlqSnzGLLw==" spinCount="100000" sqref="AI199" name="Rango2_8_7_94"/>
    <protectedRange algorithmName="SHA-512" hashValue="AYYX88LSDB6RDNMvSqt0KPGWPjBqTk56tMxTOlv5QD61MGTKAAQnSnudvNDWPN0Bbllh2qRQC+P5uq7goxjdrw==" saltValue="i/iPMewnks1FoXYOjKMEVg==" spinCount="100000" sqref="AB199" name="Rango2_87_6_94"/>
    <protectedRange algorithmName="SHA-512" hashValue="NUll9P9xh7KbSfMYpMxsRZLfDw/y/AzW2LSWlpXVscBDqiAxmzo71xjs+a2lh+jRa7pceOC849slke4+ZKx8LA==" saltValue="8qbkKpQ+CiQuLnqgShNvXA==" spinCount="100000" sqref="T199" name="Rango2_88_6_94"/>
    <protectedRange algorithmName="SHA-512" hashValue="KHhv3JU/LRdRrRTxxkgFceEHPZ5UzadmpZRZR3zmQRnPvkUJZuanRafIJ+qde0IWwLZSvFIQDyUAHq6v6k7XIg==" saltValue="2GKG1kCzVNNcn+vbOPuhJA==" spinCount="100000" sqref="Q199" name="Rango2_2_5_94"/>
    <protectedRange algorithmName="SHA-512" hashValue="RQ91b7oAw60DVtcgB2vRpial2kSdzJx5guGCTYUwXYkKrtrUHfiYnLf9R+SNpYXlJDYpyEJLhcWwP0EqNN86dQ==" saltValue="W3RbH3zrcY9sy39xNwXNxg==" spinCount="100000" sqref="BA200:BI200 BV200:BY200" name="Rango2_88_99_98"/>
    <protectedRange algorithmName="SHA-512" hashValue="fMbmUM1DQ7FuAPRNvFL5mPdHUYjQnlLFhkuaxvHguaqR7aWyDxcmJs0jLYQfQKY+oyhsMb4Lew4VL6i7um3/ew==" saltValue="ydaTm0CeH8+/cYqoL/AMaQ==" spinCount="100000" sqref="AU200 AW200:AZ200" name="Rango2_88_91_94"/>
    <protectedRange algorithmName="SHA-512" hashValue="CHipOQaT63FWw628cQcXXJRZlrbNZ7OgmnEbDx38UmmH7z19GRYEzXFiVOzHAy1OAaAbST7g2bHZHDKQp2qm3w==" saltValue="iRVuL+373yLHv0ZHzS9qog==" spinCount="100000" sqref="AG200:AH200 AJ200 AL200" name="Rango2_88_7_5_98"/>
    <protectedRange algorithmName="SHA-512" hashValue="NkG6oHuDGvGBEiLAAq8MEJHEfLQUMyjihfH+DBXhT+eQW0r1yri7tOJEFRM9nbOejjjXiviq9RFo7KB7wF+xJA==" saltValue="bpjB0AAANu2X/PeR3eiFkA==" spinCount="100000" sqref="AM200:AS200" name="Rango2_88_65_95"/>
    <protectedRange algorithmName="SHA-512" hashValue="fPHvtIAf3pQeZUoAI9C2/vdXMHBpqqEq+67P5Ypyu4+9IWqs3yc9TZcMWQ0THLxUwqseQPyVvakuYFtCwJHsxA==" saltValue="QHIogSs2PrwAfdqa9PAOFQ==" spinCount="100000" sqref="AC200" name="Rango2_88_5_5_95"/>
    <protectedRange algorithmName="SHA-512" hashValue="LEEeiU6pKqm7TAP46VGlz0q+evvFwpT/0iLpRuWuQ7MacbP0OGL1/FSmrIEOg2rb6M+Jla2bPbVWiGag27j87w==" saltValue="HEVt+pS5OloNDlqSnzGLLw==" spinCount="100000" sqref="AI200" name="Rango2_8_7_95"/>
    <protectedRange algorithmName="SHA-512" hashValue="AYYX88LSDB6RDNMvSqt0KPGWPjBqTk56tMxTOlv5QD61MGTKAAQnSnudvNDWPN0Bbllh2qRQC+P5uq7goxjdrw==" saltValue="i/iPMewnks1FoXYOjKMEVg==" spinCount="100000" sqref="AB200" name="Rango2_87_6_95"/>
    <protectedRange algorithmName="SHA-512" hashValue="NUll9P9xh7KbSfMYpMxsRZLfDw/y/AzW2LSWlpXVscBDqiAxmzo71xjs+a2lh+jRa7pceOC849slke4+ZKx8LA==" saltValue="8qbkKpQ+CiQuLnqgShNvXA==" spinCount="100000" sqref="T200" name="Rango2_88_6_95"/>
    <protectedRange algorithmName="SHA-512" hashValue="KHhv3JU/LRdRrRTxxkgFceEHPZ5UzadmpZRZR3zmQRnPvkUJZuanRafIJ+qde0IWwLZSvFIQDyUAHq6v6k7XIg==" saltValue="2GKG1kCzVNNcn+vbOPuhJA==" spinCount="100000" sqref="Q200" name="Rango2_2_5_95"/>
    <protectedRange algorithmName="SHA-512" hashValue="RQ91b7oAw60DVtcgB2vRpial2kSdzJx5guGCTYUwXYkKrtrUHfiYnLf9R+SNpYXlJDYpyEJLhcWwP0EqNN86dQ==" saltValue="W3RbH3zrcY9sy39xNwXNxg==" spinCount="100000" sqref="BA201:BI201 BV201:BY201" name="Rango2_88_99_99"/>
    <protectedRange algorithmName="SHA-512" hashValue="fMbmUM1DQ7FuAPRNvFL5mPdHUYjQnlLFhkuaxvHguaqR7aWyDxcmJs0jLYQfQKY+oyhsMb4Lew4VL6i7um3/ew==" saltValue="ydaTm0CeH8+/cYqoL/AMaQ==" spinCount="100000" sqref="AU201 AW201:AZ201" name="Rango2_88_91_95"/>
    <protectedRange algorithmName="SHA-512" hashValue="CHipOQaT63FWw628cQcXXJRZlrbNZ7OgmnEbDx38UmmH7z19GRYEzXFiVOzHAy1OAaAbST7g2bHZHDKQp2qm3w==" saltValue="iRVuL+373yLHv0ZHzS9qog==" spinCount="100000" sqref="AG201:AH201 AJ201 AL201" name="Rango2_88_7_5_99"/>
    <protectedRange algorithmName="SHA-512" hashValue="NkG6oHuDGvGBEiLAAq8MEJHEfLQUMyjihfH+DBXhT+eQW0r1yri7tOJEFRM9nbOejjjXiviq9RFo7KB7wF+xJA==" saltValue="bpjB0AAANu2X/PeR3eiFkA==" spinCount="100000" sqref="AM201:AS201" name="Rango2_88_65_96"/>
    <protectedRange algorithmName="SHA-512" hashValue="fPHvtIAf3pQeZUoAI9C2/vdXMHBpqqEq+67P5Ypyu4+9IWqs3yc9TZcMWQ0THLxUwqseQPyVvakuYFtCwJHsxA==" saltValue="QHIogSs2PrwAfdqa9PAOFQ==" spinCount="100000" sqref="AC201" name="Rango2_88_5_5_96"/>
    <protectedRange algorithmName="SHA-512" hashValue="LEEeiU6pKqm7TAP46VGlz0q+evvFwpT/0iLpRuWuQ7MacbP0OGL1/FSmrIEOg2rb6M+Jla2bPbVWiGag27j87w==" saltValue="HEVt+pS5OloNDlqSnzGLLw==" spinCount="100000" sqref="AI201" name="Rango2_8_7_96"/>
    <protectedRange algorithmName="SHA-512" hashValue="AYYX88LSDB6RDNMvSqt0KPGWPjBqTk56tMxTOlv5QD61MGTKAAQnSnudvNDWPN0Bbllh2qRQC+P5uq7goxjdrw==" saltValue="i/iPMewnks1FoXYOjKMEVg==" spinCount="100000" sqref="AB201" name="Rango2_87_6_96"/>
    <protectedRange algorithmName="SHA-512" hashValue="NUll9P9xh7KbSfMYpMxsRZLfDw/y/AzW2LSWlpXVscBDqiAxmzo71xjs+a2lh+jRa7pceOC849slke4+ZKx8LA==" saltValue="8qbkKpQ+CiQuLnqgShNvXA==" spinCount="100000" sqref="T201" name="Rango2_88_6_96"/>
    <protectedRange algorithmName="SHA-512" hashValue="KHhv3JU/LRdRrRTxxkgFceEHPZ5UzadmpZRZR3zmQRnPvkUJZuanRafIJ+qde0IWwLZSvFIQDyUAHq6v6k7XIg==" saltValue="2GKG1kCzVNNcn+vbOPuhJA==" spinCount="100000" sqref="Q201" name="Rango2_2_5_96"/>
    <protectedRange algorithmName="SHA-512" hashValue="fMbmUM1DQ7FuAPRNvFL5mPdHUYjQnlLFhkuaxvHguaqR7aWyDxcmJs0jLYQfQKY+oyhsMb4Lew4VL6i7um3/ew==" saltValue="ydaTm0CeH8+/cYqoL/AMaQ==" spinCount="100000" sqref="AU202 AW202:AZ202" name="Rango2_88_91_96"/>
    <protectedRange algorithmName="SHA-512" hashValue="NkG6oHuDGvGBEiLAAq8MEJHEfLQUMyjihfH+DBXhT+eQW0r1yri7tOJEFRM9nbOejjjXiviq9RFo7KB7wF+xJA==" saltValue="bpjB0AAANu2X/PeR3eiFkA==" spinCount="100000" sqref="AM202:AS202" name="Rango2_88_65_97"/>
    <protectedRange algorithmName="SHA-512" hashValue="fPHvtIAf3pQeZUoAI9C2/vdXMHBpqqEq+67P5Ypyu4+9IWqs3yc9TZcMWQ0THLxUwqseQPyVvakuYFtCwJHsxA==" saltValue="QHIogSs2PrwAfdqa9PAOFQ==" spinCount="100000" sqref="AC202" name="Rango2_88_5_5_97"/>
    <protectedRange algorithmName="SHA-512" hashValue="LEEeiU6pKqm7TAP46VGlz0q+evvFwpT/0iLpRuWuQ7MacbP0OGL1/FSmrIEOg2rb6M+Jla2bPbVWiGag27j87w==" saltValue="HEVt+pS5OloNDlqSnzGLLw==" spinCount="100000" sqref="AI202" name="Rango2_8_7_97"/>
    <protectedRange algorithmName="SHA-512" hashValue="AYYX88LSDB6RDNMvSqt0KPGWPjBqTk56tMxTOlv5QD61MGTKAAQnSnudvNDWPN0Bbllh2qRQC+P5uq7goxjdrw==" saltValue="i/iPMewnks1FoXYOjKMEVg==" spinCount="100000" sqref="AB202" name="Rango2_87_6_97"/>
    <protectedRange algorithmName="SHA-512" hashValue="NUll9P9xh7KbSfMYpMxsRZLfDw/y/AzW2LSWlpXVscBDqiAxmzo71xjs+a2lh+jRa7pceOC849slke4+ZKx8LA==" saltValue="8qbkKpQ+CiQuLnqgShNvXA==" spinCount="100000" sqref="T202" name="Rango2_88_6_97"/>
    <protectedRange algorithmName="SHA-512" hashValue="KHhv3JU/LRdRrRTxxkgFceEHPZ5UzadmpZRZR3zmQRnPvkUJZuanRafIJ+qde0IWwLZSvFIQDyUAHq6v6k7XIg==" saltValue="2GKG1kCzVNNcn+vbOPuhJA==" spinCount="100000" sqref="Q202" name="Rango2_2_5_97"/>
    <protectedRange algorithmName="SHA-512" hashValue="fMbmUM1DQ7FuAPRNvFL5mPdHUYjQnlLFhkuaxvHguaqR7aWyDxcmJs0jLYQfQKY+oyhsMb4Lew4VL6i7um3/ew==" saltValue="ydaTm0CeH8+/cYqoL/AMaQ==" spinCount="100000" sqref="AU203 AW203:AZ203" name="Rango2_88_91_97"/>
    <protectedRange algorithmName="SHA-512" hashValue="NkG6oHuDGvGBEiLAAq8MEJHEfLQUMyjihfH+DBXhT+eQW0r1yri7tOJEFRM9nbOejjjXiviq9RFo7KB7wF+xJA==" saltValue="bpjB0AAANu2X/PeR3eiFkA==" spinCount="100000" sqref="AM203:AS203" name="Rango2_88_65_98"/>
    <protectedRange algorithmName="SHA-512" hashValue="fPHvtIAf3pQeZUoAI9C2/vdXMHBpqqEq+67P5Ypyu4+9IWqs3yc9TZcMWQ0THLxUwqseQPyVvakuYFtCwJHsxA==" saltValue="QHIogSs2PrwAfdqa9PAOFQ==" spinCount="100000" sqref="AC203" name="Rango2_88_5_5_98"/>
    <protectedRange algorithmName="SHA-512" hashValue="LEEeiU6pKqm7TAP46VGlz0q+evvFwpT/0iLpRuWuQ7MacbP0OGL1/FSmrIEOg2rb6M+Jla2bPbVWiGag27j87w==" saltValue="HEVt+pS5OloNDlqSnzGLLw==" spinCount="100000" sqref="AI203" name="Rango2_8_7_98"/>
    <protectedRange algorithmName="SHA-512" hashValue="AYYX88LSDB6RDNMvSqt0KPGWPjBqTk56tMxTOlv5QD61MGTKAAQnSnudvNDWPN0Bbllh2qRQC+P5uq7goxjdrw==" saltValue="i/iPMewnks1FoXYOjKMEVg==" spinCount="100000" sqref="AB203" name="Rango2_87_6_98"/>
    <protectedRange algorithmName="SHA-512" hashValue="NUll9P9xh7KbSfMYpMxsRZLfDw/y/AzW2LSWlpXVscBDqiAxmzo71xjs+a2lh+jRa7pceOC849slke4+ZKx8LA==" saltValue="8qbkKpQ+CiQuLnqgShNvXA==" spinCount="100000" sqref="T203" name="Rango2_88_6_98"/>
    <protectedRange algorithmName="SHA-512" hashValue="KHhv3JU/LRdRrRTxxkgFceEHPZ5UzadmpZRZR3zmQRnPvkUJZuanRafIJ+qde0IWwLZSvFIQDyUAHq6v6k7XIg==" saltValue="2GKG1kCzVNNcn+vbOPuhJA==" spinCount="100000" sqref="Q203" name="Rango2_2_5_98"/>
    <protectedRange algorithmName="SHA-512" hashValue="fMbmUM1DQ7FuAPRNvFL5mPdHUYjQnlLFhkuaxvHguaqR7aWyDxcmJs0jLYQfQKY+oyhsMb4Lew4VL6i7um3/ew==" saltValue="ydaTm0CeH8+/cYqoL/AMaQ==" spinCount="100000" sqref="AU204:AU205 AW204:AZ205" name="Rango2_88_91_98"/>
    <protectedRange algorithmName="SHA-512" hashValue="NkG6oHuDGvGBEiLAAq8MEJHEfLQUMyjihfH+DBXhT+eQW0r1yri7tOJEFRM9nbOejjjXiviq9RFo7KB7wF+xJA==" saltValue="bpjB0AAANu2X/PeR3eiFkA==" spinCount="100000" sqref="AM204:AS205" name="Rango2_88_65_99"/>
    <protectedRange algorithmName="SHA-512" hashValue="fPHvtIAf3pQeZUoAI9C2/vdXMHBpqqEq+67P5Ypyu4+9IWqs3yc9TZcMWQ0THLxUwqseQPyVvakuYFtCwJHsxA==" saltValue="QHIogSs2PrwAfdqa9PAOFQ==" spinCount="100000" sqref="AC204:AC205" name="Rango2_88_5_5_99"/>
    <protectedRange algorithmName="SHA-512" hashValue="LEEeiU6pKqm7TAP46VGlz0q+evvFwpT/0iLpRuWuQ7MacbP0OGL1/FSmrIEOg2rb6M+Jla2bPbVWiGag27j87w==" saltValue="HEVt+pS5OloNDlqSnzGLLw==" spinCount="100000" sqref="AI204:AI205" name="Rango2_8_7_99"/>
    <protectedRange algorithmName="SHA-512" hashValue="AYYX88LSDB6RDNMvSqt0KPGWPjBqTk56tMxTOlv5QD61MGTKAAQnSnudvNDWPN0Bbllh2qRQC+P5uq7goxjdrw==" saltValue="i/iPMewnks1FoXYOjKMEVg==" spinCount="100000" sqref="AB204:AB205" name="Rango2_87_6_99"/>
    <protectedRange algorithmName="SHA-512" hashValue="NUll9P9xh7KbSfMYpMxsRZLfDw/y/AzW2LSWlpXVscBDqiAxmzo71xjs+a2lh+jRa7pceOC849slke4+ZKx8LA==" saltValue="8qbkKpQ+CiQuLnqgShNvXA==" spinCount="100000" sqref="T204:T205" name="Rango2_88_6_99"/>
    <protectedRange algorithmName="SHA-512" hashValue="KHhv3JU/LRdRrRTxxkgFceEHPZ5UzadmpZRZR3zmQRnPvkUJZuanRafIJ+qde0IWwLZSvFIQDyUAHq6v6k7XIg==" saltValue="2GKG1kCzVNNcn+vbOPuhJA==" spinCount="100000" sqref="Q204:Q205" name="Rango2_2_5_99"/>
    <protectedRange algorithmName="SHA-512" hashValue="fMbmUM1DQ7FuAPRNvFL5mPdHUYjQnlLFhkuaxvHguaqR7aWyDxcmJs0jLYQfQKY+oyhsMb4Lew4VL6i7um3/ew==" saltValue="ydaTm0CeH8+/cYqoL/AMaQ==" spinCount="100000" sqref="AU206 AW206:AZ206" name="Rango2_88_91_99"/>
    <protectedRange algorithmName="SHA-512" hashValue="Rgskw+AQdeJ5qbJdarzTa3SCkJfDGziy0Uan5N0F3IWn/H3Z/e+VcB56R7Nes7MPxNHewNP1sSSucVjz3iTLeA==" saltValue="qKZH3DnwaZHBzy3cBZo1qQ==" spinCount="100000" sqref="GF188" name="Rango2_31_28_84"/>
    <protectedRange algorithmName="SHA-512" hashValue="YXHanhqXL0e4jPrzkCF8r/22WmlCviFUW909WKuG1JOcU0mp0/Huh0aP3EaGYxV2ep0WGu48HsShAy4Ka2uOiw==" saltValue="h/7U5iwJm7DLR4tRVfwZYw==" spinCount="100000" sqref="GI188 GC188" name="Rango2_33_92"/>
    <protectedRange algorithmName="SHA-512" hashValue="pL4tgTKqwEsWSIEGFTBd+4pvEhE7d5Q99Eijs+L/Y1rhA0saQGGRJw5Pv2HLOP0quglztFwB6WVnQ1YGxd4AiQ==" saltValue="IF5mhk2RcoEjrcYppes1VA==" spinCount="100000" sqref="FT188" name="Rango2_30_86"/>
    <protectedRange algorithmName="SHA-512" hashValue="Rgskw+AQdeJ5qbJdarzTa3SCkJfDGziy0Uan5N0F3IWn/H3Z/e+VcB56R7Nes7MPxNHewNP1sSSucVjz3iTLeA==" saltValue="qKZH3DnwaZHBzy3cBZo1qQ==" spinCount="100000" sqref="GF189" name="Rango2_31_28_85"/>
    <protectedRange algorithmName="SHA-512" hashValue="YXHanhqXL0e4jPrzkCF8r/22WmlCviFUW909WKuG1JOcU0mp0/Huh0aP3EaGYxV2ep0WGu48HsShAy4Ka2uOiw==" saltValue="h/7U5iwJm7DLR4tRVfwZYw==" spinCount="100000" sqref="GI189 GC189" name="Rango2_33_93"/>
    <protectedRange algorithmName="SHA-512" hashValue="pL4tgTKqwEsWSIEGFTBd+4pvEhE7d5Q99Eijs+L/Y1rhA0saQGGRJw5Pv2HLOP0quglztFwB6WVnQ1YGxd4AiQ==" saltValue="IF5mhk2RcoEjrcYppes1VA==" spinCount="100000" sqref="FT189" name="Rango2_30_87"/>
    <protectedRange algorithmName="SHA-512" hashValue="Rgskw+AQdeJ5qbJdarzTa3SCkJfDGziy0Uan5N0F3IWn/H3Z/e+VcB56R7Nes7MPxNHewNP1sSSucVjz3iTLeA==" saltValue="qKZH3DnwaZHBzy3cBZo1qQ==" spinCount="100000" sqref="GF190" name="Rango2_31_28_86"/>
    <protectedRange algorithmName="SHA-512" hashValue="YXHanhqXL0e4jPrzkCF8r/22WmlCviFUW909WKuG1JOcU0mp0/Huh0aP3EaGYxV2ep0WGu48HsShAy4Ka2uOiw==" saltValue="h/7U5iwJm7DLR4tRVfwZYw==" spinCount="100000" sqref="GI190 GC190" name="Rango2_33_94"/>
    <protectedRange algorithmName="SHA-512" hashValue="pL4tgTKqwEsWSIEGFTBd+4pvEhE7d5Q99Eijs+L/Y1rhA0saQGGRJw5Pv2HLOP0quglztFwB6WVnQ1YGxd4AiQ==" saltValue="IF5mhk2RcoEjrcYppes1VA==" spinCount="100000" sqref="FT190" name="Rango2_30_88"/>
    <protectedRange algorithmName="SHA-512" hashValue="Rgskw+AQdeJ5qbJdarzTa3SCkJfDGziy0Uan5N0F3IWn/H3Z/e+VcB56R7Nes7MPxNHewNP1sSSucVjz3iTLeA==" saltValue="qKZH3DnwaZHBzy3cBZo1qQ==" spinCount="100000" sqref="GF191" name="Rango2_31_28_87"/>
    <protectedRange algorithmName="SHA-512" hashValue="YXHanhqXL0e4jPrzkCF8r/22WmlCviFUW909WKuG1JOcU0mp0/Huh0aP3EaGYxV2ep0WGu48HsShAy4Ka2uOiw==" saltValue="h/7U5iwJm7DLR4tRVfwZYw==" spinCount="100000" sqref="GI191 GC191" name="Rango2_33_95"/>
    <protectedRange algorithmName="SHA-512" hashValue="pL4tgTKqwEsWSIEGFTBd+4pvEhE7d5Q99Eijs+L/Y1rhA0saQGGRJw5Pv2HLOP0quglztFwB6WVnQ1YGxd4AiQ==" saltValue="IF5mhk2RcoEjrcYppes1VA==" spinCount="100000" sqref="FT191" name="Rango2_30_89"/>
    <protectedRange algorithmName="SHA-512" hashValue="Rgskw+AQdeJ5qbJdarzTa3SCkJfDGziy0Uan5N0F3IWn/H3Z/e+VcB56R7Nes7MPxNHewNP1sSSucVjz3iTLeA==" saltValue="qKZH3DnwaZHBzy3cBZo1qQ==" spinCount="100000" sqref="GF192" name="Rango2_31_28_88"/>
    <protectedRange algorithmName="SHA-512" hashValue="YXHanhqXL0e4jPrzkCF8r/22WmlCviFUW909WKuG1JOcU0mp0/Huh0aP3EaGYxV2ep0WGu48HsShAy4Ka2uOiw==" saltValue="h/7U5iwJm7DLR4tRVfwZYw==" spinCount="100000" sqref="GI192 GC192" name="Rango2_33_96"/>
    <protectedRange algorithmName="SHA-512" hashValue="pL4tgTKqwEsWSIEGFTBd+4pvEhE7d5Q99Eijs+L/Y1rhA0saQGGRJw5Pv2HLOP0quglztFwB6WVnQ1YGxd4AiQ==" saltValue="IF5mhk2RcoEjrcYppes1VA==" spinCount="100000" sqref="FT192" name="Rango2_30_90"/>
    <protectedRange algorithmName="SHA-512" hashValue="Rgskw+AQdeJ5qbJdarzTa3SCkJfDGziy0Uan5N0F3IWn/H3Z/e+VcB56R7Nes7MPxNHewNP1sSSucVjz3iTLeA==" saltValue="qKZH3DnwaZHBzy3cBZo1qQ==" spinCount="100000" sqref="GF193:GF194" name="Rango2_31_28_89"/>
    <protectedRange algorithmName="SHA-512" hashValue="YXHanhqXL0e4jPrzkCF8r/22WmlCviFUW909WKuG1JOcU0mp0/Huh0aP3EaGYxV2ep0WGu48HsShAy4Ka2uOiw==" saltValue="h/7U5iwJm7DLR4tRVfwZYw==" spinCount="100000" sqref="GI193:GI194 GC193:GC194" name="Rango2_33_97"/>
    <protectedRange algorithmName="SHA-512" hashValue="pL4tgTKqwEsWSIEGFTBd+4pvEhE7d5Q99Eijs+L/Y1rhA0saQGGRJw5Pv2HLOP0quglztFwB6WVnQ1YGxd4AiQ==" saltValue="IF5mhk2RcoEjrcYppes1VA==" spinCount="100000" sqref="FT193:FT194" name="Rango2_30_91"/>
    <protectedRange algorithmName="SHA-512" hashValue="Rgskw+AQdeJ5qbJdarzTa3SCkJfDGziy0Uan5N0F3IWn/H3Z/e+VcB56R7Nes7MPxNHewNP1sSSucVjz3iTLeA==" saltValue="qKZH3DnwaZHBzy3cBZo1qQ==" spinCount="100000" sqref="GF195:GF196" name="Rango2_31_28_90"/>
    <protectedRange algorithmName="SHA-512" hashValue="YXHanhqXL0e4jPrzkCF8r/22WmlCviFUW909WKuG1JOcU0mp0/Huh0aP3EaGYxV2ep0WGu48HsShAy4Ka2uOiw==" saltValue="h/7U5iwJm7DLR4tRVfwZYw==" spinCount="100000" sqref="GI195:GI196 GC195:GC196" name="Rango2_33_98"/>
    <protectedRange algorithmName="SHA-512" hashValue="pL4tgTKqwEsWSIEGFTBd+4pvEhE7d5Q99Eijs+L/Y1rhA0saQGGRJw5Pv2HLOP0quglztFwB6WVnQ1YGxd4AiQ==" saltValue="IF5mhk2RcoEjrcYppes1VA==" spinCount="100000" sqref="FT195:FT196" name="Rango2_30_92"/>
    <protectedRange algorithmName="SHA-512" hashValue="Rgskw+AQdeJ5qbJdarzTa3SCkJfDGziy0Uan5N0F3IWn/H3Z/e+VcB56R7Nes7MPxNHewNP1sSSucVjz3iTLeA==" saltValue="qKZH3DnwaZHBzy3cBZo1qQ==" spinCount="100000" sqref="GF197" name="Rango2_31_28_91"/>
    <protectedRange algorithmName="SHA-512" hashValue="YXHanhqXL0e4jPrzkCF8r/22WmlCviFUW909WKuG1JOcU0mp0/Huh0aP3EaGYxV2ep0WGu48HsShAy4Ka2uOiw==" saltValue="h/7U5iwJm7DLR4tRVfwZYw==" spinCount="100000" sqref="GI197 GC197" name="Rango2_33_99"/>
    <protectedRange algorithmName="SHA-512" hashValue="pL4tgTKqwEsWSIEGFTBd+4pvEhE7d5Q99Eijs+L/Y1rhA0saQGGRJw5Pv2HLOP0quglztFwB6WVnQ1YGxd4AiQ==" saltValue="IF5mhk2RcoEjrcYppes1VA==" spinCount="100000" sqref="FT197" name="Rango2_30_93"/>
    <protectedRange algorithmName="SHA-512" hashValue="Rgskw+AQdeJ5qbJdarzTa3SCkJfDGziy0Uan5N0F3IWn/H3Z/e+VcB56R7Nes7MPxNHewNP1sSSucVjz3iTLeA==" saltValue="qKZH3DnwaZHBzy3cBZo1qQ==" spinCount="100000" sqref="GF198" name="Rango2_31_28_92"/>
    <protectedRange algorithmName="SHA-512" hashValue="pL4tgTKqwEsWSIEGFTBd+4pvEhE7d5Q99Eijs+L/Y1rhA0saQGGRJw5Pv2HLOP0quglztFwB6WVnQ1YGxd4AiQ==" saltValue="IF5mhk2RcoEjrcYppes1VA==" spinCount="100000" sqref="FT198" name="Rango2_30_94"/>
    <protectedRange algorithmName="SHA-512" hashValue="Rgskw+AQdeJ5qbJdarzTa3SCkJfDGziy0Uan5N0F3IWn/H3Z/e+VcB56R7Nes7MPxNHewNP1sSSucVjz3iTLeA==" saltValue="qKZH3DnwaZHBzy3cBZo1qQ==" spinCount="100000" sqref="GF199" name="Rango2_31_28_93"/>
    <protectedRange algorithmName="SHA-512" hashValue="pL4tgTKqwEsWSIEGFTBd+4pvEhE7d5Q99Eijs+L/Y1rhA0saQGGRJw5Pv2HLOP0quglztFwB6WVnQ1YGxd4AiQ==" saltValue="IF5mhk2RcoEjrcYppes1VA==" spinCount="100000" sqref="FT199" name="Rango2_30_95"/>
    <protectedRange algorithmName="SHA-512" hashValue="Rgskw+AQdeJ5qbJdarzTa3SCkJfDGziy0Uan5N0F3IWn/H3Z/e+VcB56R7Nes7MPxNHewNP1sSSucVjz3iTLeA==" saltValue="qKZH3DnwaZHBzy3cBZo1qQ==" spinCount="100000" sqref="GF200" name="Rango2_31_28_94"/>
    <protectedRange algorithmName="SHA-512" hashValue="pL4tgTKqwEsWSIEGFTBd+4pvEhE7d5Q99Eijs+L/Y1rhA0saQGGRJw5Pv2HLOP0quglztFwB6WVnQ1YGxd4AiQ==" saltValue="IF5mhk2RcoEjrcYppes1VA==" spinCount="100000" sqref="FT200" name="Rango2_30_96"/>
    <protectedRange algorithmName="SHA-512" hashValue="Rgskw+AQdeJ5qbJdarzTa3SCkJfDGziy0Uan5N0F3IWn/H3Z/e+VcB56R7Nes7MPxNHewNP1sSSucVjz3iTLeA==" saltValue="qKZH3DnwaZHBzy3cBZo1qQ==" spinCount="100000" sqref="GF201" name="Rango2_31_28_95"/>
    <protectedRange algorithmName="SHA-512" hashValue="pL4tgTKqwEsWSIEGFTBd+4pvEhE7d5Q99Eijs+L/Y1rhA0saQGGRJw5Pv2HLOP0quglztFwB6WVnQ1YGxd4AiQ==" saltValue="IF5mhk2RcoEjrcYppes1VA==" spinCount="100000" sqref="FT201" name="Rango2_30_97"/>
    <protectedRange algorithmName="SHA-512" hashValue="Rgskw+AQdeJ5qbJdarzTa3SCkJfDGziy0Uan5N0F3IWn/H3Z/e+VcB56R7Nes7MPxNHewNP1sSSucVjz3iTLeA==" saltValue="qKZH3DnwaZHBzy3cBZo1qQ==" spinCount="100000" sqref="GF202" name="Rango2_31_28_96"/>
    <protectedRange algorithmName="SHA-512" hashValue="pL4tgTKqwEsWSIEGFTBd+4pvEhE7d5Q99Eijs+L/Y1rhA0saQGGRJw5Pv2HLOP0quglztFwB6WVnQ1YGxd4AiQ==" saltValue="IF5mhk2RcoEjrcYppes1VA==" spinCount="100000" sqref="FT202" name="Rango2_30_98"/>
    <protectedRange algorithmName="SHA-512" hashValue="Rgskw+AQdeJ5qbJdarzTa3SCkJfDGziy0Uan5N0F3IWn/H3Z/e+VcB56R7Nes7MPxNHewNP1sSSucVjz3iTLeA==" saltValue="qKZH3DnwaZHBzy3cBZo1qQ==" spinCount="100000" sqref="GF203" name="Rango2_31_28_97"/>
    <protectedRange algorithmName="SHA-512" hashValue="pL4tgTKqwEsWSIEGFTBd+4pvEhE7d5Q99Eijs+L/Y1rhA0saQGGRJw5Pv2HLOP0quglztFwB6WVnQ1YGxd4AiQ==" saltValue="IF5mhk2RcoEjrcYppes1VA==" spinCount="100000" sqref="FT203" name="Rango2_30_99"/>
    <protectedRange algorithmName="SHA-512" hashValue="Rgskw+AQdeJ5qbJdarzTa3SCkJfDGziy0Uan5N0F3IWn/H3Z/e+VcB56R7Nes7MPxNHewNP1sSSucVjz3iTLeA==" saltValue="qKZH3DnwaZHBzy3cBZo1qQ==" spinCount="100000" sqref="GF204:GF205" name="Rango2_31_28_98"/>
    <protectedRange algorithmName="SHA-512" hashValue="Rgskw+AQdeJ5qbJdarzTa3SCkJfDGziy0Uan5N0F3IWn/H3Z/e+VcB56R7Nes7MPxNHewNP1sSSucVjz3iTLeA==" saltValue="qKZH3DnwaZHBzy3cBZo1qQ==" spinCount="100000" sqref="GF206" name="Rango2_31_28_99"/>
    <protectedRange algorithmName="SHA-512" hashValue="Gqwr8n5jYbCESAqCFk8dpOzViQICBV+k0xoqBoQaZ5lHaRlvT9TZDB4yXtm+qC6OhD064ZDBOFWkwo+LHXu1sg==" saltValue="gEL9PCN2ekF2IxW9yqAGYA==" spinCount="100000" sqref="IS188" name="Rango2_40_2_85"/>
    <protectedRange algorithmName="SHA-512" hashValue="D8TacORwT7iz0mF9GEucchnMHfB5er2FFjQsxyeWWyeJkM6Bt3gYQ3LbcHPxZXFpVAYtFOuTrzYOCJrlZDx16g==" saltValue="QtCzIBktdS4NZkOEGcLTRQ==" spinCount="100000" sqref="IW188" name="Rango2_41_85"/>
    <protectedRange algorithmName="SHA-512" hashValue="Gqwr8n5jYbCESAqCFk8dpOzViQICBV+k0xoqBoQaZ5lHaRlvT9TZDB4yXtm+qC6OhD064ZDBOFWkwo+LHXu1sg==" saltValue="gEL9PCN2ekF2IxW9yqAGYA==" spinCount="100000" sqref="IS189" name="Rango2_40_2_86"/>
    <protectedRange algorithmName="SHA-512" hashValue="D8TacORwT7iz0mF9GEucchnMHfB5er2FFjQsxyeWWyeJkM6Bt3gYQ3LbcHPxZXFpVAYtFOuTrzYOCJrlZDx16g==" saltValue="QtCzIBktdS4NZkOEGcLTRQ==" spinCount="100000" sqref="IW189" name="Rango2_41_86"/>
    <protectedRange algorithmName="SHA-512" hashValue="Gqwr8n5jYbCESAqCFk8dpOzViQICBV+k0xoqBoQaZ5lHaRlvT9TZDB4yXtm+qC6OhD064ZDBOFWkwo+LHXu1sg==" saltValue="gEL9PCN2ekF2IxW9yqAGYA==" spinCount="100000" sqref="IS190" name="Rango2_40_2_87"/>
    <protectedRange algorithmName="SHA-512" hashValue="D8TacORwT7iz0mF9GEucchnMHfB5er2FFjQsxyeWWyeJkM6Bt3gYQ3LbcHPxZXFpVAYtFOuTrzYOCJrlZDx16g==" saltValue="QtCzIBktdS4NZkOEGcLTRQ==" spinCount="100000" sqref="IW190" name="Rango2_41_87"/>
    <protectedRange algorithmName="SHA-512" hashValue="Gqwr8n5jYbCESAqCFk8dpOzViQICBV+k0xoqBoQaZ5lHaRlvT9TZDB4yXtm+qC6OhD064ZDBOFWkwo+LHXu1sg==" saltValue="gEL9PCN2ekF2IxW9yqAGYA==" spinCount="100000" sqref="IS191" name="Rango2_40_2_88"/>
    <protectedRange algorithmName="SHA-512" hashValue="D8TacORwT7iz0mF9GEucchnMHfB5er2FFjQsxyeWWyeJkM6Bt3gYQ3LbcHPxZXFpVAYtFOuTrzYOCJrlZDx16g==" saltValue="QtCzIBktdS4NZkOEGcLTRQ==" spinCount="100000" sqref="IW191" name="Rango2_41_88"/>
    <protectedRange algorithmName="SHA-512" hashValue="Gqwr8n5jYbCESAqCFk8dpOzViQICBV+k0xoqBoQaZ5lHaRlvT9TZDB4yXtm+qC6OhD064ZDBOFWkwo+LHXu1sg==" saltValue="gEL9PCN2ekF2IxW9yqAGYA==" spinCount="100000" sqref="IS192" name="Rango2_40_2_89"/>
    <protectedRange algorithmName="SHA-512" hashValue="D8TacORwT7iz0mF9GEucchnMHfB5er2FFjQsxyeWWyeJkM6Bt3gYQ3LbcHPxZXFpVAYtFOuTrzYOCJrlZDx16g==" saltValue="QtCzIBktdS4NZkOEGcLTRQ==" spinCount="100000" sqref="IW192" name="Rango2_41_89"/>
    <protectedRange algorithmName="SHA-512" hashValue="Gqwr8n5jYbCESAqCFk8dpOzViQICBV+k0xoqBoQaZ5lHaRlvT9TZDB4yXtm+qC6OhD064ZDBOFWkwo+LHXu1sg==" saltValue="gEL9PCN2ekF2IxW9yqAGYA==" spinCount="100000" sqref="IS193:IS194" name="Rango2_40_2_90"/>
    <protectedRange algorithmName="SHA-512" hashValue="D8TacORwT7iz0mF9GEucchnMHfB5er2FFjQsxyeWWyeJkM6Bt3gYQ3LbcHPxZXFpVAYtFOuTrzYOCJrlZDx16g==" saltValue="QtCzIBktdS4NZkOEGcLTRQ==" spinCount="100000" sqref="IW193:IW194" name="Rango2_41_90"/>
    <protectedRange algorithmName="SHA-512" hashValue="Gqwr8n5jYbCESAqCFk8dpOzViQICBV+k0xoqBoQaZ5lHaRlvT9TZDB4yXtm+qC6OhD064ZDBOFWkwo+LHXu1sg==" saltValue="gEL9PCN2ekF2IxW9yqAGYA==" spinCount="100000" sqref="IS195:IS196" name="Rango2_40_2_91"/>
    <protectedRange algorithmName="SHA-512" hashValue="D8TacORwT7iz0mF9GEucchnMHfB5er2FFjQsxyeWWyeJkM6Bt3gYQ3LbcHPxZXFpVAYtFOuTrzYOCJrlZDx16g==" saltValue="QtCzIBktdS4NZkOEGcLTRQ==" spinCount="100000" sqref="IW195:IW196" name="Rango2_41_91"/>
    <protectedRange algorithmName="SHA-512" hashValue="Gqwr8n5jYbCESAqCFk8dpOzViQICBV+k0xoqBoQaZ5lHaRlvT9TZDB4yXtm+qC6OhD064ZDBOFWkwo+LHXu1sg==" saltValue="gEL9PCN2ekF2IxW9yqAGYA==" spinCount="100000" sqref="IS197" name="Rango2_40_2_92"/>
    <protectedRange algorithmName="SHA-512" hashValue="D8TacORwT7iz0mF9GEucchnMHfB5er2FFjQsxyeWWyeJkM6Bt3gYQ3LbcHPxZXFpVAYtFOuTrzYOCJrlZDx16g==" saltValue="QtCzIBktdS4NZkOEGcLTRQ==" spinCount="100000" sqref="IW197" name="Rango2_41_92"/>
    <protectedRange algorithmName="SHA-512" hashValue="Gqwr8n5jYbCESAqCFk8dpOzViQICBV+k0xoqBoQaZ5lHaRlvT9TZDB4yXtm+qC6OhD064ZDBOFWkwo+LHXu1sg==" saltValue="gEL9PCN2ekF2IxW9yqAGYA==" spinCount="100000" sqref="IS198" name="Rango2_40_2_93"/>
    <protectedRange algorithmName="SHA-512" hashValue="D8TacORwT7iz0mF9GEucchnMHfB5er2FFjQsxyeWWyeJkM6Bt3gYQ3LbcHPxZXFpVAYtFOuTrzYOCJrlZDx16g==" saltValue="QtCzIBktdS4NZkOEGcLTRQ==" spinCount="100000" sqref="IW198" name="Rango2_41_93"/>
    <protectedRange algorithmName="SHA-512" hashValue="Gqwr8n5jYbCESAqCFk8dpOzViQICBV+k0xoqBoQaZ5lHaRlvT9TZDB4yXtm+qC6OhD064ZDBOFWkwo+LHXu1sg==" saltValue="gEL9PCN2ekF2IxW9yqAGYA==" spinCount="100000" sqref="IS199" name="Rango2_40_2_94"/>
    <protectedRange algorithmName="SHA-512" hashValue="D8TacORwT7iz0mF9GEucchnMHfB5er2FFjQsxyeWWyeJkM6Bt3gYQ3LbcHPxZXFpVAYtFOuTrzYOCJrlZDx16g==" saltValue="QtCzIBktdS4NZkOEGcLTRQ==" spinCount="100000" sqref="IW199" name="Rango2_41_94"/>
    <protectedRange algorithmName="SHA-512" hashValue="Gqwr8n5jYbCESAqCFk8dpOzViQICBV+k0xoqBoQaZ5lHaRlvT9TZDB4yXtm+qC6OhD064ZDBOFWkwo+LHXu1sg==" saltValue="gEL9PCN2ekF2IxW9yqAGYA==" spinCount="100000" sqref="IS200" name="Rango2_40_2_95"/>
    <protectedRange algorithmName="SHA-512" hashValue="D8TacORwT7iz0mF9GEucchnMHfB5er2FFjQsxyeWWyeJkM6Bt3gYQ3LbcHPxZXFpVAYtFOuTrzYOCJrlZDx16g==" saltValue="QtCzIBktdS4NZkOEGcLTRQ==" spinCount="100000" sqref="IW200" name="Rango2_41_95"/>
    <protectedRange algorithmName="SHA-512" hashValue="Gqwr8n5jYbCESAqCFk8dpOzViQICBV+k0xoqBoQaZ5lHaRlvT9TZDB4yXtm+qC6OhD064ZDBOFWkwo+LHXu1sg==" saltValue="gEL9PCN2ekF2IxW9yqAGYA==" spinCount="100000" sqref="IS201" name="Rango2_40_2_96"/>
    <protectedRange algorithmName="SHA-512" hashValue="D8TacORwT7iz0mF9GEucchnMHfB5er2FFjQsxyeWWyeJkM6Bt3gYQ3LbcHPxZXFpVAYtFOuTrzYOCJrlZDx16g==" saltValue="QtCzIBktdS4NZkOEGcLTRQ==" spinCount="100000" sqref="IW201" name="Rango2_41_96"/>
    <protectedRange algorithmName="SHA-512" hashValue="Gqwr8n5jYbCESAqCFk8dpOzViQICBV+k0xoqBoQaZ5lHaRlvT9TZDB4yXtm+qC6OhD064ZDBOFWkwo+LHXu1sg==" saltValue="gEL9PCN2ekF2IxW9yqAGYA==" spinCount="100000" sqref="IS202" name="Rango2_40_2_97"/>
    <protectedRange algorithmName="SHA-512" hashValue="D8TacORwT7iz0mF9GEucchnMHfB5er2FFjQsxyeWWyeJkM6Bt3gYQ3LbcHPxZXFpVAYtFOuTrzYOCJrlZDx16g==" saltValue="QtCzIBktdS4NZkOEGcLTRQ==" spinCount="100000" sqref="IW202" name="Rango2_41_97"/>
    <protectedRange algorithmName="SHA-512" hashValue="Gqwr8n5jYbCESAqCFk8dpOzViQICBV+k0xoqBoQaZ5lHaRlvT9TZDB4yXtm+qC6OhD064ZDBOFWkwo+LHXu1sg==" saltValue="gEL9PCN2ekF2IxW9yqAGYA==" spinCount="100000" sqref="IS203" name="Rango2_40_2_98"/>
    <protectedRange algorithmName="SHA-512" hashValue="D8TacORwT7iz0mF9GEucchnMHfB5er2FFjQsxyeWWyeJkM6Bt3gYQ3LbcHPxZXFpVAYtFOuTrzYOCJrlZDx16g==" saltValue="QtCzIBktdS4NZkOEGcLTRQ==" spinCount="100000" sqref="IW203" name="Rango2_41_98"/>
    <protectedRange algorithmName="SHA-512" hashValue="Gqwr8n5jYbCESAqCFk8dpOzViQICBV+k0xoqBoQaZ5lHaRlvT9TZDB4yXtm+qC6OhD064ZDBOFWkwo+LHXu1sg==" saltValue="gEL9PCN2ekF2IxW9yqAGYA==" spinCount="100000" sqref="IS204:IS205" name="Rango2_40_2_99"/>
    <protectedRange algorithmName="SHA-512" hashValue="D8TacORwT7iz0mF9GEucchnMHfB5er2FFjQsxyeWWyeJkM6Bt3gYQ3LbcHPxZXFpVAYtFOuTrzYOCJrlZDx16g==" saltValue="QtCzIBktdS4NZkOEGcLTRQ==" spinCount="100000" sqref="IW204:IW205" name="Rango2_41_99"/>
    <protectedRange algorithmName="SHA-512" hashValue="6a5oYwZw9WJcgjqXpleUXH8uaqNEuymPPpeOb7lKBc1WoM6IG/DNyDLWmj2lYwxnZO2yhl+B61kwrxD9m9AdhQ==" saltValue="tdNQPzLQd+n9Ww064QJIaQ==" spinCount="100000" sqref="I229" name="Rango2_61_96"/>
    <protectedRange algorithmName="SHA-512" hashValue="XM8+0Jh5zLWw02PI0Lt8dLqjTcW5ulySion19FAnruDN6QRp4UwcVqdfQxnOQAItgpWG7rNsELzjwy0iXOonxw==" saltValue="Sd4WFUedDfLKoMQTDrxJuQ==" spinCount="100000" sqref="K229" name="Rango2_88_4_4_96"/>
    <protectedRange algorithmName="SHA-512" hashValue="EMMPgE8t/az1rHHzaZAQIhz+GQV0k2O/tQGA96sJqEEMzz1efIRa4CcLzC7iY9CCscto3g7dwz41haOE28iXYg==" saltValue="CVzFsG4X4LXUMo7796PiDQ==" spinCount="100000" sqref="L229:M229 J229 B229:H229 C230:C263" name="Rango2_10_96"/>
    <protectedRange algorithmName="SHA-512" hashValue="6a5oYwZw9WJcgjqXpleUXH8uaqNEuymPPpeOb7lKBc1WoM6IG/DNyDLWmj2lYwxnZO2yhl+B61kwrxD9m9AdhQ==" saltValue="tdNQPzLQd+n9Ww064QJIaQ==" spinCount="100000" sqref="I230" name="Rango2_61_97"/>
    <protectedRange algorithmName="SHA-512" hashValue="XM8+0Jh5zLWw02PI0Lt8dLqjTcW5ulySion19FAnruDN6QRp4UwcVqdfQxnOQAItgpWG7rNsELzjwy0iXOonxw==" saltValue="Sd4WFUedDfLKoMQTDrxJuQ==" spinCount="100000" sqref="K230" name="Rango2_88_4_4_97"/>
    <protectedRange algorithmName="SHA-512" hashValue="EMMPgE8t/az1rHHzaZAQIhz+GQV0k2O/tQGA96sJqEEMzz1efIRa4CcLzC7iY9CCscto3g7dwz41haOE28iXYg==" saltValue="CVzFsG4X4LXUMo7796PiDQ==" spinCount="100000" sqref="L230:M230 J230 B230 D230:H230" name="Rango2_10_97"/>
    <protectedRange algorithmName="SHA-512" hashValue="6a5oYwZw9WJcgjqXpleUXH8uaqNEuymPPpeOb7lKBc1WoM6IG/DNyDLWmj2lYwxnZO2yhl+B61kwrxD9m9AdhQ==" saltValue="tdNQPzLQd+n9Ww064QJIaQ==" spinCount="100000" sqref="I231" name="Rango2_61_98"/>
    <protectedRange algorithmName="SHA-512" hashValue="XM8+0Jh5zLWw02PI0Lt8dLqjTcW5ulySion19FAnruDN6QRp4UwcVqdfQxnOQAItgpWG7rNsELzjwy0iXOonxw==" saltValue="Sd4WFUedDfLKoMQTDrxJuQ==" spinCount="100000" sqref="K231" name="Rango2_88_4_4_98"/>
    <protectedRange algorithmName="SHA-512" hashValue="EMMPgE8t/az1rHHzaZAQIhz+GQV0k2O/tQGA96sJqEEMzz1efIRa4CcLzC7iY9CCscto3g7dwz41haOE28iXYg==" saltValue="CVzFsG4X4LXUMo7796PiDQ==" spinCount="100000" sqref="L231:M231 J231 B231 D231:H231" name="Rango2_10_98"/>
    <protectedRange algorithmName="SHA-512" hashValue="6a5oYwZw9WJcgjqXpleUXH8uaqNEuymPPpeOb7lKBc1WoM6IG/DNyDLWmj2lYwxnZO2yhl+B61kwrxD9m9AdhQ==" saltValue="tdNQPzLQd+n9Ww064QJIaQ==" spinCount="100000" sqref="I232:I233" name="Rango2_61_99"/>
    <protectedRange algorithmName="SHA-512" hashValue="XM8+0Jh5zLWw02PI0Lt8dLqjTcW5ulySion19FAnruDN6QRp4UwcVqdfQxnOQAItgpWG7rNsELzjwy0iXOonxw==" saltValue="Sd4WFUedDfLKoMQTDrxJuQ==" spinCount="100000" sqref="K232:K233" name="Rango2_88_4_4_99"/>
    <protectedRange algorithmName="SHA-512" hashValue="EMMPgE8t/az1rHHzaZAQIhz+GQV0k2O/tQGA96sJqEEMzz1efIRa4CcLzC7iY9CCscto3g7dwz41haOE28iXYg==" saltValue="CVzFsG4X4LXUMo7796PiDQ==" spinCount="100000" sqref="L232:M233 J232:J233 B232:B233 D232:H233" name="Rango2_10_99"/>
    <protectedRange sqref="W229" name="RangoVereda"/>
    <protectedRange sqref="W230" name="RangoVereda_1"/>
    <protectedRange sqref="W231" name="RangoVereda_2"/>
    <protectedRange sqref="W232:W233" name="RangoVereda_3"/>
    <protectedRange sqref="W234" name="RangoVereda_4"/>
    <protectedRange sqref="W235" name="RangoVereda_5"/>
    <protectedRange sqref="W236" name="RangoVereda_6"/>
    <protectedRange sqref="W237" name="RangoVereda_7"/>
    <protectedRange sqref="W238" name="RangoVereda_8"/>
    <protectedRange sqref="W239" name="RangoVereda_9"/>
    <protectedRange sqref="W240" name="RangoVereda_10"/>
    <protectedRange sqref="W241" name="RangoVereda_11"/>
    <protectedRange sqref="W242" name="RangoVereda_12"/>
    <protectedRange sqref="W243:W244" name="RangoVereda_13"/>
    <protectedRange sqref="W245" name="RangoVereda_14"/>
    <protectedRange sqref="W246" name="RangoVereda_15"/>
    <protectedRange sqref="W247" name="RangoVereda_16"/>
    <protectedRange sqref="W248" name="RangoVereda_17"/>
    <protectedRange sqref="W249" name="RangoVereda_18"/>
    <protectedRange sqref="W250" name="RangoVereda_19"/>
    <protectedRange sqref="W251" name="RangoVereda_20"/>
    <protectedRange sqref="W252" name="RangoVereda_21"/>
    <protectedRange sqref="W253" name="RangoVereda_22"/>
    <protectedRange sqref="W254" name="RangoVereda_23"/>
    <protectedRange sqref="W255" name="RangoVereda_24"/>
    <protectedRange sqref="W256" name="RangoVereda_25"/>
    <protectedRange sqref="W257:W258" name="RangoVereda_26"/>
    <protectedRange sqref="W259" name="RangoVereda_27"/>
    <protectedRange sqref="W260:W261" name="RangoVereda_28"/>
    <protectedRange sqref="W262" name="RangoVereda_29"/>
    <protectedRange sqref="W263" name="RangoVereda_30"/>
    <protectedRange sqref="FH477" name="Rango2_18_3"/>
    <protectedRange sqref="I552:I553" name="Rango2_61_3_1"/>
    <protectedRange sqref="K552:K553" name="Rango2_88_4_4_3_1"/>
    <protectedRange sqref="B552:B553 J552:J553 L552:M553 D552:H553" name="Rango2_10_4_2"/>
    <protectedRange sqref="I554" name="Rango2_61_3_2"/>
    <protectedRange sqref="K554" name="Rango2_88_4_4_3_2"/>
    <protectedRange sqref="B554 J554 L554:M554 D554:H554" name="Rango2_10_4_3"/>
    <protectedRange sqref="I555" name="Rango2_61_3_3"/>
    <protectedRange sqref="K555" name="Rango2_88_4_4_3_3"/>
    <protectedRange sqref="B555 J555 L555:M555 D555:H555" name="Rango2_10_4_4"/>
    <protectedRange algorithmName="SHA-512" hashValue="6a5oYwZw9WJcgjqXpleUXH8uaqNEuymPPpeOb7lKBc1WoM6IG/DNyDLWmj2lYwxnZO2yhl+B61kwrxD9m9AdhQ==" saltValue="tdNQPzLQd+n9Ww064QJIaQ==" spinCount="100000" sqref="I556" name="Rango2_61_5_2"/>
    <protectedRange algorithmName="SHA-512" hashValue="XM8+0Jh5zLWw02PI0Lt8dLqjTcW5ulySion19FAnruDN6QRp4UwcVqdfQxnOQAItgpWG7rNsELzjwy0iXOonxw==" saltValue="Sd4WFUedDfLKoMQTDrxJuQ==" spinCount="100000" sqref="K556" name="Rango2_88_4_4_5_2"/>
    <protectedRange algorithmName="SHA-512" hashValue="EMMPgE8t/az1rHHzaZAQIhz+GQV0k2O/tQGA96sJqEEMzz1efIRa4CcLzC7iY9CCscto3g7dwz41haOE28iXYg==" saltValue="CVzFsG4X4LXUMo7796PiDQ==" spinCount="100000" sqref="J556 L556:M556 B556 D556:H556" name="Rango2_10_6_1"/>
    <protectedRange algorithmName="SHA-512" hashValue="6a5oYwZw9WJcgjqXpleUXH8uaqNEuymPPpeOb7lKBc1WoM6IG/DNyDLWmj2lYwxnZO2yhl+B61kwrxD9m9AdhQ==" saltValue="tdNQPzLQd+n9Ww064QJIaQ==" spinCount="100000" sqref="I557" name="Rango2_61_7_2"/>
    <protectedRange algorithmName="SHA-512" hashValue="XM8+0Jh5zLWw02PI0Lt8dLqjTcW5ulySion19FAnruDN6QRp4UwcVqdfQxnOQAItgpWG7rNsELzjwy0iXOonxw==" saltValue="Sd4WFUedDfLKoMQTDrxJuQ==" spinCount="100000" sqref="K557" name="Rango2_88_4_4_7_2"/>
    <protectedRange algorithmName="SHA-512" hashValue="EMMPgE8t/az1rHHzaZAQIhz+GQV0k2O/tQGA96sJqEEMzz1efIRa4CcLzC7iY9CCscto3g7dwz41haOE28iXYg==" saltValue="CVzFsG4X4LXUMo7796PiDQ==" spinCount="100000" sqref="J557 L557:M557 B557 D557:H557" name="Rango2_10_8_1"/>
    <protectedRange algorithmName="SHA-512" hashValue="6a5oYwZw9WJcgjqXpleUXH8uaqNEuymPPpeOb7lKBc1WoM6IG/DNyDLWmj2lYwxnZO2yhl+B61kwrxD9m9AdhQ==" saltValue="tdNQPzLQd+n9Ww064QJIaQ==" spinCount="100000" sqref="I558" name="Rango2_61_8_1"/>
    <protectedRange algorithmName="SHA-512" hashValue="XM8+0Jh5zLWw02PI0Lt8dLqjTcW5ulySion19FAnruDN6QRp4UwcVqdfQxnOQAItgpWG7rNsELzjwy0iXOonxw==" saltValue="Sd4WFUedDfLKoMQTDrxJuQ==" spinCount="100000" sqref="K558" name="Rango2_88_4_4_8_1"/>
    <protectedRange algorithmName="SHA-512" hashValue="EMMPgE8t/az1rHHzaZAQIhz+GQV0k2O/tQGA96sJqEEMzz1efIRa4CcLzC7iY9CCscto3g7dwz41haOE28iXYg==" saltValue="CVzFsG4X4LXUMo7796PiDQ==" spinCount="100000" sqref="J558 L558:M558 B558 D558:H558" name="Rango2_10_9_1"/>
    <protectedRange algorithmName="SHA-512" hashValue="6a5oYwZw9WJcgjqXpleUXH8uaqNEuymPPpeOb7lKBc1WoM6IG/DNyDLWmj2lYwxnZO2yhl+B61kwrxD9m9AdhQ==" saltValue="tdNQPzLQd+n9Ww064QJIaQ==" spinCount="100000" sqref="I559" name="Rango2_61_9_1"/>
    <protectedRange algorithmName="SHA-512" hashValue="XM8+0Jh5zLWw02PI0Lt8dLqjTcW5ulySion19FAnruDN6QRp4UwcVqdfQxnOQAItgpWG7rNsELzjwy0iXOonxw==" saltValue="Sd4WFUedDfLKoMQTDrxJuQ==" spinCount="100000" sqref="K559" name="Rango2_88_4_4_9_1"/>
    <protectedRange algorithmName="SHA-512" hashValue="EMMPgE8t/az1rHHzaZAQIhz+GQV0k2O/tQGA96sJqEEMzz1efIRa4CcLzC7iY9CCscto3g7dwz41haOE28iXYg==" saltValue="CVzFsG4X4LXUMo7796PiDQ==" spinCount="100000" sqref="J559 L559:M559 B559 D559:H559" name="Rango2_10_10_1"/>
    <protectedRange algorithmName="SHA-512" hashValue="6a5oYwZw9WJcgjqXpleUXH8uaqNEuymPPpeOb7lKBc1WoM6IG/DNyDLWmj2lYwxnZO2yhl+B61kwrxD9m9AdhQ==" saltValue="tdNQPzLQd+n9Ww064QJIaQ==" spinCount="100000" sqref="I560" name="Rango2_61_9_2"/>
    <protectedRange algorithmName="SHA-512" hashValue="XM8+0Jh5zLWw02PI0Lt8dLqjTcW5ulySion19FAnruDN6QRp4UwcVqdfQxnOQAItgpWG7rNsELzjwy0iXOonxw==" saltValue="Sd4WFUedDfLKoMQTDrxJuQ==" spinCount="100000" sqref="K560" name="Rango2_88_4_4_9_2"/>
    <protectedRange algorithmName="SHA-512" hashValue="EMMPgE8t/az1rHHzaZAQIhz+GQV0k2O/tQGA96sJqEEMzz1efIRa4CcLzC7iY9CCscto3g7dwz41haOE28iXYg==" saltValue="CVzFsG4X4LXUMo7796PiDQ==" spinCount="100000" sqref="J560 L560:M560 B560 D560:H560" name="Rango2_10_10_2"/>
    <protectedRange algorithmName="SHA-512" hashValue="6a5oYwZw9WJcgjqXpleUXH8uaqNEuymPPpeOb7lKBc1WoM6IG/DNyDLWmj2lYwxnZO2yhl+B61kwrxD9m9AdhQ==" saltValue="tdNQPzLQd+n9Ww064QJIaQ==" spinCount="100000" sqref="I561" name="Rango2_61_9_3"/>
    <protectedRange algorithmName="SHA-512" hashValue="XM8+0Jh5zLWw02PI0Lt8dLqjTcW5ulySion19FAnruDN6QRp4UwcVqdfQxnOQAItgpWG7rNsELzjwy0iXOonxw==" saltValue="Sd4WFUedDfLKoMQTDrxJuQ==" spinCount="100000" sqref="K561" name="Rango2_88_4_4_9_3"/>
    <protectedRange algorithmName="SHA-512" hashValue="EMMPgE8t/az1rHHzaZAQIhz+GQV0k2O/tQGA96sJqEEMzz1efIRa4CcLzC7iY9CCscto3g7dwz41haOE28iXYg==" saltValue="CVzFsG4X4LXUMo7796PiDQ==" spinCount="100000" sqref="J561 L561:M561 B561 D561:H561" name="Rango2_10_10_3"/>
    <protectedRange sqref="BA552:BI553" name="Rango2_88_99_3_1"/>
    <protectedRange sqref="AU552:AU553 AW552:AZ553" name="Rango2_88_91_3_1"/>
    <protectedRange sqref="AL552:AL553 AJ552:AJ553 AG552:AH553" name="Rango2_88_7_5_3_1"/>
    <protectedRange sqref="AM552:AS553" name="Rango2_88_65_3_1"/>
    <protectedRange sqref="AC552:AC553" name="Rango2_88_5_5_3_1"/>
    <protectedRange sqref="AI552:AI553" name="Rango2_8_7_3_1"/>
    <protectedRange sqref="AE552:AF553" name="Rango2_88_39_3_1"/>
    <protectedRange sqref="AB552:AB553" name="Rango2_87_6_3_1"/>
    <protectedRange sqref="T552:T553" name="Rango2_88_6_3_1"/>
    <protectedRange sqref="Q552:Q553" name="Rango2_2_5_3_1"/>
    <protectedRange sqref="R552:S553 AV552:AV553 AT552:AT553 O552:O553 U552:AA553" name="Rango2_99_3_1"/>
    <protectedRange sqref="AD552:AD553" name="Rango2_24_1"/>
    <protectedRange sqref="BJ552:BK553" name="Rango2_99_6_1"/>
    <protectedRange sqref="BV552:BY553" name="Rango2_88_99_9_2"/>
    <protectedRange sqref="BZ552:CB553 BR552:BU553" name="Rango2_99_12_1"/>
    <protectedRange sqref="CE552:CF553 CV552:CY553 CP552:CQ553 CS552:CT553 CJ552:CK553 DA552:DN553" name="Rango2_99_15_1"/>
    <protectedRange sqref="BA554:BI554" name="Rango2_88_99_3_2"/>
    <protectedRange sqref="AU554 AW554:AZ554" name="Rango2_88_91_3_2"/>
    <protectedRange sqref="AL554 AJ554 AG554:AH554" name="Rango2_88_7_5_3_2"/>
    <protectedRange sqref="AM554:AS554" name="Rango2_88_65_3_2"/>
    <protectedRange sqref="AC554" name="Rango2_88_5_5_3_2"/>
    <protectedRange sqref="AI554" name="Rango2_8_7_3_2"/>
    <protectedRange sqref="AE554:AF554" name="Rango2_88_39_3_2"/>
    <protectedRange sqref="AB554" name="Rango2_87_6_3_2"/>
    <protectedRange sqref="T554" name="Rango2_88_6_3_2"/>
    <protectedRange sqref="Q554" name="Rango2_2_5_3_2"/>
    <protectedRange sqref="R554:S554 AV554 AT554 O554 U554:AA554" name="Rango2_99_3_2"/>
    <protectedRange sqref="AD554" name="Rango2_24_2"/>
    <protectedRange sqref="BJ554:BK554" name="Rango2_99_6_2"/>
    <protectedRange sqref="BV554:BY554" name="Rango2_88_99_9_3"/>
    <protectedRange sqref="BZ554:CB554 BR554:BU554" name="Rango2_99_12_2"/>
    <protectedRange sqref="CE554:CF554 CV554:CY554 CP554:CQ554 CS554:CT554 CJ554:CK554 DA554:DN554" name="Rango2_99_15_2"/>
    <protectedRange sqref="BA555:BI555" name="Rango2_88_99_3_3"/>
    <protectedRange sqref="AU555 AW555:AZ555" name="Rango2_88_91_3_3"/>
    <protectedRange sqref="AL555 AJ555 AG555:AH555" name="Rango2_88_7_5_3_3"/>
    <protectedRange sqref="AM555:AS555" name="Rango2_88_65_3_3"/>
    <protectedRange sqref="AC555" name="Rango2_88_5_5_3_3"/>
    <protectedRange sqref="AI555" name="Rango2_8_7_3_3"/>
    <protectedRange sqref="AE555:AF555" name="Rango2_88_39_3_3"/>
    <protectedRange sqref="AB555" name="Rango2_87_6_3_3"/>
    <protectedRange sqref="T555" name="Rango2_88_6_3_3"/>
    <protectedRange sqref="Q555" name="Rango2_2_5_3_3"/>
    <protectedRange sqref="R555:S555 AV555 AT555 O555 U555:AA555" name="Rango2_99_3_3"/>
    <protectedRange sqref="AD555" name="Rango2_24_3"/>
    <protectedRange sqref="BJ555:BK555" name="Rango2_99_6_3"/>
    <protectedRange sqref="BV555:BY555" name="Rango2_88_99_9_4"/>
    <protectedRange sqref="BZ555:CB555 BR555:BU555" name="Rango2_99_12_3"/>
    <protectedRange sqref="CE555:CF555 CV555:CY555 CP555:CQ555 CS555:CT555 CJ555:CK555 DA555:DN555" name="Rango2_99_15_3"/>
    <protectedRange algorithmName="SHA-512" hashValue="RQ91b7oAw60DVtcgB2vRpial2kSdzJx5guGCTYUwXYkKrtrUHfiYnLf9R+SNpYXlJDYpyEJLhcWwP0EqNN86dQ==" saltValue="W3RbH3zrcY9sy39xNwXNxg==" spinCount="100000" sqref="BA556:BI556" name="Rango2_88_99_5_2"/>
    <protectedRange algorithmName="SHA-512" hashValue="fMbmUM1DQ7FuAPRNvFL5mPdHUYjQnlLFhkuaxvHguaqR7aWyDxcmJs0jLYQfQKY+oyhsMb4Lew4VL6i7um3/ew==" saltValue="ydaTm0CeH8+/cYqoL/AMaQ==" spinCount="100000" sqref="AU556 AW556:AZ556" name="Rango2_88_91_5_2"/>
    <protectedRange algorithmName="SHA-512" hashValue="CHipOQaT63FWw628cQcXXJRZlrbNZ7OgmnEbDx38UmmH7z19GRYEzXFiVOzHAy1OAaAbST7g2bHZHDKQp2qm3w==" saltValue="iRVuL+373yLHv0ZHzS9qog==" spinCount="100000" sqref="AG556:AH556 AJ556 AL556" name="Rango2_88_7_5_5_2"/>
    <protectedRange algorithmName="SHA-512" hashValue="NkG6oHuDGvGBEiLAAq8MEJHEfLQUMyjihfH+DBXhT+eQW0r1yri7tOJEFRM9nbOejjjXiviq9RFo7KB7wF+xJA==" saltValue="bpjB0AAANu2X/PeR3eiFkA==" spinCount="100000" sqref="AM556:AS556" name="Rango2_88_65_5_2"/>
    <protectedRange algorithmName="SHA-512" hashValue="fPHvtIAf3pQeZUoAI9C2/vdXMHBpqqEq+67P5Ypyu4+9IWqs3yc9TZcMWQ0THLxUwqseQPyVvakuYFtCwJHsxA==" saltValue="QHIogSs2PrwAfdqa9PAOFQ==" spinCount="100000" sqref="AC556" name="Rango2_88_5_5_5_2"/>
    <protectedRange algorithmName="SHA-512" hashValue="LEEeiU6pKqm7TAP46VGlz0q+evvFwpT/0iLpRuWuQ7MacbP0OGL1/FSmrIEOg2rb6M+Jla2bPbVWiGag27j87w==" saltValue="HEVt+pS5OloNDlqSnzGLLw==" spinCount="100000" sqref="AI556" name="Rango2_8_7_5_2"/>
    <protectedRange algorithmName="SHA-512" hashValue="q2z5hEFmXS0v2chiPTC/VCoDWNlnhp+Xe6Ybfxe48vIsnB/KTJQxJv+pFUnCXfZ9T6vyJopuqFFNROfQTW/JUw==" saltValue="IctfdGJb5tOTpq+KPi9vww==" spinCount="100000" sqref="AE556:AF556" name="Rango2_88_39_8_2"/>
    <protectedRange algorithmName="SHA-512" hashValue="AYYX88LSDB6RDNMvSqt0KPGWPjBqTk56tMxTOlv5QD61MGTKAAQnSnudvNDWPN0Bbllh2qRQC+P5uq7goxjdrw==" saltValue="i/iPMewnks1FoXYOjKMEVg==" spinCount="100000" sqref="AB556" name="Rango2_87_6_5_2"/>
    <protectedRange algorithmName="SHA-512" hashValue="NUll9P9xh7KbSfMYpMxsRZLfDw/y/AzW2LSWlpXVscBDqiAxmzo71xjs+a2lh+jRa7pceOC849slke4+ZKx8LA==" saltValue="8qbkKpQ+CiQuLnqgShNvXA==" spinCount="100000" sqref="T556" name="Rango2_88_6_5_2"/>
    <protectedRange algorithmName="SHA-512" hashValue="KHhv3JU/LRdRrRTxxkgFceEHPZ5UzadmpZRZR3zmQRnPvkUJZuanRafIJ+qde0IWwLZSvFIQDyUAHq6v6k7XIg==" saltValue="2GKG1kCzVNNcn+vbOPuhJA==" spinCount="100000" sqref="Q556" name="Rango2_2_5_5_2"/>
    <protectedRange algorithmName="SHA-512" hashValue="XZw03RosI/l0z9FxmTtF29EdZ7P+4+ybhqoaAAUmURojSR5XbGfjC4f2i8gMqfY+RI9JvfdCA6PSh9TduXfUxA==" saltValue="5TPtLq2WoiRSae/yaDPnTw==" spinCount="100000" sqref="O556 R556:S556 U556:AA556 AV556 AT556" name="Rango2_99_8_2"/>
    <protectedRange algorithmName="SHA-512" hashValue="9+DNppQbWrLYYUMoJ+lyQctV2bX3Vq9kZnegLbpjTLP49It2ovUbcartuoQTeXgP+TGpY//7mDH/UQlFCKDGiA==" saltValue="KUnni6YEm00anzSSvyLqQA==" spinCount="100000" sqref="AD556" name="Rango2_35_2"/>
    <protectedRange algorithmName="SHA-512" hashValue="XZw03RosI/l0z9FxmTtF29EdZ7P+4+ybhqoaAAUmURojSR5XbGfjC4f2i8gMqfY+RI9JvfdCA6PSh9TduXfUxA==" saltValue="5TPtLq2WoiRSae/yaDPnTw==" spinCount="100000" sqref="BJ556:BK556" name="Rango2_99_32_2"/>
    <protectedRange algorithmName="SHA-512" hashValue="RQ91b7oAw60DVtcgB2vRpial2kSdzJx5guGCTYUwXYkKrtrUHfiYnLf9R+SNpYXlJDYpyEJLhcWwP0EqNN86dQ==" saltValue="W3RbH3zrcY9sy39xNwXNxg==" spinCount="100000" sqref="BV556:BY556" name="Rango2_88_99_20_1"/>
    <protectedRange algorithmName="SHA-512" hashValue="XZw03RosI/l0z9FxmTtF29EdZ7P+4+ybhqoaAAUmURojSR5XbGfjC4f2i8gMqfY+RI9JvfdCA6PSh9TduXfUxA==" saltValue="5TPtLq2WoiRSae/yaDPnTw==" spinCount="100000" sqref="BR556:BU556 BZ556:CB556" name="Rango2_99_44_1"/>
    <protectedRange algorithmName="SHA-512" hashValue="XZw03RosI/l0z9FxmTtF29EdZ7P+4+ybhqoaAAUmURojSR5XbGfjC4f2i8gMqfY+RI9JvfdCA6PSh9TduXfUxA==" saltValue="5TPtLq2WoiRSae/yaDPnTw==" spinCount="100000" sqref="CJ556:CK556 CS556:CT556 CP556:CQ556 CV556:CY556 CE556:CF556 DA556:DN556" name="Rango2_99_50_1"/>
    <protectedRange algorithmName="SHA-512" hashValue="RQ91b7oAw60DVtcgB2vRpial2kSdzJx5guGCTYUwXYkKrtrUHfiYnLf9R+SNpYXlJDYpyEJLhcWwP0EqNN86dQ==" saltValue="W3RbH3zrcY9sy39xNwXNxg==" spinCount="100000" sqref="BA557:BI557" name="Rango2_88_99_10_2"/>
    <protectedRange algorithmName="SHA-512" hashValue="fMbmUM1DQ7FuAPRNvFL5mPdHUYjQnlLFhkuaxvHguaqR7aWyDxcmJs0jLYQfQKY+oyhsMb4Lew4VL6i7um3/ew==" saltValue="ydaTm0CeH8+/cYqoL/AMaQ==" spinCount="100000" sqref="AU557 AW557:AZ557" name="Rango2_88_91_7_2"/>
    <protectedRange algorithmName="SHA-512" hashValue="CHipOQaT63FWw628cQcXXJRZlrbNZ7OgmnEbDx38UmmH7z19GRYEzXFiVOzHAy1OAaAbST7g2bHZHDKQp2qm3w==" saltValue="iRVuL+373yLHv0ZHzS9qog==" spinCount="100000" sqref="AG557:AH557 AJ557 AL557" name="Rango2_88_7_5_7_2"/>
    <protectedRange algorithmName="SHA-512" hashValue="NkG6oHuDGvGBEiLAAq8MEJHEfLQUMyjihfH+DBXhT+eQW0r1yri7tOJEFRM9nbOejjjXiviq9RFo7KB7wF+xJA==" saltValue="bpjB0AAANu2X/PeR3eiFkA==" spinCount="100000" sqref="AM557:AS557" name="Rango2_88_65_7_2"/>
    <protectedRange algorithmName="SHA-512" hashValue="fPHvtIAf3pQeZUoAI9C2/vdXMHBpqqEq+67P5Ypyu4+9IWqs3yc9TZcMWQ0THLxUwqseQPyVvakuYFtCwJHsxA==" saltValue="QHIogSs2PrwAfdqa9PAOFQ==" spinCount="100000" sqref="AC557" name="Rango2_88_5_5_7_2"/>
    <protectedRange algorithmName="SHA-512" hashValue="LEEeiU6pKqm7TAP46VGlz0q+evvFwpT/0iLpRuWuQ7MacbP0OGL1/FSmrIEOg2rb6M+Jla2bPbVWiGag27j87w==" saltValue="HEVt+pS5OloNDlqSnzGLLw==" spinCount="100000" sqref="AI557" name="Rango2_8_7_7_2"/>
    <protectedRange algorithmName="SHA-512" hashValue="q2z5hEFmXS0v2chiPTC/VCoDWNlnhp+Xe6Ybfxe48vIsnB/KTJQxJv+pFUnCXfZ9T6vyJopuqFFNROfQTW/JUw==" saltValue="IctfdGJb5tOTpq+KPi9vww==" spinCount="100000" sqref="AE557:AF557" name="Rango2_88_39_10_2"/>
    <protectedRange algorithmName="SHA-512" hashValue="AYYX88LSDB6RDNMvSqt0KPGWPjBqTk56tMxTOlv5QD61MGTKAAQnSnudvNDWPN0Bbllh2qRQC+P5uq7goxjdrw==" saltValue="i/iPMewnks1FoXYOjKMEVg==" spinCount="100000" sqref="AB557" name="Rango2_87_6_7_2"/>
    <protectedRange algorithmName="SHA-512" hashValue="NUll9P9xh7KbSfMYpMxsRZLfDw/y/AzW2LSWlpXVscBDqiAxmzo71xjs+a2lh+jRa7pceOC849slke4+ZKx8LA==" saltValue="8qbkKpQ+CiQuLnqgShNvXA==" spinCount="100000" sqref="T557" name="Rango2_88_6_7_2"/>
    <protectedRange algorithmName="SHA-512" hashValue="KHhv3JU/LRdRrRTxxkgFceEHPZ5UzadmpZRZR3zmQRnPvkUJZuanRafIJ+qde0IWwLZSvFIQDyUAHq6v6k7XIg==" saltValue="2GKG1kCzVNNcn+vbOPuhJA==" spinCount="100000" sqref="Q557" name="Rango2_2_5_7_2"/>
    <protectedRange algorithmName="SHA-512" hashValue="XZw03RosI/l0z9FxmTtF29EdZ7P+4+ybhqoaAAUmURojSR5XbGfjC4f2i8gMqfY+RI9JvfdCA6PSh9TduXfUxA==" saltValue="5TPtLq2WoiRSae/yaDPnTw==" spinCount="100000" sqref="O557 R557:S557 U557:AA557 AV557 AT557" name="Rango2_99_28_8"/>
    <protectedRange algorithmName="SHA-512" hashValue="9+DNppQbWrLYYUMoJ+lyQctV2bX3Vq9kZnegLbpjTLP49It2ovUbcartuoQTeXgP+TGpY//7mDH/UQlFCKDGiA==" saltValue="KUnni6YEm00anzSSvyLqQA==" spinCount="100000" sqref="AD557" name="Rango2_50_1"/>
    <protectedRange algorithmName="SHA-512" hashValue="RQ91b7oAw60DVtcgB2vRpial2kSdzJx5guGCTYUwXYkKrtrUHfiYnLf9R+SNpYXlJDYpyEJLhcWwP0EqNN86dQ==" saltValue="W3RbH3zrcY9sy39xNwXNxg==" spinCount="100000" sqref="BA558:BI558" name="Rango2_88_99_11_3"/>
    <protectedRange algorithmName="SHA-512" hashValue="fMbmUM1DQ7FuAPRNvFL5mPdHUYjQnlLFhkuaxvHguaqR7aWyDxcmJs0jLYQfQKY+oyhsMb4Lew4VL6i7um3/ew==" saltValue="ydaTm0CeH8+/cYqoL/AMaQ==" spinCount="100000" sqref="AU558 AW558:AZ558" name="Rango2_88_91_8_2"/>
    <protectedRange algorithmName="SHA-512" hashValue="CHipOQaT63FWw628cQcXXJRZlrbNZ7OgmnEbDx38UmmH7z19GRYEzXFiVOzHAy1OAaAbST7g2bHZHDKQp2qm3w==" saltValue="iRVuL+373yLHv0ZHzS9qog==" spinCount="100000" sqref="AG558:AH558 AJ558 AL558" name="Rango2_88_7_5_8_2"/>
    <protectedRange algorithmName="SHA-512" hashValue="NkG6oHuDGvGBEiLAAq8MEJHEfLQUMyjihfH+DBXhT+eQW0r1yri7tOJEFRM9nbOejjjXiviq9RFo7KB7wF+xJA==" saltValue="bpjB0AAANu2X/PeR3eiFkA==" spinCount="100000" sqref="AM558:AS558" name="Rango2_88_65_8_2"/>
    <protectedRange algorithmName="SHA-512" hashValue="fPHvtIAf3pQeZUoAI9C2/vdXMHBpqqEq+67P5Ypyu4+9IWqs3yc9TZcMWQ0THLxUwqseQPyVvakuYFtCwJHsxA==" saltValue="QHIogSs2PrwAfdqa9PAOFQ==" spinCount="100000" sqref="AC558" name="Rango2_88_5_5_8_2"/>
    <protectedRange algorithmName="SHA-512" hashValue="LEEeiU6pKqm7TAP46VGlz0q+evvFwpT/0iLpRuWuQ7MacbP0OGL1/FSmrIEOg2rb6M+Jla2bPbVWiGag27j87w==" saltValue="HEVt+pS5OloNDlqSnzGLLw==" spinCount="100000" sqref="AI558" name="Rango2_8_7_8_2"/>
    <protectedRange algorithmName="SHA-512" hashValue="q2z5hEFmXS0v2chiPTC/VCoDWNlnhp+Xe6Ybfxe48vIsnB/KTJQxJv+pFUnCXfZ9T6vyJopuqFFNROfQTW/JUw==" saltValue="IctfdGJb5tOTpq+KPi9vww==" spinCount="100000" sqref="AE558:AF558" name="Rango2_88_39_11_2"/>
    <protectedRange algorithmName="SHA-512" hashValue="AYYX88LSDB6RDNMvSqt0KPGWPjBqTk56tMxTOlv5QD61MGTKAAQnSnudvNDWPN0Bbllh2qRQC+P5uq7goxjdrw==" saltValue="i/iPMewnks1FoXYOjKMEVg==" spinCount="100000" sqref="AB558" name="Rango2_87_6_8_2"/>
    <protectedRange algorithmName="SHA-512" hashValue="NUll9P9xh7KbSfMYpMxsRZLfDw/y/AzW2LSWlpXVscBDqiAxmzo71xjs+a2lh+jRa7pceOC849slke4+ZKx8LA==" saltValue="8qbkKpQ+CiQuLnqgShNvXA==" spinCount="100000" sqref="T558" name="Rango2_88_6_8_2"/>
    <protectedRange algorithmName="SHA-512" hashValue="KHhv3JU/LRdRrRTxxkgFceEHPZ5UzadmpZRZR3zmQRnPvkUJZuanRafIJ+qde0IWwLZSvFIQDyUAHq6v6k7XIg==" saltValue="2GKG1kCzVNNcn+vbOPuhJA==" spinCount="100000" sqref="Q558" name="Rango2_2_5_8_2"/>
    <protectedRange algorithmName="SHA-512" hashValue="XZw03RosI/l0z9FxmTtF29EdZ7P+4+ybhqoaAAUmURojSR5XbGfjC4f2i8gMqfY+RI9JvfdCA6PSh9TduXfUxA==" saltValue="5TPtLq2WoiRSae/yaDPnTw==" spinCount="100000" sqref="O558 R558:S558 U558:AA558 AV558 AT558" name="Rango2_99_29_1"/>
    <protectedRange algorithmName="SHA-512" hashValue="9+DNppQbWrLYYUMoJ+lyQctV2bX3Vq9kZnegLbpjTLP49It2ovUbcartuoQTeXgP+TGpY//7mDH/UQlFCKDGiA==" saltValue="KUnni6YEm00anzSSvyLqQA==" spinCount="100000" sqref="AD558" name="Rango2_52_1"/>
    <protectedRange algorithmName="SHA-512" hashValue="XZw03RosI/l0z9FxmTtF29EdZ7P+4+ybhqoaAAUmURojSR5XbGfjC4f2i8gMqfY+RI9JvfdCA6PSh9TduXfUxA==" saltValue="5TPtLq2WoiRSae/yaDPnTw==" spinCount="100000" sqref="BJ557:BK557" name="Rango2_99_34_1"/>
    <protectedRange algorithmName="SHA-512" hashValue="XZw03RosI/l0z9FxmTtF29EdZ7P+4+ybhqoaAAUmURojSR5XbGfjC4f2i8gMqfY+RI9JvfdCA6PSh9TduXfUxA==" saltValue="5TPtLq2WoiRSae/yaDPnTw==" spinCount="100000" sqref="BJ558:BL558" name="Rango2_99_35_2"/>
    <protectedRange algorithmName="SHA-512" hashValue="RQ91b7oAw60DVtcgB2vRpial2kSdzJx5guGCTYUwXYkKrtrUHfiYnLf9R+SNpYXlJDYpyEJLhcWwP0EqNN86dQ==" saltValue="W3RbH3zrcY9sy39xNwXNxg==" spinCount="100000" sqref="BV557:BY557" name="Rango2_88_99_22_2"/>
    <protectedRange algorithmName="SHA-512" hashValue="XZw03RosI/l0z9FxmTtF29EdZ7P+4+ybhqoaAAUmURojSR5XbGfjC4f2i8gMqfY+RI9JvfdCA6PSh9TduXfUxA==" saltValue="5TPtLq2WoiRSae/yaDPnTw==" spinCount="100000" sqref="BR557:BU557 BZ557:CB557" name="Rango2_99_46_2"/>
    <protectedRange algorithmName="SHA-512" hashValue="RQ91b7oAw60DVtcgB2vRpial2kSdzJx5guGCTYUwXYkKrtrUHfiYnLf9R+SNpYXlJDYpyEJLhcWwP0EqNN86dQ==" saltValue="W3RbH3zrcY9sy39xNwXNxg==" spinCount="100000" sqref="BV558:BY558" name="Rango2_88_99_23_2"/>
    <protectedRange algorithmName="SHA-512" hashValue="XZw03RosI/l0z9FxmTtF29EdZ7P+4+ybhqoaAAUmURojSR5XbGfjC4f2i8gMqfY+RI9JvfdCA6PSh9TduXfUxA==" saltValue="5TPtLq2WoiRSae/yaDPnTw==" spinCount="100000" sqref="BR558:BU558 BZ558:CB558" name="Rango2_99_47_2"/>
    <protectedRange algorithmName="SHA-512" hashValue="XZw03RosI/l0z9FxmTtF29EdZ7P+4+ybhqoaAAUmURojSR5XbGfjC4f2i8gMqfY+RI9JvfdCA6PSh9TduXfUxA==" saltValue="5TPtLq2WoiRSae/yaDPnTw==" spinCount="100000" sqref="CJ557:CK557 CS557:CT557 CP557:CQ557 CV557:CY557 CE557:CF557 DA557:DN557" name="Rango2_99_52_1"/>
    <protectedRange algorithmName="SHA-512" hashValue="XZw03RosI/l0z9FxmTtF29EdZ7P+4+ybhqoaAAUmURojSR5XbGfjC4f2i8gMqfY+RI9JvfdCA6PSh9TduXfUxA==" saltValue="5TPtLq2WoiRSae/yaDPnTw==" spinCount="100000" sqref="CJ558:CK558 CS558:CT558 CP558:CQ558 CV558:CY558 CE558:CF558 DA558:DN558" name="Rango2_99_53_1"/>
    <protectedRange algorithmName="SHA-512" hashValue="RQ91b7oAw60DVtcgB2vRpial2kSdzJx5guGCTYUwXYkKrtrUHfiYnLf9R+SNpYXlJDYpyEJLhcWwP0EqNN86dQ==" saltValue="W3RbH3zrcY9sy39xNwXNxg==" spinCount="100000" sqref="BA559:BI559" name="Rango2_88_99_12_1"/>
    <protectedRange algorithmName="SHA-512" hashValue="fMbmUM1DQ7FuAPRNvFL5mPdHUYjQnlLFhkuaxvHguaqR7aWyDxcmJs0jLYQfQKY+oyhsMb4Lew4VL6i7um3/ew==" saltValue="ydaTm0CeH8+/cYqoL/AMaQ==" spinCount="100000" sqref="AU559 AW559:AZ559" name="Rango2_88_91_9_2"/>
    <protectedRange algorithmName="SHA-512" hashValue="CHipOQaT63FWw628cQcXXJRZlrbNZ7OgmnEbDx38UmmH7z19GRYEzXFiVOzHAy1OAaAbST7g2bHZHDKQp2qm3w==" saltValue="iRVuL+373yLHv0ZHzS9qog==" spinCount="100000" sqref="AG559:AH559 AJ559 AL559" name="Rango2_88_7_5_9_2"/>
    <protectedRange algorithmName="SHA-512" hashValue="NkG6oHuDGvGBEiLAAq8MEJHEfLQUMyjihfH+DBXhT+eQW0r1yri7tOJEFRM9nbOejjjXiviq9RFo7KB7wF+xJA==" saltValue="bpjB0AAANu2X/PeR3eiFkA==" spinCount="100000" sqref="AM559:AS559" name="Rango2_88_65_9_2"/>
    <protectedRange algorithmName="SHA-512" hashValue="fPHvtIAf3pQeZUoAI9C2/vdXMHBpqqEq+67P5Ypyu4+9IWqs3yc9TZcMWQ0THLxUwqseQPyVvakuYFtCwJHsxA==" saltValue="QHIogSs2PrwAfdqa9PAOFQ==" spinCount="100000" sqref="AC559" name="Rango2_88_5_5_9_2"/>
    <protectedRange algorithmName="SHA-512" hashValue="LEEeiU6pKqm7TAP46VGlz0q+evvFwpT/0iLpRuWuQ7MacbP0OGL1/FSmrIEOg2rb6M+Jla2bPbVWiGag27j87w==" saltValue="HEVt+pS5OloNDlqSnzGLLw==" spinCount="100000" sqref="AI559" name="Rango2_8_7_9_2"/>
    <protectedRange algorithmName="SHA-512" hashValue="q2z5hEFmXS0v2chiPTC/VCoDWNlnhp+Xe6Ybfxe48vIsnB/KTJQxJv+pFUnCXfZ9T6vyJopuqFFNROfQTW/JUw==" saltValue="IctfdGJb5tOTpq+KPi9vww==" spinCount="100000" sqref="AE559:AF559" name="Rango2_88_39_12_1"/>
    <protectedRange algorithmName="SHA-512" hashValue="AYYX88LSDB6RDNMvSqt0KPGWPjBqTk56tMxTOlv5QD61MGTKAAQnSnudvNDWPN0Bbllh2qRQC+P5uq7goxjdrw==" saltValue="i/iPMewnks1FoXYOjKMEVg==" spinCount="100000" sqref="AB559" name="Rango2_87_6_9_2"/>
    <protectedRange algorithmName="SHA-512" hashValue="NUll9P9xh7KbSfMYpMxsRZLfDw/y/AzW2LSWlpXVscBDqiAxmzo71xjs+a2lh+jRa7pceOC849slke4+ZKx8LA==" saltValue="8qbkKpQ+CiQuLnqgShNvXA==" spinCount="100000" sqref="T559" name="Rango2_88_6_9_2"/>
    <protectedRange algorithmName="SHA-512" hashValue="KHhv3JU/LRdRrRTxxkgFceEHPZ5UzadmpZRZR3zmQRnPvkUJZuanRafIJ+qde0IWwLZSvFIQDyUAHq6v6k7XIg==" saltValue="2GKG1kCzVNNcn+vbOPuhJA==" spinCount="100000" sqref="Q559" name="Rango2_2_5_9_2"/>
    <protectedRange algorithmName="SHA-512" hashValue="XZw03RosI/l0z9FxmTtF29EdZ7P+4+ybhqoaAAUmURojSR5XbGfjC4f2i8gMqfY+RI9JvfdCA6PSh9TduXfUxA==" saltValue="5TPtLq2WoiRSae/yaDPnTw==" spinCount="100000" sqref="O559 R559:S559 U559:AA559 AV559 AT559" name="Rango2_99_30_1"/>
    <protectedRange algorithmName="SHA-512" hashValue="9+DNppQbWrLYYUMoJ+lyQctV2bX3Vq9kZnegLbpjTLP49It2ovUbcartuoQTeXgP+TGpY//7mDH/UQlFCKDGiA==" saltValue="KUnni6YEm00anzSSvyLqQA==" spinCount="100000" sqref="AD559" name="Rango2_62_1"/>
    <protectedRange algorithmName="SHA-512" hashValue="XZw03RosI/l0z9FxmTtF29EdZ7P+4+ybhqoaAAUmURojSR5XbGfjC4f2i8gMqfY+RI9JvfdCA6PSh9TduXfUxA==" saltValue="5TPtLq2WoiRSae/yaDPnTw==" spinCount="100000" sqref="BJ559:BL559" name="Rango2_99_36_2"/>
    <protectedRange algorithmName="SHA-512" hashValue="RQ91b7oAw60DVtcgB2vRpial2kSdzJx5guGCTYUwXYkKrtrUHfiYnLf9R+SNpYXlJDYpyEJLhcWwP0EqNN86dQ==" saltValue="W3RbH3zrcY9sy39xNwXNxg==" spinCount="100000" sqref="BV559:BY559" name="Rango2_88_99_24_1"/>
    <protectedRange algorithmName="SHA-512" hashValue="XZw03RosI/l0z9FxmTtF29EdZ7P+4+ybhqoaAAUmURojSR5XbGfjC4f2i8gMqfY+RI9JvfdCA6PSh9TduXfUxA==" saltValue="5TPtLq2WoiRSae/yaDPnTw==" spinCount="100000" sqref="BR559:BU559 BZ559:CB559" name="Rango2_99_48_1"/>
    <protectedRange algorithmName="SHA-512" hashValue="XZw03RosI/l0z9FxmTtF29EdZ7P+4+ybhqoaAAUmURojSR5XbGfjC4f2i8gMqfY+RI9JvfdCA6PSh9TduXfUxA==" saltValue="5TPtLq2WoiRSae/yaDPnTw==" spinCount="100000" sqref="CJ559:CK559 CS559:CT559 CP559:CQ559 CV559:CY559 CE559:CF559 DA559:DN559" name="Rango2_99_54_1"/>
    <protectedRange algorithmName="SHA-512" hashValue="RQ91b7oAw60DVtcgB2vRpial2kSdzJx5guGCTYUwXYkKrtrUHfiYnLf9R+SNpYXlJDYpyEJLhcWwP0EqNN86dQ==" saltValue="W3RbH3zrcY9sy39xNwXNxg==" spinCount="100000" sqref="BA560:BI560" name="Rango2_88_99_12_2"/>
    <protectedRange algorithmName="SHA-512" hashValue="fMbmUM1DQ7FuAPRNvFL5mPdHUYjQnlLFhkuaxvHguaqR7aWyDxcmJs0jLYQfQKY+oyhsMb4Lew4VL6i7um3/ew==" saltValue="ydaTm0CeH8+/cYqoL/AMaQ==" spinCount="100000" sqref="AU560 AW560:AZ560" name="Rango2_88_91_9_3"/>
    <protectedRange algorithmName="SHA-512" hashValue="CHipOQaT63FWw628cQcXXJRZlrbNZ7OgmnEbDx38UmmH7z19GRYEzXFiVOzHAy1OAaAbST7g2bHZHDKQp2qm3w==" saltValue="iRVuL+373yLHv0ZHzS9qog==" spinCount="100000" sqref="AG560:AH560 AJ560 AL560" name="Rango2_88_7_5_9_3"/>
    <protectedRange algorithmName="SHA-512" hashValue="NkG6oHuDGvGBEiLAAq8MEJHEfLQUMyjihfH+DBXhT+eQW0r1yri7tOJEFRM9nbOejjjXiviq9RFo7KB7wF+xJA==" saltValue="bpjB0AAANu2X/PeR3eiFkA==" spinCount="100000" sqref="AM560:AS560" name="Rango2_88_65_9_3"/>
    <protectedRange algorithmName="SHA-512" hashValue="fPHvtIAf3pQeZUoAI9C2/vdXMHBpqqEq+67P5Ypyu4+9IWqs3yc9TZcMWQ0THLxUwqseQPyVvakuYFtCwJHsxA==" saltValue="QHIogSs2PrwAfdqa9PAOFQ==" spinCount="100000" sqref="AC560" name="Rango2_88_5_5_9_3"/>
    <protectedRange algorithmName="SHA-512" hashValue="LEEeiU6pKqm7TAP46VGlz0q+evvFwpT/0iLpRuWuQ7MacbP0OGL1/FSmrIEOg2rb6M+Jla2bPbVWiGag27j87w==" saltValue="HEVt+pS5OloNDlqSnzGLLw==" spinCount="100000" sqref="AI560" name="Rango2_8_7_9_3"/>
    <protectedRange algorithmName="SHA-512" hashValue="q2z5hEFmXS0v2chiPTC/VCoDWNlnhp+Xe6Ybfxe48vIsnB/KTJQxJv+pFUnCXfZ9T6vyJopuqFFNROfQTW/JUw==" saltValue="IctfdGJb5tOTpq+KPi9vww==" spinCount="100000" sqref="AE560:AF560" name="Rango2_88_39_12_2"/>
    <protectedRange algorithmName="SHA-512" hashValue="AYYX88LSDB6RDNMvSqt0KPGWPjBqTk56tMxTOlv5QD61MGTKAAQnSnudvNDWPN0Bbllh2qRQC+P5uq7goxjdrw==" saltValue="i/iPMewnks1FoXYOjKMEVg==" spinCount="100000" sqref="AB560" name="Rango2_87_6_9_3"/>
    <protectedRange algorithmName="SHA-512" hashValue="NUll9P9xh7KbSfMYpMxsRZLfDw/y/AzW2LSWlpXVscBDqiAxmzo71xjs+a2lh+jRa7pceOC849slke4+ZKx8LA==" saltValue="8qbkKpQ+CiQuLnqgShNvXA==" spinCount="100000" sqref="T560" name="Rango2_88_6_9_3"/>
    <protectedRange algorithmName="SHA-512" hashValue="KHhv3JU/LRdRrRTxxkgFceEHPZ5UzadmpZRZR3zmQRnPvkUJZuanRafIJ+qde0IWwLZSvFIQDyUAHq6v6k7XIg==" saltValue="2GKG1kCzVNNcn+vbOPuhJA==" spinCount="100000" sqref="Q560" name="Rango2_2_5_9_3"/>
    <protectedRange algorithmName="SHA-512" hashValue="XZw03RosI/l0z9FxmTtF29EdZ7P+4+ybhqoaAAUmURojSR5XbGfjC4f2i8gMqfY+RI9JvfdCA6PSh9TduXfUxA==" saltValue="5TPtLq2WoiRSae/yaDPnTw==" spinCount="100000" sqref="O560 R560:S560 U560:AA560 AV560 AT560" name="Rango2_99_30_2"/>
    <protectedRange algorithmName="SHA-512" hashValue="9+DNppQbWrLYYUMoJ+lyQctV2bX3Vq9kZnegLbpjTLP49It2ovUbcartuoQTeXgP+TGpY//7mDH/UQlFCKDGiA==" saltValue="KUnni6YEm00anzSSvyLqQA==" spinCount="100000" sqref="AD560" name="Rango2_62_2"/>
    <protectedRange algorithmName="SHA-512" hashValue="XZw03RosI/l0z9FxmTtF29EdZ7P+4+ybhqoaAAUmURojSR5XbGfjC4f2i8gMqfY+RI9JvfdCA6PSh9TduXfUxA==" saltValue="5TPtLq2WoiRSae/yaDPnTw==" spinCount="100000" sqref="BJ560:BK560" name="Rango2_99_36_3"/>
    <protectedRange algorithmName="SHA-512" hashValue="RQ91b7oAw60DVtcgB2vRpial2kSdzJx5guGCTYUwXYkKrtrUHfiYnLf9R+SNpYXlJDYpyEJLhcWwP0EqNN86dQ==" saltValue="W3RbH3zrcY9sy39xNwXNxg==" spinCount="100000" sqref="BV560:BY560" name="Rango2_88_99_24_2"/>
    <protectedRange algorithmName="SHA-512" hashValue="XZw03RosI/l0z9FxmTtF29EdZ7P+4+ybhqoaAAUmURojSR5XbGfjC4f2i8gMqfY+RI9JvfdCA6PSh9TduXfUxA==" saltValue="5TPtLq2WoiRSae/yaDPnTw==" spinCount="100000" sqref="BR560:BU560 BZ560:CB560" name="Rango2_99_48_2"/>
    <protectedRange algorithmName="SHA-512" hashValue="XZw03RosI/l0z9FxmTtF29EdZ7P+4+ybhqoaAAUmURojSR5XbGfjC4f2i8gMqfY+RI9JvfdCA6PSh9TduXfUxA==" saltValue="5TPtLq2WoiRSae/yaDPnTw==" spinCount="100000" sqref="CJ560:CK560 CS560:CT560 CP560:CQ560 CV560:CY560 CE560:CF560 DA560:DN560" name="Rango2_99_54_2"/>
    <protectedRange algorithmName="SHA-512" hashValue="RQ91b7oAw60DVtcgB2vRpial2kSdzJx5guGCTYUwXYkKrtrUHfiYnLf9R+SNpYXlJDYpyEJLhcWwP0EqNN86dQ==" saltValue="W3RbH3zrcY9sy39xNwXNxg==" spinCount="100000" sqref="BA561:BI561" name="Rango2_88_99_12_3"/>
    <protectedRange algorithmName="SHA-512" hashValue="fMbmUM1DQ7FuAPRNvFL5mPdHUYjQnlLFhkuaxvHguaqR7aWyDxcmJs0jLYQfQKY+oyhsMb4Lew4VL6i7um3/ew==" saltValue="ydaTm0CeH8+/cYqoL/AMaQ==" spinCount="100000" sqref="AU561 AW561:AZ561" name="Rango2_88_91_9_4"/>
    <protectedRange algorithmName="SHA-512" hashValue="CHipOQaT63FWw628cQcXXJRZlrbNZ7OgmnEbDx38UmmH7z19GRYEzXFiVOzHAy1OAaAbST7g2bHZHDKQp2qm3w==" saltValue="iRVuL+373yLHv0ZHzS9qog==" spinCount="100000" sqref="AG561:AH561 AJ561 AL561" name="Rango2_88_7_5_9_4"/>
    <protectedRange algorithmName="SHA-512" hashValue="NkG6oHuDGvGBEiLAAq8MEJHEfLQUMyjihfH+DBXhT+eQW0r1yri7tOJEFRM9nbOejjjXiviq9RFo7KB7wF+xJA==" saltValue="bpjB0AAANu2X/PeR3eiFkA==" spinCount="100000" sqref="AM561:AS561" name="Rango2_88_65_9_4"/>
    <protectedRange algorithmName="SHA-512" hashValue="fPHvtIAf3pQeZUoAI9C2/vdXMHBpqqEq+67P5Ypyu4+9IWqs3yc9TZcMWQ0THLxUwqseQPyVvakuYFtCwJHsxA==" saltValue="QHIogSs2PrwAfdqa9PAOFQ==" spinCount="100000" sqref="AC561" name="Rango2_88_5_5_9_4"/>
    <protectedRange algorithmName="SHA-512" hashValue="LEEeiU6pKqm7TAP46VGlz0q+evvFwpT/0iLpRuWuQ7MacbP0OGL1/FSmrIEOg2rb6M+Jla2bPbVWiGag27j87w==" saltValue="HEVt+pS5OloNDlqSnzGLLw==" spinCount="100000" sqref="AI561" name="Rango2_8_7_9_4"/>
    <protectedRange algorithmName="SHA-512" hashValue="q2z5hEFmXS0v2chiPTC/VCoDWNlnhp+Xe6Ybfxe48vIsnB/KTJQxJv+pFUnCXfZ9T6vyJopuqFFNROfQTW/JUw==" saltValue="IctfdGJb5tOTpq+KPi9vww==" spinCount="100000" sqref="AE561:AF561" name="Rango2_88_39_12_3"/>
    <protectedRange algorithmName="SHA-512" hashValue="AYYX88LSDB6RDNMvSqt0KPGWPjBqTk56tMxTOlv5QD61MGTKAAQnSnudvNDWPN0Bbllh2qRQC+P5uq7goxjdrw==" saltValue="i/iPMewnks1FoXYOjKMEVg==" spinCount="100000" sqref="AB561" name="Rango2_87_6_9_4"/>
    <protectedRange algorithmName="SHA-512" hashValue="NUll9P9xh7KbSfMYpMxsRZLfDw/y/AzW2LSWlpXVscBDqiAxmzo71xjs+a2lh+jRa7pceOC849slke4+ZKx8LA==" saltValue="8qbkKpQ+CiQuLnqgShNvXA==" spinCount="100000" sqref="T561" name="Rango2_88_6_9_4"/>
    <protectedRange algorithmName="SHA-512" hashValue="KHhv3JU/LRdRrRTxxkgFceEHPZ5UzadmpZRZR3zmQRnPvkUJZuanRafIJ+qde0IWwLZSvFIQDyUAHq6v6k7XIg==" saltValue="2GKG1kCzVNNcn+vbOPuhJA==" spinCount="100000" sqref="Q561" name="Rango2_2_5_9_4"/>
    <protectedRange algorithmName="SHA-512" hashValue="XZw03RosI/l0z9FxmTtF29EdZ7P+4+ybhqoaAAUmURojSR5XbGfjC4f2i8gMqfY+RI9JvfdCA6PSh9TduXfUxA==" saltValue="5TPtLq2WoiRSae/yaDPnTw==" spinCount="100000" sqref="O561 R561:S561 U561:AA561 AV561 AT561" name="Rango2_99_30_3"/>
    <protectedRange algorithmName="SHA-512" hashValue="9+DNppQbWrLYYUMoJ+lyQctV2bX3Vq9kZnegLbpjTLP49It2ovUbcartuoQTeXgP+TGpY//7mDH/UQlFCKDGiA==" saltValue="KUnni6YEm00anzSSvyLqQA==" spinCount="100000" sqref="AD561" name="Rango2_62_3"/>
    <protectedRange algorithmName="SHA-512" hashValue="XZw03RosI/l0z9FxmTtF29EdZ7P+4+ybhqoaAAUmURojSR5XbGfjC4f2i8gMqfY+RI9JvfdCA6PSh9TduXfUxA==" saltValue="5TPtLq2WoiRSae/yaDPnTw==" spinCount="100000" sqref="BJ561:BK561" name="Rango2_99_36_4"/>
    <protectedRange algorithmName="SHA-512" hashValue="RQ91b7oAw60DVtcgB2vRpial2kSdzJx5guGCTYUwXYkKrtrUHfiYnLf9R+SNpYXlJDYpyEJLhcWwP0EqNN86dQ==" saltValue="W3RbH3zrcY9sy39xNwXNxg==" spinCount="100000" sqref="BV561:BY561" name="Rango2_88_99_24_3"/>
    <protectedRange algorithmName="SHA-512" hashValue="XZw03RosI/l0z9FxmTtF29EdZ7P+4+ybhqoaAAUmURojSR5XbGfjC4f2i8gMqfY+RI9JvfdCA6PSh9TduXfUxA==" saltValue="5TPtLq2WoiRSae/yaDPnTw==" spinCount="100000" sqref="BR561:BU561 BZ561:CB561" name="Rango2_99_48_3"/>
    <protectedRange algorithmName="SHA-512" hashValue="XZw03RosI/l0z9FxmTtF29EdZ7P+4+ybhqoaAAUmURojSR5XbGfjC4f2i8gMqfY+RI9JvfdCA6PSh9TduXfUxA==" saltValue="5TPtLq2WoiRSae/yaDPnTw==" spinCount="100000" sqref="CJ561:CK561 CS561:CT561 CP561:CQ561 CV561:CY561 CE561:CF561 DA561:DN561" name="Rango2_99_54_3"/>
    <protectedRange sqref="EA552:EJ553" name="Rango2_99_18_2"/>
    <protectedRange sqref="FI552:FI553 EO552:EO553 ER552:ES553 EV552:EW553 FF552:FF553" name="Rango2_99_21_2"/>
    <protectedRange sqref="EN552:EN553 FH552:FH553 FC552:FC553 EY552:FA553 FE552:FE553" name="Rango2_43_1"/>
    <protectedRange sqref="GN552:GN553 GW552:GW553 GQ552:GR553" name="Rango2_30_2_3_1"/>
    <protectedRange sqref="GF552:GF553" name="Rango2_31_28_3_1"/>
    <protectedRange sqref="FY552:FY553 GL552:GL553 GB552:GB553 GE552:GE553 GH552:GH553 GJ552:GJ553" name="Rango2_31_2_3_1"/>
    <protectedRange sqref="GY552:GZ553 GK552:GK553 GM552:GM553 FU552:FU553 GT552:GT553 FW552:FX553 FZ552:FZ553 GO552:GO553 HJ552:HJ553 FQ552:FR553" name="Rango2_99_24_3"/>
    <protectedRange sqref="GC552:GC553 GI552:GI553" name="Rango2_33_6_1"/>
    <protectedRange sqref="FT552:FT553" name="Rango2_30_4_1"/>
    <protectedRange sqref="FN552:FO553 FK552:FL553 GX552:GX553 HD552:HI553" name="Rango2_46_1"/>
    <protectedRange sqref="ID552:IJ553 IA552:IA553" name="Rango2_88_39_6_1"/>
    <protectedRange sqref="IL552:IM553 IB552:IB553 HU552:HZ553 IO552:IO553" name="Rango2_99_27_1"/>
    <protectedRange sqref="HS552:HT553" name="Rango2_49_1"/>
    <protectedRange sqref="EA554:EJ554" name="Rango2_99_18_3"/>
    <protectedRange sqref="FI554 EO554 ER554:ES554 EV554:EW554 FF554" name="Rango2_99_21_3"/>
    <protectedRange sqref="EN554 FH554 FC554 EY554:FA554 FE554" name="Rango2_43_2"/>
    <protectedRange sqref="GN554 GW554 GQ554:GR554" name="Rango2_30_2_3_2"/>
    <protectedRange sqref="GF554" name="Rango2_31_28_3_2"/>
    <protectedRange sqref="FY554 GL554 GB554 GE554 GH554 GJ554" name="Rango2_31_2_3_2"/>
    <protectedRange sqref="GY554:GZ554 GK554 GM554 FU554 GT554 FW554:FX554 FZ554 GO554 HJ554 FQ554:FR554" name="Rango2_99_24_4"/>
    <protectedRange sqref="GC554 GI554" name="Rango2_33_6_2"/>
    <protectedRange sqref="FT554" name="Rango2_30_4_2"/>
    <protectedRange sqref="FN554:FO554 FK554:FL554 GX554 HD554:HI554" name="Rango2_46_2"/>
    <protectedRange sqref="ID554:IJ554 IA554" name="Rango2_88_39_6_2"/>
    <protectedRange sqref="IL554:IM554 IB554 HU554:HZ554 IO554" name="Rango2_99_27_2"/>
    <protectedRange sqref="HS554:HT554" name="Rango2_49_2"/>
    <protectedRange sqref="EA555:EJ555" name="Rango2_99_18_4"/>
    <protectedRange sqref="FI555 EO555 ER555:ES555 EV555:EW555 FF555" name="Rango2_99_21_4"/>
    <protectedRange sqref="EN555 FH555 FC555 EY555:FA555 FE555" name="Rango2_43_3"/>
    <protectedRange sqref="GN555 GW555 GQ555:GR555" name="Rango2_30_2_3_3"/>
    <protectedRange sqref="GF555" name="Rango2_31_28_3_3"/>
    <protectedRange sqref="FY555 GL555 GB555 GE555 GH555 GJ555" name="Rango2_31_2_3_3"/>
    <protectedRange sqref="GY555:GZ555 GK555 GM555 FU555 GT555 FW555:FX555 FZ555 GO555 HJ555 FQ555:FR555" name="Rango2_99_24_5"/>
    <protectedRange sqref="GC555 GI555" name="Rango2_33_6_3"/>
    <protectedRange sqref="FT555" name="Rango2_30_4_3"/>
    <protectedRange sqref="FN555:FO555 FK555:FL555 GX555 HD555:HI555" name="Rango2_46_3"/>
    <protectedRange sqref="ID555:IJ555 IA555" name="Rango2_88_39_6_3"/>
    <protectedRange sqref="IL555:IM555 IB555 HU555:HZ555 IO555" name="Rango2_99_27_3"/>
    <protectedRange sqref="HS555:HT555" name="Rango2_49_3"/>
    <protectedRange algorithmName="SHA-512" hashValue="XZw03RosI/l0z9FxmTtF29EdZ7P+4+ybhqoaAAUmURojSR5XbGfjC4f2i8gMqfY+RI9JvfdCA6PSh9TduXfUxA==" saltValue="5TPtLq2WoiRSae/yaDPnTw==" spinCount="100000" sqref="ER556:ES556 EV556:EW556 FF556 EA556:EJ556 EO556 FI556" name="Rango2_99_56_5"/>
    <protectedRange algorithmName="SHA-512" hashValue="9+DNppQbWrLYYUMoJ+lyQctV2bX3Vq9kZnegLbpjTLP49It2ovUbcartuoQTeXgP+TGpY//7mDH/UQlFCKDGiA==" saltValue="KUnni6YEm00anzSSvyLqQA==" spinCount="100000" sqref="FE556 EY556:FA556 FC556 FH556 EN556" name="Rango2_81_1"/>
    <protectedRange algorithmName="SHA-512" hashValue="EEHzbvEYwO1eufllBljOz0uf9BJ2ENtvOScQ7IsS321QhYbwKn7qhHKKP8cKj02rTDvVRMWvwQ1ZP0mZWsBprQ==" saltValue="CjXqBRFbKezlWOFV37MnDQ==" spinCount="100000" sqref="GQ556:GR556 GW556 GN556" name="Rango2_30_2_5_1"/>
    <protectedRange algorithmName="SHA-512" hashValue="Rgskw+AQdeJ5qbJdarzTa3SCkJfDGziy0Uan5N0F3IWn/H3Z/e+VcB56R7Nes7MPxNHewNP1sSSucVjz3iTLeA==" saltValue="qKZH3DnwaZHBzy3cBZo1qQ==" spinCount="100000" sqref="GF556" name="Rango2_31_28_5_1"/>
    <protectedRange algorithmName="SHA-512" hashValue="Umj9+5Ys20VQPxBFtc6qE5LtKKSgPKwit+B8dd4XnEUaLfBM2ozpkEC4YxwK0SbBiAHDDex+pY+LomQ0lyuamQ==" saltValue="N2/MCRws+mmA+NXw0axolg==" spinCount="100000" sqref="GJ556 GH556 GE556 GL556 FY556" name="Rango2_31_2_5_1"/>
    <protectedRange algorithmName="SHA-512" hashValue="XZw03RosI/l0z9FxmTtF29EdZ7P+4+ybhqoaAAUmURojSR5XbGfjC4f2i8gMqfY+RI9JvfdCA6PSh9TduXfUxA==" saltValue="5TPtLq2WoiRSae/yaDPnTw==" spinCount="100000" sqref="FQ556:FR556 GO556 GT556 FZ556 FW556:FX556 FU556 GM556 GK556 GY556:GZ556 HJ556" name="Rango2_99_62_1"/>
    <protectedRange algorithmName="SHA-512" hashValue="YXHanhqXL0e4jPrzkCF8r/22WmlCviFUW909WKuG1JOcU0mp0/Huh0aP3EaGYxV2ep0WGu48HsShAy4Ka2uOiw==" saltValue="h/7U5iwJm7DLR4tRVfwZYw==" spinCount="100000" sqref="GC556 GI556" name="Rango2_33_14_2"/>
    <protectedRange algorithmName="SHA-512" hashValue="pL4tgTKqwEsWSIEGFTBd+4pvEhE7d5Q99Eijs+L/Y1rhA0saQGGRJw5Pv2HLOP0quglztFwB6WVnQ1YGxd4AiQ==" saltValue="IF5mhk2RcoEjrcYppes1VA==" spinCount="100000" sqref="FT556" name="Rango2_30_6_1"/>
    <protectedRange algorithmName="SHA-512" hashValue="9+DNppQbWrLYYUMoJ+lyQctV2bX3Vq9kZnegLbpjTLP49It2ovUbcartuoQTeXgP+TGpY//7mDH/UQlFCKDGiA==" saltValue="KUnni6YEm00anzSSvyLqQA==" spinCount="100000" sqref="GX556 FK556:FL556 FN556:FO556 HD556:HI556" name="Rango2_90_1"/>
    <protectedRange algorithmName="SHA-512" hashValue="q2z5hEFmXS0v2chiPTC/VCoDWNlnhp+Xe6Ybfxe48vIsnB/KTJQxJv+pFUnCXfZ9T6vyJopuqFFNROfQTW/JUw==" saltValue="IctfdGJb5tOTpq+KPi9vww==" spinCount="100000" sqref="ID556:IJ556 IA556" name="Rango2_88_39_14_1"/>
    <protectedRange algorithmName="SHA-512" hashValue="XZw03RosI/l0z9FxmTtF29EdZ7P+4+ybhqoaAAUmURojSR5XbGfjC4f2i8gMqfY+RI9JvfdCA6PSh9TduXfUxA==" saltValue="5TPtLq2WoiRSae/yaDPnTw==" spinCount="100000" sqref="IB556 IL556:IM556 HU556:HZ556 IO556" name="Rango2_99_68_1"/>
    <protectedRange algorithmName="SHA-512" hashValue="9+DNppQbWrLYYUMoJ+lyQctV2bX3Vq9kZnegLbpjTLP49It2ovUbcartuoQTeXgP+TGpY//7mDH/UQlFCKDGiA==" saltValue="KUnni6YEm00anzSSvyLqQA==" spinCount="100000" sqref="HS556:HT556" name="Rango2_98_1"/>
    <protectedRange algorithmName="SHA-512" hashValue="XZw03RosI/l0z9FxmTtF29EdZ7P+4+ybhqoaAAUmURojSR5XbGfjC4f2i8gMqfY+RI9JvfdCA6PSh9TduXfUxA==" saltValue="5TPtLq2WoiRSae/yaDPnTw==" spinCount="100000" sqref="ER557:ES557 EV557:EW557 FF557 EA557:EJ557 EO557 FI557" name="Rango2_99_58_1"/>
    <protectedRange algorithmName="SHA-512" hashValue="9+DNppQbWrLYYUMoJ+lyQctV2bX3Vq9kZnegLbpjTLP49It2ovUbcartuoQTeXgP+TGpY//7mDH/UQlFCKDGiA==" saltValue="KUnni6YEm00anzSSvyLqQA==" spinCount="100000" sqref="FE557 EY557:FA557 FC557 FH557 EN557" name="Rango2_83_1"/>
    <protectedRange algorithmName="SHA-512" hashValue="XZw03RosI/l0z9FxmTtF29EdZ7P+4+ybhqoaAAUmURojSR5XbGfjC4f2i8gMqfY+RI9JvfdCA6PSh9TduXfUxA==" saltValue="5TPtLq2WoiRSae/yaDPnTw==" spinCount="100000" sqref="ER558:ES558 EV558:EW558 FF558 EA558:EJ558 EO558 FI558" name="Rango2_99_59_1"/>
    <protectedRange algorithmName="SHA-512" hashValue="9+DNppQbWrLYYUMoJ+lyQctV2bX3Vq9kZnegLbpjTLP49It2ovUbcartuoQTeXgP+TGpY//7mDH/UQlFCKDGiA==" saltValue="KUnni6YEm00anzSSvyLqQA==" spinCount="100000" sqref="FE558 EY558:FA558 FC558 FH558 EN558" name="Rango2_85_1"/>
    <protectedRange algorithmName="SHA-512" hashValue="EEHzbvEYwO1eufllBljOz0uf9BJ2ENtvOScQ7IsS321QhYbwKn7qhHKKP8cKj02rTDvVRMWvwQ1ZP0mZWsBprQ==" saltValue="CjXqBRFbKezlWOFV37MnDQ==" spinCount="100000" sqref="GQ557:GR557 GW557 GN557" name="Rango2_30_2_7_1"/>
    <protectedRange algorithmName="SHA-512" hashValue="Rgskw+AQdeJ5qbJdarzTa3SCkJfDGziy0Uan5N0F3IWn/H3Z/e+VcB56R7Nes7MPxNHewNP1sSSucVjz3iTLeA==" saltValue="qKZH3DnwaZHBzy3cBZo1qQ==" spinCount="100000" sqref="GF557" name="Rango2_31_28_7_1"/>
    <protectedRange algorithmName="SHA-512" hashValue="Umj9+5Ys20VQPxBFtc6qE5LtKKSgPKwit+B8dd4XnEUaLfBM2ozpkEC4YxwK0SbBiAHDDex+pY+LomQ0lyuamQ==" saltValue="N2/MCRws+mmA+NXw0axolg==" spinCount="100000" sqref="GJ557 GH557 GE557 GL557 FY557" name="Rango2_31_2_7_1"/>
    <protectedRange algorithmName="SHA-512" hashValue="XZw03RosI/l0z9FxmTtF29EdZ7P+4+ybhqoaAAUmURojSR5XbGfjC4f2i8gMqfY+RI9JvfdCA6PSh9TduXfUxA==" saltValue="5TPtLq2WoiRSae/yaDPnTw==" spinCount="100000" sqref="FQ557:FR557 GO557 GT557 FZ557 FW557:FX557 FU557 GM557 GK557 GY557:GZ557 HJ557" name="Rango2_99_64_1"/>
    <protectedRange algorithmName="SHA-512" hashValue="YXHanhqXL0e4jPrzkCF8r/22WmlCviFUW909WKuG1JOcU0mp0/Huh0aP3EaGYxV2ep0WGu48HsShAy4Ka2uOiw==" saltValue="h/7U5iwJm7DLR4tRVfwZYw==" spinCount="100000" sqref="GC557 GI557" name="Rango2_33_16_2"/>
    <protectedRange algorithmName="SHA-512" hashValue="pL4tgTKqwEsWSIEGFTBd+4pvEhE7d5Q99Eijs+L/Y1rhA0saQGGRJw5Pv2HLOP0quglztFwB6WVnQ1YGxd4AiQ==" saltValue="IF5mhk2RcoEjrcYppes1VA==" spinCount="100000" sqref="FT557" name="Rango2_30_8_1"/>
    <protectedRange algorithmName="SHA-512" hashValue="9+DNppQbWrLYYUMoJ+lyQctV2bX3Vq9kZnegLbpjTLP49It2ovUbcartuoQTeXgP+TGpY//7mDH/UQlFCKDGiA==" saltValue="KUnni6YEm00anzSSvyLqQA==" spinCount="100000" sqref="GX557 FK557:FL557 FN557:FO557 HD557:HI557" name="Rango2_92_1"/>
    <protectedRange algorithmName="SHA-512" hashValue="EEHzbvEYwO1eufllBljOz0uf9BJ2ENtvOScQ7IsS321QhYbwKn7qhHKKP8cKj02rTDvVRMWvwQ1ZP0mZWsBprQ==" saltValue="CjXqBRFbKezlWOFV37MnDQ==" spinCount="100000" sqref="GQ558:GR558 GW558 GN558" name="Rango2_30_2_8_1"/>
    <protectedRange algorithmName="SHA-512" hashValue="Rgskw+AQdeJ5qbJdarzTa3SCkJfDGziy0Uan5N0F3IWn/H3Z/e+VcB56R7Nes7MPxNHewNP1sSSucVjz3iTLeA==" saltValue="qKZH3DnwaZHBzy3cBZo1qQ==" spinCount="100000" sqref="GF558" name="Rango2_31_28_8_1"/>
    <protectedRange algorithmName="SHA-512" hashValue="Umj9+5Ys20VQPxBFtc6qE5LtKKSgPKwit+B8dd4XnEUaLfBM2ozpkEC4YxwK0SbBiAHDDex+pY+LomQ0lyuamQ==" saltValue="N2/MCRws+mmA+NXw0axolg==" spinCount="100000" sqref="GJ558 GH558 GE558 GL558 FY558" name="Rango2_31_2_8_1"/>
    <protectedRange algorithmName="SHA-512" hashValue="XZw03RosI/l0z9FxmTtF29EdZ7P+4+ybhqoaAAUmURojSR5XbGfjC4f2i8gMqfY+RI9JvfdCA6PSh9TduXfUxA==" saltValue="5TPtLq2WoiRSae/yaDPnTw==" spinCount="100000" sqref="FQ558:FR558 GO558 GT558 FZ558 FW558:FX558 FU558 GM558 GK558 GY558:GZ558 HJ558" name="Rango2_99_65_1"/>
    <protectedRange algorithmName="SHA-512" hashValue="YXHanhqXL0e4jPrzkCF8r/22WmlCviFUW909WKuG1JOcU0mp0/Huh0aP3EaGYxV2ep0WGu48HsShAy4Ka2uOiw==" saltValue="h/7U5iwJm7DLR4tRVfwZYw==" spinCount="100000" sqref="GC558 GI558" name="Rango2_33_17_2"/>
    <protectedRange algorithmName="SHA-512" hashValue="pL4tgTKqwEsWSIEGFTBd+4pvEhE7d5Q99Eijs+L/Y1rhA0saQGGRJw5Pv2HLOP0quglztFwB6WVnQ1YGxd4AiQ==" saltValue="IF5mhk2RcoEjrcYppes1VA==" spinCount="100000" sqref="FT558" name="Rango2_30_9_1"/>
    <protectedRange algorithmName="SHA-512" hashValue="9+DNppQbWrLYYUMoJ+lyQctV2bX3Vq9kZnegLbpjTLP49It2ovUbcartuoQTeXgP+TGpY//7mDH/UQlFCKDGiA==" saltValue="KUnni6YEm00anzSSvyLqQA==" spinCount="100000" sqref="GX558 FK558:FL558 FN558:FO558 HD558:HI558" name="Rango2_93_1"/>
    <protectedRange algorithmName="SHA-512" hashValue="q2z5hEFmXS0v2chiPTC/VCoDWNlnhp+Xe6Ybfxe48vIsnB/KTJQxJv+pFUnCXfZ9T6vyJopuqFFNROfQTW/JUw==" saltValue="IctfdGJb5tOTpq+KPi9vww==" spinCount="100000" sqref="ID557:IJ557 IA557" name="Rango2_88_39_16_1"/>
    <protectedRange algorithmName="SHA-512" hashValue="XZw03RosI/l0z9FxmTtF29EdZ7P+4+ybhqoaAAUmURojSR5XbGfjC4f2i8gMqfY+RI9JvfdCA6PSh9TduXfUxA==" saltValue="5TPtLq2WoiRSae/yaDPnTw==" spinCount="100000" sqref="IB557 IL557:IM557 HU557:HZ557 IO557" name="Rango2_99_70_5"/>
    <protectedRange algorithmName="SHA-512" hashValue="q2z5hEFmXS0v2chiPTC/VCoDWNlnhp+Xe6Ybfxe48vIsnB/KTJQxJv+pFUnCXfZ9T6vyJopuqFFNROfQTW/JUw==" saltValue="IctfdGJb5tOTpq+KPi9vww==" spinCount="100000" sqref="ID558:IJ558 IA558" name="Rango2_88_39_17_1"/>
    <protectedRange algorithmName="SHA-512" hashValue="XZw03RosI/l0z9FxmTtF29EdZ7P+4+ybhqoaAAUmURojSR5XbGfjC4f2i8gMqfY+RI9JvfdCA6PSh9TduXfUxA==" saltValue="5TPtLq2WoiRSae/yaDPnTw==" spinCount="100000" sqref="IB558 IL558:IM558 HU558:HZ558 IO558" name="Rango2_99_71_1"/>
    <protectedRange algorithmName="SHA-512" hashValue="XZw03RosI/l0z9FxmTtF29EdZ7P+4+ybhqoaAAUmURojSR5XbGfjC4f2i8gMqfY+RI9JvfdCA6PSh9TduXfUxA==" saltValue="5TPtLq2WoiRSae/yaDPnTw==" spinCount="100000" sqref="ER559:ES559 EV559:EW559 FF559 EA559:EJ559 EO559 FI559" name="Rango2_99_60_1"/>
    <protectedRange algorithmName="SHA-512" hashValue="9+DNppQbWrLYYUMoJ+lyQctV2bX3Vq9kZnegLbpjTLP49It2ovUbcartuoQTeXgP+TGpY//7mDH/UQlFCKDGiA==" saltValue="KUnni6YEm00anzSSvyLqQA==" spinCount="100000" sqref="FE559 EY559:FA559 FC559 FH559 EN559" name="Rango2_86_1"/>
    <protectedRange algorithmName="SHA-512" hashValue="EEHzbvEYwO1eufllBljOz0uf9BJ2ENtvOScQ7IsS321QhYbwKn7qhHKKP8cKj02rTDvVRMWvwQ1ZP0mZWsBprQ==" saltValue="CjXqBRFbKezlWOFV37MnDQ==" spinCount="100000" sqref="GQ559:GR559 GW559 GN559" name="Rango2_30_2_9_1"/>
    <protectedRange algorithmName="SHA-512" hashValue="Rgskw+AQdeJ5qbJdarzTa3SCkJfDGziy0Uan5N0F3IWn/H3Z/e+VcB56R7Nes7MPxNHewNP1sSSucVjz3iTLeA==" saltValue="qKZH3DnwaZHBzy3cBZo1qQ==" spinCount="100000" sqref="GF559" name="Rango2_31_28_9_1"/>
    <protectedRange algorithmName="SHA-512" hashValue="Umj9+5Ys20VQPxBFtc6qE5LtKKSgPKwit+B8dd4XnEUaLfBM2ozpkEC4YxwK0SbBiAHDDex+pY+LomQ0lyuamQ==" saltValue="N2/MCRws+mmA+NXw0axolg==" spinCount="100000" sqref="GJ559 GH559 GE559 GB559 GL559 FY559" name="Rango2_31_2_9_1"/>
    <protectedRange algorithmName="SHA-512" hashValue="XZw03RosI/l0z9FxmTtF29EdZ7P+4+ybhqoaAAUmURojSR5XbGfjC4f2i8gMqfY+RI9JvfdCA6PSh9TduXfUxA==" saltValue="5TPtLq2WoiRSae/yaDPnTw==" spinCount="100000" sqref="FQ559:FR559 GO559 GT559 FZ559 FW559:FX559 FU559 GM559 GK559 GY559:GZ559 HJ559" name="Rango2_99_66_1"/>
    <protectedRange algorithmName="SHA-512" hashValue="YXHanhqXL0e4jPrzkCF8r/22WmlCviFUW909WKuG1JOcU0mp0/Huh0aP3EaGYxV2ep0WGu48HsShAy4Ka2uOiw==" saltValue="h/7U5iwJm7DLR4tRVfwZYw==" spinCount="100000" sqref="GC559 GI559" name="Rango2_33_18_2"/>
    <protectedRange algorithmName="SHA-512" hashValue="pL4tgTKqwEsWSIEGFTBd+4pvEhE7d5Q99Eijs+L/Y1rhA0saQGGRJw5Pv2HLOP0quglztFwB6WVnQ1YGxd4AiQ==" saltValue="IF5mhk2RcoEjrcYppes1VA==" spinCount="100000" sqref="FT559" name="Rango2_30_10_1"/>
    <protectedRange algorithmName="SHA-512" hashValue="9+DNppQbWrLYYUMoJ+lyQctV2bX3Vq9kZnegLbpjTLP49It2ovUbcartuoQTeXgP+TGpY//7mDH/UQlFCKDGiA==" saltValue="KUnni6YEm00anzSSvyLqQA==" spinCount="100000" sqref="GX559 FK559:FL559 FN559:FO559 HD559:HI559" name="Rango2_94_1"/>
    <protectedRange algorithmName="SHA-512" hashValue="q2z5hEFmXS0v2chiPTC/VCoDWNlnhp+Xe6Ybfxe48vIsnB/KTJQxJv+pFUnCXfZ9T6vyJopuqFFNROfQTW/JUw==" saltValue="IctfdGJb5tOTpq+KPi9vww==" spinCount="100000" sqref="ID559:IJ559 IA559" name="Rango2_88_39_18_1"/>
    <protectedRange algorithmName="SHA-512" hashValue="XZw03RosI/l0z9FxmTtF29EdZ7P+4+ybhqoaAAUmURojSR5XbGfjC4f2i8gMqfY+RI9JvfdCA6PSh9TduXfUxA==" saltValue="5TPtLq2WoiRSae/yaDPnTw==" spinCount="100000" sqref="IB559 IL559:IM559 HU559:HZ559 IO559" name="Rango2_99_72_1"/>
    <protectedRange algorithmName="SHA-512" hashValue="XZw03RosI/l0z9FxmTtF29EdZ7P+4+ybhqoaAAUmURojSR5XbGfjC4f2i8gMqfY+RI9JvfdCA6PSh9TduXfUxA==" saltValue="5TPtLq2WoiRSae/yaDPnTw==" spinCount="100000" sqref="ER560:ES560 EV560:EW560 FF560 EA560:EJ560 EO560 FI560" name="Rango2_99_60_2"/>
    <protectedRange algorithmName="SHA-512" hashValue="9+DNppQbWrLYYUMoJ+lyQctV2bX3Vq9kZnegLbpjTLP49It2ovUbcartuoQTeXgP+TGpY//7mDH/UQlFCKDGiA==" saltValue="KUnni6YEm00anzSSvyLqQA==" spinCount="100000" sqref="FE560 EY560:FA560 FC560 FH560 EN560" name="Rango2_86_2"/>
    <protectedRange algorithmName="SHA-512" hashValue="EEHzbvEYwO1eufllBljOz0uf9BJ2ENtvOScQ7IsS321QhYbwKn7qhHKKP8cKj02rTDvVRMWvwQ1ZP0mZWsBprQ==" saltValue="CjXqBRFbKezlWOFV37MnDQ==" spinCount="100000" sqref="GQ560:GR560 GW560 GN560" name="Rango2_30_2_9_2"/>
    <protectedRange algorithmName="SHA-512" hashValue="Rgskw+AQdeJ5qbJdarzTa3SCkJfDGziy0Uan5N0F3IWn/H3Z/e+VcB56R7Nes7MPxNHewNP1sSSucVjz3iTLeA==" saltValue="qKZH3DnwaZHBzy3cBZo1qQ==" spinCount="100000" sqref="GF560" name="Rango2_31_28_9_2"/>
    <protectedRange algorithmName="SHA-512" hashValue="Umj9+5Ys20VQPxBFtc6qE5LtKKSgPKwit+B8dd4XnEUaLfBM2ozpkEC4YxwK0SbBiAHDDex+pY+LomQ0lyuamQ==" saltValue="N2/MCRws+mmA+NXw0axolg==" spinCount="100000" sqref="GJ560 GH560 GE560 GB560 GL560 FY560" name="Rango2_31_2_9_2"/>
    <protectedRange algorithmName="SHA-512" hashValue="XZw03RosI/l0z9FxmTtF29EdZ7P+4+ybhqoaAAUmURojSR5XbGfjC4f2i8gMqfY+RI9JvfdCA6PSh9TduXfUxA==" saltValue="5TPtLq2WoiRSae/yaDPnTw==" spinCount="100000" sqref="FQ560:FR560 GO560 GT560 FZ560 FW560:FX560 FU560 GM560 GK560 GY560:GZ560 HJ560" name="Rango2_99_66_2"/>
    <protectedRange algorithmName="SHA-512" hashValue="YXHanhqXL0e4jPrzkCF8r/22WmlCviFUW909WKuG1JOcU0mp0/Huh0aP3EaGYxV2ep0WGu48HsShAy4Ka2uOiw==" saltValue="h/7U5iwJm7DLR4tRVfwZYw==" spinCount="100000" sqref="GC560 GI560" name="Rango2_33_18_3"/>
    <protectedRange algorithmName="SHA-512" hashValue="pL4tgTKqwEsWSIEGFTBd+4pvEhE7d5Q99Eijs+L/Y1rhA0saQGGRJw5Pv2HLOP0quglztFwB6WVnQ1YGxd4AiQ==" saltValue="IF5mhk2RcoEjrcYppes1VA==" spinCount="100000" sqref="FT560" name="Rango2_30_10_2"/>
    <protectedRange algorithmName="SHA-512" hashValue="9+DNppQbWrLYYUMoJ+lyQctV2bX3Vq9kZnegLbpjTLP49It2ovUbcartuoQTeXgP+TGpY//7mDH/UQlFCKDGiA==" saltValue="KUnni6YEm00anzSSvyLqQA==" spinCount="100000" sqref="GX560 FK560:FL560 FN560:FO560 HD560:HI560" name="Rango2_94_2"/>
    <protectedRange algorithmName="SHA-512" hashValue="q2z5hEFmXS0v2chiPTC/VCoDWNlnhp+Xe6Ybfxe48vIsnB/KTJQxJv+pFUnCXfZ9T6vyJopuqFFNROfQTW/JUw==" saltValue="IctfdGJb5tOTpq+KPi9vww==" spinCount="100000" sqref="ID560:IJ560 IA560" name="Rango2_88_39_18_2"/>
    <protectedRange algorithmName="SHA-512" hashValue="XZw03RosI/l0z9FxmTtF29EdZ7P+4+ybhqoaAAUmURojSR5XbGfjC4f2i8gMqfY+RI9JvfdCA6PSh9TduXfUxA==" saltValue="5TPtLq2WoiRSae/yaDPnTw==" spinCount="100000" sqref="IB560 IL560:IM560 HU560:HZ560 IO560" name="Rango2_99_72_2"/>
    <protectedRange algorithmName="SHA-512" hashValue="XZw03RosI/l0z9FxmTtF29EdZ7P+4+ybhqoaAAUmURojSR5XbGfjC4f2i8gMqfY+RI9JvfdCA6PSh9TduXfUxA==" saltValue="5TPtLq2WoiRSae/yaDPnTw==" spinCount="100000" sqref="ER561:ES561 EV561:EW561 FF561 EA561:EJ561 EO561 FI561" name="Rango2_99_60_3"/>
    <protectedRange algorithmName="SHA-512" hashValue="9+DNppQbWrLYYUMoJ+lyQctV2bX3Vq9kZnegLbpjTLP49It2ovUbcartuoQTeXgP+TGpY//7mDH/UQlFCKDGiA==" saltValue="KUnni6YEm00anzSSvyLqQA==" spinCount="100000" sqref="FE561 EY561:FA561 FC561 FH561 EN561" name="Rango2_86_3"/>
    <protectedRange algorithmName="SHA-512" hashValue="EEHzbvEYwO1eufllBljOz0uf9BJ2ENtvOScQ7IsS321QhYbwKn7qhHKKP8cKj02rTDvVRMWvwQ1ZP0mZWsBprQ==" saltValue="CjXqBRFbKezlWOFV37MnDQ==" spinCount="100000" sqref="GQ561:GR561 GW561 GN561" name="Rango2_30_2_9_3"/>
    <protectedRange algorithmName="SHA-512" hashValue="Rgskw+AQdeJ5qbJdarzTa3SCkJfDGziy0Uan5N0F3IWn/H3Z/e+VcB56R7Nes7MPxNHewNP1sSSucVjz3iTLeA==" saltValue="qKZH3DnwaZHBzy3cBZo1qQ==" spinCount="100000" sqref="GF561" name="Rango2_31_28_9_3"/>
    <protectedRange algorithmName="SHA-512" hashValue="Umj9+5Ys20VQPxBFtc6qE5LtKKSgPKwit+B8dd4XnEUaLfBM2ozpkEC4YxwK0SbBiAHDDex+pY+LomQ0lyuamQ==" saltValue="N2/MCRws+mmA+NXw0axolg==" spinCount="100000" sqref="GJ561 GH561 GE561 GB561 GL561 FY561" name="Rango2_31_2_9_3"/>
    <protectedRange algorithmName="SHA-512" hashValue="XZw03RosI/l0z9FxmTtF29EdZ7P+4+ybhqoaAAUmURojSR5XbGfjC4f2i8gMqfY+RI9JvfdCA6PSh9TduXfUxA==" saltValue="5TPtLq2WoiRSae/yaDPnTw==" spinCount="100000" sqref="FQ561:FR561 GO561 GT561 FZ561 FW561:FX561 FU561 GM561 GK561 GY561:GZ561 HJ561" name="Rango2_99_66_3"/>
    <protectedRange algorithmName="SHA-512" hashValue="YXHanhqXL0e4jPrzkCF8r/22WmlCviFUW909WKuG1JOcU0mp0/Huh0aP3EaGYxV2ep0WGu48HsShAy4Ka2uOiw==" saltValue="h/7U5iwJm7DLR4tRVfwZYw==" spinCount="100000" sqref="GC561 GI561" name="Rango2_33_18_4"/>
    <protectedRange algorithmName="SHA-512" hashValue="pL4tgTKqwEsWSIEGFTBd+4pvEhE7d5Q99Eijs+L/Y1rhA0saQGGRJw5Pv2HLOP0quglztFwB6WVnQ1YGxd4AiQ==" saltValue="IF5mhk2RcoEjrcYppes1VA==" spinCount="100000" sqref="FT561" name="Rango2_30_10_3"/>
    <protectedRange algorithmName="SHA-512" hashValue="9+DNppQbWrLYYUMoJ+lyQctV2bX3Vq9kZnegLbpjTLP49It2ovUbcartuoQTeXgP+TGpY//7mDH/UQlFCKDGiA==" saltValue="KUnni6YEm00anzSSvyLqQA==" spinCount="100000" sqref="GX561 FK561:FL561 FN561:FO561 HD561:HI561" name="Rango2_94_3"/>
    <protectedRange algorithmName="SHA-512" hashValue="q2z5hEFmXS0v2chiPTC/VCoDWNlnhp+Xe6Ybfxe48vIsnB/KTJQxJv+pFUnCXfZ9T6vyJopuqFFNROfQTW/JUw==" saltValue="IctfdGJb5tOTpq+KPi9vww==" spinCount="100000" sqref="ID561:IJ561 IA561" name="Rango2_88_39_18_3"/>
    <protectedRange algorithmName="SHA-512" hashValue="XZw03RosI/l0z9FxmTtF29EdZ7P+4+ybhqoaAAUmURojSR5XbGfjC4f2i8gMqfY+RI9JvfdCA6PSh9TduXfUxA==" saltValue="5TPtLq2WoiRSae/yaDPnTw==" spinCount="100000" sqref="IB561 IL561:IM561 HU561:HZ561 IO561" name="Rango2_99_72_3"/>
    <protectedRange sqref="IS552:IS553" name="Rango2_40_2_3_1"/>
    <protectedRange sqref="IW552:IW553" name="Rango2_41_3_1"/>
    <protectedRange sqref="IT552:IV553 IX552:IX553 IZ552:JM553 JO552:JW553 JY552:KF553 KH552:KH553 KJ552:MP553" name="Rango2_49_4"/>
    <protectedRange sqref="IS554" name="Rango2_40_2_3_2"/>
    <protectedRange sqref="IW554" name="Rango2_41_3_2"/>
    <protectedRange sqref="IT554:IV554 IX554 IZ554:JM554 JO554:JW554 JY554:KF554 KH554 KJ554:MP554" name="Rango2_49_5"/>
    <protectedRange sqref="IS555" name="Rango2_40_2_3_3"/>
    <protectedRange sqref="IW555" name="Rango2_41_3_3"/>
    <protectedRange sqref="IT555:IV555 IX555 IZ555:JM555 JO555:JW555 JY555:KF555 KH555 KJ555:MP555" name="Rango2_49_6"/>
    <protectedRange algorithmName="SHA-512" hashValue="Gqwr8n5jYbCESAqCFk8dpOzViQICBV+k0xoqBoQaZ5lHaRlvT9TZDB4yXtm+qC6OhD064ZDBOFWkwo+LHXu1sg==" saltValue="gEL9PCN2ekF2IxW9yqAGYA==" spinCount="100000" sqref="IS556" name="Rango2_40_2_5_2"/>
    <protectedRange algorithmName="SHA-512" hashValue="D8TacORwT7iz0mF9GEucchnMHfB5er2FFjQsxyeWWyeJkM6Bt3gYQ3LbcHPxZXFpVAYtFOuTrzYOCJrlZDx16g==" saltValue="QtCzIBktdS4NZkOEGcLTRQ==" spinCount="100000" sqref="IW556" name="Rango2_41_5_2"/>
    <protectedRange algorithmName="SHA-512" hashValue="9+DNppQbWrLYYUMoJ+lyQctV2bX3Vq9kZnegLbpjTLP49It2ovUbcartuoQTeXgP+TGpY//7mDH/UQlFCKDGiA==" saltValue="KUnni6YEm00anzSSvyLqQA==" spinCount="100000" sqref="IT556:IV556 IX556 LC556:MP556 IZ556:JM556 JO556:JW556 JY556:KF556 KH556 KJ556:LA556" name="Rango2_98_2"/>
    <protectedRange algorithmName="SHA-512" hashValue="Gqwr8n5jYbCESAqCFk8dpOzViQICBV+k0xoqBoQaZ5lHaRlvT9TZDB4yXtm+qC6OhD064ZDBOFWkwo+LHXu1sg==" saltValue="gEL9PCN2ekF2IxW9yqAGYA==" spinCount="100000" sqref="IS557" name="Rango2_40_2_7_2"/>
    <protectedRange algorithmName="SHA-512" hashValue="D8TacORwT7iz0mF9GEucchnMHfB5er2FFjQsxyeWWyeJkM6Bt3gYQ3LbcHPxZXFpVAYtFOuTrzYOCJrlZDx16g==" saltValue="QtCzIBktdS4NZkOEGcLTRQ==" spinCount="100000" sqref="IW557" name="Rango2_41_7_2"/>
    <protectedRange algorithmName="SHA-512" hashValue="Gqwr8n5jYbCESAqCFk8dpOzViQICBV+k0xoqBoQaZ5lHaRlvT9TZDB4yXtm+qC6OhD064ZDBOFWkwo+LHXu1sg==" saltValue="gEL9PCN2ekF2IxW9yqAGYA==" spinCount="100000" sqref="IS558" name="Rango2_40_2_8_2"/>
    <protectedRange algorithmName="SHA-512" hashValue="D8TacORwT7iz0mF9GEucchnMHfB5er2FFjQsxyeWWyeJkM6Bt3gYQ3LbcHPxZXFpVAYtFOuTrzYOCJrlZDx16g==" saltValue="QtCzIBktdS4NZkOEGcLTRQ==" spinCount="100000" sqref="IW558" name="Rango2_41_8_2"/>
    <protectedRange algorithmName="SHA-512" hashValue="Gqwr8n5jYbCESAqCFk8dpOzViQICBV+k0xoqBoQaZ5lHaRlvT9TZDB4yXtm+qC6OhD064ZDBOFWkwo+LHXu1sg==" saltValue="gEL9PCN2ekF2IxW9yqAGYA==" spinCount="100000" sqref="IS559" name="Rango2_40_2_9_2"/>
    <protectedRange algorithmName="SHA-512" hashValue="D8TacORwT7iz0mF9GEucchnMHfB5er2FFjQsxyeWWyeJkM6Bt3gYQ3LbcHPxZXFpVAYtFOuTrzYOCJrlZDx16g==" saltValue="QtCzIBktdS4NZkOEGcLTRQ==" spinCount="100000" sqref="IW559" name="Rango2_41_9_2"/>
    <protectedRange algorithmName="SHA-512" hashValue="Gqwr8n5jYbCESAqCFk8dpOzViQICBV+k0xoqBoQaZ5lHaRlvT9TZDB4yXtm+qC6OhD064ZDBOFWkwo+LHXu1sg==" saltValue="gEL9PCN2ekF2IxW9yqAGYA==" spinCount="100000" sqref="IS560" name="Rango2_40_2_9_3"/>
    <protectedRange algorithmName="SHA-512" hashValue="D8TacORwT7iz0mF9GEucchnMHfB5er2FFjQsxyeWWyeJkM6Bt3gYQ3LbcHPxZXFpVAYtFOuTrzYOCJrlZDx16g==" saltValue="QtCzIBktdS4NZkOEGcLTRQ==" spinCount="100000" sqref="IW560" name="Rango2_41_9_3"/>
    <protectedRange algorithmName="SHA-512" hashValue="Gqwr8n5jYbCESAqCFk8dpOzViQICBV+k0xoqBoQaZ5lHaRlvT9TZDB4yXtm+qC6OhD064ZDBOFWkwo+LHXu1sg==" saltValue="gEL9PCN2ekF2IxW9yqAGYA==" spinCount="100000" sqref="IS561" name="Rango2_40_2_9_4"/>
    <protectedRange algorithmName="SHA-512" hashValue="D8TacORwT7iz0mF9GEucchnMHfB5er2FFjQsxyeWWyeJkM6Bt3gYQ3LbcHPxZXFpVAYtFOuTrzYOCJrlZDx16g==" saltValue="QtCzIBktdS4NZkOEGcLTRQ==" spinCount="100000" sqref="IW561" name="Rango2_41_9_4"/>
    <protectedRange algorithmName="SHA-512" hashValue="6a5oYwZw9WJcgjqXpleUXH8uaqNEuymPPpeOb7lKBc1WoM6IG/DNyDLWmj2lYwxnZO2yhl+B61kwrxD9m9AdhQ==" saltValue="tdNQPzLQd+n9Ww064QJIaQ==" spinCount="100000" sqref="I670" name="Rango2_61_40_1"/>
    <protectedRange algorithmName="SHA-512" hashValue="XM8+0Jh5zLWw02PI0Lt8dLqjTcW5ulySion19FAnruDN6QRp4UwcVqdfQxnOQAItgpWG7rNsELzjwy0iXOonxw==" saltValue="Sd4WFUedDfLKoMQTDrxJuQ==" spinCount="100000" sqref="K670" name="Rango2_88_4_4_40_1"/>
    <protectedRange algorithmName="SHA-512" hashValue="EMMPgE8t/az1rHHzaZAQIhz+GQV0k2O/tQGA96sJqEEMzz1efIRa4CcLzC7iY9CCscto3g7dwz41haOE28iXYg==" saltValue="CVzFsG4X4LXUMo7796PiDQ==" spinCount="100000" sqref="L670:M670 B670:H670 J670 C671:C706" name="Rango2_10_40_1"/>
    <protectedRange algorithmName="SHA-512" hashValue="6a5oYwZw9WJcgjqXpleUXH8uaqNEuymPPpeOb7lKBc1WoM6IG/DNyDLWmj2lYwxnZO2yhl+B61kwrxD9m9AdhQ==" saltValue="tdNQPzLQd+n9Ww064QJIaQ==" spinCount="100000" sqref="I671" name="Rango2_61_42_1"/>
    <protectedRange algorithmName="SHA-512" hashValue="XM8+0Jh5zLWw02PI0Lt8dLqjTcW5ulySion19FAnruDN6QRp4UwcVqdfQxnOQAItgpWG7rNsELzjwy0iXOonxw==" saltValue="Sd4WFUedDfLKoMQTDrxJuQ==" spinCount="100000" sqref="K671" name="Rango2_88_4_4_42_1"/>
    <protectedRange algorithmName="SHA-512" hashValue="EMMPgE8t/az1rHHzaZAQIhz+GQV0k2O/tQGA96sJqEEMzz1efIRa4CcLzC7iY9CCscto3g7dwz41haOE28iXYg==" saltValue="CVzFsG4X4LXUMo7796PiDQ==" spinCount="100000" sqref="L671:M671 B671 J671 D671:H671" name="Rango2_10_42_1"/>
    <protectedRange algorithmName="SHA-512" hashValue="6a5oYwZw9WJcgjqXpleUXH8uaqNEuymPPpeOb7lKBc1WoM6IG/DNyDLWmj2lYwxnZO2yhl+B61kwrxD9m9AdhQ==" saltValue="tdNQPzLQd+n9Ww064QJIaQ==" spinCount="100000" sqref="I672" name="Rango2_61_43_1"/>
    <protectedRange algorithmName="SHA-512" hashValue="XM8+0Jh5zLWw02PI0Lt8dLqjTcW5ulySion19FAnruDN6QRp4UwcVqdfQxnOQAItgpWG7rNsELzjwy0iXOonxw==" saltValue="Sd4WFUedDfLKoMQTDrxJuQ==" spinCount="100000" sqref="K672" name="Rango2_88_4_4_43_1"/>
    <protectedRange algorithmName="SHA-512" hashValue="EMMPgE8t/az1rHHzaZAQIhz+GQV0k2O/tQGA96sJqEEMzz1efIRa4CcLzC7iY9CCscto3g7dwz41haOE28iXYg==" saltValue="CVzFsG4X4LXUMo7796PiDQ==" spinCount="100000" sqref="L672:M672 B672 J672 D672:H672" name="Rango2_10_43_1"/>
    <protectedRange algorithmName="SHA-512" hashValue="6a5oYwZw9WJcgjqXpleUXH8uaqNEuymPPpeOb7lKBc1WoM6IG/DNyDLWmj2lYwxnZO2yhl+B61kwrxD9m9AdhQ==" saltValue="tdNQPzLQd+n9Ww064QJIaQ==" spinCount="100000" sqref="I673:I674" name="Rango2_61_45_1"/>
    <protectedRange algorithmName="SHA-512" hashValue="XM8+0Jh5zLWw02PI0Lt8dLqjTcW5ulySion19FAnruDN6QRp4UwcVqdfQxnOQAItgpWG7rNsELzjwy0iXOonxw==" saltValue="Sd4WFUedDfLKoMQTDrxJuQ==" spinCount="100000" sqref="K673:K674" name="Rango2_88_4_4_45_1"/>
    <protectedRange algorithmName="SHA-512" hashValue="EMMPgE8t/az1rHHzaZAQIhz+GQV0k2O/tQGA96sJqEEMzz1efIRa4CcLzC7iY9CCscto3g7dwz41haOE28iXYg==" saltValue="CVzFsG4X4LXUMo7796PiDQ==" spinCount="100000" sqref="L673:M674 B673:B674 J673:J674 D673:H674" name="Rango2_10_45_1"/>
    <protectedRange algorithmName="SHA-512" hashValue="6a5oYwZw9WJcgjqXpleUXH8uaqNEuymPPpeOb7lKBc1WoM6IG/DNyDLWmj2lYwxnZO2yhl+B61kwrxD9m9AdhQ==" saltValue="tdNQPzLQd+n9Ww064QJIaQ==" spinCount="100000" sqref="I675:I676" name="Rango2_61_46_1"/>
    <protectedRange algorithmName="SHA-512" hashValue="XM8+0Jh5zLWw02PI0Lt8dLqjTcW5ulySion19FAnruDN6QRp4UwcVqdfQxnOQAItgpWG7rNsELzjwy0iXOonxw==" saltValue="Sd4WFUedDfLKoMQTDrxJuQ==" spinCount="100000" sqref="K675:K676" name="Rango2_88_4_4_46_1"/>
    <protectedRange algorithmName="SHA-512" hashValue="EMMPgE8t/az1rHHzaZAQIhz+GQV0k2O/tQGA96sJqEEMzz1efIRa4CcLzC7iY9CCscto3g7dwz41haOE28iXYg==" saltValue="CVzFsG4X4LXUMo7796PiDQ==" spinCount="100000" sqref="L675:M676 B675:B676 J675:J676 D675:H676" name="Rango2_10_46_1"/>
    <protectedRange algorithmName="SHA-512" hashValue="6a5oYwZw9WJcgjqXpleUXH8uaqNEuymPPpeOb7lKBc1WoM6IG/DNyDLWmj2lYwxnZO2yhl+B61kwrxD9m9AdhQ==" saltValue="tdNQPzLQd+n9Ww064QJIaQ==" spinCount="100000" sqref="I677" name="Rango2_61_47_1"/>
    <protectedRange algorithmName="SHA-512" hashValue="XM8+0Jh5zLWw02PI0Lt8dLqjTcW5ulySion19FAnruDN6QRp4UwcVqdfQxnOQAItgpWG7rNsELzjwy0iXOonxw==" saltValue="Sd4WFUedDfLKoMQTDrxJuQ==" spinCount="100000" sqref="K677" name="Rango2_88_4_4_47_1"/>
    <protectedRange algorithmName="SHA-512" hashValue="EMMPgE8t/az1rHHzaZAQIhz+GQV0k2O/tQGA96sJqEEMzz1efIRa4CcLzC7iY9CCscto3g7dwz41haOE28iXYg==" saltValue="CVzFsG4X4LXUMo7796PiDQ==" spinCount="100000" sqref="L677:M677 B677 J677 D677:H677" name="Rango2_10_47_1"/>
    <protectedRange algorithmName="SHA-512" hashValue="6a5oYwZw9WJcgjqXpleUXH8uaqNEuymPPpeOb7lKBc1WoM6IG/DNyDLWmj2lYwxnZO2yhl+B61kwrxD9m9AdhQ==" saltValue="tdNQPzLQd+n9Ww064QJIaQ==" spinCount="100000" sqref="I678" name="Rango2_61_48_1"/>
    <protectedRange algorithmName="SHA-512" hashValue="XM8+0Jh5zLWw02PI0Lt8dLqjTcW5ulySion19FAnruDN6QRp4UwcVqdfQxnOQAItgpWG7rNsELzjwy0iXOonxw==" saltValue="Sd4WFUedDfLKoMQTDrxJuQ==" spinCount="100000" sqref="K678" name="Rango2_88_4_4_48_1"/>
    <protectedRange algorithmName="SHA-512" hashValue="EMMPgE8t/az1rHHzaZAQIhz+GQV0k2O/tQGA96sJqEEMzz1efIRa4CcLzC7iY9CCscto3g7dwz41haOE28iXYg==" saltValue="CVzFsG4X4LXUMo7796PiDQ==" spinCount="100000" sqref="L678:M678 B678 J678 D678:H678" name="Rango2_10_48_1"/>
    <protectedRange algorithmName="SHA-512" hashValue="6a5oYwZw9WJcgjqXpleUXH8uaqNEuymPPpeOb7lKBc1WoM6IG/DNyDLWmj2lYwxnZO2yhl+B61kwrxD9m9AdhQ==" saltValue="tdNQPzLQd+n9Ww064QJIaQ==" spinCount="100000" sqref="I679" name="Rango2_61_50_1"/>
    <protectedRange algorithmName="SHA-512" hashValue="XM8+0Jh5zLWw02PI0Lt8dLqjTcW5ulySion19FAnruDN6QRp4UwcVqdfQxnOQAItgpWG7rNsELzjwy0iXOonxw==" saltValue="Sd4WFUedDfLKoMQTDrxJuQ==" spinCount="100000" sqref="K679" name="Rango2_88_4_4_50_1"/>
    <protectedRange algorithmName="SHA-512" hashValue="EMMPgE8t/az1rHHzaZAQIhz+GQV0k2O/tQGA96sJqEEMzz1efIRa4CcLzC7iY9CCscto3g7dwz41haOE28iXYg==" saltValue="CVzFsG4X4LXUMo7796PiDQ==" spinCount="100000" sqref="L679:M679 B679 J679 D679:H679" name="Rango2_10_50_1"/>
    <protectedRange algorithmName="SHA-512" hashValue="6a5oYwZw9WJcgjqXpleUXH8uaqNEuymPPpeOb7lKBc1WoM6IG/DNyDLWmj2lYwxnZO2yhl+B61kwrxD9m9AdhQ==" saltValue="tdNQPzLQd+n9Ww064QJIaQ==" spinCount="100000" sqref="I680:I681" name="Rango2_61_51_1"/>
    <protectedRange algorithmName="SHA-512" hashValue="XM8+0Jh5zLWw02PI0Lt8dLqjTcW5ulySion19FAnruDN6QRp4UwcVqdfQxnOQAItgpWG7rNsELzjwy0iXOonxw==" saltValue="Sd4WFUedDfLKoMQTDrxJuQ==" spinCount="100000" sqref="K680:K681" name="Rango2_88_4_4_51_1"/>
    <protectedRange algorithmName="SHA-512" hashValue="EMMPgE8t/az1rHHzaZAQIhz+GQV0k2O/tQGA96sJqEEMzz1efIRa4CcLzC7iY9CCscto3g7dwz41haOE28iXYg==" saltValue="CVzFsG4X4LXUMo7796PiDQ==" spinCount="100000" sqref="L680:M681 B680:B681 J680:J681 D680:H681" name="Rango2_10_51_1"/>
    <protectedRange algorithmName="SHA-512" hashValue="6a5oYwZw9WJcgjqXpleUXH8uaqNEuymPPpeOb7lKBc1WoM6IG/DNyDLWmj2lYwxnZO2yhl+B61kwrxD9m9AdhQ==" saltValue="tdNQPzLQd+n9Ww064QJIaQ==" spinCount="100000" sqref="I682" name="Rango2_61_52_1"/>
    <protectedRange algorithmName="SHA-512" hashValue="XM8+0Jh5zLWw02PI0Lt8dLqjTcW5ulySion19FAnruDN6QRp4UwcVqdfQxnOQAItgpWG7rNsELzjwy0iXOonxw==" saltValue="Sd4WFUedDfLKoMQTDrxJuQ==" spinCount="100000" sqref="K682" name="Rango2_88_4_4_52_1"/>
    <protectedRange algorithmName="SHA-512" hashValue="EMMPgE8t/az1rHHzaZAQIhz+GQV0k2O/tQGA96sJqEEMzz1efIRa4CcLzC7iY9CCscto3g7dwz41haOE28iXYg==" saltValue="CVzFsG4X4LXUMo7796PiDQ==" spinCount="100000" sqref="L682:M682 B682 J682 D683 D682:H682" name="Rango2_10_52_1"/>
    <protectedRange algorithmName="SHA-512" hashValue="EMMPgE8t/az1rHHzaZAQIhz+GQV0k2O/tQGA96sJqEEMzz1efIRa4CcLzC7iY9CCscto3g7dwz41haOE28iXYg==" saltValue="CVzFsG4X4LXUMo7796PiDQ==" spinCount="100000" sqref="J700" name="Rango2_10_54_1"/>
    <protectedRange algorithmName="SHA-512" hashValue="EMMPgE8t/az1rHHzaZAQIhz+GQV0k2O/tQGA96sJqEEMzz1efIRa4CcLzC7iY9CCscto3g7dwz41haOE28iXYg==" saltValue="CVzFsG4X4LXUMo7796PiDQ==" spinCount="100000" sqref="M700" name="Rango2_10_55_1"/>
    <protectedRange algorithmName="SHA-512" hashValue="EMMPgE8t/az1rHHzaZAQIhz+GQV0k2O/tQGA96sJqEEMzz1efIRa4CcLzC7iY9CCscto3g7dwz41haOE28iXYg==" saltValue="CVzFsG4X4LXUMo7796PiDQ==" spinCount="100000" sqref="A692" name="Rango2_10_53_1"/>
    <protectedRange algorithmName="SHA-512" hashValue="XZw03RosI/l0z9FxmTtF29EdZ7P+4+ybhqoaAAUmURojSR5XbGfjC4f2i8gMqfY+RI9JvfdCA6PSh9TduXfUxA==" saltValue="5TPtLq2WoiRSae/yaDPnTw==" spinCount="100000" sqref="O670" name="Rango2_99_40_3"/>
    <protectedRange algorithmName="SHA-512" hashValue="CHipOQaT63FWw628cQcXXJRZlrbNZ7OgmnEbDx38UmmH7z19GRYEzXFiVOzHAy1OAaAbST7g2bHZHDKQp2qm3w==" saltValue="iRVuL+373yLHv0ZHzS9qog==" spinCount="100000" sqref="AG670:AH670 AJ670" name="Rango2_88_7_5_40_1"/>
    <protectedRange algorithmName="SHA-512" hashValue="fPHvtIAf3pQeZUoAI9C2/vdXMHBpqqEq+67P5Ypyu4+9IWqs3yc9TZcMWQ0THLxUwqseQPyVvakuYFtCwJHsxA==" saltValue="QHIogSs2PrwAfdqa9PAOFQ==" spinCount="100000" sqref="AC670" name="Rango2_88_5_5_40_1"/>
    <protectedRange algorithmName="SHA-512" hashValue="LEEeiU6pKqm7TAP46VGlz0q+evvFwpT/0iLpRuWuQ7MacbP0OGL1/FSmrIEOg2rb6M+Jla2bPbVWiGag27j87w==" saltValue="HEVt+pS5OloNDlqSnzGLLw==" spinCount="100000" sqref="AI670" name="Rango2_8_7_40_1"/>
    <protectedRange algorithmName="SHA-512" hashValue="q2z5hEFmXS0v2chiPTC/VCoDWNlnhp+Xe6Ybfxe48vIsnB/KTJQxJv+pFUnCXfZ9T6vyJopuqFFNROfQTW/JUw==" saltValue="IctfdGJb5tOTpq+KPi9vww==" spinCount="100000" sqref="AE670:AF670" name="Rango2_88_39_40_1"/>
    <protectedRange algorithmName="SHA-512" hashValue="AYYX88LSDB6RDNMvSqt0KPGWPjBqTk56tMxTOlv5QD61MGTKAAQnSnudvNDWPN0Bbllh2qRQC+P5uq7goxjdrw==" saltValue="i/iPMewnks1FoXYOjKMEVg==" spinCount="100000" sqref="AB670" name="Rango2_87_6_40_1"/>
    <protectedRange algorithmName="SHA-512" hashValue="NUll9P9xh7KbSfMYpMxsRZLfDw/y/AzW2LSWlpXVscBDqiAxmzo71xjs+a2lh+jRa7pceOC849slke4+ZKx8LA==" saltValue="8qbkKpQ+CiQuLnqgShNvXA==" spinCount="100000" sqref="T670" name="Rango2_88_6_40_1"/>
    <protectedRange algorithmName="SHA-512" hashValue="KHhv3JU/LRdRrRTxxkgFceEHPZ5UzadmpZRZR3zmQRnPvkUJZuanRafIJ+qde0IWwLZSvFIQDyUAHq6v6k7XIg==" saltValue="2GKG1kCzVNNcn+vbOPuhJA==" spinCount="100000" sqref="Q670" name="Rango2_2_5_40_1"/>
    <protectedRange algorithmName="SHA-512" hashValue="XZw03RosI/l0z9FxmTtF29EdZ7P+4+ybhqoaAAUmURojSR5XbGfjC4f2i8gMqfY+RI9JvfdCA6PSh9TduXfUxA==" saltValue="5TPtLq2WoiRSae/yaDPnTw==" spinCount="100000" sqref="R670:S670 U670:AA670" name="Rango2_99_92_1"/>
    <protectedRange algorithmName="SHA-512" hashValue="9+DNppQbWrLYYUMoJ+lyQctV2bX3Vq9kZnegLbpjTLP49It2ovUbcartuoQTeXgP+TGpY//7mDH/UQlFCKDGiA==" saltValue="KUnni6YEm00anzSSvyLqQA==" spinCount="100000" sqref="AD670" name="Rango2_64_1"/>
    <protectedRange algorithmName="SHA-512" hashValue="RQ91b7oAw60DVtcgB2vRpial2kSdzJx5guGCTYUwXYkKrtrUHfiYnLf9R+SNpYXlJDYpyEJLhcWwP0EqNN86dQ==" saltValue="W3RbH3zrcY9sy39xNwXNxg==" spinCount="100000" sqref="BA670:BI670" name="Rango2_88_99_40_1"/>
    <protectedRange algorithmName="SHA-512" hashValue="fMbmUM1DQ7FuAPRNvFL5mPdHUYjQnlLFhkuaxvHguaqR7aWyDxcmJs0jLYQfQKY+oyhsMb4Lew4VL6i7um3/ew==" saltValue="ydaTm0CeH8+/cYqoL/AMaQ==" spinCount="100000" sqref="AU670 AW670:AZ670" name="Rango2_88_91_40_1"/>
    <protectedRange algorithmName="SHA-512" hashValue="CHipOQaT63FWw628cQcXXJRZlrbNZ7OgmnEbDx38UmmH7z19GRYEzXFiVOzHAy1OAaAbST7g2bHZHDKQp2qm3w==" saltValue="iRVuL+373yLHv0ZHzS9qog==" spinCount="100000" sqref="AL670" name="Rango2_88_7_5_92_1"/>
    <protectedRange algorithmName="SHA-512" hashValue="NkG6oHuDGvGBEiLAAq8MEJHEfLQUMyjihfH+DBXhT+eQW0r1yri7tOJEFRM9nbOejjjXiviq9RFo7KB7wF+xJA==" saltValue="bpjB0AAANu2X/PeR3eiFkA==" spinCount="100000" sqref="AM670:AS670" name="Rango2_88_65_40_1"/>
    <protectedRange algorithmName="SHA-512" hashValue="RQ91b7oAw60DVtcgB2vRpial2kSdzJx5guGCTYUwXYkKrtrUHfiYnLf9R+SNpYXlJDYpyEJLhcWwP0EqNN86dQ==" saltValue="W3RbH3zrcY9sy39xNwXNxg==" spinCount="100000" sqref="BV670:BY670" name="Rango2_88_99_92_1"/>
    <protectedRange algorithmName="SHA-512" hashValue="XZw03RosI/l0z9FxmTtF29EdZ7P+4+ybhqoaAAUmURojSR5XbGfjC4f2i8gMqfY+RI9JvfdCA6PSh9TduXfUxA==" saltValue="5TPtLq2WoiRSae/yaDPnTw==" spinCount="100000" sqref="O671" name="Rango2_99_42_6"/>
    <protectedRange algorithmName="SHA-512" hashValue="XZw03RosI/l0z9FxmTtF29EdZ7P+4+ybhqoaAAUmURojSR5XbGfjC4f2i8gMqfY+RI9JvfdCA6PSh9TduXfUxA==" saltValue="5TPtLq2WoiRSae/yaDPnTw==" spinCount="100000" sqref="O672" name="Rango2_99_43_1"/>
    <protectedRange algorithmName="SHA-512" hashValue="CHipOQaT63FWw628cQcXXJRZlrbNZ7OgmnEbDx38UmmH7z19GRYEzXFiVOzHAy1OAaAbST7g2bHZHDKQp2qm3w==" saltValue="iRVuL+373yLHv0ZHzS9qog==" spinCount="100000" sqref="AG671:AH671 AJ671" name="Rango2_88_7_5_42_1"/>
    <protectedRange algorithmName="SHA-512" hashValue="fPHvtIAf3pQeZUoAI9C2/vdXMHBpqqEq+67P5Ypyu4+9IWqs3yc9TZcMWQ0THLxUwqseQPyVvakuYFtCwJHsxA==" saltValue="QHIogSs2PrwAfdqa9PAOFQ==" spinCount="100000" sqref="AC671" name="Rango2_88_5_5_42_1"/>
    <protectedRange algorithmName="SHA-512" hashValue="LEEeiU6pKqm7TAP46VGlz0q+evvFwpT/0iLpRuWuQ7MacbP0OGL1/FSmrIEOg2rb6M+Jla2bPbVWiGag27j87w==" saltValue="HEVt+pS5OloNDlqSnzGLLw==" spinCount="100000" sqref="AI671" name="Rango2_8_7_42_1"/>
    <protectedRange algorithmName="SHA-512" hashValue="q2z5hEFmXS0v2chiPTC/VCoDWNlnhp+Xe6Ybfxe48vIsnB/KTJQxJv+pFUnCXfZ9T6vyJopuqFFNROfQTW/JUw==" saltValue="IctfdGJb5tOTpq+KPi9vww==" spinCount="100000" sqref="AE671:AF671" name="Rango2_88_39_42_1"/>
    <protectedRange algorithmName="SHA-512" hashValue="AYYX88LSDB6RDNMvSqt0KPGWPjBqTk56tMxTOlv5QD61MGTKAAQnSnudvNDWPN0Bbllh2qRQC+P5uq7goxjdrw==" saltValue="i/iPMewnks1FoXYOjKMEVg==" spinCount="100000" sqref="AB671" name="Rango2_87_6_42_1"/>
    <protectedRange algorithmName="SHA-512" hashValue="NUll9P9xh7KbSfMYpMxsRZLfDw/y/AzW2LSWlpXVscBDqiAxmzo71xjs+a2lh+jRa7pceOC849slke4+ZKx8LA==" saltValue="8qbkKpQ+CiQuLnqgShNvXA==" spinCount="100000" sqref="T671" name="Rango2_88_6_42_1"/>
    <protectedRange algorithmName="SHA-512" hashValue="KHhv3JU/LRdRrRTxxkgFceEHPZ5UzadmpZRZR3zmQRnPvkUJZuanRafIJ+qde0IWwLZSvFIQDyUAHq6v6k7XIg==" saltValue="2GKG1kCzVNNcn+vbOPuhJA==" spinCount="100000" sqref="Q671" name="Rango2_2_5_42_1"/>
    <protectedRange algorithmName="SHA-512" hashValue="XZw03RosI/l0z9FxmTtF29EdZ7P+4+ybhqoaAAUmURojSR5XbGfjC4f2i8gMqfY+RI9JvfdCA6PSh9TduXfUxA==" saltValue="5TPtLq2WoiRSae/yaDPnTw==" spinCount="100000" sqref="R671:S671 U671:AA671" name="Rango2_99_94_1"/>
    <protectedRange algorithmName="SHA-512" hashValue="9+DNppQbWrLYYUMoJ+lyQctV2bX3Vq9kZnegLbpjTLP49It2ovUbcartuoQTeXgP+TGpY//7mDH/UQlFCKDGiA==" saltValue="KUnni6YEm00anzSSvyLqQA==" spinCount="100000" sqref="AD671" name="Rango2_66_1"/>
    <protectedRange algorithmName="SHA-512" hashValue="CHipOQaT63FWw628cQcXXJRZlrbNZ7OgmnEbDx38UmmH7z19GRYEzXFiVOzHAy1OAaAbST7g2bHZHDKQp2qm3w==" saltValue="iRVuL+373yLHv0ZHzS9qog==" spinCount="100000" sqref="AG672:AH672 AJ672" name="Rango2_88_7_5_43_1"/>
    <protectedRange algorithmName="SHA-512" hashValue="fPHvtIAf3pQeZUoAI9C2/vdXMHBpqqEq+67P5Ypyu4+9IWqs3yc9TZcMWQ0THLxUwqseQPyVvakuYFtCwJHsxA==" saltValue="QHIogSs2PrwAfdqa9PAOFQ==" spinCount="100000" sqref="AC672" name="Rango2_88_5_5_43_1"/>
    <protectedRange algorithmName="SHA-512" hashValue="LEEeiU6pKqm7TAP46VGlz0q+evvFwpT/0iLpRuWuQ7MacbP0OGL1/FSmrIEOg2rb6M+Jla2bPbVWiGag27j87w==" saltValue="HEVt+pS5OloNDlqSnzGLLw==" spinCount="100000" sqref="AI672" name="Rango2_8_7_43_1"/>
    <protectedRange algorithmName="SHA-512" hashValue="q2z5hEFmXS0v2chiPTC/VCoDWNlnhp+Xe6Ybfxe48vIsnB/KTJQxJv+pFUnCXfZ9T6vyJopuqFFNROfQTW/JUw==" saltValue="IctfdGJb5tOTpq+KPi9vww==" spinCount="100000" sqref="AE672:AF672" name="Rango2_88_39_43_1"/>
    <protectedRange algorithmName="SHA-512" hashValue="AYYX88LSDB6RDNMvSqt0KPGWPjBqTk56tMxTOlv5QD61MGTKAAQnSnudvNDWPN0Bbllh2qRQC+P5uq7goxjdrw==" saltValue="i/iPMewnks1FoXYOjKMEVg==" spinCount="100000" sqref="AB672" name="Rango2_87_6_43_1"/>
    <protectedRange algorithmName="SHA-512" hashValue="NUll9P9xh7KbSfMYpMxsRZLfDw/y/AzW2LSWlpXVscBDqiAxmzo71xjs+a2lh+jRa7pceOC849slke4+ZKx8LA==" saltValue="8qbkKpQ+CiQuLnqgShNvXA==" spinCount="100000" sqref="T672" name="Rango2_88_6_43_1"/>
    <protectedRange algorithmName="SHA-512" hashValue="KHhv3JU/LRdRrRTxxkgFceEHPZ5UzadmpZRZR3zmQRnPvkUJZuanRafIJ+qde0IWwLZSvFIQDyUAHq6v6k7XIg==" saltValue="2GKG1kCzVNNcn+vbOPuhJA==" spinCount="100000" sqref="Q672" name="Rango2_2_5_43_1"/>
    <protectedRange algorithmName="SHA-512" hashValue="XZw03RosI/l0z9FxmTtF29EdZ7P+4+ybhqoaAAUmURojSR5XbGfjC4f2i8gMqfY+RI9JvfdCA6PSh9TduXfUxA==" saltValue="5TPtLq2WoiRSae/yaDPnTw==" spinCount="100000" sqref="R672:S672 U672:AA672" name="Rango2_99_95_1"/>
    <protectedRange algorithmName="SHA-512" hashValue="9+DNppQbWrLYYUMoJ+lyQctV2bX3Vq9kZnegLbpjTLP49It2ovUbcartuoQTeXgP+TGpY//7mDH/UQlFCKDGiA==" saltValue="KUnni6YEm00anzSSvyLqQA==" spinCount="100000" sqref="AD672" name="Rango2_67_2"/>
    <protectedRange algorithmName="SHA-512" hashValue="RQ91b7oAw60DVtcgB2vRpial2kSdzJx5guGCTYUwXYkKrtrUHfiYnLf9R+SNpYXlJDYpyEJLhcWwP0EqNN86dQ==" saltValue="W3RbH3zrcY9sy39xNwXNxg==" spinCount="100000" sqref="BA671:BI671" name="Rango2_88_99_42_1"/>
    <protectedRange algorithmName="SHA-512" hashValue="fMbmUM1DQ7FuAPRNvFL5mPdHUYjQnlLFhkuaxvHguaqR7aWyDxcmJs0jLYQfQKY+oyhsMb4Lew4VL6i7um3/ew==" saltValue="ydaTm0CeH8+/cYqoL/AMaQ==" spinCount="100000" sqref="AU671 AW671:AZ671" name="Rango2_88_91_42_1"/>
    <protectedRange algorithmName="SHA-512" hashValue="CHipOQaT63FWw628cQcXXJRZlrbNZ7OgmnEbDx38UmmH7z19GRYEzXFiVOzHAy1OAaAbST7g2bHZHDKQp2qm3w==" saltValue="iRVuL+373yLHv0ZHzS9qog==" spinCount="100000" sqref="AL671" name="Rango2_88_7_5_94_1"/>
    <protectedRange algorithmName="SHA-512" hashValue="NkG6oHuDGvGBEiLAAq8MEJHEfLQUMyjihfH+DBXhT+eQW0r1yri7tOJEFRM9nbOejjjXiviq9RFo7KB7wF+xJA==" saltValue="bpjB0AAANu2X/PeR3eiFkA==" spinCount="100000" sqref="AM671:AS671" name="Rango2_88_65_42_1"/>
    <protectedRange algorithmName="SHA-512" hashValue="RQ91b7oAw60DVtcgB2vRpial2kSdzJx5guGCTYUwXYkKrtrUHfiYnLf9R+SNpYXlJDYpyEJLhcWwP0EqNN86dQ==" saltValue="W3RbH3zrcY9sy39xNwXNxg==" spinCount="100000" sqref="BA672:BI672" name="Rango2_88_99_43_1"/>
    <protectedRange algorithmName="SHA-512" hashValue="fMbmUM1DQ7FuAPRNvFL5mPdHUYjQnlLFhkuaxvHguaqR7aWyDxcmJs0jLYQfQKY+oyhsMb4Lew4VL6i7um3/ew==" saltValue="ydaTm0CeH8+/cYqoL/AMaQ==" spinCount="100000" sqref="AU672 AW672:AZ672" name="Rango2_88_91_43_1"/>
    <protectedRange algorithmName="SHA-512" hashValue="CHipOQaT63FWw628cQcXXJRZlrbNZ7OgmnEbDx38UmmH7z19GRYEzXFiVOzHAy1OAaAbST7g2bHZHDKQp2qm3w==" saltValue="iRVuL+373yLHv0ZHzS9qog==" spinCount="100000" sqref="AL672" name="Rango2_88_7_5_95_1"/>
    <protectedRange algorithmName="SHA-512" hashValue="NkG6oHuDGvGBEiLAAq8MEJHEfLQUMyjihfH+DBXhT+eQW0r1yri7tOJEFRM9nbOejjjXiviq9RFo7KB7wF+xJA==" saltValue="bpjB0AAANu2X/PeR3eiFkA==" spinCount="100000" sqref="AM672:AS672" name="Rango2_88_65_43_1"/>
    <protectedRange algorithmName="SHA-512" hashValue="RQ91b7oAw60DVtcgB2vRpial2kSdzJx5guGCTYUwXYkKrtrUHfiYnLf9R+SNpYXlJDYpyEJLhcWwP0EqNN86dQ==" saltValue="W3RbH3zrcY9sy39xNwXNxg==" spinCount="100000" sqref="BV671:BY671" name="Rango2_88_99_94_1"/>
    <protectedRange algorithmName="SHA-512" hashValue="RQ91b7oAw60DVtcgB2vRpial2kSdzJx5guGCTYUwXYkKrtrUHfiYnLf9R+SNpYXlJDYpyEJLhcWwP0EqNN86dQ==" saltValue="W3RbH3zrcY9sy39xNwXNxg==" spinCount="100000" sqref="BV672:BY672" name="Rango2_88_99_95_1"/>
    <protectedRange algorithmName="SHA-512" hashValue="XZw03RosI/l0z9FxmTtF29EdZ7P+4+ybhqoaAAUmURojSR5XbGfjC4f2i8gMqfY+RI9JvfdCA6PSh9TduXfUxA==" saltValue="5TPtLq2WoiRSae/yaDPnTw==" spinCount="100000" sqref="O673:O674" name="Rango2_99_45_1"/>
    <protectedRange algorithmName="SHA-512" hashValue="XZw03RosI/l0z9FxmTtF29EdZ7P+4+ybhqoaAAUmURojSR5XbGfjC4f2i8gMqfY+RI9JvfdCA6PSh9TduXfUxA==" saltValue="5TPtLq2WoiRSae/yaDPnTw==" spinCount="100000" sqref="O675:O676" name="Rango2_99_46_3"/>
    <protectedRange algorithmName="SHA-512" hashValue="XZw03RosI/l0z9FxmTtF29EdZ7P+4+ybhqoaAAUmURojSR5XbGfjC4f2i8gMqfY+RI9JvfdCA6PSh9TduXfUxA==" saltValue="5TPtLq2WoiRSae/yaDPnTw==" spinCount="100000" sqref="O677" name="Rango2_99_47_3"/>
    <protectedRange algorithmName="SHA-512" hashValue="XZw03RosI/l0z9FxmTtF29EdZ7P+4+ybhqoaAAUmURojSR5XbGfjC4f2i8gMqfY+RI9JvfdCA6PSh9TduXfUxA==" saltValue="5TPtLq2WoiRSae/yaDPnTw==" spinCount="100000" sqref="O678" name="Rango2_99_48_4"/>
    <protectedRange algorithmName="SHA-512" hashValue="CHipOQaT63FWw628cQcXXJRZlrbNZ7OgmnEbDx38UmmH7z19GRYEzXFiVOzHAy1OAaAbST7g2bHZHDKQp2qm3w==" saltValue="iRVuL+373yLHv0ZHzS9qog==" spinCount="100000" sqref="AG673:AH674 AJ673:AJ674" name="Rango2_88_7_5_45_1"/>
    <protectedRange algorithmName="SHA-512" hashValue="fPHvtIAf3pQeZUoAI9C2/vdXMHBpqqEq+67P5Ypyu4+9IWqs3yc9TZcMWQ0THLxUwqseQPyVvakuYFtCwJHsxA==" saltValue="QHIogSs2PrwAfdqa9PAOFQ==" spinCount="100000" sqref="AC673:AC674" name="Rango2_88_5_5_45_1"/>
    <protectedRange algorithmName="SHA-512" hashValue="LEEeiU6pKqm7TAP46VGlz0q+evvFwpT/0iLpRuWuQ7MacbP0OGL1/FSmrIEOg2rb6M+Jla2bPbVWiGag27j87w==" saltValue="HEVt+pS5OloNDlqSnzGLLw==" spinCount="100000" sqref="AI673:AI674" name="Rango2_8_7_45_1"/>
    <protectedRange algorithmName="SHA-512" hashValue="q2z5hEFmXS0v2chiPTC/VCoDWNlnhp+Xe6Ybfxe48vIsnB/KTJQxJv+pFUnCXfZ9T6vyJopuqFFNROfQTW/JUw==" saltValue="IctfdGJb5tOTpq+KPi9vww==" spinCount="100000" sqref="AE673:AF674" name="Rango2_88_39_45_2"/>
    <protectedRange algorithmName="SHA-512" hashValue="AYYX88LSDB6RDNMvSqt0KPGWPjBqTk56tMxTOlv5QD61MGTKAAQnSnudvNDWPN0Bbllh2qRQC+P5uq7goxjdrw==" saltValue="i/iPMewnks1FoXYOjKMEVg==" spinCount="100000" sqref="AB673:AB674" name="Rango2_87_6_45_1"/>
    <protectedRange algorithmName="SHA-512" hashValue="NUll9P9xh7KbSfMYpMxsRZLfDw/y/AzW2LSWlpXVscBDqiAxmzo71xjs+a2lh+jRa7pceOC849slke4+ZKx8LA==" saltValue="8qbkKpQ+CiQuLnqgShNvXA==" spinCount="100000" sqref="T673:T674" name="Rango2_88_6_45_1"/>
    <protectedRange algorithmName="SHA-512" hashValue="KHhv3JU/LRdRrRTxxkgFceEHPZ5UzadmpZRZR3zmQRnPvkUJZuanRafIJ+qde0IWwLZSvFIQDyUAHq6v6k7XIg==" saltValue="2GKG1kCzVNNcn+vbOPuhJA==" spinCount="100000" sqref="Q673:Q674" name="Rango2_2_5_45_1"/>
    <protectedRange algorithmName="SHA-512" hashValue="XZw03RosI/l0z9FxmTtF29EdZ7P+4+ybhqoaAAUmURojSR5XbGfjC4f2i8gMqfY+RI9JvfdCA6PSh9TduXfUxA==" saltValue="5TPtLq2WoiRSae/yaDPnTw==" spinCount="100000" sqref="R673:S674 U673:AA674" name="Rango2_99_97_1"/>
    <protectedRange algorithmName="SHA-512" hashValue="9+DNppQbWrLYYUMoJ+lyQctV2bX3Vq9kZnegLbpjTLP49It2ovUbcartuoQTeXgP+TGpY//7mDH/UQlFCKDGiA==" saltValue="KUnni6YEm00anzSSvyLqQA==" spinCount="100000" sqref="AD673:AD674" name="Rango2_69_4"/>
    <protectedRange algorithmName="SHA-512" hashValue="CHipOQaT63FWw628cQcXXJRZlrbNZ7OgmnEbDx38UmmH7z19GRYEzXFiVOzHAy1OAaAbST7g2bHZHDKQp2qm3w==" saltValue="iRVuL+373yLHv0ZHzS9qog==" spinCount="100000" sqref="AG675:AH676 AJ675:AJ676" name="Rango2_88_7_5_46_5"/>
    <protectedRange algorithmName="SHA-512" hashValue="fPHvtIAf3pQeZUoAI9C2/vdXMHBpqqEq+67P5Ypyu4+9IWqs3yc9TZcMWQ0THLxUwqseQPyVvakuYFtCwJHsxA==" saltValue="QHIogSs2PrwAfdqa9PAOFQ==" spinCount="100000" sqref="AC675:AC676" name="Rango2_88_5_5_46_1"/>
    <protectedRange algorithmName="SHA-512" hashValue="LEEeiU6pKqm7TAP46VGlz0q+evvFwpT/0iLpRuWuQ7MacbP0OGL1/FSmrIEOg2rb6M+Jla2bPbVWiGag27j87w==" saltValue="HEVt+pS5OloNDlqSnzGLLw==" spinCount="100000" sqref="AI675:AI676" name="Rango2_8_7_46_1"/>
    <protectedRange algorithmName="SHA-512" hashValue="q2z5hEFmXS0v2chiPTC/VCoDWNlnhp+Xe6Ybfxe48vIsnB/KTJQxJv+pFUnCXfZ9T6vyJopuqFFNROfQTW/JUw==" saltValue="IctfdGJb5tOTpq+KPi9vww==" spinCount="100000" sqref="AE675:AF676" name="Rango2_88_39_46_2"/>
    <protectedRange algorithmName="SHA-512" hashValue="AYYX88LSDB6RDNMvSqt0KPGWPjBqTk56tMxTOlv5QD61MGTKAAQnSnudvNDWPN0Bbllh2qRQC+P5uq7goxjdrw==" saltValue="i/iPMewnks1FoXYOjKMEVg==" spinCount="100000" sqref="AB675:AB676" name="Rango2_87_6_46_1"/>
    <protectedRange algorithmName="SHA-512" hashValue="NUll9P9xh7KbSfMYpMxsRZLfDw/y/AzW2LSWlpXVscBDqiAxmzo71xjs+a2lh+jRa7pceOC849slke4+ZKx8LA==" saltValue="8qbkKpQ+CiQuLnqgShNvXA==" spinCount="100000" sqref="T675:T676" name="Rango2_88_6_46_1"/>
    <protectedRange algorithmName="SHA-512" hashValue="KHhv3JU/LRdRrRTxxkgFceEHPZ5UzadmpZRZR3zmQRnPvkUJZuanRafIJ+qde0IWwLZSvFIQDyUAHq6v6k7XIg==" saltValue="2GKG1kCzVNNcn+vbOPuhJA==" spinCount="100000" sqref="Q675:Q676" name="Rango2_2_5_46_1"/>
    <protectedRange algorithmName="SHA-512" hashValue="XZw03RosI/l0z9FxmTtF29EdZ7P+4+ybhqoaAAUmURojSR5XbGfjC4f2i8gMqfY+RI9JvfdCA6PSh9TduXfUxA==" saltValue="5TPtLq2WoiRSae/yaDPnTw==" spinCount="100000" sqref="R675:S676 U675:AA676" name="Rango2_99_98_5"/>
    <protectedRange algorithmName="SHA-512" hashValue="9+DNppQbWrLYYUMoJ+lyQctV2bX3Vq9kZnegLbpjTLP49It2ovUbcartuoQTeXgP+TGpY//7mDH/UQlFCKDGiA==" saltValue="KUnni6YEm00anzSSvyLqQA==" spinCount="100000" sqref="AD675:AD676" name="Rango2_70_1"/>
    <protectedRange algorithmName="SHA-512" hashValue="CHipOQaT63FWw628cQcXXJRZlrbNZ7OgmnEbDx38UmmH7z19GRYEzXFiVOzHAy1OAaAbST7g2bHZHDKQp2qm3w==" saltValue="iRVuL+373yLHv0ZHzS9qog==" spinCount="100000" sqref="AG677:AH677 AJ677" name="Rango2_88_7_5_47_1"/>
    <protectedRange algorithmName="SHA-512" hashValue="fPHvtIAf3pQeZUoAI9C2/vdXMHBpqqEq+67P5Ypyu4+9IWqs3yc9TZcMWQ0THLxUwqseQPyVvakuYFtCwJHsxA==" saltValue="QHIogSs2PrwAfdqa9PAOFQ==" spinCount="100000" sqref="AC677" name="Rango2_88_5_5_47_1"/>
    <protectedRange algorithmName="SHA-512" hashValue="LEEeiU6pKqm7TAP46VGlz0q+evvFwpT/0iLpRuWuQ7MacbP0OGL1/FSmrIEOg2rb6M+Jla2bPbVWiGag27j87w==" saltValue="HEVt+pS5OloNDlqSnzGLLw==" spinCount="100000" sqref="AI677" name="Rango2_8_7_47_1"/>
    <protectedRange algorithmName="SHA-512" hashValue="q2z5hEFmXS0v2chiPTC/VCoDWNlnhp+Xe6Ybfxe48vIsnB/KTJQxJv+pFUnCXfZ9T6vyJopuqFFNROfQTW/JUw==" saltValue="IctfdGJb5tOTpq+KPi9vww==" spinCount="100000" sqref="AE677:AF677" name="Rango2_88_39_47_1"/>
    <protectedRange algorithmName="SHA-512" hashValue="AYYX88LSDB6RDNMvSqt0KPGWPjBqTk56tMxTOlv5QD61MGTKAAQnSnudvNDWPN0Bbllh2qRQC+P5uq7goxjdrw==" saltValue="i/iPMewnks1FoXYOjKMEVg==" spinCount="100000" sqref="AB677" name="Rango2_87_6_47_1"/>
    <protectedRange algorithmName="SHA-512" hashValue="NUll9P9xh7KbSfMYpMxsRZLfDw/y/AzW2LSWlpXVscBDqiAxmzo71xjs+a2lh+jRa7pceOC849slke4+ZKx8LA==" saltValue="8qbkKpQ+CiQuLnqgShNvXA==" spinCount="100000" sqref="T677" name="Rango2_88_6_47_1"/>
    <protectedRange algorithmName="SHA-512" hashValue="KHhv3JU/LRdRrRTxxkgFceEHPZ5UzadmpZRZR3zmQRnPvkUJZuanRafIJ+qde0IWwLZSvFIQDyUAHq6v6k7XIg==" saltValue="2GKG1kCzVNNcn+vbOPuhJA==" spinCount="100000" sqref="Q677" name="Rango2_2_5_47_1"/>
    <protectedRange algorithmName="SHA-512" hashValue="XZw03RosI/l0z9FxmTtF29EdZ7P+4+ybhqoaAAUmURojSR5XbGfjC4f2i8gMqfY+RI9JvfdCA6PSh9TduXfUxA==" saltValue="5TPtLq2WoiRSae/yaDPnTw==" spinCount="100000" sqref="R677:S677 U677:AA677" name="Rango2_99_99_1"/>
    <protectedRange algorithmName="SHA-512" hashValue="9+DNppQbWrLYYUMoJ+lyQctV2bX3Vq9kZnegLbpjTLP49It2ovUbcartuoQTeXgP+TGpY//7mDH/UQlFCKDGiA==" saltValue="KUnni6YEm00anzSSvyLqQA==" spinCount="100000" sqref="AD677" name="Rango2_71_2"/>
    <protectedRange algorithmName="SHA-512" hashValue="CHipOQaT63FWw628cQcXXJRZlrbNZ7OgmnEbDx38UmmH7z19GRYEzXFiVOzHAy1OAaAbST7g2bHZHDKQp2qm3w==" saltValue="iRVuL+373yLHv0ZHzS9qog==" spinCount="100000" sqref="AG678:AH678 AJ678" name="Rango2_88_7_5_48_1"/>
    <protectedRange algorithmName="SHA-512" hashValue="fPHvtIAf3pQeZUoAI9C2/vdXMHBpqqEq+67P5Ypyu4+9IWqs3yc9TZcMWQ0THLxUwqseQPyVvakuYFtCwJHsxA==" saltValue="QHIogSs2PrwAfdqa9PAOFQ==" spinCount="100000" sqref="AC678" name="Rango2_88_5_5_48_1"/>
    <protectedRange algorithmName="SHA-512" hashValue="LEEeiU6pKqm7TAP46VGlz0q+evvFwpT/0iLpRuWuQ7MacbP0OGL1/FSmrIEOg2rb6M+Jla2bPbVWiGag27j87w==" saltValue="HEVt+pS5OloNDlqSnzGLLw==" spinCount="100000" sqref="AI678" name="Rango2_8_7_48_1"/>
    <protectedRange algorithmName="SHA-512" hashValue="q2z5hEFmXS0v2chiPTC/VCoDWNlnhp+Xe6Ybfxe48vIsnB/KTJQxJv+pFUnCXfZ9T6vyJopuqFFNROfQTW/JUw==" saltValue="IctfdGJb5tOTpq+KPi9vww==" spinCount="100000" sqref="AE678:AF678" name="Rango2_88_39_48_2"/>
    <protectedRange algorithmName="SHA-512" hashValue="AYYX88LSDB6RDNMvSqt0KPGWPjBqTk56tMxTOlv5QD61MGTKAAQnSnudvNDWPN0Bbllh2qRQC+P5uq7goxjdrw==" saltValue="i/iPMewnks1FoXYOjKMEVg==" spinCount="100000" sqref="AB678" name="Rango2_87_6_48_1"/>
    <protectedRange algorithmName="SHA-512" hashValue="NUll9P9xh7KbSfMYpMxsRZLfDw/y/AzW2LSWlpXVscBDqiAxmzo71xjs+a2lh+jRa7pceOC849slke4+ZKx8LA==" saltValue="8qbkKpQ+CiQuLnqgShNvXA==" spinCount="100000" sqref="T678" name="Rango2_88_6_48_1"/>
    <protectedRange algorithmName="SHA-512" hashValue="KHhv3JU/LRdRrRTxxkgFceEHPZ5UzadmpZRZR3zmQRnPvkUJZuanRafIJ+qde0IWwLZSvFIQDyUAHq6v6k7XIg==" saltValue="2GKG1kCzVNNcn+vbOPuhJA==" spinCount="100000" sqref="Q678" name="Rango2_2_5_48_1"/>
    <protectedRange algorithmName="SHA-512" hashValue="9+DNppQbWrLYYUMoJ+lyQctV2bX3Vq9kZnegLbpjTLP49It2ovUbcartuoQTeXgP+TGpY//7mDH/UQlFCKDGiA==" saltValue="KUnni6YEm00anzSSvyLqQA==" spinCount="100000" sqref="AD678" name="Rango2_72_1"/>
    <protectedRange algorithmName="SHA-512" hashValue="RQ91b7oAw60DVtcgB2vRpial2kSdzJx5guGCTYUwXYkKrtrUHfiYnLf9R+SNpYXlJDYpyEJLhcWwP0EqNN86dQ==" saltValue="W3RbH3zrcY9sy39xNwXNxg==" spinCount="100000" sqref="BA673:BI674" name="Rango2_88_99_45_1"/>
    <protectedRange algorithmName="SHA-512" hashValue="fMbmUM1DQ7FuAPRNvFL5mPdHUYjQnlLFhkuaxvHguaqR7aWyDxcmJs0jLYQfQKY+oyhsMb4Lew4VL6i7um3/ew==" saltValue="ydaTm0CeH8+/cYqoL/AMaQ==" spinCount="100000" sqref="AU673:AU674 AW673:AZ674" name="Rango2_88_91_45_1"/>
    <protectedRange algorithmName="SHA-512" hashValue="CHipOQaT63FWw628cQcXXJRZlrbNZ7OgmnEbDx38UmmH7z19GRYEzXFiVOzHAy1OAaAbST7g2bHZHDKQp2qm3w==" saltValue="iRVuL+373yLHv0ZHzS9qog==" spinCount="100000" sqref="AL673:AL674" name="Rango2_88_7_5_97_1"/>
    <protectedRange algorithmName="SHA-512" hashValue="NkG6oHuDGvGBEiLAAq8MEJHEfLQUMyjihfH+DBXhT+eQW0r1yri7tOJEFRM9nbOejjjXiviq9RFo7KB7wF+xJA==" saltValue="bpjB0AAANu2X/PeR3eiFkA==" spinCount="100000" sqref="AM673:AS674" name="Rango2_88_65_45_1"/>
    <protectedRange algorithmName="SHA-512" hashValue="RQ91b7oAw60DVtcgB2vRpial2kSdzJx5guGCTYUwXYkKrtrUHfiYnLf9R+SNpYXlJDYpyEJLhcWwP0EqNN86dQ==" saltValue="W3RbH3zrcY9sy39xNwXNxg==" spinCount="100000" sqref="BA675:BI676" name="Rango2_88_99_46_5"/>
    <protectedRange algorithmName="SHA-512" hashValue="fMbmUM1DQ7FuAPRNvFL5mPdHUYjQnlLFhkuaxvHguaqR7aWyDxcmJs0jLYQfQKY+oyhsMb4Lew4VL6i7um3/ew==" saltValue="ydaTm0CeH8+/cYqoL/AMaQ==" spinCount="100000" sqref="AU675:AU676 AW675:AZ676" name="Rango2_88_91_46_1"/>
    <protectedRange algorithmName="SHA-512" hashValue="CHipOQaT63FWw628cQcXXJRZlrbNZ7OgmnEbDx38UmmH7z19GRYEzXFiVOzHAy1OAaAbST7g2bHZHDKQp2qm3w==" saltValue="iRVuL+373yLHv0ZHzS9qog==" spinCount="100000" sqref="AL675:AL676" name="Rango2_88_7_5_98_1"/>
    <protectedRange algorithmName="SHA-512" hashValue="NkG6oHuDGvGBEiLAAq8MEJHEfLQUMyjihfH+DBXhT+eQW0r1yri7tOJEFRM9nbOejjjXiviq9RFo7KB7wF+xJA==" saltValue="bpjB0AAANu2X/PeR3eiFkA==" spinCount="100000" sqref="AM675:AS676" name="Rango2_88_65_46_1"/>
    <protectedRange algorithmName="SHA-512" hashValue="RQ91b7oAw60DVtcgB2vRpial2kSdzJx5guGCTYUwXYkKrtrUHfiYnLf9R+SNpYXlJDYpyEJLhcWwP0EqNN86dQ==" saltValue="W3RbH3zrcY9sy39xNwXNxg==" spinCount="100000" sqref="BA677:BI677" name="Rango2_88_99_47_1"/>
    <protectedRange algorithmName="SHA-512" hashValue="fMbmUM1DQ7FuAPRNvFL5mPdHUYjQnlLFhkuaxvHguaqR7aWyDxcmJs0jLYQfQKY+oyhsMb4Lew4VL6i7um3/ew==" saltValue="ydaTm0CeH8+/cYqoL/AMaQ==" spinCount="100000" sqref="AU677 AW677:AZ677" name="Rango2_88_91_47_1"/>
    <protectedRange algorithmName="SHA-512" hashValue="CHipOQaT63FWw628cQcXXJRZlrbNZ7OgmnEbDx38UmmH7z19GRYEzXFiVOzHAy1OAaAbST7g2bHZHDKQp2qm3w==" saltValue="iRVuL+373yLHv0ZHzS9qog==" spinCount="100000" sqref="AL677" name="Rango2_88_7_5_99_1"/>
    <protectedRange algorithmName="SHA-512" hashValue="NkG6oHuDGvGBEiLAAq8MEJHEfLQUMyjihfH+DBXhT+eQW0r1yri7tOJEFRM9nbOejjjXiviq9RFo7KB7wF+xJA==" saltValue="bpjB0AAANu2X/PeR3eiFkA==" spinCount="100000" sqref="AM677:AS677" name="Rango2_88_65_47_1"/>
    <protectedRange algorithmName="SHA-512" hashValue="RQ91b7oAw60DVtcgB2vRpial2kSdzJx5guGCTYUwXYkKrtrUHfiYnLf9R+SNpYXlJDYpyEJLhcWwP0EqNN86dQ==" saltValue="W3RbH3zrcY9sy39xNwXNxg==" spinCount="100000" sqref="BA678:BI678" name="Rango2_88_99_48_1"/>
    <protectedRange algorithmName="SHA-512" hashValue="fMbmUM1DQ7FuAPRNvFL5mPdHUYjQnlLFhkuaxvHguaqR7aWyDxcmJs0jLYQfQKY+oyhsMb4Lew4VL6i7um3/ew==" saltValue="ydaTm0CeH8+/cYqoL/AMaQ==" spinCount="100000" sqref="AU678 AW678:AZ678" name="Rango2_88_91_48_1"/>
    <protectedRange algorithmName="SHA-512" hashValue="NkG6oHuDGvGBEiLAAq8MEJHEfLQUMyjihfH+DBXhT+eQW0r1yri7tOJEFRM9nbOejjjXiviq9RFo7KB7wF+xJA==" saltValue="bpjB0AAANu2X/PeR3eiFkA==" spinCount="100000" sqref="AM678:AS678" name="Rango2_88_65_48_1"/>
    <protectedRange algorithmName="SHA-512" hashValue="RQ91b7oAw60DVtcgB2vRpial2kSdzJx5guGCTYUwXYkKrtrUHfiYnLf9R+SNpYXlJDYpyEJLhcWwP0EqNN86dQ==" saltValue="W3RbH3zrcY9sy39xNwXNxg==" spinCount="100000" sqref="BV673:BY674" name="Rango2_88_99_97_1"/>
    <protectedRange algorithmName="SHA-512" hashValue="RQ91b7oAw60DVtcgB2vRpial2kSdzJx5guGCTYUwXYkKrtrUHfiYnLf9R+SNpYXlJDYpyEJLhcWwP0EqNN86dQ==" saltValue="W3RbH3zrcY9sy39xNwXNxg==" spinCount="100000" sqref="BV675:BY676" name="Rango2_88_99_98_1"/>
    <protectedRange algorithmName="SHA-512" hashValue="RQ91b7oAw60DVtcgB2vRpial2kSdzJx5guGCTYUwXYkKrtrUHfiYnLf9R+SNpYXlJDYpyEJLhcWwP0EqNN86dQ==" saltValue="W3RbH3zrcY9sy39xNwXNxg==" spinCount="100000" sqref="BV677:BY677" name="Rango2_88_99_99_1"/>
    <protectedRange algorithmName="SHA-512" hashValue="XZw03RosI/l0z9FxmTtF29EdZ7P+4+ybhqoaAAUmURojSR5XbGfjC4f2i8gMqfY+RI9JvfdCA6PSh9TduXfUxA==" saltValue="5TPtLq2WoiRSae/yaDPnTw==" spinCount="100000" sqref="O679" name="Rango2_99_50_2"/>
    <protectedRange algorithmName="SHA-512" hashValue="XZw03RosI/l0z9FxmTtF29EdZ7P+4+ybhqoaAAUmURojSR5XbGfjC4f2i8gMqfY+RI9JvfdCA6PSh9TduXfUxA==" saltValue="5TPtLq2WoiRSae/yaDPnTw==" spinCount="100000" sqref="O680:O681" name="Rango2_99_51_1"/>
    <protectedRange algorithmName="SHA-512" hashValue="XZw03RosI/l0z9FxmTtF29EdZ7P+4+ybhqoaAAUmURojSR5XbGfjC4f2i8gMqfY+RI9JvfdCA6PSh9TduXfUxA==" saltValue="5TPtLq2WoiRSae/yaDPnTw==" spinCount="100000" sqref="O682" name="Rango2_99_52_2"/>
    <protectedRange algorithmName="SHA-512" hashValue="CHipOQaT63FWw628cQcXXJRZlrbNZ7OgmnEbDx38UmmH7z19GRYEzXFiVOzHAy1OAaAbST7g2bHZHDKQp2qm3w==" saltValue="iRVuL+373yLHv0ZHzS9qog==" spinCount="100000" sqref="AG679:AH679 AJ679" name="Rango2_88_7_5_50_1"/>
    <protectedRange algorithmName="SHA-512" hashValue="fPHvtIAf3pQeZUoAI9C2/vdXMHBpqqEq+67P5Ypyu4+9IWqs3yc9TZcMWQ0THLxUwqseQPyVvakuYFtCwJHsxA==" saltValue="QHIogSs2PrwAfdqa9PAOFQ==" spinCount="100000" sqref="AC679" name="Rango2_88_5_5_50_1"/>
    <protectedRange algorithmName="SHA-512" hashValue="LEEeiU6pKqm7TAP46VGlz0q+evvFwpT/0iLpRuWuQ7MacbP0OGL1/FSmrIEOg2rb6M+Jla2bPbVWiGag27j87w==" saltValue="HEVt+pS5OloNDlqSnzGLLw==" spinCount="100000" sqref="AI679" name="Rango2_8_7_50_1"/>
    <protectedRange algorithmName="SHA-512" hashValue="q2z5hEFmXS0v2chiPTC/VCoDWNlnhp+Xe6Ybfxe48vIsnB/KTJQxJv+pFUnCXfZ9T6vyJopuqFFNROfQTW/JUw==" saltValue="IctfdGJb5tOTpq+KPi9vww==" spinCount="100000" sqref="AE679:AF679" name="Rango2_88_39_50_2"/>
    <protectedRange algorithmName="SHA-512" hashValue="AYYX88LSDB6RDNMvSqt0KPGWPjBqTk56tMxTOlv5QD61MGTKAAQnSnudvNDWPN0Bbllh2qRQC+P5uq7goxjdrw==" saltValue="i/iPMewnks1FoXYOjKMEVg==" spinCount="100000" sqref="AB679" name="Rango2_87_6_50_1"/>
    <protectedRange algorithmName="SHA-512" hashValue="NUll9P9xh7KbSfMYpMxsRZLfDw/y/AzW2LSWlpXVscBDqiAxmzo71xjs+a2lh+jRa7pceOC849slke4+ZKx8LA==" saltValue="8qbkKpQ+CiQuLnqgShNvXA==" spinCount="100000" sqref="T679" name="Rango2_88_6_50_1"/>
    <protectedRange algorithmName="SHA-512" hashValue="KHhv3JU/LRdRrRTxxkgFceEHPZ5UzadmpZRZR3zmQRnPvkUJZuanRafIJ+qde0IWwLZSvFIQDyUAHq6v6k7XIg==" saltValue="2GKG1kCzVNNcn+vbOPuhJA==" spinCount="100000" sqref="Q679" name="Rango2_2_5_50_1"/>
    <protectedRange algorithmName="SHA-512" hashValue="9+DNppQbWrLYYUMoJ+lyQctV2bX3Vq9kZnegLbpjTLP49It2ovUbcartuoQTeXgP+TGpY//7mDH/UQlFCKDGiA==" saltValue="KUnni6YEm00anzSSvyLqQA==" spinCount="100000" sqref="AD679" name="Rango2_74_2"/>
    <protectedRange algorithmName="SHA-512" hashValue="CHipOQaT63FWw628cQcXXJRZlrbNZ7OgmnEbDx38UmmH7z19GRYEzXFiVOzHAy1OAaAbST7g2bHZHDKQp2qm3w==" saltValue="iRVuL+373yLHv0ZHzS9qog==" spinCount="100000" sqref="AG680:AH681 AJ680:AJ681" name="Rango2_88_7_5_51_1"/>
    <protectedRange algorithmName="SHA-512" hashValue="fPHvtIAf3pQeZUoAI9C2/vdXMHBpqqEq+67P5Ypyu4+9IWqs3yc9TZcMWQ0THLxUwqseQPyVvakuYFtCwJHsxA==" saltValue="QHIogSs2PrwAfdqa9PAOFQ==" spinCount="100000" sqref="AC680:AC681" name="Rango2_88_5_5_51_1"/>
    <protectedRange algorithmName="SHA-512" hashValue="LEEeiU6pKqm7TAP46VGlz0q+evvFwpT/0iLpRuWuQ7MacbP0OGL1/FSmrIEOg2rb6M+Jla2bPbVWiGag27j87w==" saltValue="HEVt+pS5OloNDlqSnzGLLw==" spinCount="100000" sqref="AI680:AI681" name="Rango2_8_7_51_1"/>
    <protectedRange algorithmName="SHA-512" hashValue="q2z5hEFmXS0v2chiPTC/VCoDWNlnhp+Xe6Ybfxe48vIsnB/KTJQxJv+pFUnCXfZ9T6vyJopuqFFNROfQTW/JUw==" saltValue="IctfdGJb5tOTpq+KPi9vww==" spinCount="100000" sqref="AE680:AF681" name="Rango2_88_39_51_2"/>
    <protectedRange algorithmName="SHA-512" hashValue="AYYX88LSDB6RDNMvSqt0KPGWPjBqTk56tMxTOlv5QD61MGTKAAQnSnudvNDWPN0Bbllh2qRQC+P5uq7goxjdrw==" saltValue="i/iPMewnks1FoXYOjKMEVg==" spinCount="100000" sqref="AB680:AB681" name="Rango2_87_6_51_1"/>
    <protectedRange algorithmName="SHA-512" hashValue="NUll9P9xh7KbSfMYpMxsRZLfDw/y/AzW2LSWlpXVscBDqiAxmzo71xjs+a2lh+jRa7pceOC849slke4+ZKx8LA==" saltValue="8qbkKpQ+CiQuLnqgShNvXA==" spinCount="100000" sqref="T680:T681" name="Rango2_88_6_51_1"/>
    <protectedRange algorithmName="SHA-512" hashValue="KHhv3JU/LRdRrRTxxkgFceEHPZ5UzadmpZRZR3zmQRnPvkUJZuanRafIJ+qde0IWwLZSvFIQDyUAHq6v6k7XIg==" saltValue="2GKG1kCzVNNcn+vbOPuhJA==" spinCount="100000" sqref="Q680:Q681" name="Rango2_2_5_51_1"/>
    <protectedRange algorithmName="SHA-512" hashValue="9+DNppQbWrLYYUMoJ+lyQctV2bX3Vq9kZnegLbpjTLP49It2ovUbcartuoQTeXgP+TGpY//7mDH/UQlFCKDGiA==" saltValue="KUnni6YEm00anzSSvyLqQA==" spinCount="100000" sqref="AD680:AD681" name="Rango2_76_4"/>
    <protectedRange algorithmName="SHA-512" hashValue="CHipOQaT63FWw628cQcXXJRZlrbNZ7OgmnEbDx38UmmH7z19GRYEzXFiVOzHAy1OAaAbST7g2bHZHDKQp2qm3w==" saltValue="iRVuL+373yLHv0ZHzS9qog==" spinCount="100000" sqref="AG682:AH682 AJ682" name="Rango2_88_7_5_52_1"/>
    <protectedRange algorithmName="SHA-512" hashValue="fPHvtIAf3pQeZUoAI9C2/vdXMHBpqqEq+67P5Ypyu4+9IWqs3yc9TZcMWQ0THLxUwqseQPyVvakuYFtCwJHsxA==" saltValue="QHIogSs2PrwAfdqa9PAOFQ==" spinCount="100000" sqref="AC682" name="Rango2_88_5_5_52_1"/>
    <protectedRange algorithmName="SHA-512" hashValue="LEEeiU6pKqm7TAP46VGlz0q+evvFwpT/0iLpRuWuQ7MacbP0OGL1/FSmrIEOg2rb6M+Jla2bPbVWiGag27j87w==" saltValue="HEVt+pS5OloNDlqSnzGLLw==" spinCount="100000" sqref="AI682" name="Rango2_8_7_52_1"/>
    <protectedRange algorithmName="SHA-512" hashValue="q2z5hEFmXS0v2chiPTC/VCoDWNlnhp+Xe6Ybfxe48vIsnB/KTJQxJv+pFUnCXfZ9T6vyJopuqFFNROfQTW/JUw==" saltValue="IctfdGJb5tOTpq+KPi9vww==" spinCount="100000" sqref="AE682:AF682" name="Rango2_88_39_52_2"/>
    <protectedRange algorithmName="SHA-512" hashValue="AYYX88LSDB6RDNMvSqt0KPGWPjBqTk56tMxTOlv5QD61MGTKAAQnSnudvNDWPN0Bbllh2qRQC+P5uq7goxjdrw==" saltValue="i/iPMewnks1FoXYOjKMEVg==" spinCount="100000" sqref="AB682" name="Rango2_87_6_52_1"/>
    <protectedRange algorithmName="SHA-512" hashValue="NUll9P9xh7KbSfMYpMxsRZLfDw/y/AzW2LSWlpXVscBDqiAxmzo71xjs+a2lh+jRa7pceOC849slke4+ZKx8LA==" saltValue="8qbkKpQ+CiQuLnqgShNvXA==" spinCount="100000" sqref="T682" name="Rango2_88_6_52_1"/>
    <protectedRange algorithmName="SHA-512" hashValue="KHhv3JU/LRdRrRTxxkgFceEHPZ5UzadmpZRZR3zmQRnPvkUJZuanRafIJ+qde0IWwLZSvFIQDyUAHq6v6k7XIg==" saltValue="2GKG1kCzVNNcn+vbOPuhJA==" spinCount="100000" sqref="Q682" name="Rango2_2_5_52_1"/>
    <protectedRange algorithmName="SHA-512" hashValue="9+DNppQbWrLYYUMoJ+lyQctV2bX3Vq9kZnegLbpjTLP49It2ovUbcartuoQTeXgP+TGpY//7mDH/UQlFCKDGiA==" saltValue="KUnni6YEm00anzSSvyLqQA==" spinCount="100000" sqref="AD682" name="Rango2_80_1"/>
    <protectedRange algorithmName="SHA-512" hashValue="RQ91b7oAw60DVtcgB2vRpial2kSdzJx5guGCTYUwXYkKrtrUHfiYnLf9R+SNpYXlJDYpyEJLhcWwP0EqNN86dQ==" saltValue="W3RbH3zrcY9sy39xNwXNxg==" spinCount="100000" sqref="BA679:BI679" name="Rango2_88_99_50_1"/>
    <protectedRange algorithmName="SHA-512" hashValue="fMbmUM1DQ7FuAPRNvFL5mPdHUYjQnlLFhkuaxvHguaqR7aWyDxcmJs0jLYQfQKY+oyhsMb4Lew4VL6i7um3/ew==" saltValue="ydaTm0CeH8+/cYqoL/AMaQ==" spinCount="100000" sqref="AU679 AW679:AZ679" name="Rango2_88_91_50_1"/>
    <protectedRange algorithmName="SHA-512" hashValue="NkG6oHuDGvGBEiLAAq8MEJHEfLQUMyjihfH+DBXhT+eQW0r1yri7tOJEFRM9nbOejjjXiviq9RFo7KB7wF+xJA==" saltValue="bpjB0AAANu2X/PeR3eiFkA==" spinCount="100000" sqref="AM679:AS679" name="Rango2_88_65_50_1"/>
    <protectedRange algorithmName="SHA-512" hashValue="RQ91b7oAw60DVtcgB2vRpial2kSdzJx5guGCTYUwXYkKrtrUHfiYnLf9R+SNpYXlJDYpyEJLhcWwP0EqNN86dQ==" saltValue="W3RbH3zrcY9sy39xNwXNxg==" spinCount="100000" sqref="BA680:BI681" name="Rango2_88_99_51_1"/>
    <protectedRange algorithmName="SHA-512" hashValue="fMbmUM1DQ7FuAPRNvFL5mPdHUYjQnlLFhkuaxvHguaqR7aWyDxcmJs0jLYQfQKY+oyhsMb4Lew4VL6i7um3/ew==" saltValue="ydaTm0CeH8+/cYqoL/AMaQ==" spinCount="100000" sqref="AU680:AU681 AW680:AZ681" name="Rango2_88_91_51_1"/>
    <protectedRange algorithmName="SHA-512" hashValue="NkG6oHuDGvGBEiLAAq8MEJHEfLQUMyjihfH+DBXhT+eQW0r1yri7tOJEFRM9nbOejjjXiviq9RFo7KB7wF+xJA==" saltValue="bpjB0AAANu2X/PeR3eiFkA==" spinCount="100000" sqref="AM680:AS681" name="Rango2_88_65_51_1"/>
    <protectedRange algorithmName="SHA-512" hashValue="RQ91b7oAw60DVtcgB2vRpial2kSdzJx5guGCTYUwXYkKrtrUHfiYnLf9R+SNpYXlJDYpyEJLhcWwP0EqNN86dQ==" saltValue="W3RbH3zrcY9sy39xNwXNxg==" spinCount="100000" sqref="BA682:BI682" name="Rango2_88_99_52_1"/>
    <protectedRange algorithmName="SHA-512" hashValue="fMbmUM1DQ7FuAPRNvFL5mPdHUYjQnlLFhkuaxvHguaqR7aWyDxcmJs0jLYQfQKY+oyhsMb4Lew4VL6i7um3/ew==" saltValue="ydaTm0CeH8+/cYqoL/AMaQ==" spinCount="100000" sqref="AU682 AW682:AZ682" name="Rango2_88_91_52_1"/>
    <protectedRange algorithmName="SHA-512" hashValue="NkG6oHuDGvGBEiLAAq8MEJHEfLQUMyjihfH+DBXhT+eQW0r1yri7tOJEFRM9nbOejjjXiviq9RFo7KB7wF+xJA==" saltValue="bpjB0AAANu2X/PeR3eiFkA==" spinCount="100000" sqref="AM682:AS682" name="Rango2_88_65_52_1"/>
    <protectedRange algorithmName="SHA-512" hashValue="pL4tgTKqwEsWSIEGFTBd+4pvEhE7d5Q99Eijs+L/Y1rhA0saQGGRJw5Pv2HLOP0quglztFwB6WVnQ1YGxd4AiQ==" saltValue="IF5mhk2RcoEjrcYppes1VA==" spinCount="100000" sqref="FT670" name="Rango2_30_41_1"/>
    <protectedRange algorithmName="SHA-512" hashValue="Umj9+5Ys20VQPxBFtc6qE5LtKKSgPKwit+B8dd4XnEUaLfBM2ozpkEC4YxwK0SbBiAHDDex+pY+LomQ0lyuamQ==" saltValue="N2/MCRws+mmA+NXw0axolg==" spinCount="100000" sqref="FY670" name="Rango2_31_2_40_5"/>
    <protectedRange algorithmName="SHA-512" hashValue="YXHanhqXL0e4jPrzkCF8r/22WmlCviFUW909WKuG1JOcU0mp0/Huh0aP3EaGYxV2ep0WGu48HsShAy4Ka2uOiw==" saltValue="h/7U5iwJm7DLR4tRVfwZYw==" spinCount="100000" sqref="GC670" name="Rango2_33_40_1"/>
    <protectedRange algorithmName="SHA-512" hashValue="pL4tgTKqwEsWSIEGFTBd+4pvEhE7d5Q99Eijs+L/Y1rhA0saQGGRJw5Pv2HLOP0quglztFwB6WVnQ1YGxd4AiQ==" saltValue="IF5mhk2RcoEjrcYppes1VA==" spinCount="100000" sqref="FT671" name="Rango2_30_43_1"/>
    <protectedRange algorithmName="SHA-512" hashValue="pL4tgTKqwEsWSIEGFTBd+4pvEhE7d5Q99Eijs+L/Y1rhA0saQGGRJw5Pv2HLOP0quglztFwB6WVnQ1YGxd4AiQ==" saltValue="IF5mhk2RcoEjrcYppes1VA==" spinCount="100000" sqref="FT672" name="Rango2_30_44_1"/>
    <protectedRange algorithmName="SHA-512" hashValue="Umj9+5Ys20VQPxBFtc6qE5LtKKSgPKwit+B8dd4XnEUaLfBM2ozpkEC4YxwK0SbBiAHDDex+pY+LomQ0lyuamQ==" saltValue="N2/MCRws+mmA+NXw0axolg==" spinCount="100000" sqref="FY671" name="Rango2_31_2_42_1"/>
    <protectedRange algorithmName="SHA-512" hashValue="Umj9+5Ys20VQPxBFtc6qE5LtKKSgPKwit+B8dd4XnEUaLfBM2ozpkEC4YxwK0SbBiAHDDex+pY+LomQ0lyuamQ==" saltValue="N2/MCRws+mmA+NXw0axolg==" spinCount="100000" sqref="FY672" name="Rango2_31_2_43_1"/>
    <protectedRange algorithmName="SHA-512" hashValue="YXHanhqXL0e4jPrzkCF8r/22WmlCviFUW909WKuG1JOcU0mp0/Huh0aP3EaGYxV2ep0WGu48HsShAy4Ka2uOiw==" saltValue="h/7U5iwJm7DLR4tRVfwZYw==" spinCount="100000" sqref="GC671" name="Rango2_33_42_1"/>
    <protectedRange algorithmName="SHA-512" hashValue="YXHanhqXL0e4jPrzkCF8r/22WmlCviFUW909WKuG1JOcU0mp0/Huh0aP3EaGYxV2ep0WGu48HsShAy4Ka2uOiw==" saltValue="h/7U5iwJm7DLR4tRVfwZYw==" spinCount="100000" sqref="GC672" name="Rango2_33_43_1"/>
    <protectedRange algorithmName="SHA-512" hashValue="9+DNppQbWrLYYUMoJ+lyQctV2bX3Vq9kZnegLbpjTLP49It2ovUbcartuoQTeXgP+TGpY//7mDH/UQlFCKDGiA==" saltValue="KUnni6YEm00anzSSvyLqQA==" spinCount="100000" sqref="FH674" name="Rango2_18_1_1"/>
    <protectedRange algorithmName="SHA-512" hashValue="pL4tgTKqwEsWSIEGFTBd+4pvEhE7d5Q99Eijs+L/Y1rhA0saQGGRJw5Pv2HLOP0quglztFwB6WVnQ1YGxd4AiQ==" saltValue="IF5mhk2RcoEjrcYppes1VA==" spinCount="100000" sqref="FT673:FT674" name="Rango2_30_46_1"/>
    <protectedRange algorithmName="SHA-512" hashValue="pL4tgTKqwEsWSIEGFTBd+4pvEhE7d5Q99Eijs+L/Y1rhA0saQGGRJw5Pv2HLOP0quglztFwB6WVnQ1YGxd4AiQ==" saltValue="IF5mhk2RcoEjrcYppes1VA==" spinCount="100000" sqref="FT675:FT676" name="Rango2_30_47_1"/>
    <protectedRange algorithmName="SHA-512" hashValue="pL4tgTKqwEsWSIEGFTBd+4pvEhE7d5Q99Eijs+L/Y1rhA0saQGGRJw5Pv2HLOP0quglztFwB6WVnQ1YGxd4AiQ==" saltValue="IF5mhk2RcoEjrcYppes1VA==" spinCount="100000" sqref="FT677" name="Rango2_30_48_1"/>
    <protectedRange algorithmName="SHA-512" hashValue="pL4tgTKqwEsWSIEGFTBd+4pvEhE7d5Q99Eijs+L/Y1rhA0saQGGRJw5Pv2HLOP0quglztFwB6WVnQ1YGxd4AiQ==" saltValue="IF5mhk2RcoEjrcYppes1VA==" spinCount="100000" sqref="FT678" name="Rango2_30_49_1"/>
    <protectedRange algorithmName="SHA-512" hashValue="Umj9+5Ys20VQPxBFtc6qE5LtKKSgPKwit+B8dd4XnEUaLfBM2ozpkEC4YxwK0SbBiAHDDex+pY+LomQ0lyuamQ==" saltValue="N2/MCRws+mmA+NXw0axolg==" spinCount="100000" sqref="FY673:FY674" name="Rango2_31_2_45_1"/>
    <protectedRange algorithmName="SHA-512" hashValue="Umj9+5Ys20VQPxBFtc6qE5LtKKSgPKwit+B8dd4XnEUaLfBM2ozpkEC4YxwK0SbBiAHDDex+pY+LomQ0lyuamQ==" saltValue="N2/MCRws+mmA+NXw0axolg==" spinCount="100000" sqref="FY675:FY676" name="Rango2_31_2_46_1"/>
    <protectedRange algorithmName="SHA-512" hashValue="Umj9+5Ys20VQPxBFtc6qE5LtKKSgPKwit+B8dd4XnEUaLfBM2ozpkEC4YxwK0SbBiAHDDex+pY+LomQ0lyuamQ==" saltValue="N2/MCRws+mmA+NXw0axolg==" spinCount="100000" sqref="FY677" name="Rango2_31_2_47_1"/>
    <protectedRange algorithmName="SHA-512" hashValue="Umj9+5Ys20VQPxBFtc6qE5LtKKSgPKwit+B8dd4XnEUaLfBM2ozpkEC4YxwK0SbBiAHDDex+pY+LomQ0lyuamQ==" saltValue="N2/MCRws+mmA+NXw0axolg==" spinCount="100000" sqref="FY678" name="Rango2_31_2_48_1"/>
    <protectedRange algorithmName="SHA-512" hashValue="Umj9+5Ys20VQPxBFtc6qE5LtKKSgPKwit+B8dd4XnEUaLfBM2ozpkEC4YxwK0SbBiAHDDex+pY+LomQ0lyuamQ==" saltValue="N2/MCRws+mmA+NXw0axolg==" spinCount="100000" sqref="GB673" name="Rango2_31_2_97_1"/>
    <protectedRange algorithmName="SHA-512" hashValue="YXHanhqXL0e4jPrzkCF8r/22WmlCviFUW909WKuG1JOcU0mp0/Huh0aP3EaGYxV2ep0WGu48HsShAy4Ka2uOiw==" saltValue="h/7U5iwJm7DLR4tRVfwZYw==" spinCount="100000" sqref="GC673:GC674" name="Rango2_33_45_1"/>
    <protectedRange algorithmName="SHA-512" hashValue="Umj9+5Ys20VQPxBFtc6qE5LtKKSgPKwit+B8dd4XnEUaLfBM2ozpkEC4YxwK0SbBiAHDDex+pY+LomQ0lyuamQ==" saltValue="N2/MCRws+mmA+NXw0axolg==" spinCount="100000" sqref="GB675" name="Rango2_31_2_98_1"/>
    <protectedRange algorithmName="SHA-512" hashValue="YXHanhqXL0e4jPrzkCF8r/22WmlCviFUW909WKuG1JOcU0mp0/Huh0aP3EaGYxV2ep0WGu48HsShAy4Ka2uOiw==" saltValue="h/7U5iwJm7DLR4tRVfwZYw==" spinCount="100000" sqref="GC675:GC676" name="Rango2_33_46_1"/>
    <protectedRange algorithmName="SHA-512" hashValue="Umj9+5Ys20VQPxBFtc6qE5LtKKSgPKwit+B8dd4XnEUaLfBM2ozpkEC4YxwK0SbBiAHDDex+pY+LomQ0lyuamQ==" saltValue="N2/MCRws+mmA+NXw0axolg==" spinCount="100000" sqref="GB677" name="Rango2_31_2_99_1"/>
    <protectedRange algorithmName="SHA-512" hashValue="YXHanhqXL0e4jPrzkCF8r/22WmlCviFUW909WKuG1JOcU0mp0/Huh0aP3EaGYxV2ep0WGu48HsShAy4Ka2uOiw==" saltValue="h/7U5iwJm7DLR4tRVfwZYw==" spinCount="100000" sqref="GC677" name="Rango2_33_47_1"/>
    <protectedRange algorithmName="SHA-512" hashValue="YXHanhqXL0e4jPrzkCF8r/22WmlCviFUW909WKuG1JOcU0mp0/Huh0aP3EaGYxV2ep0WGu48HsShAy4Ka2uOiw==" saltValue="h/7U5iwJm7DLR4tRVfwZYw==" spinCount="100000" sqref="GC678" name="Rango2_33_48_1"/>
    <protectedRange algorithmName="SHA-512" hashValue="pL4tgTKqwEsWSIEGFTBd+4pvEhE7d5Q99Eijs+L/Y1rhA0saQGGRJw5Pv2HLOP0quglztFwB6WVnQ1YGxd4AiQ==" saltValue="IF5mhk2RcoEjrcYppes1VA==" spinCount="100000" sqref="FT679" name="Rango2_30_51_1"/>
    <protectedRange algorithmName="SHA-512" hashValue="pL4tgTKqwEsWSIEGFTBd+4pvEhE7d5Q99Eijs+L/Y1rhA0saQGGRJw5Pv2HLOP0quglztFwB6WVnQ1YGxd4AiQ==" saltValue="IF5mhk2RcoEjrcYppes1VA==" spinCount="100000" sqref="FT680:FT681" name="Rango2_30_52_1"/>
    <protectedRange algorithmName="SHA-512" hashValue="pL4tgTKqwEsWSIEGFTBd+4pvEhE7d5Q99Eijs+L/Y1rhA0saQGGRJw5Pv2HLOP0quglztFwB6WVnQ1YGxd4AiQ==" saltValue="IF5mhk2RcoEjrcYppes1VA==" spinCount="100000" sqref="FT682" name="Rango2_30_53_1"/>
    <protectedRange algorithmName="SHA-512" hashValue="Umj9+5Ys20VQPxBFtc6qE5LtKKSgPKwit+B8dd4XnEUaLfBM2ozpkEC4YxwK0SbBiAHDDex+pY+LomQ0lyuamQ==" saltValue="N2/MCRws+mmA+NXw0axolg==" spinCount="100000" sqref="FY679" name="Rango2_31_2_50_1"/>
    <protectedRange algorithmName="SHA-512" hashValue="Umj9+5Ys20VQPxBFtc6qE5LtKKSgPKwit+B8dd4XnEUaLfBM2ozpkEC4YxwK0SbBiAHDDex+pY+LomQ0lyuamQ==" saltValue="N2/MCRws+mmA+NXw0axolg==" spinCount="100000" sqref="FY680:FY681" name="Rango2_31_2_51_1"/>
    <protectedRange algorithmName="SHA-512" hashValue="Umj9+5Ys20VQPxBFtc6qE5LtKKSgPKwit+B8dd4XnEUaLfBM2ozpkEC4YxwK0SbBiAHDDex+pY+LomQ0lyuamQ==" saltValue="N2/MCRws+mmA+NXw0axolg==" spinCount="100000" sqref="FY682" name="Rango2_31_2_52_1"/>
    <protectedRange algorithmName="SHA-512" hashValue="YXHanhqXL0e4jPrzkCF8r/22WmlCviFUW909WKuG1JOcU0mp0/Huh0aP3EaGYxV2ep0WGu48HsShAy4Ka2uOiw==" saltValue="h/7U5iwJm7DLR4tRVfwZYw==" spinCount="100000" sqref="GC679" name="Rango2_33_50_1"/>
    <protectedRange algorithmName="SHA-512" hashValue="YXHanhqXL0e4jPrzkCF8r/22WmlCviFUW909WKuG1JOcU0mp0/Huh0aP3EaGYxV2ep0WGu48HsShAy4Ka2uOiw==" saltValue="h/7U5iwJm7DLR4tRVfwZYw==" spinCount="100000" sqref="GC680:GC681" name="Rango2_33_51_1"/>
    <protectedRange algorithmName="SHA-512" hashValue="YXHanhqXL0e4jPrzkCF8r/22WmlCviFUW909WKuG1JOcU0mp0/Huh0aP3EaGYxV2ep0WGu48HsShAy4Ka2uOiw==" saltValue="h/7U5iwJm7DLR4tRVfwZYw==" spinCount="100000" sqref="GC682" name="Rango2_33_52_1"/>
    <protectedRange algorithmName="SHA-512" hashValue="Rgskw+AQdeJ5qbJdarzTa3SCkJfDGziy0Uan5N0F3IWn/H3Z/e+VcB56R7Nes7MPxNHewNP1sSSucVjz3iTLeA==" saltValue="qKZH3DnwaZHBzy3cBZo1qQ==" spinCount="100000" sqref="GF670" name="Rango2_31_28_40_1"/>
    <protectedRange algorithmName="SHA-512" hashValue="YXHanhqXL0e4jPrzkCF8r/22WmlCviFUW909WKuG1JOcU0mp0/Huh0aP3EaGYxV2ep0WGu48HsShAy4Ka2uOiw==" saltValue="h/7U5iwJm7DLR4tRVfwZYw==" spinCount="100000" sqref="GI670" name="Rango2_33_92_1"/>
    <protectedRange algorithmName="SHA-512" hashValue="EEHzbvEYwO1eufllBljOz0uf9BJ2ENtvOScQ7IsS321QhYbwKn7qhHKKP8cKj02rTDvVRMWvwQ1ZP0mZWsBprQ==" saltValue="CjXqBRFbKezlWOFV37MnDQ==" spinCount="100000" sqref="GN670" name="Rango2_30_2_40_5"/>
    <protectedRange algorithmName="SHA-512" hashValue="EEHzbvEYwO1eufllBljOz0uf9BJ2ENtvOScQ7IsS321QhYbwKn7qhHKKP8cKj02rTDvVRMWvwQ1ZP0mZWsBprQ==" saltValue="CjXqBRFbKezlWOFV37MnDQ==" spinCount="100000" sqref="GQ670:GR670" name="Rango2_30_2_92_1"/>
    <protectedRange algorithmName="SHA-512" hashValue="Rgskw+AQdeJ5qbJdarzTa3SCkJfDGziy0Uan5N0F3IWn/H3Z/e+VcB56R7Nes7MPxNHewNP1sSSucVjz3iTLeA==" saltValue="qKZH3DnwaZHBzy3cBZo1qQ==" spinCount="100000" sqref="GF671" name="Rango2_31_28_42_1"/>
    <protectedRange algorithmName="SHA-512" hashValue="Rgskw+AQdeJ5qbJdarzTa3SCkJfDGziy0Uan5N0F3IWn/H3Z/e+VcB56R7Nes7MPxNHewNP1sSSucVjz3iTLeA==" saltValue="qKZH3DnwaZHBzy3cBZo1qQ==" spinCount="100000" sqref="GF672" name="Rango2_31_28_43_1"/>
    <protectedRange algorithmName="SHA-512" hashValue="YXHanhqXL0e4jPrzkCF8r/22WmlCviFUW909WKuG1JOcU0mp0/Huh0aP3EaGYxV2ep0WGu48HsShAy4Ka2uOiw==" saltValue="h/7U5iwJm7DLR4tRVfwZYw==" spinCount="100000" sqref="GI671" name="Rango2_33_94_1"/>
    <protectedRange algorithmName="SHA-512" hashValue="YXHanhqXL0e4jPrzkCF8r/22WmlCviFUW909WKuG1JOcU0mp0/Huh0aP3EaGYxV2ep0WGu48HsShAy4Ka2uOiw==" saltValue="h/7U5iwJm7DLR4tRVfwZYw==" spinCount="100000" sqref="GI672" name="Rango2_33_95_1"/>
    <protectedRange algorithmName="SHA-512" hashValue="EEHzbvEYwO1eufllBljOz0uf9BJ2ENtvOScQ7IsS321QhYbwKn7qhHKKP8cKj02rTDvVRMWvwQ1ZP0mZWsBprQ==" saltValue="CjXqBRFbKezlWOFV37MnDQ==" spinCount="100000" sqref="GN671" name="Rango2_30_2_42_1"/>
    <protectedRange algorithmName="SHA-512" hashValue="EEHzbvEYwO1eufllBljOz0uf9BJ2ENtvOScQ7IsS321QhYbwKn7qhHKKP8cKj02rTDvVRMWvwQ1ZP0mZWsBprQ==" saltValue="CjXqBRFbKezlWOFV37MnDQ==" spinCount="100000" sqref="GN672" name="Rango2_30_2_43_1"/>
    <protectedRange algorithmName="SHA-512" hashValue="EEHzbvEYwO1eufllBljOz0uf9BJ2ENtvOScQ7IsS321QhYbwKn7qhHKKP8cKj02rTDvVRMWvwQ1ZP0mZWsBprQ==" saltValue="CjXqBRFbKezlWOFV37MnDQ==" spinCount="100000" sqref="GQ671:GR671" name="Rango2_30_2_94_1"/>
    <protectedRange algorithmName="SHA-512" hashValue="EEHzbvEYwO1eufllBljOz0uf9BJ2ENtvOScQ7IsS321QhYbwKn7qhHKKP8cKj02rTDvVRMWvwQ1ZP0mZWsBprQ==" saltValue="CjXqBRFbKezlWOFV37MnDQ==" spinCount="100000" sqref="GQ672:GR672" name="Rango2_30_2_95_1"/>
    <protectedRange algorithmName="SHA-512" hashValue="Rgskw+AQdeJ5qbJdarzTa3SCkJfDGziy0Uan5N0F3IWn/H3Z/e+VcB56R7Nes7MPxNHewNP1sSSucVjz3iTLeA==" saltValue="qKZH3DnwaZHBzy3cBZo1qQ==" spinCount="100000" sqref="GF673:GF674" name="Rango2_31_28_45_1"/>
    <protectedRange algorithmName="SHA-512" hashValue="Rgskw+AQdeJ5qbJdarzTa3SCkJfDGziy0Uan5N0F3IWn/H3Z/e+VcB56R7Nes7MPxNHewNP1sSSucVjz3iTLeA==" saltValue="qKZH3DnwaZHBzy3cBZo1qQ==" spinCount="100000" sqref="GF675:GF676" name="Rango2_31_28_46_1"/>
    <protectedRange algorithmName="SHA-512" hashValue="Rgskw+AQdeJ5qbJdarzTa3SCkJfDGziy0Uan5N0F3IWn/H3Z/e+VcB56R7Nes7MPxNHewNP1sSSucVjz3iTLeA==" saltValue="qKZH3DnwaZHBzy3cBZo1qQ==" spinCount="100000" sqref="GF677" name="Rango2_31_28_47_1"/>
    <protectedRange algorithmName="SHA-512" hashValue="Rgskw+AQdeJ5qbJdarzTa3SCkJfDGziy0Uan5N0F3IWn/H3Z/e+VcB56R7Nes7MPxNHewNP1sSSucVjz3iTLeA==" saltValue="qKZH3DnwaZHBzy3cBZo1qQ==" spinCount="100000" sqref="GF678" name="Rango2_31_28_48_1"/>
    <protectedRange algorithmName="SHA-512" hashValue="YXHanhqXL0e4jPrzkCF8r/22WmlCviFUW909WKuG1JOcU0mp0/Huh0aP3EaGYxV2ep0WGu48HsShAy4Ka2uOiw==" saltValue="h/7U5iwJm7DLR4tRVfwZYw==" spinCount="100000" sqref="GI673:GI674" name="Rango2_33_97_1"/>
    <protectedRange algorithmName="SHA-512" hashValue="YXHanhqXL0e4jPrzkCF8r/22WmlCviFUW909WKuG1JOcU0mp0/Huh0aP3EaGYxV2ep0WGu48HsShAy4Ka2uOiw==" saltValue="h/7U5iwJm7DLR4tRVfwZYw==" spinCount="100000" sqref="GI675:GI676" name="Rango2_33_98_1"/>
    <protectedRange algorithmName="SHA-512" hashValue="YXHanhqXL0e4jPrzkCF8r/22WmlCviFUW909WKuG1JOcU0mp0/Huh0aP3EaGYxV2ep0WGu48HsShAy4Ka2uOiw==" saltValue="h/7U5iwJm7DLR4tRVfwZYw==" spinCount="100000" sqref="GI677" name="Rango2_33_99_1"/>
    <protectedRange algorithmName="SHA-512" hashValue="EEHzbvEYwO1eufllBljOz0uf9BJ2ENtvOScQ7IsS321QhYbwKn7qhHKKP8cKj02rTDvVRMWvwQ1ZP0mZWsBprQ==" saltValue="CjXqBRFbKezlWOFV37MnDQ==" spinCount="100000" sqref="GN673:GN674" name="Rango2_30_2_45_1"/>
    <protectedRange algorithmName="SHA-512" hashValue="EEHzbvEYwO1eufllBljOz0uf9BJ2ENtvOScQ7IsS321QhYbwKn7qhHKKP8cKj02rTDvVRMWvwQ1ZP0mZWsBprQ==" saltValue="CjXqBRFbKezlWOFV37MnDQ==" spinCount="100000" sqref="GN675:GN676" name="Rango2_30_2_46_1"/>
    <protectedRange algorithmName="SHA-512" hashValue="EEHzbvEYwO1eufllBljOz0uf9BJ2ENtvOScQ7IsS321QhYbwKn7qhHKKP8cKj02rTDvVRMWvwQ1ZP0mZWsBprQ==" saltValue="CjXqBRFbKezlWOFV37MnDQ==" spinCount="100000" sqref="GN677" name="Rango2_30_2_47_1"/>
    <protectedRange algorithmName="SHA-512" hashValue="EEHzbvEYwO1eufllBljOz0uf9BJ2ENtvOScQ7IsS321QhYbwKn7qhHKKP8cKj02rTDvVRMWvwQ1ZP0mZWsBprQ==" saltValue="CjXqBRFbKezlWOFV37MnDQ==" spinCount="100000" sqref="GN678" name="Rango2_30_2_48_1"/>
    <protectedRange algorithmName="SHA-512" hashValue="EEHzbvEYwO1eufllBljOz0uf9BJ2ENtvOScQ7IsS321QhYbwKn7qhHKKP8cKj02rTDvVRMWvwQ1ZP0mZWsBprQ==" saltValue="CjXqBRFbKezlWOFV37MnDQ==" spinCount="100000" sqref="GQ673:GR674" name="Rango2_30_2_97_1"/>
    <protectedRange algorithmName="SHA-512" hashValue="EEHzbvEYwO1eufllBljOz0uf9BJ2ENtvOScQ7IsS321QhYbwKn7qhHKKP8cKj02rTDvVRMWvwQ1ZP0mZWsBprQ==" saltValue="CjXqBRFbKezlWOFV37MnDQ==" spinCount="100000" sqref="GQ675:GR676" name="Rango2_30_2_98_1"/>
    <protectedRange algorithmName="SHA-512" hashValue="EEHzbvEYwO1eufllBljOz0uf9BJ2ENtvOScQ7IsS321QhYbwKn7qhHKKP8cKj02rTDvVRMWvwQ1ZP0mZWsBprQ==" saltValue="CjXqBRFbKezlWOFV37MnDQ==" spinCount="100000" sqref="GQ677:GR677" name="Rango2_30_2_99_1"/>
    <protectedRange algorithmName="SHA-512" hashValue="Rgskw+AQdeJ5qbJdarzTa3SCkJfDGziy0Uan5N0F3IWn/H3Z/e+VcB56R7Nes7MPxNHewNP1sSSucVjz3iTLeA==" saltValue="qKZH3DnwaZHBzy3cBZo1qQ==" spinCount="100000" sqref="GF679" name="Rango2_31_28_50_1"/>
    <protectedRange algorithmName="SHA-512" hashValue="Rgskw+AQdeJ5qbJdarzTa3SCkJfDGziy0Uan5N0F3IWn/H3Z/e+VcB56R7Nes7MPxNHewNP1sSSucVjz3iTLeA==" saltValue="qKZH3DnwaZHBzy3cBZo1qQ==" spinCount="100000" sqref="GF680:GF681" name="Rango2_31_28_51_1"/>
    <protectedRange algorithmName="SHA-512" hashValue="Rgskw+AQdeJ5qbJdarzTa3SCkJfDGziy0Uan5N0F3IWn/H3Z/e+VcB56R7Nes7MPxNHewNP1sSSucVjz3iTLeA==" saltValue="qKZH3DnwaZHBzy3cBZo1qQ==" spinCount="100000" sqref="GF682" name="Rango2_31_28_52_1"/>
    <protectedRange algorithmName="SHA-512" hashValue="EEHzbvEYwO1eufllBljOz0uf9BJ2ENtvOScQ7IsS321QhYbwKn7qhHKKP8cKj02rTDvVRMWvwQ1ZP0mZWsBprQ==" saltValue="CjXqBRFbKezlWOFV37MnDQ==" spinCount="100000" sqref="GN679" name="Rango2_30_2_50_1"/>
    <protectedRange algorithmName="SHA-512" hashValue="EEHzbvEYwO1eufllBljOz0uf9BJ2ENtvOScQ7IsS321QhYbwKn7qhHKKP8cKj02rTDvVRMWvwQ1ZP0mZWsBprQ==" saltValue="CjXqBRFbKezlWOFV37MnDQ==" spinCount="100000" sqref="GN680:GN681" name="Rango2_30_2_51_1"/>
    <protectedRange algorithmName="SHA-512" hashValue="EEHzbvEYwO1eufllBljOz0uf9BJ2ENtvOScQ7IsS321QhYbwKn7qhHKKP8cKj02rTDvVRMWvwQ1ZP0mZWsBprQ==" saltValue="CjXqBRFbKezlWOFV37MnDQ==" spinCount="100000" sqref="GN682" name="Rango2_30_2_52_1"/>
    <protectedRange algorithmName="SHA-512" hashValue="q2z5hEFmXS0v2chiPTC/VCoDWNlnhp+Xe6Ybfxe48vIsnB/KTJQxJv+pFUnCXfZ9T6vyJopuqFFNROfQTW/JUw==" saltValue="IctfdGJb5tOTpq+KPi9vww==" spinCount="100000" sqref="IA670" name="Rango2_88_39_92_1"/>
    <protectedRange algorithmName="SHA-512" hashValue="q2z5hEFmXS0v2chiPTC/VCoDWNlnhp+Xe6Ybfxe48vIsnB/KTJQxJv+pFUnCXfZ9T6vyJopuqFFNROfQTW/JUw==" saltValue="IctfdGJb5tOTpq+KPi9vww==" spinCount="100000" sqref="IA671" name="Rango2_88_39_94_1"/>
    <protectedRange algorithmName="SHA-512" hashValue="q2z5hEFmXS0v2chiPTC/VCoDWNlnhp+Xe6Ybfxe48vIsnB/KTJQxJv+pFUnCXfZ9T6vyJopuqFFNROfQTW/JUw==" saltValue="IctfdGJb5tOTpq+KPi9vww==" spinCount="100000" sqref="IA672" name="Rango2_88_39_95_1"/>
    <protectedRange algorithmName="SHA-512" hashValue="q2z5hEFmXS0v2chiPTC/VCoDWNlnhp+Xe6Ybfxe48vIsnB/KTJQxJv+pFUnCXfZ9T6vyJopuqFFNROfQTW/JUw==" saltValue="IctfdGJb5tOTpq+KPi9vww==" spinCount="100000" sqref="IA673:IA674" name="Rango2_88_39_97_1"/>
    <protectedRange algorithmName="SHA-512" hashValue="q2z5hEFmXS0v2chiPTC/VCoDWNlnhp+Xe6Ybfxe48vIsnB/KTJQxJv+pFUnCXfZ9T6vyJopuqFFNROfQTW/JUw==" saltValue="IctfdGJb5tOTpq+KPi9vww==" spinCount="100000" sqref="IA675:IA676" name="Rango2_88_39_98_1"/>
    <protectedRange algorithmName="SHA-512" hashValue="q2z5hEFmXS0v2chiPTC/VCoDWNlnhp+Xe6Ybfxe48vIsnB/KTJQxJv+pFUnCXfZ9T6vyJopuqFFNROfQTW/JUw==" saltValue="IctfdGJb5tOTpq+KPi9vww==" spinCount="100000" sqref="IA677" name="Rango2_88_39_99_1"/>
    <protectedRange algorithmName="SHA-512" hashValue="D8TacORwT7iz0mF9GEucchnMHfB5er2FFjQsxyeWWyeJkM6Bt3gYQ3LbcHPxZXFpVAYtFOuTrzYOCJrlZDx16g==" saltValue="QtCzIBktdS4NZkOEGcLTRQ==" spinCount="100000" sqref="IW670" name="Rango2_41_40_1"/>
    <protectedRange algorithmName="SHA-512" hashValue="D8TacORwT7iz0mF9GEucchnMHfB5er2FFjQsxyeWWyeJkM6Bt3gYQ3LbcHPxZXFpVAYtFOuTrzYOCJrlZDx16g==" saltValue="QtCzIBktdS4NZkOEGcLTRQ==" spinCount="100000" sqref="IW671" name="Rango2_41_42_1"/>
    <protectedRange algorithmName="SHA-512" hashValue="D8TacORwT7iz0mF9GEucchnMHfB5er2FFjQsxyeWWyeJkM6Bt3gYQ3LbcHPxZXFpVAYtFOuTrzYOCJrlZDx16g==" saltValue="QtCzIBktdS4NZkOEGcLTRQ==" spinCount="100000" sqref="IW672" name="Rango2_41_43_1"/>
    <protectedRange algorithmName="SHA-512" hashValue="D8TacORwT7iz0mF9GEucchnMHfB5er2FFjQsxyeWWyeJkM6Bt3gYQ3LbcHPxZXFpVAYtFOuTrzYOCJrlZDx16g==" saltValue="QtCzIBktdS4NZkOEGcLTRQ==" spinCount="100000" sqref="IW673:IW674" name="Rango2_41_45_1"/>
    <protectedRange algorithmName="SHA-512" hashValue="D8TacORwT7iz0mF9GEucchnMHfB5er2FFjQsxyeWWyeJkM6Bt3gYQ3LbcHPxZXFpVAYtFOuTrzYOCJrlZDx16g==" saltValue="QtCzIBktdS4NZkOEGcLTRQ==" spinCount="100000" sqref="IW675:IW676" name="Rango2_41_46_1"/>
    <protectedRange algorithmName="SHA-512" hashValue="D8TacORwT7iz0mF9GEucchnMHfB5er2FFjQsxyeWWyeJkM6Bt3gYQ3LbcHPxZXFpVAYtFOuTrzYOCJrlZDx16g==" saltValue="QtCzIBktdS4NZkOEGcLTRQ==" spinCount="100000" sqref="IW677" name="Rango2_41_47_1"/>
    <protectedRange algorithmName="SHA-512" hashValue="D8TacORwT7iz0mF9GEucchnMHfB5er2FFjQsxyeWWyeJkM6Bt3gYQ3LbcHPxZXFpVAYtFOuTrzYOCJrlZDx16g==" saltValue="QtCzIBktdS4NZkOEGcLTRQ==" spinCount="100000" sqref="IW678" name="Rango2_41_48_1"/>
    <protectedRange algorithmName="SHA-512" hashValue="D8TacORwT7iz0mF9GEucchnMHfB5er2FFjQsxyeWWyeJkM6Bt3gYQ3LbcHPxZXFpVAYtFOuTrzYOCJrlZDx16g==" saltValue="QtCzIBktdS4NZkOEGcLTRQ==" spinCount="100000" sqref="IW679" name="Rango2_41_50_1"/>
    <protectedRange algorithmName="SHA-512" hashValue="D8TacORwT7iz0mF9GEucchnMHfB5er2FFjQsxyeWWyeJkM6Bt3gYQ3LbcHPxZXFpVAYtFOuTrzYOCJrlZDx16g==" saltValue="QtCzIBktdS4NZkOEGcLTRQ==" spinCount="100000" sqref="IW680:IW681" name="Rango2_41_51_1"/>
    <protectedRange algorithmName="SHA-512" hashValue="D8TacORwT7iz0mF9GEucchnMHfB5er2FFjQsxyeWWyeJkM6Bt3gYQ3LbcHPxZXFpVAYtFOuTrzYOCJrlZDx16g==" saltValue="QtCzIBktdS4NZkOEGcLTRQ==" spinCount="100000" sqref="IW682" name="Rango2_41_52_1"/>
    <protectedRange algorithmName="SHA-512" hashValue="6a5oYwZw9WJcgjqXpleUXH8uaqNEuymPPpeOb7lKBc1WoM6IG/DNyDLWmj2lYwxnZO2yhl+B61kwrxD9m9AdhQ==" saltValue="tdNQPzLQd+n9Ww064QJIaQ==" spinCount="100000" sqref="I707" name="Rango2_61_2_1"/>
    <protectedRange algorithmName="SHA-512" hashValue="XM8+0Jh5zLWw02PI0Lt8dLqjTcW5ulySion19FAnruDN6QRp4UwcVqdfQxnOQAItgpWG7rNsELzjwy0iXOonxw==" saltValue="Sd4WFUedDfLKoMQTDrxJuQ==" spinCount="100000" sqref="K707" name="Rango2_88_4_4_2_1"/>
    <protectedRange algorithmName="SHA-512" hashValue="EMMPgE8t/az1rHHzaZAQIhz+GQV0k2O/tQGA96sJqEEMzz1efIRa4CcLzC7iY9CCscto3g7dwz41haOE28iXYg==" saltValue="CVzFsG4X4LXUMo7796PiDQ==" spinCount="100000" sqref="B707:H707 L707:M707 J707 C708:C729" name="Rango2_10_2_1"/>
    <protectedRange algorithmName="SHA-512" hashValue="6a5oYwZw9WJcgjqXpleUXH8uaqNEuymPPpeOb7lKBc1WoM6IG/DNyDLWmj2lYwxnZO2yhl+B61kwrxD9m9AdhQ==" saltValue="tdNQPzLQd+n9Ww064QJIaQ==" spinCount="100000" sqref="I708" name="Rango2_61_4_2"/>
    <protectedRange algorithmName="SHA-512" hashValue="XM8+0Jh5zLWw02PI0Lt8dLqjTcW5ulySion19FAnruDN6QRp4UwcVqdfQxnOQAItgpWG7rNsELzjwy0iXOonxw==" saltValue="Sd4WFUedDfLKoMQTDrxJuQ==" spinCount="100000" sqref="K708" name="Rango2_88_4_4_4_2"/>
    <protectedRange algorithmName="SHA-512" hashValue="EMMPgE8t/az1rHHzaZAQIhz+GQV0k2O/tQGA96sJqEEMzz1efIRa4CcLzC7iY9CCscto3g7dwz41haOE28iXYg==" saltValue="CVzFsG4X4LXUMo7796PiDQ==" spinCount="100000" sqref="B708 J708 L708:M708 D708:H708" name="Rango2_10_4_5"/>
    <protectedRange algorithmName="SHA-512" hashValue="6a5oYwZw9WJcgjqXpleUXH8uaqNEuymPPpeOb7lKBc1WoM6IG/DNyDLWmj2lYwxnZO2yhl+B61kwrxD9m9AdhQ==" saltValue="tdNQPzLQd+n9Ww064QJIaQ==" spinCount="100000" sqref="I709" name="Rango2_61_6_1"/>
    <protectedRange algorithmName="SHA-512" hashValue="XM8+0Jh5zLWw02PI0Lt8dLqjTcW5ulySion19FAnruDN6QRp4UwcVqdfQxnOQAItgpWG7rNsELzjwy0iXOonxw==" saltValue="Sd4WFUedDfLKoMQTDrxJuQ==" spinCount="100000" sqref="K709" name="Rango2_88_4_4_6_1"/>
    <protectedRange algorithmName="SHA-512" hashValue="EMMPgE8t/az1rHHzaZAQIhz+GQV0k2O/tQGA96sJqEEMzz1efIRa4CcLzC7iY9CCscto3g7dwz41haOE28iXYg==" saltValue="CVzFsG4X4LXUMo7796PiDQ==" spinCount="100000" sqref="B709 J709 L709:M709 D709:H709" name="Rango2_10_6_3"/>
    <protectedRange algorithmName="SHA-512" hashValue="6a5oYwZw9WJcgjqXpleUXH8uaqNEuymPPpeOb7lKBc1WoM6IG/DNyDLWmj2lYwxnZO2yhl+B61kwrxD9m9AdhQ==" saltValue="tdNQPzLQd+n9Ww064QJIaQ==" spinCount="100000" sqref="I710" name="Rango2_61_9_4"/>
    <protectedRange algorithmName="SHA-512" hashValue="XM8+0Jh5zLWw02PI0Lt8dLqjTcW5ulySion19FAnruDN6QRp4UwcVqdfQxnOQAItgpWG7rNsELzjwy0iXOonxw==" saltValue="Sd4WFUedDfLKoMQTDrxJuQ==" spinCount="100000" sqref="K710" name="Rango2_88_4_4_9_4"/>
    <protectedRange algorithmName="SHA-512" hashValue="EMMPgE8t/az1rHHzaZAQIhz+GQV0k2O/tQGA96sJqEEMzz1efIRa4CcLzC7iY9CCscto3g7dwz41haOE28iXYg==" saltValue="CVzFsG4X4LXUMo7796PiDQ==" spinCount="100000" sqref="B710 J710 L710:M710 D710:H710" name="Rango2_10_9_2"/>
    <protectedRange algorithmName="SHA-512" hashValue="6a5oYwZw9WJcgjqXpleUXH8uaqNEuymPPpeOb7lKBc1WoM6IG/DNyDLWmj2lYwxnZO2yhl+B61kwrxD9m9AdhQ==" saltValue="tdNQPzLQd+n9Ww064QJIaQ==" spinCount="100000" sqref="I711" name="Rango2_61_10_1"/>
    <protectedRange algorithmName="SHA-512" hashValue="XM8+0Jh5zLWw02PI0Lt8dLqjTcW5ulySion19FAnruDN6QRp4UwcVqdfQxnOQAItgpWG7rNsELzjwy0iXOonxw==" saltValue="Sd4WFUedDfLKoMQTDrxJuQ==" spinCount="100000" sqref="K711" name="Rango2_88_4_4_10_1"/>
    <protectedRange algorithmName="SHA-512" hashValue="EMMPgE8t/az1rHHzaZAQIhz+GQV0k2O/tQGA96sJqEEMzz1efIRa4CcLzC7iY9CCscto3g7dwz41haOE28iXYg==" saltValue="CVzFsG4X4LXUMo7796PiDQ==" spinCount="100000" sqref="B711 J711 L711:M711 D711:H711" name="Rango2_10_10_4"/>
    <protectedRange algorithmName="SHA-512" hashValue="6a5oYwZw9WJcgjqXpleUXH8uaqNEuymPPpeOb7lKBc1WoM6IG/DNyDLWmj2lYwxnZO2yhl+B61kwrxD9m9AdhQ==" saltValue="tdNQPzLQd+n9Ww064QJIaQ==" spinCount="100000" sqref="I712" name="Rango2_61_10_2"/>
    <protectedRange algorithmName="SHA-512" hashValue="XM8+0Jh5zLWw02PI0Lt8dLqjTcW5ulySion19FAnruDN6QRp4UwcVqdfQxnOQAItgpWG7rNsELzjwy0iXOonxw==" saltValue="Sd4WFUedDfLKoMQTDrxJuQ==" spinCount="100000" sqref="K712" name="Rango2_88_4_4_10_2"/>
    <protectedRange algorithmName="SHA-512" hashValue="EMMPgE8t/az1rHHzaZAQIhz+GQV0k2O/tQGA96sJqEEMzz1efIRa4CcLzC7iY9CCscto3g7dwz41haOE28iXYg==" saltValue="CVzFsG4X4LXUMo7796PiDQ==" spinCount="100000" sqref="B712 J712 L712:M712 D712:H712" name="Rango2_10_10_5"/>
    <protectedRange algorithmName="SHA-512" hashValue="6a5oYwZw9WJcgjqXpleUXH8uaqNEuymPPpeOb7lKBc1WoM6IG/DNyDLWmj2lYwxnZO2yhl+B61kwrxD9m9AdhQ==" saltValue="tdNQPzLQd+n9Ww064QJIaQ==" spinCount="100000" sqref="I713" name="Rango2_61_14_1"/>
    <protectedRange algorithmName="SHA-512" hashValue="XM8+0Jh5zLWw02PI0Lt8dLqjTcW5ulySion19FAnruDN6QRp4UwcVqdfQxnOQAItgpWG7rNsELzjwy0iXOonxw==" saltValue="Sd4WFUedDfLKoMQTDrxJuQ==" spinCount="100000" sqref="K713" name="Rango2_88_4_4_14_1"/>
    <protectedRange algorithmName="SHA-512" hashValue="EMMPgE8t/az1rHHzaZAQIhz+GQV0k2O/tQGA96sJqEEMzz1efIRa4CcLzC7iY9CCscto3g7dwz41haOE28iXYg==" saltValue="CVzFsG4X4LXUMo7796PiDQ==" spinCount="100000" sqref="B713 J713 L713:M713 D713:H713" name="Rango2_10_14_1"/>
    <protectedRange algorithmName="SHA-512" hashValue="6a5oYwZw9WJcgjqXpleUXH8uaqNEuymPPpeOb7lKBc1WoM6IG/DNyDLWmj2lYwxnZO2yhl+B61kwrxD9m9AdhQ==" saltValue="tdNQPzLQd+n9Ww064QJIaQ==" spinCount="100000" sqref="I714:I715" name="Rango2_61_16_1"/>
    <protectedRange algorithmName="SHA-512" hashValue="XM8+0Jh5zLWw02PI0Lt8dLqjTcW5ulySion19FAnruDN6QRp4UwcVqdfQxnOQAItgpWG7rNsELzjwy0iXOonxw==" saltValue="Sd4WFUedDfLKoMQTDrxJuQ==" spinCount="100000" sqref="K714:K715" name="Rango2_88_4_4_16_1"/>
    <protectedRange algorithmName="SHA-512" hashValue="EMMPgE8t/az1rHHzaZAQIhz+GQV0k2O/tQGA96sJqEEMzz1efIRa4CcLzC7iY9CCscto3g7dwz41haOE28iXYg==" saltValue="CVzFsG4X4LXUMo7796PiDQ==" spinCount="100000" sqref="B714:B715 J714:J715 L714:M715 D714:H715" name="Rango2_10_16_1"/>
    <protectedRange algorithmName="SHA-512" hashValue="6a5oYwZw9WJcgjqXpleUXH8uaqNEuymPPpeOb7lKBc1WoM6IG/DNyDLWmj2lYwxnZO2yhl+B61kwrxD9m9AdhQ==" saltValue="tdNQPzLQd+n9Ww064QJIaQ==" spinCount="100000" sqref="I716" name="Rango2_61_16_2"/>
    <protectedRange algorithmName="SHA-512" hashValue="XM8+0Jh5zLWw02PI0Lt8dLqjTcW5ulySion19FAnruDN6QRp4UwcVqdfQxnOQAItgpWG7rNsELzjwy0iXOonxw==" saltValue="Sd4WFUedDfLKoMQTDrxJuQ==" spinCount="100000" sqref="K716" name="Rango2_88_4_4_16_2"/>
    <protectedRange algorithmName="SHA-512" hashValue="EMMPgE8t/az1rHHzaZAQIhz+GQV0k2O/tQGA96sJqEEMzz1efIRa4CcLzC7iY9CCscto3g7dwz41haOE28iXYg==" saltValue="CVzFsG4X4LXUMo7796PiDQ==" spinCount="100000" sqref="B716 J716 L716:M716 D716:H716" name="Rango2_10_16_2"/>
    <protectedRange algorithmName="SHA-512" hashValue="6a5oYwZw9WJcgjqXpleUXH8uaqNEuymPPpeOb7lKBc1WoM6IG/DNyDLWmj2lYwxnZO2yhl+B61kwrxD9m9AdhQ==" saltValue="tdNQPzLQd+n9Ww064QJIaQ==" spinCount="100000" sqref="I717" name="Rango2_61_16_3"/>
    <protectedRange algorithmName="SHA-512" hashValue="XM8+0Jh5zLWw02PI0Lt8dLqjTcW5ulySion19FAnruDN6QRp4UwcVqdfQxnOQAItgpWG7rNsELzjwy0iXOonxw==" saltValue="Sd4WFUedDfLKoMQTDrxJuQ==" spinCount="100000" sqref="K717" name="Rango2_88_4_4_16_3"/>
    <protectedRange algorithmName="SHA-512" hashValue="EMMPgE8t/az1rHHzaZAQIhz+GQV0k2O/tQGA96sJqEEMzz1efIRa4CcLzC7iY9CCscto3g7dwz41haOE28iXYg==" saltValue="CVzFsG4X4LXUMo7796PiDQ==" spinCount="100000" sqref="B717 J717 L717:M717 D717:H717" name="Rango2_10_16_3"/>
    <protectedRange algorithmName="SHA-512" hashValue="6a5oYwZw9WJcgjqXpleUXH8uaqNEuymPPpeOb7lKBc1WoM6IG/DNyDLWmj2lYwxnZO2yhl+B61kwrxD9m9AdhQ==" saltValue="tdNQPzLQd+n9Ww064QJIaQ==" spinCount="100000" sqref="I718" name="Rango2_61_17_1"/>
    <protectedRange algorithmName="SHA-512" hashValue="XM8+0Jh5zLWw02PI0Lt8dLqjTcW5ulySion19FAnruDN6QRp4UwcVqdfQxnOQAItgpWG7rNsELzjwy0iXOonxw==" saltValue="Sd4WFUedDfLKoMQTDrxJuQ==" spinCount="100000" sqref="K718" name="Rango2_88_4_4_17_1"/>
    <protectedRange algorithmName="SHA-512" hashValue="EMMPgE8t/az1rHHzaZAQIhz+GQV0k2O/tQGA96sJqEEMzz1efIRa4CcLzC7iY9CCscto3g7dwz41haOE28iXYg==" saltValue="CVzFsG4X4LXUMo7796PiDQ==" spinCount="100000" sqref="B718 J718 L718:M718 D718:H718" name="Rango2_10_17_1"/>
    <protectedRange algorithmName="SHA-512" hashValue="6a5oYwZw9WJcgjqXpleUXH8uaqNEuymPPpeOb7lKBc1WoM6IG/DNyDLWmj2lYwxnZO2yhl+B61kwrxD9m9AdhQ==" saltValue="tdNQPzLQd+n9Ww064QJIaQ==" spinCount="100000" sqref="I719" name="Rango2_61_17_2"/>
    <protectedRange algorithmName="SHA-512" hashValue="XM8+0Jh5zLWw02PI0Lt8dLqjTcW5ulySion19FAnruDN6QRp4UwcVqdfQxnOQAItgpWG7rNsELzjwy0iXOonxw==" saltValue="Sd4WFUedDfLKoMQTDrxJuQ==" spinCount="100000" sqref="K719" name="Rango2_88_4_4_17_2"/>
    <protectedRange algorithmName="SHA-512" hashValue="EMMPgE8t/az1rHHzaZAQIhz+GQV0k2O/tQGA96sJqEEMzz1efIRa4CcLzC7iY9CCscto3g7dwz41haOE28iXYg==" saltValue="CVzFsG4X4LXUMo7796PiDQ==" spinCount="100000" sqref="B719 J719 L719:M719 D719:H719" name="Rango2_10_17_2"/>
    <protectedRange algorithmName="SHA-512" hashValue="6a5oYwZw9WJcgjqXpleUXH8uaqNEuymPPpeOb7lKBc1WoM6IG/DNyDLWmj2lYwxnZO2yhl+B61kwrxD9m9AdhQ==" saltValue="tdNQPzLQd+n9Ww064QJIaQ==" spinCount="100000" sqref="I720" name="Rango2_61_17_3"/>
    <protectedRange algorithmName="SHA-512" hashValue="XM8+0Jh5zLWw02PI0Lt8dLqjTcW5ulySion19FAnruDN6QRp4UwcVqdfQxnOQAItgpWG7rNsELzjwy0iXOonxw==" saltValue="Sd4WFUedDfLKoMQTDrxJuQ==" spinCount="100000" sqref="K720" name="Rango2_88_4_4_17_3"/>
    <protectedRange algorithmName="SHA-512" hashValue="EMMPgE8t/az1rHHzaZAQIhz+GQV0k2O/tQGA96sJqEEMzz1efIRa4CcLzC7iY9CCscto3g7dwz41haOE28iXYg==" saltValue="CVzFsG4X4LXUMo7796PiDQ==" spinCount="100000" sqref="B720 J720 L720:M720 D720:H720" name="Rango2_10_17_3"/>
    <protectedRange algorithmName="SHA-512" hashValue="6a5oYwZw9WJcgjqXpleUXH8uaqNEuymPPpeOb7lKBc1WoM6IG/DNyDLWmj2lYwxnZO2yhl+B61kwrxD9m9AdhQ==" saltValue="tdNQPzLQd+n9Ww064QJIaQ==" spinCount="100000" sqref="I721" name="Rango2_61_17_4"/>
    <protectedRange algorithmName="SHA-512" hashValue="XM8+0Jh5zLWw02PI0Lt8dLqjTcW5ulySion19FAnruDN6QRp4UwcVqdfQxnOQAItgpWG7rNsELzjwy0iXOonxw==" saltValue="Sd4WFUedDfLKoMQTDrxJuQ==" spinCount="100000" sqref="K721" name="Rango2_88_4_4_17_4"/>
    <protectedRange algorithmName="SHA-512" hashValue="EMMPgE8t/az1rHHzaZAQIhz+GQV0k2O/tQGA96sJqEEMzz1efIRa4CcLzC7iY9CCscto3g7dwz41haOE28iXYg==" saltValue="CVzFsG4X4LXUMo7796PiDQ==" spinCount="100000" sqref="B721 J721 L721:M721 D721:H721" name="Rango2_10_17_4"/>
    <protectedRange algorithmName="SHA-512" hashValue="6a5oYwZw9WJcgjqXpleUXH8uaqNEuymPPpeOb7lKBc1WoM6IG/DNyDLWmj2lYwxnZO2yhl+B61kwrxD9m9AdhQ==" saltValue="tdNQPzLQd+n9Ww064QJIaQ==" spinCount="100000" sqref="I722" name="Rango2_61_17_5"/>
    <protectedRange algorithmName="SHA-512" hashValue="XM8+0Jh5zLWw02PI0Lt8dLqjTcW5ulySion19FAnruDN6QRp4UwcVqdfQxnOQAItgpWG7rNsELzjwy0iXOonxw==" saltValue="Sd4WFUedDfLKoMQTDrxJuQ==" spinCount="100000" sqref="K722" name="Rango2_88_4_4_17_5"/>
    <protectedRange algorithmName="SHA-512" hashValue="EMMPgE8t/az1rHHzaZAQIhz+GQV0k2O/tQGA96sJqEEMzz1efIRa4CcLzC7iY9CCscto3g7dwz41haOE28iXYg==" saltValue="CVzFsG4X4LXUMo7796PiDQ==" spinCount="100000" sqref="B722 J722 L722:M722 D722:H722" name="Rango2_10_17_5"/>
    <protectedRange algorithmName="SHA-512" hashValue="XZw03RosI/l0z9FxmTtF29EdZ7P+4+ybhqoaAAUmURojSR5XbGfjC4f2i8gMqfY+RI9JvfdCA6PSh9TduXfUxA==" saltValue="5TPtLq2WoiRSae/yaDPnTw==" spinCount="100000" sqref="O707" name="Rango2_99_2_1"/>
    <protectedRange algorithmName="SHA-512" hashValue="KHhv3JU/LRdRrRTxxkgFceEHPZ5UzadmpZRZR3zmQRnPvkUJZuanRafIJ+qde0IWwLZSvFIQDyUAHq6v6k7XIg==" saltValue="2GKG1kCzVNNcn+vbOPuhJA==" spinCount="100000" sqref="Q707" name="Rango2_2_5_2_1"/>
    <protectedRange algorithmName="SHA-512" hashValue="fPHvtIAf3pQeZUoAI9C2/vdXMHBpqqEq+67P5Ypyu4+9IWqs3yc9TZcMWQ0THLxUwqseQPyVvakuYFtCwJHsxA==" saltValue="QHIogSs2PrwAfdqa9PAOFQ==" spinCount="100000" sqref="AC707" name="Rango2_88_5_5_2_1"/>
    <protectedRange algorithmName="SHA-512" hashValue="AYYX88LSDB6RDNMvSqt0KPGWPjBqTk56tMxTOlv5QD61MGTKAAQnSnudvNDWPN0Bbllh2qRQC+P5uq7goxjdrw==" saltValue="i/iPMewnks1FoXYOjKMEVg==" spinCount="100000" sqref="AB707" name="Rango2_87_6_2_1"/>
    <protectedRange algorithmName="SHA-512" hashValue="NUll9P9xh7KbSfMYpMxsRZLfDw/y/AzW2LSWlpXVscBDqiAxmzo71xjs+a2lh+jRa7pceOC849slke4+ZKx8LA==" saltValue="8qbkKpQ+CiQuLnqgShNvXA==" spinCount="100000" sqref="T707" name="Rango2_88_6_2_1"/>
    <protectedRange algorithmName="SHA-512" hashValue="XZw03RosI/l0z9FxmTtF29EdZ7P+4+ybhqoaAAUmURojSR5XbGfjC4f2i8gMqfY+RI9JvfdCA6PSh9TduXfUxA==" saltValue="5TPtLq2WoiRSae/yaDPnTw==" spinCount="100000" sqref="U707:AA707 R707:S707" name="Rango2_99_19_2"/>
    <protectedRange algorithmName="SHA-512" hashValue="9+DNppQbWrLYYUMoJ+lyQctV2bX3Vq9kZnegLbpjTLP49It2ovUbcartuoQTeXgP+TGpY//7mDH/UQlFCKDGiA==" saltValue="KUnni6YEm00anzSSvyLqQA==" spinCount="100000" sqref="AD707" name="Rango2_22_1"/>
    <protectedRange algorithmName="SHA-512" hashValue="CHipOQaT63FWw628cQcXXJRZlrbNZ7OgmnEbDx38UmmH7z19GRYEzXFiVOzHAy1OAaAbST7g2bHZHDKQp2qm3w==" saltValue="iRVuL+373yLHv0ZHzS9qog==" spinCount="100000" sqref="AG707:AH707 AJ707" name="Rango2_88_7_5_2_1"/>
    <protectedRange algorithmName="SHA-512" hashValue="LEEeiU6pKqm7TAP46VGlz0q+evvFwpT/0iLpRuWuQ7MacbP0OGL1/FSmrIEOg2rb6M+Jla2bPbVWiGag27j87w==" saltValue="HEVt+pS5OloNDlqSnzGLLw==" spinCount="100000" sqref="AI707" name="Rango2_8_7_2_1"/>
    <protectedRange algorithmName="SHA-512" hashValue="q2z5hEFmXS0v2chiPTC/VCoDWNlnhp+Xe6Ybfxe48vIsnB/KTJQxJv+pFUnCXfZ9T6vyJopuqFFNROfQTW/JUw==" saltValue="IctfdGJb5tOTpq+KPi9vww==" spinCount="100000" sqref="AE707:AF707" name="Rango2_88_39_2_1"/>
    <protectedRange algorithmName="SHA-512" hashValue="RQ91b7oAw60DVtcgB2vRpial2kSdzJx5guGCTYUwXYkKrtrUHfiYnLf9R+SNpYXlJDYpyEJLhcWwP0EqNN86dQ==" saltValue="W3RbH3zrcY9sy39xNwXNxg==" spinCount="100000" sqref="BA707:BI707" name="Rango2_88_99_2_1"/>
    <protectedRange algorithmName="SHA-512" hashValue="fMbmUM1DQ7FuAPRNvFL5mPdHUYjQnlLFhkuaxvHguaqR7aWyDxcmJs0jLYQfQKY+oyhsMb4Lew4VL6i7um3/ew==" saltValue="ydaTm0CeH8+/cYqoL/AMaQ==" spinCount="100000" sqref="AU707 AW707:AZ707" name="Rango2_88_91_2_1"/>
    <protectedRange algorithmName="SHA-512" hashValue="CHipOQaT63FWw628cQcXXJRZlrbNZ7OgmnEbDx38UmmH7z19GRYEzXFiVOzHAy1OAaAbST7g2bHZHDKQp2qm3w==" saltValue="iRVuL+373yLHv0ZHzS9qog==" spinCount="100000" sqref="AL707" name="Rango2_88_7_5_19_2"/>
    <protectedRange algorithmName="SHA-512" hashValue="NkG6oHuDGvGBEiLAAq8MEJHEfLQUMyjihfH+DBXhT+eQW0r1yri7tOJEFRM9nbOejjjXiviq9RFo7KB7wF+xJA==" saltValue="bpjB0AAANu2X/PeR3eiFkA==" spinCount="100000" sqref="AM707:AS707" name="Rango2_88_65_2_1"/>
    <protectedRange algorithmName="SHA-512" hashValue="XZw03RosI/l0z9FxmTtF29EdZ7P+4+ybhqoaAAUmURojSR5XbGfjC4f2i8gMqfY+RI9JvfdCA6PSh9TduXfUxA==" saltValue="5TPtLq2WoiRSae/yaDPnTw==" spinCount="100000" sqref="AT707 AV707 BJ707:BK707" name="Rango2_99_36_5"/>
    <protectedRange algorithmName="SHA-512" hashValue="RQ91b7oAw60DVtcgB2vRpial2kSdzJx5guGCTYUwXYkKrtrUHfiYnLf9R+SNpYXlJDYpyEJLhcWwP0EqNN86dQ==" saltValue="W3RbH3zrcY9sy39xNwXNxg==" spinCount="100000" sqref="BV707:BY707" name="Rango2_88_99_19_2"/>
    <protectedRange algorithmName="SHA-512" hashValue="XZw03RosI/l0z9FxmTtF29EdZ7P+4+ybhqoaAAUmURojSR5XbGfjC4f2i8gMqfY+RI9JvfdCA6PSh9TduXfUxA==" saltValue="5TPtLq2WoiRSae/yaDPnTw==" spinCount="100000" sqref="BZ707:CB707 BR707:BU707" name="Rango2_99_53_2"/>
    <protectedRange algorithmName="SHA-512" hashValue="XZw03RosI/l0z9FxmTtF29EdZ7P+4+ybhqoaAAUmURojSR5XbGfjC4f2i8gMqfY+RI9JvfdCA6PSh9TduXfUxA==" saltValue="5TPtLq2WoiRSae/yaDPnTw==" spinCount="100000" sqref="CE707:CF707" name="Rango2_99_70_6"/>
    <protectedRange algorithmName="SHA-512" hashValue="XZw03RosI/l0z9FxmTtF29EdZ7P+4+ybhqoaAAUmURojSR5XbGfjC4f2i8gMqfY+RI9JvfdCA6PSh9TduXfUxA==" saltValue="5TPtLq2WoiRSae/yaDPnTw==" spinCount="100000" sqref="CJ707:CK707" name="Rango2_99_87_1"/>
    <protectedRange algorithmName="SHA-512" hashValue="XZw03RosI/l0z9FxmTtF29EdZ7P+4+ybhqoaAAUmURojSR5XbGfjC4f2i8gMqfY+RI9JvfdCA6PSh9TduXfUxA==" saltValue="5TPtLq2WoiRSae/yaDPnTw==" spinCount="100000" sqref="O708" name="Rango2_99_4_2"/>
    <protectedRange algorithmName="SHA-512" hashValue="KHhv3JU/LRdRrRTxxkgFceEHPZ5UzadmpZRZR3zmQRnPvkUJZuanRafIJ+qde0IWwLZSvFIQDyUAHq6v6k7XIg==" saltValue="2GKG1kCzVNNcn+vbOPuhJA==" spinCount="100000" sqref="Q708" name="Rango2_2_5_4_2"/>
    <protectedRange algorithmName="SHA-512" hashValue="fPHvtIAf3pQeZUoAI9C2/vdXMHBpqqEq+67P5Ypyu4+9IWqs3yc9TZcMWQ0THLxUwqseQPyVvakuYFtCwJHsxA==" saltValue="QHIogSs2PrwAfdqa9PAOFQ==" spinCount="100000" sqref="AC708" name="Rango2_88_5_5_4_3"/>
    <protectedRange algorithmName="SHA-512" hashValue="AYYX88LSDB6RDNMvSqt0KPGWPjBqTk56tMxTOlv5QD61MGTKAAQnSnudvNDWPN0Bbllh2qRQC+P5uq7goxjdrw==" saltValue="i/iPMewnks1FoXYOjKMEVg==" spinCount="100000" sqref="AB708" name="Rango2_87_6_4_2"/>
    <protectedRange algorithmName="SHA-512" hashValue="NUll9P9xh7KbSfMYpMxsRZLfDw/y/AzW2LSWlpXVscBDqiAxmzo71xjs+a2lh+jRa7pceOC849slke4+ZKx8LA==" saltValue="8qbkKpQ+CiQuLnqgShNvXA==" spinCount="100000" sqref="T708" name="Rango2_88_6_4_2"/>
    <protectedRange algorithmName="SHA-512" hashValue="XZw03RosI/l0z9FxmTtF29EdZ7P+4+ybhqoaAAUmURojSR5XbGfjC4f2i8gMqfY+RI9JvfdCA6PSh9TduXfUxA==" saltValue="5TPtLq2WoiRSae/yaDPnTw==" spinCount="100000" sqref="U708:AA708 R708:S708" name="Rango2_99_21_5"/>
    <protectedRange algorithmName="SHA-512" hashValue="9+DNppQbWrLYYUMoJ+lyQctV2bX3Vq9kZnegLbpjTLP49It2ovUbcartuoQTeXgP+TGpY//7mDH/UQlFCKDGiA==" saltValue="KUnni6YEm00anzSSvyLqQA==" spinCount="100000" sqref="AD708" name="Rango2_25_2"/>
    <protectedRange algorithmName="SHA-512" hashValue="CHipOQaT63FWw628cQcXXJRZlrbNZ7OgmnEbDx38UmmH7z19GRYEzXFiVOzHAy1OAaAbST7g2bHZHDKQp2qm3w==" saltValue="iRVuL+373yLHv0ZHzS9qog==" spinCount="100000" sqref="AG708:AH708 AJ708" name="Rango2_88_7_5_4_2"/>
    <protectedRange algorithmName="SHA-512" hashValue="LEEeiU6pKqm7TAP46VGlz0q+evvFwpT/0iLpRuWuQ7MacbP0OGL1/FSmrIEOg2rb6M+Jla2bPbVWiGag27j87w==" saltValue="HEVt+pS5OloNDlqSnzGLLw==" spinCount="100000" sqref="AI708" name="Rango2_8_7_4_2"/>
    <protectedRange algorithmName="SHA-512" hashValue="q2z5hEFmXS0v2chiPTC/VCoDWNlnhp+Xe6Ybfxe48vIsnB/KTJQxJv+pFUnCXfZ9T6vyJopuqFFNROfQTW/JUw==" saltValue="IctfdGJb5tOTpq+KPi9vww==" spinCount="100000" sqref="AE708:AF708" name="Rango2_88_39_4_2"/>
    <protectedRange algorithmName="SHA-512" hashValue="RQ91b7oAw60DVtcgB2vRpial2kSdzJx5guGCTYUwXYkKrtrUHfiYnLf9R+SNpYXlJDYpyEJLhcWwP0EqNN86dQ==" saltValue="W3RbH3zrcY9sy39xNwXNxg==" spinCount="100000" sqref="BA708:BI708" name="Rango2_88_99_4_2"/>
    <protectedRange algorithmName="SHA-512" hashValue="fMbmUM1DQ7FuAPRNvFL5mPdHUYjQnlLFhkuaxvHguaqR7aWyDxcmJs0jLYQfQKY+oyhsMb4Lew4VL6i7um3/ew==" saltValue="ydaTm0CeH8+/cYqoL/AMaQ==" spinCount="100000" sqref="AU708 AW708:AZ708" name="Rango2_88_91_4_2"/>
    <protectedRange algorithmName="SHA-512" hashValue="CHipOQaT63FWw628cQcXXJRZlrbNZ7OgmnEbDx38UmmH7z19GRYEzXFiVOzHAy1OAaAbST7g2bHZHDKQp2qm3w==" saltValue="iRVuL+373yLHv0ZHzS9qog==" spinCount="100000" sqref="AL708" name="Rango2_88_7_5_21_2"/>
    <protectedRange algorithmName="SHA-512" hashValue="NkG6oHuDGvGBEiLAAq8MEJHEfLQUMyjihfH+DBXhT+eQW0r1yri7tOJEFRM9nbOejjjXiviq9RFo7KB7wF+xJA==" saltValue="bpjB0AAANu2X/PeR3eiFkA==" spinCount="100000" sqref="AM708:AS708" name="Rango2_88_65_4_2"/>
    <protectedRange algorithmName="SHA-512" hashValue="XZw03RosI/l0z9FxmTtF29EdZ7P+4+ybhqoaAAUmURojSR5XbGfjC4f2i8gMqfY+RI9JvfdCA6PSh9TduXfUxA==" saltValue="5TPtLq2WoiRSae/yaDPnTw==" spinCount="100000" sqref="AT708 AV708 BJ708:BK708" name="Rango2_99_38_2"/>
    <protectedRange algorithmName="SHA-512" hashValue="RQ91b7oAw60DVtcgB2vRpial2kSdzJx5guGCTYUwXYkKrtrUHfiYnLf9R+SNpYXlJDYpyEJLhcWwP0EqNN86dQ==" saltValue="W3RbH3zrcY9sy39xNwXNxg==" spinCount="100000" sqref="BV708:BY708" name="Rango2_88_99_21_2"/>
    <protectedRange algorithmName="SHA-512" hashValue="XZw03RosI/l0z9FxmTtF29EdZ7P+4+ybhqoaAAUmURojSR5XbGfjC4f2i8gMqfY+RI9JvfdCA6PSh9TduXfUxA==" saltValue="5TPtLq2WoiRSae/yaDPnTw==" spinCount="100000" sqref="BZ708:CB708 BR708:BU708" name="Rango2_99_55_1"/>
    <protectedRange algorithmName="SHA-512" hashValue="XZw03RosI/l0z9FxmTtF29EdZ7P+4+ybhqoaAAUmURojSR5XbGfjC4f2i8gMqfY+RI9JvfdCA6PSh9TduXfUxA==" saltValue="5TPtLq2WoiRSae/yaDPnTw==" spinCount="100000" sqref="CE708:CF708" name="Rango2_99_72_4"/>
    <protectedRange algorithmName="SHA-512" hashValue="XZw03RosI/l0z9FxmTtF29EdZ7P+4+ybhqoaAAUmURojSR5XbGfjC4f2i8gMqfY+RI9JvfdCA6PSh9TduXfUxA==" saltValue="5TPtLq2WoiRSae/yaDPnTw==" spinCount="100000" sqref="CJ708:CK708" name="Rango2_99_89_1"/>
    <protectedRange algorithmName="SHA-512" hashValue="XZw03RosI/l0z9FxmTtF29EdZ7P+4+ybhqoaAAUmURojSR5XbGfjC4f2i8gMqfY+RI9JvfdCA6PSh9TduXfUxA==" saltValue="5TPtLq2WoiRSae/yaDPnTw==" spinCount="100000" sqref="O709" name="Rango2_99_6_4"/>
    <protectedRange algorithmName="SHA-512" hashValue="KHhv3JU/LRdRrRTxxkgFceEHPZ5UzadmpZRZR3zmQRnPvkUJZuanRafIJ+qde0IWwLZSvFIQDyUAHq6v6k7XIg==" saltValue="2GKG1kCzVNNcn+vbOPuhJA==" spinCount="100000" sqref="Q709" name="Rango2_2_5_6_1"/>
    <protectedRange algorithmName="SHA-512" hashValue="fPHvtIAf3pQeZUoAI9C2/vdXMHBpqqEq+67P5Ypyu4+9IWqs3yc9TZcMWQ0THLxUwqseQPyVvakuYFtCwJHsxA==" saltValue="QHIogSs2PrwAfdqa9PAOFQ==" spinCount="100000" sqref="AC709" name="Rango2_88_5_5_6_1"/>
    <protectedRange algorithmName="SHA-512" hashValue="AYYX88LSDB6RDNMvSqt0KPGWPjBqTk56tMxTOlv5QD61MGTKAAQnSnudvNDWPN0Bbllh2qRQC+P5uq7goxjdrw==" saltValue="i/iPMewnks1FoXYOjKMEVg==" spinCount="100000" sqref="AB709" name="Rango2_87_6_6_1"/>
    <protectedRange algorithmName="SHA-512" hashValue="NUll9P9xh7KbSfMYpMxsRZLfDw/y/AzW2LSWlpXVscBDqiAxmzo71xjs+a2lh+jRa7pceOC849slke4+ZKx8LA==" saltValue="8qbkKpQ+CiQuLnqgShNvXA==" spinCount="100000" sqref="T709" name="Rango2_88_6_6_1"/>
    <protectedRange algorithmName="SHA-512" hashValue="XZw03RosI/l0z9FxmTtF29EdZ7P+4+ybhqoaAAUmURojSR5XbGfjC4f2i8gMqfY+RI9JvfdCA6PSh9TduXfUxA==" saltValue="5TPtLq2WoiRSae/yaDPnTw==" spinCount="100000" sqref="U709:AA709 R709:S709" name="Rango2_99_23_3"/>
    <protectedRange algorithmName="SHA-512" hashValue="9+DNppQbWrLYYUMoJ+lyQctV2bX3Vq9kZnegLbpjTLP49It2ovUbcartuoQTeXgP+TGpY//7mDH/UQlFCKDGiA==" saltValue="KUnni6YEm00anzSSvyLqQA==" spinCount="100000" sqref="AD709" name="Rango2_32_4"/>
    <protectedRange algorithmName="SHA-512" hashValue="CHipOQaT63FWw628cQcXXJRZlrbNZ7OgmnEbDx38UmmH7z19GRYEzXFiVOzHAy1OAaAbST7g2bHZHDKQp2qm3w==" saltValue="iRVuL+373yLHv0ZHzS9qog==" spinCount="100000" sqref="AG709:AH709 AJ709" name="Rango2_88_7_5_6_1"/>
    <protectedRange algorithmName="SHA-512" hashValue="LEEeiU6pKqm7TAP46VGlz0q+evvFwpT/0iLpRuWuQ7MacbP0OGL1/FSmrIEOg2rb6M+Jla2bPbVWiGag27j87w==" saltValue="HEVt+pS5OloNDlqSnzGLLw==" spinCount="100000" sqref="AI709" name="Rango2_8_7_6_1"/>
    <protectedRange algorithmName="SHA-512" hashValue="q2z5hEFmXS0v2chiPTC/VCoDWNlnhp+Xe6Ybfxe48vIsnB/KTJQxJv+pFUnCXfZ9T6vyJopuqFFNROfQTW/JUw==" saltValue="IctfdGJb5tOTpq+KPi9vww==" spinCount="100000" sqref="AE709:AF709" name="Rango2_88_39_6_4"/>
    <protectedRange algorithmName="SHA-512" hashValue="RQ91b7oAw60DVtcgB2vRpial2kSdzJx5guGCTYUwXYkKrtrUHfiYnLf9R+SNpYXlJDYpyEJLhcWwP0EqNN86dQ==" saltValue="W3RbH3zrcY9sy39xNwXNxg==" spinCount="100000" sqref="BA709:BI709" name="Rango2_88_99_6_1"/>
    <protectedRange algorithmName="SHA-512" hashValue="fMbmUM1DQ7FuAPRNvFL5mPdHUYjQnlLFhkuaxvHguaqR7aWyDxcmJs0jLYQfQKY+oyhsMb4Lew4VL6i7um3/ew==" saltValue="ydaTm0CeH8+/cYqoL/AMaQ==" spinCount="100000" sqref="AU709 AW709:AZ709" name="Rango2_88_91_6_1"/>
    <protectedRange algorithmName="SHA-512" hashValue="CHipOQaT63FWw628cQcXXJRZlrbNZ7OgmnEbDx38UmmH7z19GRYEzXFiVOzHAy1OAaAbST7g2bHZHDKQp2qm3w==" saltValue="iRVuL+373yLHv0ZHzS9qog==" spinCount="100000" sqref="AL709" name="Rango2_88_7_5_23_2"/>
    <protectedRange algorithmName="SHA-512" hashValue="NkG6oHuDGvGBEiLAAq8MEJHEfLQUMyjihfH+DBXhT+eQW0r1yri7tOJEFRM9nbOejjjXiviq9RFo7KB7wF+xJA==" saltValue="bpjB0AAANu2X/PeR3eiFkA==" spinCount="100000" sqref="AM709:AS709" name="Rango2_88_65_6_1"/>
    <protectedRange algorithmName="SHA-512" hashValue="XZw03RosI/l0z9FxmTtF29EdZ7P+4+ybhqoaAAUmURojSR5XbGfjC4f2i8gMqfY+RI9JvfdCA6PSh9TduXfUxA==" saltValue="5TPtLq2WoiRSae/yaDPnTw==" spinCount="100000" sqref="AT709 AV709 BJ709:BK709" name="Rango2_99_40_4"/>
    <protectedRange algorithmName="SHA-512" hashValue="RQ91b7oAw60DVtcgB2vRpial2kSdzJx5guGCTYUwXYkKrtrUHfiYnLf9R+SNpYXlJDYpyEJLhcWwP0EqNN86dQ==" saltValue="W3RbH3zrcY9sy39xNwXNxg==" spinCount="100000" sqref="BV709:BY709" name="Rango2_88_99_23_3"/>
    <protectedRange algorithmName="SHA-512" hashValue="XZw03RosI/l0z9FxmTtF29EdZ7P+4+ybhqoaAAUmURojSR5XbGfjC4f2i8gMqfY+RI9JvfdCA6PSh9TduXfUxA==" saltValue="5TPtLq2WoiRSae/yaDPnTw==" spinCount="100000" sqref="BZ709:CB709 BR709:BU709" name="Rango2_99_57_1"/>
    <protectedRange algorithmName="SHA-512" hashValue="XZw03RosI/l0z9FxmTtF29EdZ7P+4+ybhqoaAAUmURojSR5XbGfjC4f2i8gMqfY+RI9JvfdCA6PSh9TduXfUxA==" saltValue="5TPtLq2WoiRSae/yaDPnTw==" spinCount="100000" sqref="CE709:CF709" name="Rango2_99_74_1"/>
    <protectedRange algorithmName="SHA-512" hashValue="XZw03RosI/l0z9FxmTtF29EdZ7P+4+ybhqoaAAUmURojSR5XbGfjC4f2i8gMqfY+RI9JvfdCA6PSh9TduXfUxA==" saltValue="5TPtLq2WoiRSae/yaDPnTw==" spinCount="100000" sqref="CJ709:CK709" name="Rango2_99_91_1"/>
    <protectedRange algorithmName="SHA-512" hashValue="XZw03RosI/l0z9FxmTtF29EdZ7P+4+ybhqoaAAUmURojSR5XbGfjC4f2i8gMqfY+RI9JvfdCA6PSh9TduXfUxA==" saltValue="5TPtLq2WoiRSae/yaDPnTw==" spinCount="100000" sqref="O710" name="Rango2_99_9_2"/>
    <protectedRange algorithmName="SHA-512" hashValue="XZw03RosI/l0z9FxmTtF29EdZ7P+4+ybhqoaAAUmURojSR5XbGfjC4f2i8gMqfY+RI9JvfdCA6PSh9TduXfUxA==" saltValue="5TPtLq2WoiRSae/yaDPnTw==" spinCount="100000" sqref="O711" name="Rango2_99_10_2"/>
    <protectedRange algorithmName="SHA-512" hashValue="KHhv3JU/LRdRrRTxxkgFceEHPZ5UzadmpZRZR3zmQRnPvkUJZuanRafIJ+qde0IWwLZSvFIQDyUAHq6v6k7XIg==" saltValue="2GKG1kCzVNNcn+vbOPuhJA==" spinCount="100000" sqref="Q710" name="Rango2_2_5_9_5"/>
    <protectedRange algorithmName="SHA-512" hashValue="KHhv3JU/LRdRrRTxxkgFceEHPZ5UzadmpZRZR3zmQRnPvkUJZuanRafIJ+qde0IWwLZSvFIQDyUAHq6v6k7XIg==" saltValue="2GKG1kCzVNNcn+vbOPuhJA==" spinCount="100000" sqref="Q711" name="Rango2_2_5_10_2"/>
    <protectedRange algorithmName="SHA-512" hashValue="fPHvtIAf3pQeZUoAI9C2/vdXMHBpqqEq+67P5Ypyu4+9IWqs3yc9TZcMWQ0THLxUwqseQPyVvakuYFtCwJHsxA==" saltValue="QHIogSs2PrwAfdqa9PAOFQ==" spinCount="100000" sqref="AC710" name="Rango2_88_5_5_9_5"/>
    <protectedRange algorithmName="SHA-512" hashValue="AYYX88LSDB6RDNMvSqt0KPGWPjBqTk56tMxTOlv5QD61MGTKAAQnSnudvNDWPN0Bbllh2qRQC+P5uq7goxjdrw==" saltValue="i/iPMewnks1FoXYOjKMEVg==" spinCount="100000" sqref="AB710" name="Rango2_87_6_9_5"/>
    <protectedRange algorithmName="SHA-512" hashValue="NUll9P9xh7KbSfMYpMxsRZLfDw/y/AzW2LSWlpXVscBDqiAxmzo71xjs+a2lh+jRa7pceOC849slke4+ZKx8LA==" saltValue="8qbkKpQ+CiQuLnqgShNvXA==" spinCount="100000" sqref="T710" name="Rango2_88_6_9_5"/>
    <protectedRange algorithmName="SHA-512" hashValue="XZw03RosI/l0z9FxmTtF29EdZ7P+4+ybhqoaAAUmURojSR5XbGfjC4f2i8gMqfY+RI9JvfdCA6PSh9TduXfUxA==" saltValue="5TPtLq2WoiRSae/yaDPnTw==" spinCount="100000" sqref="U710:AA710 R710:S710" name="Rango2_99_26_1"/>
    <protectedRange algorithmName="SHA-512" hashValue="9+DNppQbWrLYYUMoJ+lyQctV2bX3Vq9kZnegLbpjTLP49It2ovUbcartuoQTeXgP+TGpY//7mDH/UQlFCKDGiA==" saltValue="KUnni6YEm00anzSSvyLqQA==" spinCount="100000" sqref="AD710" name="Rango2_36_2"/>
    <protectedRange algorithmName="SHA-512" hashValue="fPHvtIAf3pQeZUoAI9C2/vdXMHBpqqEq+67P5Ypyu4+9IWqs3yc9TZcMWQ0THLxUwqseQPyVvakuYFtCwJHsxA==" saltValue="QHIogSs2PrwAfdqa9PAOFQ==" spinCount="100000" sqref="AC711" name="Rango2_88_5_5_10_2"/>
    <protectedRange algorithmName="SHA-512" hashValue="AYYX88LSDB6RDNMvSqt0KPGWPjBqTk56tMxTOlv5QD61MGTKAAQnSnudvNDWPN0Bbllh2qRQC+P5uq7goxjdrw==" saltValue="i/iPMewnks1FoXYOjKMEVg==" spinCount="100000" sqref="AB711" name="Rango2_87_6_10_2"/>
    <protectedRange algorithmName="SHA-512" hashValue="NUll9P9xh7KbSfMYpMxsRZLfDw/y/AzW2LSWlpXVscBDqiAxmzo71xjs+a2lh+jRa7pceOC849slke4+ZKx8LA==" saltValue="8qbkKpQ+CiQuLnqgShNvXA==" spinCount="100000" sqref="T711" name="Rango2_88_6_10_2"/>
    <protectedRange algorithmName="SHA-512" hashValue="XZw03RosI/l0z9FxmTtF29EdZ7P+4+ybhqoaAAUmURojSR5XbGfjC4f2i8gMqfY+RI9JvfdCA6PSh9TduXfUxA==" saltValue="5TPtLq2WoiRSae/yaDPnTw==" spinCount="100000" sqref="U711:AA711 R711:S711" name="Rango2_99_27_4"/>
    <protectedRange algorithmName="SHA-512" hashValue="9+DNppQbWrLYYUMoJ+lyQctV2bX3Vq9kZnegLbpjTLP49It2ovUbcartuoQTeXgP+TGpY//7mDH/UQlFCKDGiA==" saltValue="KUnni6YEm00anzSSvyLqQA==" spinCount="100000" sqref="AD711" name="Rango2_37_2"/>
    <protectedRange algorithmName="SHA-512" hashValue="CHipOQaT63FWw628cQcXXJRZlrbNZ7OgmnEbDx38UmmH7z19GRYEzXFiVOzHAy1OAaAbST7g2bHZHDKQp2qm3w==" saltValue="iRVuL+373yLHv0ZHzS9qog==" spinCount="100000" sqref="AG710:AH710 AJ710" name="Rango2_88_7_5_9_5"/>
    <protectedRange algorithmName="SHA-512" hashValue="LEEeiU6pKqm7TAP46VGlz0q+evvFwpT/0iLpRuWuQ7MacbP0OGL1/FSmrIEOg2rb6M+Jla2bPbVWiGag27j87w==" saltValue="HEVt+pS5OloNDlqSnzGLLw==" spinCount="100000" sqref="AI710" name="Rango2_8_7_9_5"/>
    <protectedRange algorithmName="SHA-512" hashValue="q2z5hEFmXS0v2chiPTC/VCoDWNlnhp+Xe6Ybfxe48vIsnB/KTJQxJv+pFUnCXfZ9T6vyJopuqFFNROfQTW/JUw==" saltValue="IctfdGJb5tOTpq+KPi9vww==" spinCount="100000" sqref="AE710:AF710" name="Rango2_88_39_9_2"/>
    <protectedRange algorithmName="SHA-512" hashValue="CHipOQaT63FWw628cQcXXJRZlrbNZ7OgmnEbDx38UmmH7z19GRYEzXFiVOzHAy1OAaAbST7g2bHZHDKQp2qm3w==" saltValue="iRVuL+373yLHv0ZHzS9qog==" spinCount="100000" sqref="AG711:AH711 AJ711" name="Rango2_88_7_5_10_2"/>
    <protectedRange algorithmName="SHA-512" hashValue="LEEeiU6pKqm7TAP46VGlz0q+evvFwpT/0iLpRuWuQ7MacbP0OGL1/FSmrIEOg2rb6M+Jla2bPbVWiGag27j87w==" saltValue="HEVt+pS5OloNDlqSnzGLLw==" spinCount="100000" sqref="AI711" name="Rango2_8_7_10_2"/>
    <protectedRange algorithmName="SHA-512" hashValue="q2z5hEFmXS0v2chiPTC/VCoDWNlnhp+Xe6Ybfxe48vIsnB/KTJQxJv+pFUnCXfZ9T6vyJopuqFFNROfQTW/JUw==" saltValue="IctfdGJb5tOTpq+KPi9vww==" spinCount="100000" sqref="AE711:AF711" name="Rango2_88_39_10_3"/>
    <protectedRange algorithmName="SHA-512" hashValue="RQ91b7oAw60DVtcgB2vRpial2kSdzJx5guGCTYUwXYkKrtrUHfiYnLf9R+SNpYXlJDYpyEJLhcWwP0EqNN86dQ==" saltValue="W3RbH3zrcY9sy39xNwXNxg==" spinCount="100000" sqref="BA710:BI710" name="Rango2_88_99_9_5"/>
    <protectedRange algorithmName="SHA-512" hashValue="fMbmUM1DQ7FuAPRNvFL5mPdHUYjQnlLFhkuaxvHguaqR7aWyDxcmJs0jLYQfQKY+oyhsMb4Lew4VL6i7um3/ew==" saltValue="ydaTm0CeH8+/cYqoL/AMaQ==" spinCount="100000" sqref="AU710 AW710:AZ710" name="Rango2_88_91_9_5"/>
    <protectedRange algorithmName="SHA-512" hashValue="CHipOQaT63FWw628cQcXXJRZlrbNZ7OgmnEbDx38UmmH7z19GRYEzXFiVOzHAy1OAaAbST7g2bHZHDKQp2qm3w==" saltValue="iRVuL+373yLHv0ZHzS9qog==" spinCount="100000" sqref="AL710" name="Rango2_88_7_5_26_1"/>
    <protectedRange algorithmName="SHA-512" hashValue="NkG6oHuDGvGBEiLAAq8MEJHEfLQUMyjihfH+DBXhT+eQW0r1yri7tOJEFRM9nbOejjjXiviq9RFo7KB7wF+xJA==" saltValue="bpjB0AAANu2X/PeR3eiFkA==" spinCount="100000" sqref="AM710:AS710" name="Rango2_88_65_9_5"/>
    <protectedRange algorithmName="SHA-512" hashValue="XZw03RosI/l0z9FxmTtF29EdZ7P+4+ybhqoaAAUmURojSR5XbGfjC4f2i8gMqfY+RI9JvfdCA6PSh9TduXfUxA==" saltValue="5TPtLq2WoiRSae/yaDPnTw==" spinCount="100000" sqref="AT710 AV710 BJ710:BK710" name="Rango2_99_43_2"/>
    <protectedRange algorithmName="SHA-512" hashValue="RQ91b7oAw60DVtcgB2vRpial2kSdzJx5guGCTYUwXYkKrtrUHfiYnLf9R+SNpYXlJDYpyEJLhcWwP0EqNN86dQ==" saltValue="W3RbH3zrcY9sy39xNwXNxg==" spinCount="100000" sqref="BA711:BI711" name="Rango2_88_99_10_3"/>
    <protectedRange algorithmName="SHA-512" hashValue="fMbmUM1DQ7FuAPRNvFL5mPdHUYjQnlLFhkuaxvHguaqR7aWyDxcmJs0jLYQfQKY+oyhsMb4Lew4VL6i7um3/ew==" saltValue="ydaTm0CeH8+/cYqoL/AMaQ==" spinCount="100000" sqref="AU711 AW711:AZ711" name="Rango2_88_91_10_2"/>
    <protectedRange algorithmName="SHA-512" hashValue="CHipOQaT63FWw628cQcXXJRZlrbNZ7OgmnEbDx38UmmH7z19GRYEzXFiVOzHAy1OAaAbST7g2bHZHDKQp2qm3w==" saltValue="iRVuL+373yLHv0ZHzS9qog==" spinCount="100000" sqref="AL711" name="Rango2_88_7_5_27_1"/>
    <protectedRange algorithmName="SHA-512" hashValue="NkG6oHuDGvGBEiLAAq8MEJHEfLQUMyjihfH+DBXhT+eQW0r1yri7tOJEFRM9nbOejjjXiviq9RFo7KB7wF+xJA==" saltValue="bpjB0AAANu2X/PeR3eiFkA==" spinCount="100000" sqref="AM711:AS711" name="Rango2_88_65_10_2"/>
    <protectedRange algorithmName="SHA-512" hashValue="XZw03RosI/l0z9FxmTtF29EdZ7P+4+ybhqoaAAUmURojSR5XbGfjC4f2i8gMqfY+RI9JvfdCA6PSh9TduXfUxA==" saltValue="5TPtLq2WoiRSae/yaDPnTw==" spinCount="100000" sqref="AT711 AV711 BJ711:BK711" name="Rango2_99_44_2"/>
    <protectedRange algorithmName="SHA-512" hashValue="RQ91b7oAw60DVtcgB2vRpial2kSdzJx5guGCTYUwXYkKrtrUHfiYnLf9R+SNpYXlJDYpyEJLhcWwP0EqNN86dQ==" saltValue="W3RbH3zrcY9sy39xNwXNxg==" spinCount="100000" sqref="BV710:BY710" name="Rango2_88_99_26_1"/>
    <protectedRange algorithmName="SHA-512" hashValue="XZw03RosI/l0z9FxmTtF29EdZ7P+4+ybhqoaAAUmURojSR5XbGfjC4f2i8gMqfY+RI9JvfdCA6PSh9TduXfUxA==" saltValue="5TPtLq2WoiRSae/yaDPnTw==" spinCount="100000" sqref="BZ710:CB710 BR710:BU710" name="Rango2_99_60_4"/>
    <protectedRange algorithmName="SHA-512" hashValue="RQ91b7oAw60DVtcgB2vRpial2kSdzJx5guGCTYUwXYkKrtrUHfiYnLf9R+SNpYXlJDYpyEJLhcWwP0EqNN86dQ==" saltValue="W3RbH3zrcY9sy39xNwXNxg==" spinCount="100000" sqref="BV711:BY711" name="Rango2_88_99_27_1"/>
    <protectedRange algorithmName="SHA-512" hashValue="XZw03RosI/l0z9FxmTtF29EdZ7P+4+ybhqoaAAUmURojSR5XbGfjC4f2i8gMqfY+RI9JvfdCA6PSh9TduXfUxA==" saltValue="5TPtLq2WoiRSae/yaDPnTw==" spinCount="100000" sqref="BZ711:CB711 BR711:BU711" name="Rango2_99_61_1"/>
    <protectedRange algorithmName="SHA-512" hashValue="XZw03RosI/l0z9FxmTtF29EdZ7P+4+ybhqoaAAUmURojSR5XbGfjC4f2i8gMqfY+RI9JvfdCA6PSh9TduXfUxA==" saltValue="5TPtLq2WoiRSae/yaDPnTw==" spinCount="100000" sqref="CE710:CF710" name="Rango2_99_77_1"/>
    <protectedRange algorithmName="SHA-512" hashValue="XZw03RosI/l0z9FxmTtF29EdZ7P+4+ybhqoaAAUmURojSR5XbGfjC4f2i8gMqfY+RI9JvfdCA6PSh9TduXfUxA==" saltValue="5TPtLq2WoiRSae/yaDPnTw==" spinCount="100000" sqref="CE711:CF711" name="Rango2_99_78_1"/>
    <protectedRange algorithmName="SHA-512" hashValue="XZw03RosI/l0z9FxmTtF29EdZ7P+4+ybhqoaAAUmURojSR5XbGfjC4f2i8gMqfY+RI9JvfdCA6PSh9TduXfUxA==" saltValue="5TPtLq2WoiRSae/yaDPnTw==" spinCount="100000" sqref="CJ710:CK710" name="Rango2_99_94_2"/>
    <protectedRange algorithmName="SHA-512" hashValue="XZw03RosI/l0z9FxmTtF29EdZ7P+4+ybhqoaAAUmURojSR5XbGfjC4f2i8gMqfY+RI9JvfdCA6PSh9TduXfUxA==" saltValue="5TPtLq2WoiRSae/yaDPnTw==" spinCount="100000" sqref="CJ711:CK711" name="Rango2_99_95_2"/>
    <protectedRange algorithmName="SHA-512" hashValue="XZw03RosI/l0z9FxmTtF29EdZ7P+4+ybhqoaAAUmURojSR5XbGfjC4f2i8gMqfY+RI9JvfdCA6PSh9TduXfUxA==" saltValue="5TPtLq2WoiRSae/yaDPnTw==" spinCount="100000" sqref="O712" name="Rango2_99_10_3"/>
    <protectedRange algorithmName="SHA-512" hashValue="KHhv3JU/LRdRrRTxxkgFceEHPZ5UzadmpZRZR3zmQRnPvkUJZuanRafIJ+qde0IWwLZSvFIQDyUAHq6v6k7XIg==" saltValue="2GKG1kCzVNNcn+vbOPuhJA==" spinCount="100000" sqref="Q712" name="Rango2_2_5_10_3"/>
    <protectedRange algorithmName="SHA-512" hashValue="fPHvtIAf3pQeZUoAI9C2/vdXMHBpqqEq+67P5Ypyu4+9IWqs3yc9TZcMWQ0THLxUwqseQPyVvakuYFtCwJHsxA==" saltValue="QHIogSs2PrwAfdqa9PAOFQ==" spinCount="100000" sqref="AC712" name="Rango2_88_5_5_10_3"/>
    <protectedRange algorithmName="SHA-512" hashValue="AYYX88LSDB6RDNMvSqt0KPGWPjBqTk56tMxTOlv5QD61MGTKAAQnSnudvNDWPN0Bbllh2qRQC+P5uq7goxjdrw==" saltValue="i/iPMewnks1FoXYOjKMEVg==" spinCount="100000" sqref="AB712" name="Rango2_87_6_10_3"/>
    <protectedRange algorithmName="SHA-512" hashValue="NUll9P9xh7KbSfMYpMxsRZLfDw/y/AzW2LSWlpXVscBDqiAxmzo71xjs+a2lh+jRa7pceOC849slke4+ZKx8LA==" saltValue="8qbkKpQ+CiQuLnqgShNvXA==" spinCount="100000" sqref="T712" name="Rango2_88_6_10_3"/>
    <protectedRange algorithmName="SHA-512" hashValue="XZw03RosI/l0z9FxmTtF29EdZ7P+4+ybhqoaAAUmURojSR5XbGfjC4f2i8gMqfY+RI9JvfdCA6PSh9TduXfUxA==" saltValue="5TPtLq2WoiRSae/yaDPnTw==" spinCount="100000" sqref="U712:AA712 R712:S712" name="Rango2_99_27_5"/>
    <protectedRange algorithmName="SHA-512" hashValue="9+DNppQbWrLYYUMoJ+lyQctV2bX3Vq9kZnegLbpjTLP49It2ovUbcartuoQTeXgP+TGpY//7mDH/UQlFCKDGiA==" saltValue="KUnni6YEm00anzSSvyLqQA==" spinCount="100000" sqref="AD712" name="Rango2_37_3"/>
    <protectedRange algorithmName="SHA-512" hashValue="CHipOQaT63FWw628cQcXXJRZlrbNZ7OgmnEbDx38UmmH7z19GRYEzXFiVOzHAy1OAaAbST7g2bHZHDKQp2qm3w==" saltValue="iRVuL+373yLHv0ZHzS9qog==" spinCount="100000" sqref="AG712:AH712 AJ712" name="Rango2_88_7_5_10_3"/>
    <protectedRange algorithmName="SHA-512" hashValue="LEEeiU6pKqm7TAP46VGlz0q+evvFwpT/0iLpRuWuQ7MacbP0OGL1/FSmrIEOg2rb6M+Jla2bPbVWiGag27j87w==" saltValue="HEVt+pS5OloNDlqSnzGLLw==" spinCount="100000" sqref="AI712" name="Rango2_8_7_10_3"/>
    <protectedRange algorithmName="SHA-512" hashValue="q2z5hEFmXS0v2chiPTC/VCoDWNlnhp+Xe6Ybfxe48vIsnB/KTJQxJv+pFUnCXfZ9T6vyJopuqFFNROfQTW/JUw==" saltValue="IctfdGJb5tOTpq+KPi9vww==" spinCount="100000" sqref="AE712:AF712" name="Rango2_88_39_10_4"/>
    <protectedRange algorithmName="SHA-512" hashValue="RQ91b7oAw60DVtcgB2vRpial2kSdzJx5guGCTYUwXYkKrtrUHfiYnLf9R+SNpYXlJDYpyEJLhcWwP0EqNN86dQ==" saltValue="W3RbH3zrcY9sy39xNwXNxg==" spinCount="100000" sqref="BA712:BI712" name="Rango2_88_99_10_4"/>
    <protectedRange algorithmName="SHA-512" hashValue="fMbmUM1DQ7FuAPRNvFL5mPdHUYjQnlLFhkuaxvHguaqR7aWyDxcmJs0jLYQfQKY+oyhsMb4Lew4VL6i7um3/ew==" saltValue="ydaTm0CeH8+/cYqoL/AMaQ==" spinCount="100000" sqref="AU712 AW712:AZ712" name="Rango2_88_91_10_3"/>
    <protectedRange algorithmName="SHA-512" hashValue="CHipOQaT63FWw628cQcXXJRZlrbNZ7OgmnEbDx38UmmH7z19GRYEzXFiVOzHAy1OAaAbST7g2bHZHDKQp2qm3w==" saltValue="iRVuL+373yLHv0ZHzS9qog==" spinCount="100000" sqref="AL712" name="Rango2_88_7_5_27_2"/>
    <protectedRange algorithmName="SHA-512" hashValue="NkG6oHuDGvGBEiLAAq8MEJHEfLQUMyjihfH+DBXhT+eQW0r1yri7tOJEFRM9nbOejjjXiviq9RFo7KB7wF+xJA==" saltValue="bpjB0AAANu2X/PeR3eiFkA==" spinCount="100000" sqref="AM712:AS712" name="Rango2_88_65_10_3"/>
    <protectedRange algorithmName="SHA-512" hashValue="XZw03RosI/l0z9FxmTtF29EdZ7P+4+ybhqoaAAUmURojSR5XbGfjC4f2i8gMqfY+RI9JvfdCA6PSh9TduXfUxA==" saltValue="5TPtLq2WoiRSae/yaDPnTw==" spinCount="100000" sqref="AT712 AV712 BJ712:BK712" name="Rango2_99_44_3"/>
    <protectedRange algorithmName="SHA-512" hashValue="RQ91b7oAw60DVtcgB2vRpial2kSdzJx5guGCTYUwXYkKrtrUHfiYnLf9R+SNpYXlJDYpyEJLhcWwP0EqNN86dQ==" saltValue="W3RbH3zrcY9sy39xNwXNxg==" spinCount="100000" sqref="BV712:BY712" name="Rango2_88_99_27_2"/>
    <protectedRange algorithmName="SHA-512" hashValue="XZw03RosI/l0z9FxmTtF29EdZ7P+4+ybhqoaAAUmURojSR5XbGfjC4f2i8gMqfY+RI9JvfdCA6PSh9TduXfUxA==" saltValue="5TPtLq2WoiRSae/yaDPnTw==" spinCount="100000" sqref="BZ712:CB712 BR712:BU712" name="Rango2_99_61_2"/>
    <protectedRange algorithmName="SHA-512" hashValue="XZw03RosI/l0z9FxmTtF29EdZ7P+4+ybhqoaAAUmURojSR5XbGfjC4f2i8gMqfY+RI9JvfdCA6PSh9TduXfUxA==" saltValue="5TPtLq2WoiRSae/yaDPnTw==" spinCount="100000" sqref="CE712:CF712" name="Rango2_99_78_2"/>
    <protectedRange algorithmName="SHA-512" hashValue="XZw03RosI/l0z9FxmTtF29EdZ7P+4+ybhqoaAAUmURojSR5XbGfjC4f2i8gMqfY+RI9JvfdCA6PSh9TduXfUxA==" saltValue="5TPtLq2WoiRSae/yaDPnTw==" spinCount="100000" sqref="CJ712:CK712" name="Rango2_99_95_3"/>
    <protectedRange algorithmName="SHA-512" hashValue="XZw03RosI/l0z9FxmTtF29EdZ7P+4+ybhqoaAAUmURojSR5XbGfjC4f2i8gMqfY+RI9JvfdCA6PSh9TduXfUxA==" saltValue="5TPtLq2WoiRSae/yaDPnTw==" spinCount="100000" sqref="O713" name="Rango2_99_14_6"/>
    <protectedRange algorithmName="SHA-512" hashValue="KHhv3JU/LRdRrRTxxkgFceEHPZ5UzadmpZRZR3zmQRnPvkUJZuanRafIJ+qde0IWwLZSvFIQDyUAHq6v6k7XIg==" saltValue="2GKG1kCzVNNcn+vbOPuhJA==" spinCount="100000" sqref="Q713" name="Rango2_2_5_14_1"/>
    <protectedRange algorithmName="SHA-512" hashValue="fPHvtIAf3pQeZUoAI9C2/vdXMHBpqqEq+67P5Ypyu4+9IWqs3yc9TZcMWQ0THLxUwqseQPyVvakuYFtCwJHsxA==" saltValue="QHIogSs2PrwAfdqa9PAOFQ==" spinCount="100000" sqref="AC713" name="Rango2_88_5_5_14_1"/>
    <protectedRange algorithmName="SHA-512" hashValue="AYYX88LSDB6RDNMvSqt0KPGWPjBqTk56tMxTOlv5QD61MGTKAAQnSnudvNDWPN0Bbllh2qRQC+P5uq7goxjdrw==" saltValue="i/iPMewnks1FoXYOjKMEVg==" spinCount="100000" sqref="AB713" name="Rango2_87_6_14_1"/>
    <protectedRange algorithmName="SHA-512" hashValue="NUll9P9xh7KbSfMYpMxsRZLfDw/y/AzW2LSWlpXVscBDqiAxmzo71xjs+a2lh+jRa7pceOC849slke4+ZKx8LA==" saltValue="8qbkKpQ+CiQuLnqgShNvXA==" spinCount="100000" sqref="T713" name="Rango2_88_6_14_1"/>
    <protectedRange algorithmName="SHA-512" hashValue="XZw03RosI/l0z9FxmTtF29EdZ7P+4+ybhqoaAAUmURojSR5XbGfjC4f2i8gMqfY+RI9JvfdCA6PSh9TduXfUxA==" saltValue="5TPtLq2WoiRSae/yaDPnTw==" spinCount="100000" sqref="U713:AA713 R713:S713" name="Rango2_99_31_1"/>
    <protectedRange algorithmName="SHA-512" hashValue="9+DNppQbWrLYYUMoJ+lyQctV2bX3Vq9kZnegLbpjTLP49It2ovUbcartuoQTeXgP+TGpY//7mDH/UQlFCKDGiA==" saltValue="KUnni6YEm00anzSSvyLqQA==" spinCount="100000" sqref="AD713" name="Rango2_42_1"/>
    <protectedRange algorithmName="SHA-512" hashValue="CHipOQaT63FWw628cQcXXJRZlrbNZ7OgmnEbDx38UmmH7z19GRYEzXFiVOzHAy1OAaAbST7g2bHZHDKQp2qm3w==" saltValue="iRVuL+373yLHv0ZHzS9qog==" spinCount="100000" sqref="AG713:AH713 AJ713" name="Rango2_88_7_5_14_6"/>
    <protectedRange algorithmName="SHA-512" hashValue="LEEeiU6pKqm7TAP46VGlz0q+evvFwpT/0iLpRuWuQ7MacbP0OGL1/FSmrIEOg2rb6M+Jla2bPbVWiGag27j87w==" saltValue="HEVt+pS5OloNDlqSnzGLLw==" spinCount="100000" sqref="AI713" name="Rango2_8_7_14_1"/>
    <protectedRange algorithmName="SHA-512" hashValue="q2z5hEFmXS0v2chiPTC/VCoDWNlnhp+Xe6Ybfxe48vIsnB/KTJQxJv+pFUnCXfZ9T6vyJopuqFFNROfQTW/JUw==" saltValue="IctfdGJb5tOTpq+KPi9vww==" spinCount="100000" sqref="AE713:AF713" name="Rango2_88_39_14_2"/>
    <protectedRange algorithmName="SHA-512" hashValue="RQ91b7oAw60DVtcgB2vRpial2kSdzJx5guGCTYUwXYkKrtrUHfiYnLf9R+SNpYXlJDYpyEJLhcWwP0EqNN86dQ==" saltValue="W3RbH3zrcY9sy39xNwXNxg==" spinCount="100000" sqref="BA713:BI713" name="Rango2_88_99_14_6"/>
    <protectedRange algorithmName="SHA-512" hashValue="fMbmUM1DQ7FuAPRNvFL5mPdHUYjQnlLFhkuaxvHguaqR7aWyDxcmJs0jLYQfQKY+oyhsMb4Lew4VL6i7um3/ew==" saltValue="ydaTm0CeH8+/cYqoL/AMaQ==" spinCount="100000" sqref="AU713 AW713:AZ713" name="Rango2_88_91_14_1"/>
    <protectedRange algorithmName="SHA-512" hashValue="CHipOQaT63FWw628cQcXXJRZlrbNZ7OgmnEbDx38UmmH7z19GRYEzXFiVOzHAy1OAaAbST7g2bHZHDKQp2qm3w==" saltValue="iRVuL+373yLHv0ZHzS9qog==" spinCount="100000" sqref="AL713" name="Rango2_88_7_5_31_1"/>
    <protectedRange algorithmName="SHA-512" hashValue="NkG6oHuDGvGBEiLAAq8MEJHEfLQUMyjihfH+DBXhT+eQW0r1yri7tOJEFRM9nbOejjjXiviq9RFo7KB7wF+xJA==" saltValue="bpjB0AAANu2X/PeR3eiFkA==" spinCount="100000" sqref="AM713:AS713" name="Rango2_88_65_14_1"/>
    <protectedRange algorithmName="SHA-512" hashValue="XZw03RosI/l0z9FxmTtF29EdZ7P+4+ybhqoaAAUmURojSR5XbGfjC4f2i8gMqfY+RI9JvfdCA6PSh9TduXfUxA==" saltValue="5TPtLq2WoiRSae/yaDPnTw==" spinCount="100000" sqref="AT713 AV713 BJ713:BK713" name="Rango2_99_48_5"/>
    <protectedRange algorithmName="SHA-512" hashValue="RQ91b7oAw60DVtcgB2vRpial2kSdzJx5guGCTYUwXYkKrtrUHfiYnLf9R+SNpYXlJDYpyEJLhcWwP0EqNN86dQ==" saltValue="W3RbH3zrcY9sy39xNwXNxg==" spinCount="100000" sqref="BV713:BY713" name="Rango2_88_99_31_1"/>
    <protectedRange algorithmName="SHA-512" hashValue="XZw03RosI/l0z9FxmTtF29EdZ7P+4+ybhqoaAAUmURojSR5XbGfjC4f2i8gMqfY+RI9JvfdCA6PSh9TduXfUxA==" saltValue="5TPtLq2WoiRSae/yaDPnTw==" spinCount="100000" sqref="BZ713:CB713 BR713:BU713" name="Rango2_99_65_2"/>
    <protectedRange algorithmName="SHA-512" hashValue="XZw03RosI/l0z9FxmTtF29EdZ7P+4+ybhqoaAAUmURojSR5XbGfjC4f2i8gMqfY+RI9JvfdCA6PSh9TduXfUxA==" saltValue="5TPtLq2WoiRSae/yaDPnTw==" spinCount="100000" sqref="CE713:CF713" name="Rango2_99_82_1"/>
    <protectedRange algorithmName="SHA-512" hashValue="XZw03RosI/l0z9FxmTtF29EdZ7P+4+ybhqoaAAUmURojSR5XbGfjC4f2i8gMqfY+RI9JvfdCA6PSh9TduXfUxA==" saltValue="5TPtLq2WoiRSae/yaDPnTw==" spinCount="100000" sqref="CJ713:CK713" name="Rango2_99_99_2"/>
    <protectedRange algorithmName="SHA-512" hashValue="XZw03RosI/l0z9FxmTtF29EdZ7P+4+ybhqoaAAUmURojSR5XbGfjC4f2i8gMqfY+RI9JvfdCA6PSh9TduXfUxA==" saltValue="5TPtLq2WoiRSae/yaDPnTw==" spinCount="100000" sqref="O714:O715" name="Rango2_99_16_1"/>
    <protectedRange algorithmName="SHA-512" hashValue="KHhv3JU/LRdRrRTxxkgFceEHPZ5UzadmpZRZR3zmQRnPvkUJZuanRafIJ+qde0IWwLZSvFIQDyUAHq6v6k7XIg==" saltValue="2GKG1kCzVNNcn+vbOPuhJA==" spinCount="100000" sqref="Q714:Q715" name="Rango2_2_5_16_1"/>
    <protectedRange algorithmName="SHA-512" hashValue="fPHvtIAf3pQeZUoAI9C2/vdXMHBpqqEq+67P5Ypyu4+9IWqs3yc9TZcMWQ0THLxUwqseQPyVvakuYFtCwJHsxA==" saltValue="QHIogSs2PrwAfdqa9PAOFQ==" spinCount="100000" sqref="AC714:AC715" name="Rango2_88_5_5_16_1"/>
    <protectedRange algorithmName="SHA-512" hashValue="AYYX88LSDB6RDNMvSqt0KPGWPjBqTk56tMxTOlv5QD61MGTKAAQnSnudvNDWPN0Bbllh2qRQC+P5uq7goxjdrw==" saltValue="i/iPMewnks1FoXYOjKMEVg==" spinCount="100000" sqref="AB714:AB715" name="Rango2_87_6_16_1"/>
    <protectedRange algorithmName="SHA-512" hashValue="NUll9P9xh7KbSfMYpMxsRZLfDw/y/AzW2LSWlpXVscBDqiAxmzo71xjs+a2lh+jRa7pceOC849slke4+ZKx8LA==" saltValue="8qbkKpQ+CiQuLnqgShNvXA==" spinCount="100000" sqref="T714:T715" name="Rango2_88_6_16_1"/>
    <protectedRange algorithmName="SHA-512" hashValue="XZw03RosI/l0z9FxmTtF29EdZ7P+4+ybhqoaAAUmURojSR5XbGfjC4f2i8gMqfY+RI9JvfdCA6PSh9TduXfUxA==" saltValue="5TPtLq2WoiRSae/yaDPnTw==" spinCount="100000" sqref="U714:AA715 R714:S715" name="Rango2_99_33_2"/>
    <protectedRange algorithmName="SHA-512" hashValue="9+DNppQbWrLYYUMoJ+lyQctV2bX3Vq9kZnegLbpjTLP49It2ovUbcartuoQTeXgP+TGpY//7mDH/UQlFCKDGiA==" saltValue="KUnni6YEm00anzSSvyLqQA==" spinCount="100000" sqref="AD714:AD715" name="Rango2_44_1"/>
    <protectedRange algorithmName="SHA-512" hashValue="CHipOQaT63FWw628cQcXXJRZlrbNZ7OgmnEbDx38UmmH7z19GRYEzXFiVOzHAy1OAaAbST7g2bHZHDKQp2qm3w==" saltValue="iRVuL+373yLHv0ZHzS9qog==" spinCount="100000" sqref="AG714:AH715 AJ714:AJ715" name="Rango2_88_7_5_16_1"/>
    <protectedRange algorithmName="SHA-512" hashValue="LEEeiU6pKqm7TAP46VGlz0q+evvFwpT/0iLpRuWuQ7MacbP0OGL1/FSmrIEOg2rb6M+Jla2bPbVWiGag27j87w==" saltValue="HEVt+pS5OloNDlqSnzGLLw==" spinCount="100000" sqref="AI714:AI715" name="Rango2_8_7_16_1"/>
    <protectedRange algorithmName="SHA-512" hashValue="q2z5hEFmXS0v2chiPTC/VCoDWNlnhp+Xe6Ybfxe48vIsnB/KTJQxJv+pFUnCXfZ9T6vyJopuqFFNROfQTW/JUw==" saltValue="IctfdGJb5tOTpq+KPi9vww==" spinCount="100000" sqref="AE714:AF715" name="Rango2_88_39_16_2"/>
    <protectedRange algorithmName="SHA-512" hashValue="RQ91b7oAw60DVtcgB2vRpial2kSdzJx5guGCTYUwXYkKrtrUHfiYnLf9R+SNpYXlJDYpyEJLhcWwP0EqNN86dQ==" saltValue="W3RbH3zrcY9sy39xNwXNxg==" spinCount="100000" sqref="BA714:BI715" name="Rango2_88_99_16_1"/>
    <protectedRange algorithmName="SHA-512" hashValue="fMbmUM1DQ7FuAPRNvFL5mPdHUYjQnlLFhkuaxvHguaqR7aWyDxcmJs0jLYQfQKY+oyhsMb4Lew4VL6i7um3/ew==" saltValue="ydaTm0CeH8+/cYqoL/AMaQ==" spinCount="100000" sqref="AU714:AU715 AW714:AZ715" name="Rango2_88_91_16_1"/>
    <protectedRange algorithmName="SHA-512" hashValue="CHipOQaT63FWw628cQcXXJRZlrbNZ7OgmnEbDx38UmmH7z19GRYEzXFiVOzHAy1OAaAbST7g2bHZHDKQp2qm3w==" saltValue="iRVuL+373yLHv0ZHzS9qog==" spinCount="100000" sqref="AL714:AL715" name="Rango2_88_7_5_33_1"/>
    <protectedRange algorithmName="SHA-512" hashValue="NkG6oHuDGvGBEiLAAq8MEJHEfLQUMyjihfH+DBXhT+eQW0r1yri7tOJEFRM9nbOejjjXiviq9RFo7KB7wF+xJA==" saltValue="bpjB0AAANu2X/PeR3eiFkA==" spinCount="100000" sqref="AM714:AS715" name="Rango2_88_65_16_1"/>
    <protectedRange algorithmName="SHA-512" hashValue="XZw03RosI/l0z9FxmTtF29EdZ7P+4+ybhqoaAAUmURojSR5XbGfjC4f2i8gMqfY+RI9JvfdCA6PSh9TduXfUxA==" saltValue="5TPtLq2WoiRSae/yaDPnTw==" spinCount="100000" sqref="AT714:AT715 AV714:AV715 BJ714:BK715" name="Rango2_99_50_3"/>
    <protectedRange algorithmName="SHA-512" hashValue="RQ91b7oAw60DVtcgB2vRpial2kSdzJx5guGCTYUwXYkKrtrUHfiYnLf9R+SNpYXlJDYpyEJLhcWwP0EqNN86dQ==" saltValue="W3RbH3zrcY9sy39xNwXNxg==" spinCount="100000" sqref="BV714:BY715" name="Rango2_88_99_33_1"/>
    <protectedRange algorithmName="SHA-512" hashValue="XZw03RosI/l0z9FxmTtF29EdZ7P+4+ybhqoaAAUmURojSR5XbGfjC4f2i8gMqfY+RI9JvfdCA6PSh9TduXfUxA==" saltValue="5TPtLq2WoiRSae/yaDPnTw==" spinCount="100000" sqref="BZ714:CB715 BR714:BU715" name="Rango2_99_67_1"/>
    <protectedRange algorithmName="SHA-512" hashValue="XZw03RosI/l0z9FxmTtF29EdZ7P+4+ybhqoaAAUmURojSR5XbGfjC4f2i8gMqfY+RI9JvfdCA6PSh9TduXfUxA==" saltValue="5TPtLq2WoiRSae/yaDPnTw==" spinCount="100000" sqref="CE714:CF715" name="Rango2_99_84_5"/>
    <protectedRange algorithmName="SHA-512" hashValue="XZw03RosI/l0z9FxmTtF29EdZ7P+4+ybhqoaAAUmURojSR5XbGfjC4f2i8gMqfY+RI9JvfdCA6PSh9TduXfUxA==" saltValue="5TPtLq2WoiRSae/yaDPnTw==" spinCount="100000" sqref="O716" name="Rango2_99_16_2"/>
    <protectedRange algorithmName="SHA-512" hashValue="KHhv3JU/LRdRrRTxxkgFceEHPZ5UzadmpZRZR3zmQRnPvkUJZuanRafIJ+qde0IWwLZSvFIQDyUAHq6v6k7XIg==" saltValue="2GKG1kCzVNNcn+vbOPuhJA==" spinCount="100000" sqref="Q716" name="Rango2_2_5_16_2"/>
    <protectedRange algorithmName="SHA-512" hashValue="fPHvtIAf3pQeZUoAI9C2/vdXMHBpqqEq+67P5Ypyu4+9IWqs3yc9TZcMWQ0THLxUwqseQPyVvakuYFtCwJHsxA==" saltValue="QHIogSs2PrwAfdqa9PAOFQ==" spinCount="100000" sqref="AC716" name="Rango2_88_5_5_16_2"/>
    <protectedRange algorithmName="SHA-512" hashValue="AYYX88LSDB6RDNMvSqt0KPGWPjBqTk56tMxTOlv5QD61MGTKAAQnSnudvNDWPN0Bbllh2qRQC+P5uq7goxjdrw==" saltValue="i/iPMewnks1FoXYOjKMEVg==" spinCount="100000" sqref="AB716" name="Rango2_87_6_16_2"/>
    <protectedRange algorithmName="SHA-512" hashValue="NUll9P9xh7KbSfMYpMxsRZLfDw/y/AzW2LSWlpXVscBDqiAxmzo71xjs+a2lh+jRa7pceOC849slke4+ZKx8LA==" saltValue="8qbkKpQ+CiQuLnqgShNvXA==" spinCount="100000" sqref="T716" name="Rango2_88_6_16_2"/>
    <protectedRange algorithmName="SHA-512" hashValue="XZw03RosI/l0z9FxmTtF29EdZ7P+4+ybhqoaAAUmURojSR5XbGfjC4f2i8gMqfY+RI9JvfdCA6PSh9TduXfUxA==" saltValue="5TPtLq2WoiRSae/yaDPnTw==" spinCount="100000" sqref="U716:AA716 R716:S716" name="Rango2_99_33_3"/>
    <protectedRange algorithmName="SHA-512" hashValue="9+DNppQbWrLYYUMoJ+lyQctV2bX3Vq9kZnegLbpjTLP49It2ovUbcartuoQTeXgP+TGpY//7mDH/UQlFCKDGiA==" saltValue="KUnni6YEm00anzSSvyLqQA==" spinCount="100000" sqref="AD716" name="Rango2_44_2"/>
    <protectedRange algorithmName="SHA-512" hashValue="CHipOQaT63FWw628cQcXXJRZlrbNZ7OgmnEbDx38UmmH7z19GRYEzXFiVOzHAy1OAaAbST7g2bHZHDKQp2qm3w==" saltValue="iRVuL+373yLHv0ZHzS9qog==" spinCount="100000" sqref="AG716:AH716 AJ716" name="Rango2_88_7_5_16_2"/>
    <protectedRange algorithmName="SHA-512" hashValue="LEEeiU6pKqm7TAP46VGlz0q+evvFwpT/0iLpRuWuQ7MacbP0OGL1/FSmrIEOg2rb6M+Jla2bPbVWiGag27j87w==" saltValue="HEVt+pS5OloNDlqSnzGLLw==" spinCount="100000" sqref="AI716" name="Rango2_8_7_16_2"/>
    <protectedRange algorithmName="SHA-512" hashValue="q2z5hEFmXS0v2chiPTC/VCoDWNlnhp+Xe6Ybfxe48vIsnB/KTJQxJv+pFUnCXfZ9T6vyJopuqFFNROfQTW/JUw==" saltValue="IctfdGJb5tOTpq+KPi9vww==" spinCount="100000" sqref="AE716:AF716" name="Rango2_88_39_16_3"/>
    <protectedRange algorithmName="SHA-512" hashValue="RQ91b7oAw60DVtcgB2vRpial2kSdzJx5guGCTYUwXYkKrtrUHfiYnLf9R+SNpYXlJDYpyEJLhcWwP0EqNN86dQ==" saltValue="W3RbH3zrcY9sy39xNwXNxg==" spinCount="100000" sqref="BA716:BI716" name="Rango2_88_99_16_2"/>
    <protectedRange algorithmName="SHA-512" hashValue="fMbmUM1DQ7FuAPRNvFL5mPdHUYjQnlLFhkuaxvHguaqR7aWyDxcmJs0jLYQfQKY+oyhsMb4Lew4VL6i7um3/ew==" saltValue="ydaTm0CeH8+/cYqoL/AMaQ==" spinCount="100000" sqref="AU716 AW716:AZ716" name="Rango2_88_91_16_2"/>
    <protectedRange algorithmName="SHA-512" hashValue="CHipOQaT63FWw628cQcXXJRZlrbNZ7OgmnEbDx38UmmH7z19GRYEzXFiVOzHAy1OAaAbST7g2bHZHDKQp2qm3w==" saltValue="iRVuL+373yLHv0ZHzS9qog==" spinCount="100000" sqref="AL716" name="Rango2_88_7_5_33_2"/>
    <protectedRange algorithmName="SHA-512" hashValue="NkG6oHuDGvGBEiLAAq8MEJHEfLQUMyjihfH+DBXhT+eQW0r1yri7tOJEFRM9nbOejjjXiviq9RFo7KB7wF+xJA==" saltValue="bpjB0AAANu2X/PeR3eiFkA==" spinCount="100000" sqref="AM716:AS716" name="Rango2_88_65_16_2"/>
    <protectedRange algorithmName="SHA-512" hashValue="XZw03RosI/l0z9FxmTtF29EdZ7P+4+ybhqoaAAUmURojSR5XbGfjC4f2i8gMqfY+RI9JvfdCA6PSh9TduXfUxA==" saltValue="5TPtLq2WoiRSae/yaDPnTw==" spinCount="100000" sqref="AT716 AV716 BJ716:BK716" name="Rango2_99_50_4"/>
    <protectedRange algorithmName="SHA-512" hashValue="RQ91b7oAw60DVtcgB2vRpial2kSdzJx5guGCTYUwXYkKrtrUHfiYnLf9R+SNpYXlJDYpyEJLhcWwP0EqNN86dQ==" saltValue="W3RbH3zrcY9sy39xNwXNxg==" spinCount="100000" sqref="BV716:BY716" name="Rango2_88_99_33_2"/>
    <protectedRange algorithmName="SHA-512" hashValue="XZw03RosI/l0z9FxmTtF29EdZ7P+4+ybhqoaAAUmURojSR5XbGfjC4f2i8gMqfY+RI9JvfdCA6PSh9TduXfUxA==" saltValue="5TPtLq2WoiRSae/yaDPnTw==" spinCount="100000" sqref="BZ716:CB716 BR716:BU716" name="Rango2_99_67_2"/>
    <protectedRange algorithmName="SHA-512" hashValue="XZw03RosI/l0z9FxmTtF29EdZ7P+4+ybhqoaAAUmURojSR5XbGfjC4f2i8gMqfY+RI9JvfdCA6PSh9TduXfUxA==" saltValue="5TPtLq2WoiRSae/yaDPnTw==" spinCount="100000" sqref="CE716:CF716" name="Rango2_99_84_6"/>
    <protectedRange algorithmName="SHA-512" hashValue="XZw03RosI/l0z9FxmTtF29EdZ7P+4+ybhqoaAAUmURojSR5XbGfjC4f2i8gMqfY+RI9JvfdCA6PSh9TduXfUxA==" saltValue="5TPtLq2WoiRSae/yaDPnTw==" spinCount="100000" sqref="O717" name="Rango2_99_16_3"/>
    <protectedRange algorithmName="SHA-512" hashValue="XZw03RosI/l0z9FxmTtF29EdZ7P+4+ybhqoaAAUmURojSR5XbGfjC4f2i8gMqfY+RI9JvfdCA6PSh9TduXfUxA==" saltValue="5TPtLq2WoiRSae/yaDPnTw==" spinCount="100000" sqref="O718" name="Rango2_99_17_1"/>
    <protectedRange algorithmName="SHA-512" hashValue="KHhv3JU/LRdRrRTxxkgFceEHPZ5UzadmpZRZR3zmQRnPvkUJZuanRafIJ+qde0IWwLZSvFIQDyUAHq6v6k7XIg==" saltValue="2GKG1kCzVNNcn+vbOPuhJA==" spinCount="100000" sqref="Q717" name="Rango2_2_5_16_3"/>
    <protectedRange algorithmName="SHA-512" hashValue="KHhv3JU/LRdRrRTxxkgFceEHPZ5UzadmpZRZR3zmQRnPvkUJZuanRafIJ+qde0IWwLZSvFIQDyUAHq6v6k7XIg==" saltValue="2GKG1kCzVNNcn+vbOPuhJA==" spinCount="100000" sqref="Q718" name="Rango2_2_5_17_1"/>
    <protectedRange algorithmName="SHA-512" hashValue="fPHvtIAf3pQeZUoAI9C2/vdXMHBpqqEq+67P5Ypyu4+9IWqs3yc9TZcMWQ0THLxUwqseQPyVvakuYFtCwJHsxA==" saltValue="QHIogSs2PrwAfdqa9PAOFQ==" spinCount="100000" sqref="AC717" name="Rango2_88_5_5_16_3"/>
    <protectedRange algorithmName="SHA-512" hashValue="AYYX88LSDB6RDNMvSqt0KPGWPjBqTk56tMxTOlv5QD61MGTKAAQnSnudvNDWPN0Bbllh2qRQC+P5uq7goxjdrw==" saltValue="i/iPMewnks1FoXYOjKMEVg==" spinCount="100000" sqref="AB717" name="Rango2_87_6_16_3"/>
    <protectedRange algorithmName="SHA-512" hashValue="NUll9P9xh7KbSfMYpMxsRZLfDw/y/AzW2LSWlpXVscBDqiAxmzo71xjs+a2lh+jRa7pceOC849slke4+ZKx8LA==" saltValue="8qbkKpQ+CiQuLnqgShNvXA==" spinCount="100000" sqref="T717" name="Rango2_88_6_16_3"/>
    <protectedRange algorithmName="SHA-512" hashValue="XZw03RosI/l0z9FxmTtF29EdZ7P+4+ybhqoaAAUmURojSR5XbGfjC4f2i8gMqfY+RI9JvfdCA6PSh9TduXfUxA==" saltValue="5TPtLq2WoiRSae/yaDPnTw==" spinCount="100000" sqref="U717:AA717 R717:S717" name="Rango2_99_33_4"/>
    <protectedRange algorithmName="SHA-512" hashValue="9+DNppQbWrLYYUMoJ+lyQctV2bX3Vq9kZnegLbpjTLP49It2ovUbcartuoQTeXgP+TGpY//7mDH/UQlFCKDGiA==" saltValue="KUnni6YEm00anzSSvyLqQA==" spinCount="100000" sqref="AD717" name="Rango2_44_3"/>
    <protectedRange algorithmName="SHA-512" hashValue="fPHvtIAf3pQeZUoAI9C2/vdXMHBpqqEq+67P5Ypyu4+9IWqs3yc9TZcMWQ0THLxUwqseQPyVvakuYFtCwJHsxA==" saltValue="QHIogSs2PrwAfdqa9PAOFQ==" spinCount="100000" sqref="AC718" name="Rango2_88_5_5_17_1"/>
    <protectedRange algorithmName="SHA-512" hashValue="AYYX88LSDB6RDNMvSqt0KPGWPjBqTk56tMxTOlv5QD61MGTKAAQnSnudvNDWPN0Bbllh2qRQC+P5uq7goxjdrw==" saltValue="i/iPMewnks1FoXYOjKMEVg==" spinCount="100000" sqref="AB718" name="Rango2_87_6_17_1"/>
    <protectedRange algorithmName="SHA-512" hashValue="NUll9P9xh7KbSfMYpMxsRZLfDw/y/AzW2LSWlpXVscBDqiAxmzo71xjs+a2lh+jRa7pceOC849slke4+ZKx8LA==" saltValue="8qbkKpQ+CiQuLnqgShNvXA==" spinCount="100000" sqref="T718" name="Rango2_88_6_17_1"/>
    <protectedRange algorithmName="SHA-512" hashValue="XZw03RosI/l0z9FxmTtF29EdZ7P+4+ybhqoaAAUmURojSR5XbGfjC4f2i8gMqfY+RI9JvfdCA6PSh9TduXfUxA==" saltValue="5TPtLq2WoiRSae/yaDPnTw==" spinCount="100000" sqref="R718:S718 U718:AA718" name="Rango2_99_34_2"/>
    <protectedRange algorithmName="SHA-512" hashValue="9+DNppQbWrLYYUMoJ+lyQctV2bX3Vq9kZnegLbpjTLP49It2ovUbcartuoQTeXgP+TGpY//7mDH/UQlFCKDGiA==" saltValue="KUnni6YEm00anzSSvyLqQA==" spinCount="100000" sqref="AD718" name="Rango2_45_1"/>
    <protectedRange algorithmName="SHA-512" hashValue="CHipOQaT63FWw628cQcXXJRZlrbNZ7OgmnEbDx38UmmH7z19GRYEzXFiVOzHAy1OAaAbST7g2bHZHDKQp2qm3w==" saltValue="iRVuL+373yLHv0ZHzS9qog==" spinCount="100000" sqref="AG717:AH717 AJ717" name="Rango2_88_7_5_16_3"/>
    <protectedRange algorithmName="SHA-512" hashValue="LEEeiU6pKqm7TAP46VGlz0q+evvFwpT/0iLpRuWuQ7MacbP0OGL1/FSmrIEOg2rb6M+Jla2bPbVWiGag27j87w==" saltValue="HEVt+pS5OloNDlqSnzGLLw==" spinCount="100000" sqref="AI717" name="Rango2_8_7_16_3"/>
    <protectedRange algorithmName="SHA-512" hashValue="q2z5hEFmXS0v2chiPTC/VCoDWNlnhp+Xe6Ybfxe48vIsnB/KTJQxJv+pFUnCXfZ9T6vyJopuqFFNROfQTW/JUw==" saltValue="IctfdGJb5tOTpq+KPi9vww==" spinCount="100000" sqref="AE717:AF717" name="Rango2_88_39_16_4"/>
    <protectedRange algorithmName="SHA-512" hashValue="CHipOQaT63FWw628cQcXXJRZlrbNZ7OgmnEbDx38UmmH7z19GRYEzXFiVOzHAy1OAaAbST7g2bHZHDKQp2qm3w==" saltValue="iRVuL+373yLHv0ZHzS9qog==" spinCount="100000" sqref="AG718:AH718 AJ718" name="Rango2_88_7_5_17_1"/>
    <protectedRange algorithmName="SHA-512" hashValue="LEEeiU6pKqm7TAP46VGlz0q+evvFwpT/0iLpRuWuQ7MacbP0OGL1/FSmrIEOg2rb6M+Jla2bPbVWiGag27j87w==" saltValue="HEVt+pS5OloNDlqSnzGLLw==" spinCount="100000" sqref="AI718" name="Rango2_8_7_17_1"/>
    <protectedRange algorithmName="SHA-512" hashValue="q2z5hEFmXS0v2chiPTC/VCoDWNlnhp+Xe6Ybfxe48vIsnB/KTJQxJv+pFUnCXfZ9T6vyJopuqFFNROfQTW/JUw==" saltValue="IctfdGJb5tOTpq+KPi9vww==" spinCount="100000" sqref="AE718:AF718" name="Rango2_88_39_17_2"/>
    <protectedRange algorithmName="SHA-512" hashValue="RQ91b7oAw60DVtcgB2vRpial2kSdzJx5guGCTYUwXYkKrtrUHfiYnLf9R+SNpYXlJDYpyEJLhcWwP0EqNN86dQ==" saltValue="W3RbH3zrcY9sy39xNwXNxg==" spinCount="100000" sqref="BA717:BI717" name="Rango2_88_99_16_3"/>
    <protectedRange algorithmName="SHA-512" hashValue="fMbmUM1DQ7FuAPRNvFL5mPdHUYjQnlLFhkuaxvHguaqR7aWyDxcmJs0jLYQfQKY+oyhsMb4Lew4VL6i7um3/ew==" saltValue="ydaTm0CeH8+/cYqoL/AMaQ==" spinCount="100000" sqref="AU717 AW717:AZ717" name="Rango2_88_91_16_3"/>
    <protectedRange algorithmName="SHA-512" hashValue="CHipOQaT63FWw628cQcXXJRZlrbNZ7OgmnEbDx38UmmH7z19GRYEzXFiVOzHAy1OAaAbST7g2bHZHDKQp2qm3w==" saltValue="iRVuL+373yLHv0ZHzS9qog==" spinCount="100000" sqref="AL717" name="Rango2_88_7_5_33_3"/>
    <protectedRange algorithmName="SHA-512" hashValue="NkG6oHuDGvGBEiLAAq8MEJHEfLQUMyjihfH+DBXhT+eQW0r1yri7tOJEFRM9nbOejjjXiviq9RFo7KB7wF+xJA==" saltValue="bpjB0AAANu2X/PeR3eiFkA==" spinCount="100000" sqref="AM717:AS717" name="Rango2_88_65_16_3"/>
    <protectedRange algorithmName="SHA-512" hashValue="XZw03RosI/l0z9FxmTtF29EdZ7P+4+ybhqoaAAUmURojSR5XbGfjC4f2i8gMqfY+RI9JvfdCA6PSh9TduXfUxA==" saltValue="5TPtLq2WoiRSae/yaDPnTw==" spinCount="100000" sqref="AT717 AV717 BJ717:BK717" name="Rango2_99_50_5"/>
    <protectedRange algorithmName="SHA-512" hashValue="RQ91b7oAw60DVtcgB2vRpial2kSdzJx5guGCTYUwXYkKrtrUHfiYnLf9R+SNpYXlJDYpyEJLhcWwP0EqNN86dQ==" saltValue="W3RbH3zrcY9sy39xNwXNxg==" spinCount="100000" sqref="BA718:BI718" name="Rango2_88_99_17_1"/>
    <protectedRange algorithmName="SHA-512" hashValue="fMbmUM1DQ7FuAPRNvFL5mPdHUYjQnlLFhkuaxvHguaqR7aWyDxcmJs0jLYQfQKY+oyhsMb4Lew4VL6i7um3/ew==" saltValue="ydaTm0CeH8+/cYqoL/AMaQ==" spinCount="100000" sqref="AU718 AW718:AZ718" name="Rango2_88_91_17_1"/>
    <protectedRange algorithmName="SHA-512" hashValue="CHipOQaT63FWw628cQcXXJRZlrbNZ7OgmnEbDx38UmmH7z19GRYEzXFiVOzHAy1OAaAbST7g2bHZHDKQp2qm3w==" saltValue="iRVuL+373yLHv0ZHzS9qog==" spinCount="100000" sqref="AL718" name="Rango2_88_7_5_34_1"/>
    <protectedRange algorithmName="SHA-512" hashValue="NkG6oHuDGvGBEiLAAq8MEJHEfLQUMyjihfH+DBXhT+eQW0r1yri7tOJEFRM9nbOejjjXiviq9RFo7KB7wF+xJA==" saltValue="bpjB0AAANu2X/PeR3eiFkA==" spinCount="100000" sqref="AM718:AS718" name="Rango2_88_65_17_1"/>
    <protectedRange algorithmName="SHA-512" hashValue="XZw03RosI/l0z9FxmTtF29EdZ7P+4+ybhqoaAAUmURojSR5XbGfjC4f2i8gMqfY+RI9JvfdCA6PSh9TduXfUxA==" saltValue="5TPtLq2WoiRSae/yaDPnTw==" spinCount="100000" sqref="AT718 AV718 BJ718:BK718" name="Rango2_99_51_2"/>
    <protectedRange algorithmName="SHA-512" hashValue="RQ91b7oAw60DVtcgB2vRpial2kSdzJx5guGCTYUwXYkKrtrUHfiYnLf9R+SNpYXlJDYpyEJLhcWwP0EqNN86dQ==" saltValue="W3RbH3zrcY9sy39xNwXNxg==" spinCount="100000" sqref="BV717:BY717" name="Rango2_88_99_33_3"/>
    <protectedRange algorithmName="SHA-512" hashValue="XZw03RosI/l0z9FxmTtF29EdZ7P+4+ybhqoaAAUmURojSR5XbGfjC4f2i8gMqfY+RI9JvfdCA6PSh9TduXfUxA==" saltValue="5TPtLq2WoiRSae/yaDPnTw==" spinCount="100000" sqref="BZ717:CB717 BR717:BU717" name="Rango2_99_67_3"/>
    <protectedRange algorithmName="SHA-512" hashValue="RQ91b7oAw60DVtcgB2vRpial2kSdzJx5guGCTYUwXYkKrtrUHfiYnLf9R+SNpYXlJDYpyEJLhcWwP0EqNN86dQ==" saltValue="W3RbH3zrcY9sy39xNwXNxg==" spinCount="100000" sqref="BV718:BY718" name="Rango2_88_99_34_1"/>
    <protectedRange algorithmName="SHA-512" hashValue="XZw03RosI/l0z9FxmTtF29EdZ7P+4+ybhqoaAAUmURojSR5XbGfjC4f2i8gMqfY+RI9JvfdCA6PSh9TduXfUxA==" saltValue="5TPtLq2WoiRSae/yaDPnTw==" spinCount="100000" sqref="BZ718:CB718 BR718:BU718" name="Rango2_99_68_2"/>
    <protectedRange algorithmName="SHA-512" hashValue="XZw03RosI/l0z9FxmTtF29EdZ7P+4+ybhqoaAAUmURojSR5XbGfjC4f2i8gMqfY+RI9JvfdCA6PSh9TduXfUxA==" saltValue="5TPtLq2WoiRSae/yaDPnTw==" spinCount="100000" sqref="CE717:CF717" name="Rango2_99_84_7"/>
    <protectedRange algorithmName="SHA-512" hashValue="XZw03RosI/l0z9FxmTtF29EdZ7P+4+ybhqoaAAUmURojSR5XbGfjC4f2i8gMqfY+RI9JvfdCA6PSh9TduXfUxA==" saltValue="5TPtLq2WoiRSae/yaDPnTw==" spinCount="100000" sqref="CE718:CF718" name="Rango2_99_85_1"/>
    <protectedRange algorithmName="SHA-512" hashValue="XZw03RosI/l0z9FxmTtF29EdZ7P+4+ybhqoaAAUmURojSR5XbGfjC4f2i8gMqfY+RI9JvfdCA6PSh9TduXfUxA==" saltValue="5TPtLq2WoiRSae/yaDPnTw==" spinCount="100000" sqref="O719" name="Rango2_99_17_2"/>
    <protectedRange algorithmName="SHA-512" hashValue="KHhv3JU/LRdRrRTxxkgFceEHPZ5UzadmpZRZR3zmQRnPvkUJZuanRafIJ+qde0IWwLZSvFIQDyUAHq6v6k7XIg==" saltValue="2GKG1kCzVNNcn+vbOPuhJA==" spinCount="100000" sqref="Q719" name="Rango2_2_5_17_2"/>
    <protectedRange algorithmName="SHA-512" hashValue="fPHvtIAf3pQeZUoAI9C2/vdXMHBpqqEq+67P5Ypyu4+9IWqs3yc9TZcMWQ0THLxUwqseQPyVvakuYFtCwJHsxA==" saltValue="QHIogSs2PrwAfdqa9PAOFQ==" spinCount="100000" sqref="AC719" name="Rango2_88_5_5_17_2"/>
    <protectedRange algorithmName="SHA-512" hashValue="AYYX88LSDB6RDNMvSqt0KPGWPjBqTk56tMxTOlv5QD61MGTKAAQnSnudvNDWPN0Bbllh2qRQC+P5uq7goxjdrw==" saltValue="i/iPMewnks1FoXYOjKMEVg==" spinCount="100000" sqref="AB719" name="Rango2_87_6_17_2"/>
    <protectedRange algorithmName="SHA-512" hashValue="NUll9P9xh7KbSfMYpMxsRZLfDw/y/AzW2LSWlpXVscBDqiAxmzo71xjs+a2lh+jRa7pceOC849slke4+ZKx8LA==" saltValue="8qbkKpQ+CiQuLnqgShNvXA==" spinCount="100000" sqref="T719" name="Rango2_88_6_17_2"/>
    <protectedRange algorithmName="SHA-512" hashValue="XZw03RosI/l0z9FxmTtF29EdZ7P+4+ybhqoaAAUmURojSR5XbGfjC4f2i8gMqfY+RI9JvfdCA6PSh9TduXfUxA==" saltValue="5TPtLq2WoiRSae/yaDPnTw==" spinCount="100000" sqref="R719:S719 U719:AA719" name="Rango2_99_34_3"/>
    <protectedRange algorithmName="SHA-512" hashValue="9+DNppQbWrLYYUMoJ+lyQctV2bX3Vq9kZnegLbpjTLP49It2ovUbcartuoQTeXgP+TGpY//7mDH/UQlFCKDGiA==" saltValue="KUnni6YEm00anzSSvyLqQA==" spinCount="100000" sqref="AD719" name="Rango2_45_2"/>
    <protectedRange algorithmName="SHA-512" hashValue="CHipOQaT63FWw628cQcXXJRZlrbNZ7OgmnEbDx38UmmH7z19GRYEzXFiVOzHAy1OAaAbST7g2bHZHDKQp2qm3w==" saltValue="iRVuL+373yLHv0ZHzS9qog==" spinCount="100000" sqref="AG719:AH719 AJ719" name="Rango2_88_7_5_17_2"/>
    <protectedRange algorithmName="SHA-512" hashValue="LEEeiU6pKqm7TAP46VGlz0q+evvFwpT/0iLpRuWuQ7MacbP0OGL1/FSmrIEOg2rb6M+Jla2bPbVWiGag27j87w==" saltValue="HEVt+pS5OloNDlqSnzGLLw==" spinCount="100000" sqref="AI719" name="Rango2_8_7_17_2"/>
    <protectedRange algorithmName="SHA-512" hashValue="q2z5hEFmXS0v2chiPTC/VCoDWNlnhp+Xe6Ybfxe48vIsnB/KTJQxJv+pFUnCXfZ9T6vyJopuqFFNROfQTW/JUw==" saltValue="IctfdGJb5tOTpq+KPi9vww==" spinCount="100000" sqref="AE719:AF719" name="Rango2_88_39_17_3"/>
    <protectedRange algorithmName="SHA-512" hashValue="RQ91b7oAw60DVtcgB2vRpial2kSdzJx5guGCTYUwXYkKrtrUHfiYnLf9R+SNpYXlJDYpyEJLhcWwP0EqNN86dQ==" saltValue="W3RbH3zrcY9sy39xNwXNxg==" spinCount="100000" sqref="BA719:BI719" name="Rango2_88_99_17_2"/>
    <protectedRange algorithmName="SHA-512" hashValue="fMbmUM1DQ7FuAPRNvFL5mPdHUYjQnlLFhkuaxvHguaqR7aWyDxcmJs0jLYQfQKY+oyhsMb4Lew4VL6i7um3/ew==" saltValue="ydaTm0CeH8+/cYqoL/AMaQ==" spinCount="100000" sqref="AU719 AW719:AZ719" name="Rango2_88_91_17_2"/>
    <protectedRange algorithmName="SHA-512" hashValue="CHipOQaT63FWw628cQcXXJRZlrbNZ7OgmnEbDx38UmmH7z19GRYEzXFiVOzHAy1OAaAbST7g2bHZHDKQp2qm3w==" saltValue="iRVuL+373yLHv0ZHzS9qog==" spinCount="100000" sqref="AL719" name="Rango2_88_7_5_34_2"/>
    <protectedRange algorithmName="SHA-512" hashValue="NkG6oHuDGvGBEiLAAq8MEJHEfLQUMyjihfH+DBXhT+eQW0r1yri7tOJEFRM9nbOejjjXiviq9RFo7KB7wF+xJA==" saltValue="bpjB0AAANu2X/PeR3eiFkA==" spinCount="100000" sqref="AM719:AS719" name="Rango2_88_65_17_2"/>
    <protectedRange algorithmName="SHA-512" hashValue="XZw03RosI/l0z9FxmTtF29EdZ7P+4+ybhqoaAAUmURojSR5XbGfjC4f2i8gMqfY+RI9JvfdCA6PSh9TduXfUxA==" saltValue="5TPtLq2WoiRSae/yaDPnTw==" spinCount="100000" sqref="AT719 AV719 BJ719:BL719" name="Rango2_99_51_3"/>
    <protectedRange algorithmName="SHA-512" hashValue="RQ91b7oAw60DVtcgB2vRpial2kSdzJx5guGCTYUwXYkKrtrUHfiYnLf9R+SNpYXlJDYpyEJLhcWwP0EqNN86dQ==" saltValue="W3RbH3zrcY9sy39xNwXNxg==" spinCount="100000" sqref="BV719:BY719" name="Rango2_88_99_34_2"/>
    <protectedRange algorithmName="SHA-512" hashValue="XZw03RosI/l0z9FxmTtF29EdZ7P+4+ybhqoaAAUmURojSR5XbGfjC4f2i8gMqfY+RI9JvfdCA6PSh9TduXfUxA==" saltValue="5TPtLq2WoiRSae/yaDPnTw==" spinCount="100000" sqref="BZ719:CB719 BR719:BU719" name="Rango2_99_68_3"/>
    <protectedRange algorithmName="SHA-512" hashValue="XZw03RosI/l0z9FxmTtF29EdZ7P+4+ybhqoaAAUmURojSR5XbGfjC4f2i8gMqfY+RI9JvfdCA6PSh9TduXfUxA==" saltValue="5TPtLq2WoiRSae/yaDPnTw==" spinCount="100000" sqref="CE719:CF719" name="Rango2_99_85_2"/>
    <protectedRange algorithmName="SHA-512" hashValue="XZw03RosI/l0z9FxmTtF29EdZ7P+4+ybhqoaAAUmURojSR5XbGfjC4f2i8gMqfY+RI9JvfdCA6PSh9TduXfUxA==" saltValue="5TPtLq2WoiRSae/yaDPnTw==" spinCount="100000" sqref="O720" name="Rango2_99_17_3"/>
    <protectedRange algorithmName="SHA-512" hashValue="KHhv3JU/LRdRrRTxxkgFceEHPZ5UzadmpZRZR3zmQRnPvkUJZuanRafIJ+qde0IWwLZSvFIQDyUAHq6v6k7XIg==" saltValue="2GKG1kCzVNNcn+vbOPuhJA==" spinCount="100000" sqref="Q720" name="Rango2_2_5_17_3"/>
    <protectedRange algorithmName="SHA-512" hashValue="fPHvtIAf3pQeZUoAI9C2/vdXMHBpqqEq+67P5Ypyu4+9IWqs3yc9TZcMWQ0THLxUwqseQPyVvakuYFtCwJHsxA==" saltValue="QHIogSs2PrwAfdqa9PAOFQ==" spinCount="100000" sqref="AC720" name="Rango2_88_5_5_17_3"/>
    <protectedRange algorithmName="SHA-512" hashValue="AYYX88LSDB6RDNMvSqt0KPGWPjBqTk56tMxTOlv5QD61MGTKAAQnSnudvNDWPN0Bbllh2qRQC+P5uq7goxjdrw==" saltValue="i/iPMewnks1FoXYOjKMEVg==" spinCount="100000" sqref="AB720" name="Rango2_87_6_17_3"/>
    <protectedRange algorithmName="SHA-512" hashValue="NUll9P9xh7KbSfMYpMxsRZLfDw/y/AzW2LSWlpXVscBDqiAxmzo71xjs+a2lh+jRa7pceOC849slke4+ZKx8LA==" saltValue="8qbkKpQ+CiQuLnqgShNvXA==" spinCount="100000" sqref="T720" name="Rango2_88_6_17_3"/>
    <protectedRange algorithmName="SHA-512" hashValue="XZw03RosI/l0z9FxmTtF29EdZ7P+4+ybhqoaAAUmURojSR5XbGfjC4f2i8gMqfY+RI9JvfdCA6PSh9TduXfUxA==" saltValue="5TPtLq2WoiRSae/yaDPnTw==" spinCount="100000" sqref="R720:S720 U720:AA720" name="Rango2_99_34_4"/>
    <protectedRange algorithmName="SHA-512" hashValue="9+DNppQbWrLYYUMoJ+lyQctV2bX3Vq9kZnegLbpjTLP49It2ovUbcartuoQTeXgP+TGpY//7mDH/UQlFCKDGiA==" saltValue="KUnni6YEm00anzSSvyLqQA==" spinCount="100000" sqref="AD720" name="Rango2_45_3"/>
    <protectedRange algorithmName="SHA-512" hashValue="CHipOQaT63FWw628cQcXXJRZlrbNZ7OgmnEbDx38UmmH7z19GRYEzXFiVOzHAy1OAaAbST7g2bHZHDKQp2qm3w==" saltValue="iRVuL+373yLHv0ZHzS9qog==" spinCount="100000" sqref="AG720:AH720 AJ720" name="Rango2_88_7_5_17_3"/>
    <protectedRange algorithmName="SHA-512" hashValue="LEEeiU6pKqm7TAP46VGlz0q+evvFwpT/0iLpRuWuQ7MacbP0OGL1/FSmrIEOg2rb6M+Jla2bPbVWiGag27j87w==" saltValue="HEVt+pS5OloNDlqSnzGLLw==" spinCount="100000" sqref="AI720" name="Rango2_8_7_17_3"/>
    <protectedRange algorithmName="SHA-512" hashValue="q2z5hEFmXS0v2chiPTC/VCoDWNlnhp+Xe6Ybfxe48vIsnB/KTJQxJv+pFUnCXfZ9T6vyJopuqFFNROfQTW/JUw==" saltValue="IctfdGJb5tOTpq+KPi9vww==" spinCount="100000" sqref="AE720:AF720" name="Rango2_88_39_17_4"/>
    <protectedRange algorithmName="SHA-512" hashValue="RQ91b7oAw60DVtcgB2vRpial2kSdzJx5guGCTYUwXYkKrtrUHfiYnLf9R+SNpYXlJDYpyEJLhcWwP0EqNN86dQ==" saltValue="W3RbH3zrcY9sy39xNwXNxg==" spinCount="100000" sqref="BA720:BI720" name="Rango2_88_99_17_3"/>
    <protectedRange algorithmName="SHA-512" hashValue="fMbmUM1DQ7FuAPRNvFL5mPdHUYjQnlLFhkuaxvHguaqR7aWyDxcmJs0jLYQfQKY+oyhsMb4Lew4VL6i7um3/ew==" saltValue="ydaTm0CeH8+/cYqoL/AMaQ==" spinCount="100000" sqref="AU720 AW720:AZ720" name="Rango2_88_91_17_3"/>
    <protectedRange algorithmName="SHA-512" hashValue="CHipOQaT63FWw628cQcXXJRZlrbNZ7OgmnEbDx38UmmH7z19GRYEzXFiVOzHAy1OAaAbST7g2bHZHDKQp2qm3w==" saltValue="iRVuL+373yLHv0ZHzS9qog==" spinCount="100000" sqref="AL720" name="Rango2_88_7_5_34_3"/>
    <protectedRange algorithmName="SHA-512" hashValue="NkG6oHuDGvGBEiLAAq8MEJHEfLQUMyjihfH+DBXhT+eQW0r1yri7tOJEFRM9nbOejjjXiviq9RFo7KB7wF+xJA==" saltValue="bpjB0AAANu2X/PeR3eiFkA==" spinCount="100000" sqref="AM720:AS720" name="Rango2_88_65_17_3"/>
    <protectedRange algorithmName="SHA-512" hashValue="XZw03RosI/l0z9FxmTtF29EdZ7P+4+ybhqoaAAUmURojSR5XbGfjC4f2i8gMqfY+RI9JvfdCA6PSh9TduXfUxA==" saltValue="5TPtLq2WoiRSae/yaDPnTw==" spinCount="100000" sqref="AT720 AV720 BJ720:BK720" name="Rango2_99_51_4"/>
    <protectedRange algorithmName="SHA-512" hashValue="RQ91b7oAw60DVtcgB2vRpial2kSdzJx5guGCTYUwXYkKrtrUHfiYnLf9R+SNpYXlJDYpyEJLhcWwP0EqNN86dQ==" saltValue="W3RbH3zrcY9sy39xNwXNxg==" spinCount="100000" sqref="BV720:BY720" name="Rango2_88_99_34_3"/>
    <protectedRange algorithmName="SHA-512" hashValue="XZw03RosI/l0z9FxmTtF29EdZ7P+4+ybhqoaAAUmURojSR5XbGfjC4f2i8gMqfY+RI9JvfdCA6PSh9TduXfUxA==" saltValue="5TPtLq2WoiRSae/yaDPnTw==" spinCount="100000" sqref="BZ720:CB720 BR720:BU720" name="Rango2_99_68_4"/>
    <protectedRange algorithmName="SHA-512" hashValue="XZw03RosI/l0z9FxmTtF29EdZ7P+4+ybhqoaAAUmURojSR5XbGfjC4f2i8gMqfY+RI9JvfdCA6PSh9TduXfUxA==" saltValue="5TPtLq2WoiRSae/yaDPnTw==" spinCount="100000" sqref="CE720:CF720" name="Rango2_99_85_3"/>
    <protectedRange algorithmName="SHA-512" hashValue="XZw03RosI/l0z9FxmTtF29EdZ7P+4+ybhqoaAAUmURojSR5XbGfjC4f2i8gMqfY+RI9JvfdCA6PSh9TduXfUxA==" saltValue="5TPtLq2WoiRSae/yaDPnTw==" spinCount="100000" sqref="O721" name="Rango2_99_17_4"/>
    <protectedRange algorithmName="SHA-512" hashValue="KHhv3JU/LRdRrRTxxkgFceEHPZ5UzadmpZRZR3zmQRnPvkUJZuanRafIJ+qde0IWwLZSvFIQDyUAHq6v6k7XIg==" saltValue="2GKG1kCzVNNcn+vbOPuhJA==" spinCount="100000" sqref="Q721" name="Rango2_2_5_17_4"/>
    <protectedRange algorithmName="SHA-512" hashValue="fPHvtIAf3pQeZUoAI9C2/vdXMHBpqqEq+67P5Ypyu4+9IWqs3yc9TZcMWQ0THLxUwqseQPyVvakuYFtCwJHsxA==" saltValue="QHIogSs2PrwAfdqa9PAOFQ==" spinCount="100000" sqref="AC721" name="Rango2_88_5_5_17_4"/>
    <protectedRange algorithmName="SHA-512" hashValue="AYYX88LSDB6RDNMvSqt0KPGWPjBqTk56tMxTOlv5QD61MGTKAAQnSnudvNDWPN0Bbllh2qRQC+P5uq7goxjdrw==" saltValue="i/iPMewnks1FoXYOjKMEVg==" spinCount="100000" sqref="AB721" name="Rango2_87_6_17_4"/>
    <protectedRange algorithmName="SHA-512" hashValue="NUll9P9xh7KbSfMYpMxsRZLfDw/y/AzW2LSWlpXVscBDqiAxmzo71xjs+a2lh+jRa7pceOC849slke4+ZKx8LA==" saltValue="8qbkKpQ+CiQuLnqgShNvXA==" spinCount="100000" sqref="T721" name="Rango2_88_6_17_4"/>
    <protectedRange algorithmName="SHA-512" hashValue="XZw03RosI/l0z9FxmTtF29EdZ7P+4+ybhqoaAAUmURojSR5XbGfjC4f2i8gMqfY+RI9JvfdCA6PSh9TduXfUxA==" saltValue="5TPtLq2WoiRSae/yaDPnTw==" spinCount="100000" sqref="R721:S721 U721:AA721" name="Rango2_99_34_5"/>
    <protectedRange algorithmName="SHA-512" hashValue="9+DNppQbWrLYYUMoJ+lyQctV2bX3Vq9kZnegLbpjTLP49It2ovUbcartuoQTeXgP+TGpY//7mDH/UQlFCKDGiA==" saltValue="KUnni6YEm00anzSSvyLqQA==" spinCount="100000" sqref="AD721" name="Rango2_45_4"/>
    <protectedRange algorithmName="SHA-512" hashValue="CHipOQaT63FWw628cQcXXJRZlrbNZ7OgmnEbDx38UmmH7z19GRYEzXFiVOzHAy1OAaAbST7g2bHZHDKQp2qm3w==" saltValue="iRVuL+373yLHv0ZHzS9qog==" spinCount="100000" sqref="AG721:AH721 AJ721" name="Rango2_88_7_5_17_4"/>
    <protectedRange algorithmName="SHA-512" hashValue="LEEeiU6pKqm7TAP46VGlz0q+evvFwpT/0iLpRuWuQ7MacbP0OGL1/FSmrIEOg2rb6M+Jla2bPbVWiGag27j87w==" saltValue="HEVt+pS5OloNDlqSnzGLLw==" spinCount="100000" sqref="AI721" name="Rango2_8_7_17_4"/>
    <protectedRange algorithmName="SHA-512" hashValue="q2z5hEFmXS0v2chiPTC/VCoDWNlnhp+Xe6Ybfxe48vIsnB/KTJQxJv+pFUnCXfZ9T6vyJopuqFFNROfQTW/JUw==" saltValue="IctfdGJb5tOTpq+KPi9vww==" spinCount="100000" sqref="AE721:AF721" name="Rango2_88_39_17_5"/>
    <protectedRange algorithmName="SHA-512" hashValue="RQ91b7oAw60DVtcgB2vRpial2kSdzJx5guGCTYUwXYkKrtrUHfiYnLf9R+SNpYXlJDYpyEJLhcWwP0EqNN86dQ==" saltValue="W3RbH3zrcY9sy39xNwXNxg==" spinCount="100000" sqref="BA721:BI721" name="Rango2_88_99_17_4"/>
    <protectedRange algorithmName="SHA-512" hashValue="fMbmUM1DQ7FuAPRNvFL5mPdHUYjQnlLFhkuaxvHguaqR7aWyDxcmJs0jLYQfQKY+oyhsMb4Lew4VL6i7um3/ew==" saltValue="ydaTm0CeH8+/cYqoL/AMaQ==" spinCount="100000" sqref="AU721 AW721:AZ721" name="Rango2_88_91_17_4"/>
    <protectedRange algorithmName="SHA-512" hashValue="CHipOQaT63FWw628cQcXXJRZlrbNZ7OgmnEbDx38UmmH7z19GRYEzXFiVOzHAy1OAaAbST7g2bHZHDKQp2qm3w==" saltValue="iRVuL+373yLHv0ZHzS9qog==" spinCount="100000" sqref="AL721" name="Rango2_88_7_5_34_4"/>
    <protectedRange algorithmName="SHA-512" hashValue="NkG6oHuDGvGBEiLAAq8MEJHEfLQUMyjihfH+DBXhT+eQW0r1yri7tOJEFRM9nbOejjjXiviq9RFo7KB7wF+xJA==" saltValue="bpjB0AAANu2X/PeR3eiFkA==" spinCount="100000" sqref="AM721:AS721" name="Rango2_88_65_17_4"/>
    <protectedRange algorithmName="SHA-512" hashValue="XZw03RosI/l0z9FxmTtF29EdZ7P+4+ybhqoaAAUmURojSR5XbGfjC4f2i8gMqfY+RI9JvfdCA6PSh9TduXfUxA==" saltValue="5TPtLq2WoiRSae/yaDPnTw==" spinCount="100000" sqref="AT721 AV721 BJ721:BL721" name="Rango2_99_51_5"/>
    <protectedRange algorithmName="SHA-512" hashValue="RQ91b7oAw60DVtcgB2vRpial2kSdzJx5guGCTYUwXYkKrtrUHfiYnLf9R+SNpYXlJDYpyEJLhcWwP0EqNN86dQ==" saltValue="W3RbH3zrcY9sy39xNwXNxg==" spinCount="100000" sqref="BV721:BY721" name="Rango2_88_99_34_4"/>
    <protectedRange algorithmName="SHA-512" hashValue="XZw03RosI/l0z9FxmTtF29EdZ7P+4+ybhqoaAAUmURojSR5XbGfjC4f2i8gMqfY+RI9JvfdCA6PSh9TduXfUxA==" saltValue="5TPtLq2WoiRSae/yaDPnTw==" spinCount="100000" sqref="BZ721:CB721 BR721:BU721" name="Rango2_99_68_5"/>
    <protectedRange algorithmName="SHA-512" hashValue="XZw03RosI/l0z9FxmTtF29EdZ7P+4+ybhqoaAAUmURojSR5XbGfjC4f2i8gMqfY+RI9JvfdCA6PSh9TduXfUxA==" saltValue="5TPtLq2WoiRSae/yaDPnTw==" spinCount="100000" sqref="CE721:CF721" name="Rango2_99_85_4"/>
    <protectedRange algorithmName="SHA-512" hashValue="XZw03RosI/l0z9FxmTtF29EdZ7P+4+ybhqoaAAUmURojSR5XbGfjC4f2i8gMqfY+RI9JvfdCA6PSh9TduXfUxA==" saltValue="5TPtLq2WoiRSae/yaDPnTw==" spinCount="100000" sqref="O722" name="Rango2_99_17_5"/>
    <protectedRange algorithmName="SHA-512" hashValue="KHhv3JU/LRdRrRTxxkgFceEHPZ5UzadmpZRZR3zmQRnPvkUJZuanRafIJ+qde0IWwLZSvFIQDyUAHq6v6k7XIg==" saltValue="2GKG1kCzVNNcn+vbOPuhJA==" spinCount="100000" sqref="Q722" name="Rango2_2_5_17_5"/>
    <protectedRange algorithmName="SHA-512" hashValue="fPHvtIAf3pQeZUoAI9C2/vdXMHBpqqEq+67P5Ypyu4+9IWqs3yc9TZcMWQ0THLxUwqseQPyVvakuYFtCwJHsxA==" saltValue="QHIogSs2PrwAfdqa9PAOFQ==" spinCount="100000" sqref="AC722" name="Rango2_88_5_5_17_5"/>
    <protectedRange algorithmName="SHA-512" hashValue="AYYX88LSDB6RDNMvSqt0KPGWPjBqTk56tMxTOlv5QD61MGTKAAQnSnudvNDWPN0Bbllh2qRQC+P5uq7goxjdrw==" saltValue="i/iPMewnks1FoXYOjKMEVg==" spinCount="100000" sqref="AB722" name="Rango2_87_6_17_5"/>
    <protectedRange algorithmName="SHA-512" hashValue="NUll9P9xh7KbSfMYpMxsRZLfDw/y/AzW2LSWlpXVscBDqiAxmzo71xjs+a2lh+jRa7pceOC849slke4+ZKx8LA==" saltValue="8qbkKpQ+CiQuLnqgShNvXA==" spinCount="100000" sqref="T722" name="Rango2_88_6_17_5"/>
    <protectedRange algorithmName="SHA-512" hashValue="XZw03RosI/l0z9FxmTtF29EdZ7P+4+ybhqoaAAUmURojSR5XbGfjC4f2i8gMqfY+RI9JvfdCA6PSh9TduXfUxA==" saltValue="5TPtLq2WoiRSae/yaDPnTw==" spinCount="100000" sqref="R722:S722 U722:AA722" name="Rango2_99_34_6"/>
    <protectedRange algorithmName="SHA-512" hashValue="9+DNppQbWrLYYUMoJ+lyQctV2bX3Vq9kZnegLbpjTLP49It2ovUbcartuoQTeXgP+TGpY//7mDH/UQlFCKDGiA==" saltValue="KUnni6YEm00anzSSvyLqQA==" spinCount="100000" sqref="AD722" name="Rango2_45_5"/>
    <protectedRange algorithmName="SHA-512" hashValue="CHipOQaT63FWw628cQcXXJRZlrbNZ7OgmnEbDx38UmmH7z19GRYEzXFiVOzHAy1OAaAbST7g2bHZHDKQp2qm3w==" saltValue="iRVuL+373yLHv0ZHzS9qog==" spinCount="100000" sqref="AG722:AH722 AJ722" name="Rango2_88_7_5_17_5"/>
    <protectedRange algorithmName="SHA-512" hashValue="LEEeiU6pKqm7TAP46VGlz0q+evvFwpT/0iLpRuWuQ7MacbP0OGL1/FSmrIEOg2rb6M+Jla2bPbVWiGag27j87w==" saltValue="HEVt+pS5OloNDlqSnzGLLw==" spinCount="100000" sqref="AI722" name="Rango2_8_7_17_5"/>
    <protectedRange algorithmName="SHA-512" hashValue="q2z5hEFmXS0v2chiPTC/VCoDWNlnhp+Xe6Ybfxe48vIsnB/KTJQxJv+pFUnCXfZ9T6vyJopuqFFNROfQTW/JUw==" saltValue="IctfdGJb5tOTpq+KPi9vww==" spinCount="100000" sqref="AE722:AF722" name="Rango2_88_39_17_6"/>
    <protectedRange algorithmName="SHA-512" hashValue="RQ91b7oAw60DVtcgB2vRpial2kSdzJx5guGCTYUwXYkKrtrUHfiYnLf9R+SNpYXlJDYpyEJLhcWwP0EqNN86dQ==" saltValue="W3RbH3zrcY9sy39xNwXNxg==" spinCount="100000" sqref="BA722:BI722" name="Rango2_88_99_17_5"/>
    <protectedRange algorithmName="SHA-512" hashValue="fMbmUM1DQ7FuAPRNvFL5mPdHUYjQnlLFhkuaxvHguaqR7aWyDxcmJs0jLYQfQKY+oyhsMb4Lew4VL6i7um3/ew==" saltValue="ydaTm0CeH8+/cYqoL/AMaQ==" spinCount="100000" sqref="AU722 AW722:AZ722" name="Rango2_88_91_17_5"/>
    <protectedRange algorithmName="SHA-512" hashValue="CHipOQaT63FWw628cQcXXJRZlrbNZ7OgmnEbDx38UmmH7z19GRYEzXFiVOzHAy1OAaAbST7g2bHZHDKQp2qm3w==" saltValue="iRVuL+373yLHv0ZHzS9qog==" spinCount="100000" sqref="AL722" name="Rango2_88_7_5_34_5"/>
    <protectedRange algorithmName="SHA-512" hashValue="NkG6oHuDGvGBEiLAAq8MEJHEfLQUMyjihfH+DBXhT+eQW0r1yri7tOJEFRM9nbOejjjXiviq9RFo7KB7wF+xJA==" saltValue="bpjB0AAANu2X/PeR3eiFkA==" spinCount="100000" sqref="AM722:AS722" name="Rango2_88_65_17_5"/>
    <protectedRange algorithmName="SHA-512" hashValue="XZw03RosI/l0z9FxmTtF29EdZ7P+4+ybhqoaAAUmURojSR5XbGfjC4f2i8gMqfY+RI9JvfdCA6PSh9TduXfUxA==" saltValue="5TPtLq2WoiRSae/yaDPnTw==" spinCount="100000" sqref="AT722 AV722 BJ722:BK722" name="Rango2_99_51_6"/>
    <protectedRange algorithmName="SHA-512" hashValue="RQ91b7oAw60DVtcgB2vRpial2kSdzJx5guGCTYUwXYkKrtrUHfiYnLf9R+SNpYXlJDYpyEJLhcWwP0EqNN86dQ==" saltValue="W3RbH3zrcY9sy39xNwXNxg==" spinCount="100000" sqref="BV722:BY722" name="Rango2_88_99_34_5"/>
    <protectedRange algorithmName="SHA-512" hashValue="XZw03RosI/l0z9FxmTtF29EdZ7P+4+ybhqoaAAUmURojSR5XbGfjC4f2i8gMqfY+RI9JvfdCA6PSh9TduXfUxA==" saltValue="5TPtLq2WoiRSae/yaDPnTw==" spinCount="100000" sqref="BZ722:CB722 BR722:BU722" name="Rango2_99_68_6"/>
    <protectedRange algorithmName="SHA-512" hashValue="XZw03RosI/l0z9FxmTtF29EdZ7P+4+ybhqoaAAUmURojSR5XbGfjC4f2i8gMqfY+RI9JvfdCA6PSh9TduXfUxA==" saltValue="5TPtLq2WoiRSae/yaDPnTw==" spinCount="100000" sqref="CE722:CF722" name="Rango2_99_85_5"/>
    <protectedRange algorithmName="SHA-512" hashValue="9+DNppQbWrLYYUMoJ+lyQctV2bX3Vq9kZnegLbpjTLP49It2ovUbcartuoQTeXgP+TGpY//7mDH/UQlFCKDGiA==" saltValue="KUnni6YEm00anzSSvyLqQA==" spinCount="100000" sqref="EY707:FA707" name="Rango2_47_1"/>
    <protectedRange algorithmName="SHA-512" hashValue="9+DNppQbWrLYYUMoJ+lyQctV2bX3Vq9kZnegLbpjTLP49It2ovUbcartuoQTeXgP+TGpY//7mDH/UQlFCKDGiA==" saltValue="KUnni6YEm00anzSSvyLqQA==" spinCount="100000" sqref="FC707" name="Rango2_76_5"/>
    <protectedRange algorithmName="SHA-512" hashValue="pL4tgTKqwEsWSIEGFTBd+4pvEhE7d5Q99Eijs+L/Y1rhA0saQGGRJw5Pv2HLOP0quglztFwB6WVnQ1YGxd4AiQ==" saltValue="IF5mhk2RcoEjrcYppes1VA==" spinCount="100000" sqref="FT707" name="Rango2_30_3_1"/>
    <protectedRange algorithmName="SHA-512" hashValue="Umj9+5Ys20VQPxBFtc6qE5LtKKSgPKwit+B8dd4XnEUaLfBM2ozpkEC4YxwK0SbBiAHDDex+pY+LomQ0lyuamQ==" saltValue="N2/MCRws+mmA+NXw0axolg==" spinCount="100000" sqref="FY707" name="Rango2_31_2_2_1"/>
    <protectedRange algorithmName="SHA-512" hashValue="YXHanhqXL0e4jPrzkCF8r/22WmlCviFUW909WKuG1JOcU0mp0/Huh0aP3EaGYxV2ep0WGu48HsShAy4Ka2uOiw==" saltValue="h/7U5iwJm7DLR4tRVfwZYw==" spinCount="100000" sqref="GC707" name="Rango2_33_3_4"/>
    <protectedRange algorithmName="SHA-512" hashValue="Rgskw+AQdeJ5qbJdarzTa3SCkJfDGziy0Uan5N0F3IWn/H3Z/e+VcB56R7Nes7MPxNHewNP1sSSucVjz3iTLeA==" saltValue="qKZH3DnwaZHBzy3cBZo1qQ==" spinCount="100000" sqref="GF707" name="Rango2_31_28_2_1"/>
    <protectedRange algorithmName="SHA-512" hashValue="Umj9+5Ys20VQPxBFtc6qE5LtKKSgPKwit+B8dd4XnEUaLfBM2ozpkEC4YxwK0SbBiAHDDex+pY+LomQ0lyuamQ==" saltValue="N2/MCRws+mmA+NXw0axolg==" spinCount="100000" sqref="GE707" name="Rango2_31_2_36_1"/>
    <protectedRange algorithmName="SHA-512" hashValue="EEHzbvEYwO1eufllBljOz0uf9BJ2ENtvOScQ7IsS321QhYbwKn7qhHKKP8cKj02rTDvVRMWvwQ1ZP0mZWsBprQ==" saltValue="CjXqBRFbKezlWOFV37MnDQ==" spinCount="100000" sqref="GN707" name="Rango2_30_2_2_1"/>
    <protectedRange algorithmName="SHA-512" hashValue="EEHzbvEYwO1eufllBljOz0uf9BJ2ENtvOScQ7IsS321QhYbwKn7qhHKKP8cKj02rTDvVRMWvwQ1ZP0mZWsBprQ==" saltValue="CjXqBRFbKezlWOFV37MnDQ==" spinCount="100000" sqref="GQ707:GR707" name="Rango2_30_2_19_1"/>
    <protectedRange algorithmName="SHA-512" hashValue="EEHzbvEYwO1eufllBljOz0uf9BJ2ENtvOScQ7IsS321QhYbwKn7qhHKKP8cKj02rTDvVRMWvwQ1ZP0mZWsBprQ==" saltValue="CjXqBRFbKezlWOFV37MnDQ==" spinCount="100000" sqref="GW707" name="Rango2_30_2_36_1"/>
    <protectedRange algorithmName="SHA-512" hashValue="q2z5hEFmXS0v2chiPTC/VCoDWNlnhp+Xe6Ybfxe48vIsnB/KTJQxJv+pFUnCXfZ9T6vyJopuqFFNROfQTW/JUw==" saltValue="IctfdGJb5tOTpq+KPi9vww==" spinCount="100000" sqref="ID707:IF707" name="Rango2_88_39_53_1"/>
    <protectedRange algorithmName="SHA-512" hashValue="9+DNppQbWrLYYUMoJ+lyQctV2bX3Vq9kZnegLbpjTLP49It2ovUbcartuoQTeXgP+TGpY//7mDH/UQlFCKDGiA==" saltValue="KUnni6YEm00anzSSvyLqQA==" spinCount="100000" sqref="EY708:FA708" name="Rango2_49_7"/>
    <protectedRange algorithmName="SHA-512" hashValue="9+DNppQbWrLYYUMoJ+lyQctV2bX3Vq9kZnegLbpjTLP49It2ovUbcartuoQTeXgP+TGpY//7mDH/UQlFCKDGiA==" saltValue="KUnni6YEm00anzSSvyLqQA==" spinCount="100000" sqref="FC708" name="Rango2_81_2"/>
    <protectedRange algorithmName="SHA-512" hashValue="pL4tgTKqwEsWSIEGFTBd+4pvEhE7d5Q99Eijs+L/Y1rhA0saQGGRJw5Pv2HLOP0quglztFwB6WVnQ1YGxd4AiQ==" saltValue="IF5mhk2RcoEjrcYppes1VA==" spinCount="100000" sqref="FT708" name="Rango2_30_5_1"/>
    <protectedRange algorithmName="SHA-512" hashValue="Umj9+5Ys20VQPxBFtc6qE5LtKKSgPKwit+B8dd4XnEUaLfBM2ozpkEC4YxwK0SbBiAHDDex+pY+LomQ0lyuamQ==" saltValue="N2/MCRws+mmA+NXw0axolg==" spinCount="100000" sqref="FY708" name="Rango2_31_2_4_1"/>
    <protectedRange algorithmName="SHA-512" hashValue="YXHanhqXL0e4jPrzkCF8r/22WmlCviFUW909WKuG1JOcU0mp0/Huh0aP3EaGYxV2ep0WGu48HsShAy4Ka2uOiw==" saltValue="h/7U5iwJm7DLR4tRVfwZYw==" spinCount="100000" sqref="GC708" name="Rango2_33_5_1"/>
    <protectedRange algorithmName="SHA-512" hashValue="Rgskw+AQdeJ5qbJdarzTa3SCkJfDGziy0Uan5N0F3IWn/H3Z/e+VcB56R7Nes7MPxNHewNP1sSSucVjz3iTLeA==" saltValue="qKZH3DnwaZHBzy3cBZo1qQ==" spinCount="100000" sqref="GF708" name="Rango2_31_28_4_1"/>
    <protectedRange algorithmName="SHA-512" hashValue="Umj9+5Ys20VQPxBFtc6qE5LtKKSgPKwit+B8dd4XnEUaLfBM2ozpkEC4YxwK0SbBiAHDDex+pY+LomQ0lyuamQ==" saltValue="N2/MCRws+mmA+NXw0axolg==" spinCount="100000" sqref="GE708" name="Rango2_31_2_38_1"/>
    <protectedRange algorithmName="SHA-512" hashValue="EEHzbvEYwO1eufllBljOz0uf9BJ2ENtvOScQ7IsS321QhYbwKn7qhHKKP8cKj02rTDvVRMWvwQ1ZP0mZWsBprQ==" saltValue="CjXqBRFbKezlWOFV37MnDQ==" spinCount="100000" sqref="GN708" name="Rango2_30_2_4_1"/>
    <protectedRange algorithmName="SHA-512" hashValue="EEHzbvEYwO1eufllBljOz0uf9BJ2ENtvOScQ7IsS321QhYbwKn7qhHKKP8cKj02rTDvVRMWvwQ1ZP0mZWsBprQ==" saltValue="CjXqBRFbKezlWOFV37MnDQ==" spinCount="100000" sqref="GQ708:GR708" name="Rango2_30_2_21_1"/>
    <protectedRange algorithmName="SHA-512" hashValue="EEHzbvEYwO1eufllBljOz0uf9BJ2ENtvOScQ7IsS321QhYbwKn7qhHKKP8cKj02rTDvVRMWvwQ1ZP0mZWsBprQ==" saltValue="CjXqBRFbKezlWOFV37MnDQ==" spinCount="100000" sqref="GW708" name="Rango2_30_2_38_1"/>
    <protectedRange algorithmName="SHA-512" hashValue="q2z5hEFmXS0v2chiPTC/VCoDWNlnhp+Xe6Ybfxe48vIsnB/KTJQxJv+pFUnCXfZ9T6vyJopuqFFNROfQTW/JUw==" saltValue="IctfdGJb5tOTpq+KPi9vww==" spinCount="100000" sqref="ID708:IF708" name="Rango2_88_39_55_1"/>
    <protectedRange algorithmName="SHA-512" hashValue="9+DNppQbWrLYYUMoJ+lyQctV2bX3Vq9kZnegLbpjTLP49It2ovUbcartuoQTeXgP+TGpY//7mDH/UQlFCKDGiA==" saltValue="KUnni6YEm00anzSSvyLqQA==" spinCount="100000" sqref="EY709:FA709" name="Rango2_52_2"/>
    <protectedRange algorithmName="SHA-512" hashValue="9+DNppQbWrLYYUMoJ+lyQctV2bX3Vq9kZnegLbpjTLP49It2ovUbcartuoQTeXgP+TGpY//7mDH/UQlFCKDGiA==" saltValue="KUnni6YEm00anzSSvyLqQA==" spinCount="100000" sqref="FC709" name="Rango2_83_2"/>
    <protectedRange algorithmName="SHA-512" hashValue="pL4tgTKqwEsWSIEGFTBd+4pvEhE7d5Q99Eijs+L/Y1rhA0saQGGRJw5Pv2HLOP0quglztFwB6WVnQ1YGxd4AiQ==" saltValue="IF5mhk2RcoEjrcYppes1VA==" spinCount="100000" sqref="FT709" name="Rango2_30_7_1"/>
    <protectedRange algorithmName="SHA-512" hashValue="Umj9+5Ys20VQPxBFtc6qE5LtKKSgPKwit+B8dd4XnEUaLfBM2ozpkEC4YxwK0SbBiAHDDex+pY+LomQ0lyuamQ==" saltValue="N2/MCRws+mmA+NXw0axolg==" spinCount="100000" sqref="FY709" name="Rango2_31_2_6_1"/>
    <protectedRange algorithmName="SHA-512" hashValue="YXHanhqXL0e4jPrzkCF8r/22WmlCviFUW909WKuG1JOcU0mp0/Huh0aP3EaGYxV2ep0WGu48HsShAy4Ka2uOiw==" saltValue="h/7U5iwJm7DLR4tRVfwZYw==" spinCount="100000" sqref="GC709" name="Rango2_33_7_1"/>
    <protectedRange algorithmName="SHA-512" hashValue="Rgskw+AQdeJ5qbJdarzTa3SCkJfDGziy0Uan5N0F3IWn/H3Z/e+VcB56R7Nes7MPxNHewNP1sSSucVjz3iTLeA==" saltValue="qKZH3DnwaZHBzy3cBZo1qQ==" spinCount="100000" sqref="GF709" name="Rango2_31_28_6_1"/>
    <protectedRange algorithmName="SHA-512" hashValue="Umj9+5Ys20VQPxBFtc6qE5LtKKSgPKwit+B8dd4XnEUaLfBM2ozpkEC4YxwK0SbBiAHDDex+pY+LomQ0lyuamQ==" saltValue="N2/MCRws+mmA+NXw0axolg==" spinCount="100000" sqref="GE709" name="Rango2_31_2_40_6"/>
    <protectedRange algorithmName="SHA-512" hashValue="EEHzbvEYwO1eufllBljOz0uf9BJ2ENtvOScQ7IsS321QhYbwKn7qhHKKP8cKj02rTDvVRMWvwQ1ZP0mZWsBprQ==" saltValue="CjXqBRFbKezlWOFV37MnDQ==" spinCount="100000" sqref="GN709" name="Rango2_30_2_6_1"/>
    <protectedRange algorithmName="SHA-512" hashValue="EEHzbvEYwO1eufllBljOz0uf9BJ2ENtvOScQ7IsS321QhYbwKn7qhHKKP8cKj02rTDvVRMWvwQ1ZP0mZWsBprQ==" saltValue="CjXqBRFbKezlWOFV37MnDQ==" spinCount="100000" sqref="GQ709:GR709" name="Rango2_30_2_23_1"/>
    <protectedRange algorithmName="SHA-512" hashValue="EEHzbvEYwO1eufllBljOz0uf9BJ2ENtvOScQ7IsS321QhYbwKn7qhHKKP8cKj02rTDvVRMWvwQ1ZP0mZWsBprQ==" saltValue="CjXqBRFbKezlWOFV37MnDQ==" spinCount="100000" sqref="GW709" name="Rango2_30_2_40_6"/>
    <protectedRange algorithmName="SHA-512" hashValue="q2z5hEFmXS0v2chiPTC/VCoDWNlnhp+Xe6Ybfxe48vIsnB/KTJQxJv+pFUnCXfZ9T6vyJopuqFFNROfQTW/JUw==" saltValue="IctfdGJb5tOTpq+KPi9vww==" spinCount="100000" sqref="ID709:IF709" name="Rango2_88_39_57_1"/>
    <protectedRange algorithmName="SHA-512" hashValue="9+DNppQbWrLYYUMoJ+lyQctV2bX3Vq9kZnegLbpjTLP49It2ovUbcartuoQTeXgP+TGpY//7mDH/UQlFCKDGiA==" saltValue="KUnni6YEm00anzSSvyLqQA==" spinCount="100000" sqref="EY710:FA710" name="Rango2_65_2"/>
    <protectedRange algorithmName="SHA-512" hashValue="9+DNppQbWrLYYUMoJ+lyQctV2bX3Vq9kZnegLbpjTLP49It2ovUbcartuoQTeXgP+TGpY//7mDH/UQlFCKDGiA==" saltValue="KUnni6YEm00anzSSvyLqQA==" spinCount="100000" sqref="EY711:FA711" name="Rango2_66_2"/>
    <protectedRange algorithmName="SHA-512" hashValue="9+DNppQbWrLYYUMoJ+lyQctV2bX3Vq9kZnegLbpjTLP49It2ovUbcartuoQTeXgP+TGpY//7mDH/UQlFCKDGiA==" saltValue="KUnni6YEm00anzSSvyLqQA==" spinCount="100000" sqref="FC710" name="Rango2_87_1"/>
    <protectedRange algorithmName="SHA-512" hashValue="9+DNppQbWrLYYUMoJ+lyQctV2bX3Vq9kZnegLbpjTLP49It2ovUbcartuoQTeXgP+TGpY//7mDH/UQlFCKDGiA==" saltValue="KUnni6YEm00anzSSvyLqQA==" spinCount="100000" sqref="FC711" name="Rango2_90_2"/>
    <protectedRange algorithmName="SHA-512" hashValue="pL4tgTKqwEsWSIEGFTBd+4pvEhE7d5Q99Eijs+L/Y1rhA0saQGGRJw5Pv2HLOP0quglztFwB6WVnQ1YGxd4AiQ==" saltValue="IF5mhk2RcoEjrcYppes1VA==" spinCount="100000" sqref="FT710" name="Rango2_30_10_4"/>
    <protectedRange algorithmName="SHA-512" hashValue="pL4tgTKqwEsWSIEGFTBd+4pvEhE7d5Q99Eijs+L/Y1rhA0saQGGRJw5Pv2HLOP0quglztFwB6WVnQ1YGxd4AiQ==" saltValue="IF5mhk2RcoEjrcYppes1VA==" spinCount="100000" sqref="FT711" name="Rango2_30_11_1"/>
    <protectedRange algorithmName="SHA-512" hashValue="Umj9+5Ys20VQPxBFtc6qE5LtKKSgPKwit+B8dd4XnEUaLfBM2ozpkEC4YxwK0SbBiAHDDex+pY+LomQ0lyuamQ==" saltValue="N2/MCRws+mmA+NXw0axolg==" spinCount="100000" sqref="FY710" name="Rango2_31_2_9_4"/>
    <protectedRange algorithmName="SHA-512" hashValue="Umj9+5Ys20VQPxBFtc6qE5LtKKSgPKwit+B8dd4XnEUaLfBM2ozpkEC4YxwK0SbBiAHDDex+pY+LomQ0lyuamQ==" saltValue="N2/MCRws+mmA+NXw0axolg==" spinCount="100000" sqref="FY711" name="Rango2_31_2_10_1"/>
    <protectedRange algorithmName="SHA-512" hashValue="YXHanhqXL0e4jPrzkCF8r/22WmlCviFUW909WKuG1JOcU0mp0/Huh0aP3EaGYxV2ep0WGu48HsShAy4Ka2uOiw==" saltValue="h/7U5iwJm7DLR4tRVfwZYw==" spinCount="100000" sqref="GC710" name="Rango2_33_10_2"/>
    <protectedRange algorithmName="SHA-512" hashValue="YXHanhqXL0e4jPrzkCF8r/22WmlCviFUW909WKuG1JOcU0mp0/Huh0aP3EaGYxV2ep0WGu48HsShAy4Ka2uOiw==" saltValue="h/7U5iwJm7DLR4tRVfwZYw==" spinCount="100000" sqref="GC711" name="Rango2_33_11_2"/>
    <protectedRange algorithmName="SHA-512" hashValue="Rgskw+AQdeJ5qbJdarzTa3SCkJfDGziy0Uan5N0F3IWn/H3Z/e+VcB56R7Nes7MPxNHewNP1sSSucVjz3iTLeA==" saltValue="qKZH3DnwaZHBzy3cBZo1qQ==" spinCount="100000" sqref="GF710" name="Rango2_31_28_9_4"/>
    <protectedRange algorithmName="SHA-512" hashValue="Umj9+5Ys20VQPxBFtc6qE5LtKKSgPKwit+B8dd4XnEUaLfBM2ozpkEC4YxwK0SbBiAHDDex+pY+LomQ0lyuamQ==" saltValue="N2/MCRws+mmA+NXw0axolg==" spinCount="100000" sqref="GE710" name="Rango2_31_2_43_2"/>
    <protectedRange algorithmName="SHA-512" hashValue="Rgskw+AQdeJ5qbJdarzTa3SCkJfDGziy0Uan5N0F3IWn/H3Z/e+VcB56R7Nes7MPxNHewNP1sSSucVjz3iTLeA==" saltValue="qKZH3DnwaZHBzy3cBZo1qQ==" spinCount="100000" sqref="GF711" name="Rango2_31_28_10_1"/>
    <protectedRange algorithmName="SHA-512" hashValue="Umj9+5Ys20VQPxBFtc6qE5LtKKSgPKwit+B8dd4XnEUaLfBM2ozpkEC4YxwK0SbBiAHDDex+pY+LomQ0lyuamQ==" saltValue="N2/MCRws+mmA+NXw0axolg==" spinCount="100000" sqref="GE711" name="Rango2_31_2_44_1"/>
    <protectedRange algorithmName="SHA-512" hashValue="EEHzbvEYwO1eufllBljOz0uf9BJ2ENtvOScQ7IsS321QhYbwKn7qhHKKP8cKj02rTDvVRMWvwQ1ZP0mZWsBprQ==" saltValue="CjXqBRFbKezlWOFV37MnDQ==" spinCount="100000" sqref="GN710" name="Rango2_30_2_9_4"/>
    <protectedRange algorithmName="SHA-512" hashValue="EEHzbvEYwO1eufllBljOz0uf9BJ2ENtvOScQ7IsS321QhYbwKn7qhHKKP8cKj02rTDvVRMWvwQ1ZP0mZWsBprQ==" saltValue="CjXqBRFbKezlWOFV37MnDQ==" spinCount="100000" sqref="GN711" name="Rango2_30_2_10_1"/>
    <protectedRange algorithmName="SHA-512" hashValue="EEHzbvEYwO1eufllBljOz0uf9BJ2ENtvOScQ7IsS321QhYbwKn7qhHKKP8cKj02rTDvVRMWvwQ1ZP0mZWsBprQ==" saltValue="CjXqBRFbKezlWOFV37MnDQ==" spinCount="100000" sqref="GQ710:GR710" name="Rango2_30_2_26_1"/>
    <protectedRange algorithmName="SHA-512" hashValue="EEHzbvEYwO1eufllBljOz0uf9BJ2ENtvOScQ7IsS321QhYbwKn7qhHKKP8cKj02rTDvVRMWvwQ1ZP0mZWsBprQ==" saltValue="CjXqBRFbKezlWOFV37MnDQ==" spinCount="100000" sqref="GQ711:GR711" name="Rango2_30_2_27_1"/>
    <protectedRange algorithmName="SHA-512" hashValue="EEHzbvEYwO1eufllBljOz0uf9BJ2ENtvOScQ7IsS321QhYbwKn7qhHKKP8cKj02rTDvVRMWvwQ1ZP0mZWsBprQ==" saltValue="CjXqBRFbKezlWOFV37MnDQ==" spinCount="100000" sqref="GW710" name="Rango2_30_2_43_2"/>
    <protectedRange algorithmName="SHA-512" hashValue="EEHzbvEYwO1eufllBljOz0uf9BJ2ENtvOScQ7IsS321QhYbwKn7qhHKKP8cKj02rTDvVRMWvwQ1ZP0mZWsBprQ==" saltValue="CjXqBRFbKezlWOFV37MnDQ==" spinCount="100000" sqref="GW711" name="Rango2_30_2_44_1"/>
    <protectedRange algorithmName="SHA-512" hashValue="q2z5hEFmXS0v2chiPTC/VCoDWNlnhp+Xe6Ybfxe48vIsnB/KTJQxJv+pFUnCXfZ9T6vyJopuqFFNROfQTW/JUw==" saltValue="IctfdGJb5tOTpq+KPi9vww==" spinCount="100000" sqref="ID710:IF710" name="Rango2_88_39_60_1"/>
    <protectedRange algorithmName="SHA-512" hashValue="q2z5hEFmXS0v2chiPTC/VCoDWNlnhp+Xe6Ybfxe48vIsnB/KTJQxJv+pFUnCXfZ9T6vyJopuqFFNROfQTW/JUw==" saltValue="IctfdGJb5tOTpq+KPi9vww==" spinCount="100000" sqref="ID711:IF711" name="Rango2_88_39_61_1"/>
    <protectedRange algorithmName="SHA-512" hashValue="9+DNppQbWrLYYUMoJ+lyQctV2bX3Vq9kZnegLbpjTLP49It2ovUbcartuoQTeXgP+TGpY//7mDH/UQlFCKDGiA==" saltValue="KUnni6YEm00anzSSvyLqQA==" spinCount="100000" sqref="EY712:FA712" name="Rango2_66_3"/>
    <protectedRange algorithmName="SHA-512" hashValue="9+DNppQbWrLYYUMoJ+lyQctV2bX3Vq9kZnegLbpjTLP49It2ovUbcartuoQTeXgP+TGpY//7mDH/UQlFCKDGiA==" saltValue="KUnni6YEm00anzSSvyLqQA==" spinCount="100000" sqref="FC712" name="Rango2_90_3"/>
    <protectedRange algorithmName="SHA-512" hashValue="pL4tgTKqwEsWSIEGFTBd+4pvEhE7d5Q99Eijs+L/Y1rhA0saQGGRJw5Pv2HLOP0quglztFwB6WVnQ1YGxd4AiQ==" saltValue="IF5mhk2RcoEjrcYppes1VA==" spinCount="100000" sqref="FT712" name="Rango2_30_11_2"/>
    <protectedRange algorithmName="SHA-512" hashValue="Umj9+5Ys20VQPxBFtc6qE5LtKKSgPKwit+B8dd4XnEUaLfBM2ozpkEC4YxwK0SbBiAHDDex+pY+LomQ0lyuamQ==" saltValue="N2/MCRws+mmA+NXw0axolg==" spinCount="100000" sqref="FY712" name="Rango2_31_2_10_2"/>
    <protectedRange algorithmName="SHA-512" hashValue="YXHanhqXL0e4jPrzkCF8r/22WmlCviFUW909WKuG1JOcU0mp0/Huh0aP3EaGYxV2ep0WGu48HsShAy4Ka2uOiw==" saltValue="h/7U5iwJm7DLR4tRVfwZYw==" spinCount="100000" sqref="GC712" name="Rango2_33_11_3"/>
    <protectedRange algorithmName="SHA-512" hashValue="Rgskw+AQdeJ5qbJdarzTa3SCkJfDGziy0Uan5N0F3IWn/H3Z/e+VcB56R7Nes7MPxNHewNP1sSSucVjz3iTLeA==" saltValue="qKZH3DnwaZHBzy3cBZo1qQ==" spinCount="100000" sqref="GF712" name="Rango2_31_28_10_2"/>
    <protectedRange algorithmName="SHA-512" hashValue="Umj9+5Ys20VQPxBFtc6qE5LtKKSgPKwit+B8dd4XnEUaLfBM2ozpkEC4YxwK0SbBiAHDDex+pY+LomQ0lyuamQ==" saltValue="N2/MCRws+mmA+NXw0axolg==" spinCount="100000" sqref="GE712" name="Rango2_31_2_44_2"/>
    <protectedRange algorithmName="SHA-512" hashValue="EEHzbvEYwO1eufllBljOz0uf9BJ2ENtvOScQ7IsS321QhYbwKn7qhHKKP8cKj02rTDvVRMWvwQ1ZP0mZWsBprQ==" saltValue="CjXqBRFbKezlWOFV37MnDQ==" spinCount="100000" sqref="GN712" name="Rango2_30_2_10_2"/>
    <protectedRange algorithmName="SHA-512" hashValue="EEHzbvEYwO1eufllBljOz0uf9BJ2ENtvOScQ7IsS321QhYbwKn7qhHKKP8cKj02rTDvVRMWvwQ1ZP0mZWsBprQ==" saltValue="CjXqBRFbKezlWOFV37MnDQ==" spinCount="100000" sqref="GQ712:GR712" name="Rango2_30_2_27_2"/>
    <protectedRange algorithmName="SHA-512" hashValue="EEHzbvEYwO1eufllBljOz0uf9BJ2ENtvOScQ7IsS321QhYbwKn7qhHKKP8cKj02rTDvVRMWvwQ1ZP0mZWsBprQ==" saltValue="CjXqBRFbKezlWOFV37MnDQ==" spinCount="100000" sqref="GW712" name="Rango2_30_2_44_2"/>
    <protectedRange algorithmName="SHA-512" hashValue="q2z5hEFmXS0v2chiPTC/VCoDWNlnhp+Xe6Ybfxe48vIsnB/KTJQxJv+pFUnCXfZ9T6vyJopuqFFNROfQTW/JUw==" saltValue="IctfdGJb5tOTpq+KPi9vww==" spinCount="100000" sqref="ID712:IF712" name="Rango2_88_39_61_2"/>
    <protectedRange algorithmName="SHA-512" hashValue="9+DNppQbWrLYYUMoJ+lyQctV2bX3Vq9kZnegLbpjTLP49It2ovUbcartuoQTeXgP+TGpY//7mDH/UQlFCKDGiA==" saltValue="KUnni6YEm00anzSSvyLqQA==" spinCount="100000" sqref="EY713:FA713" name="Rango2_70_2"/>
    <protectedRange algorithmName="SHA-512" hashValue="9+DNppQbWrLYYUMoJ+lyQctV2bX3Vq9kZnegLbpjTLP49It2ovUbcartuoQTeXgP+TGpY//7mDH/UQlFCKDGiA==" saltValue="KUnni6YEm00anzSSvyLqQA==" spinCount="100000" sqref="FC713" name="Rango2_94_4"/>
    <protectedRange algorithmName="SHA-512" hashValue="pL4tgTKqwEsWSIEGFTBd+4pvEhE7d5Q99Eijs+L/Y1rhA0saQGGRJw5Pv2HLOP0quglztFwB6WVnQ1YGxd4AiQ==" saltValue="IF5mhk2RcoEjrcYppes1VA==" spinCount="100000" sqref="FT713" name="Rango2_30_15_2"/>
    <protectedRange algorithmName="SHA-512" hashValue="Umj9+5Ys20VQPxBFtc6qE5LtKKSgPKwit+B8dd4XnEUaLfBM2ozpkEC4YxwK0SbBiAHDDex+pY+LomQ0lyuamQ==" saltValue="N2/MCRws+mmA+NXw0axolg==" spinCount="100000" sqref="FY713" name="Rango2_31_2_14_1"/>
    <protectedRange algorithmName="SHA-512" hashValue="YXHanhqXL0e4jPrzkCF8r/22WmlCviFUW909WKuG1JOcU0mp0/Huh0aP3EaGYxV2ep0WGu48HsShAy4Ka2uOiw==" saltValue="h/7U5iwJm7DLR4tRVfwZYw==" spinCount="100000" sqref="GC713" name="Rango2_33_15_1"/>
    <protectedRange algorithmName="SHA-512" hashValue="Rgskw+AQdeJ5qbJdarzTa3SCkJfDGziy0Uan5N0F3IWn/H3Z/e+VcB56R7Nes7MPxNHewNP1sSSucVjz3iTLeA==" saltValue="qKZH3DnwaZHBzy3cBZo1qQ==" spinCount="100000" sqref="GF713" name="Rango2_31_28_14_2"/>
    <protectedRange algorithmName="SHA-512" hashValue="Umj9+5Ys20VQPxBFtc6qE5LtKKSgPKwit+B8dd4XnEUaLfBM2ozpkEC4YxwK0SbBiAHDDex+pY+LomQ0lyuamQ==" saltValue="N2/MCRws+mmA+NXw0axolg==" spinCount="100000" sqref="GE713" name="Rango2_31_2_48_2"/>
    <protectedRange algorithmName="SHA-512" hashValue="EEHzbvEYwO1eufllBljOz0uf9BJ2ENtvOScQ7IsS321QhYbwKn7qhHKKP8cKj02rTDvVRMWvwQ1ZP0mZWsBprQ==" saltValue="CjXqBRFbKezlWOFV37MnDQ==" spinCount="100000" sqref="GN713" name="Rango2_30_2_14_1"/>
    <protectedRange algorithmName="SHA-512" hashValue="EEHzbvEYwO1eufllBljOz0uf9BJ2ENtvOScQ7IsS321QhYbwKn7qhHKKP8cKj02rTDvVRMWvwQ1ZP0mZWsBprQ==" saltValue="CjXqBRFbKezlWOFV37MnDQ==" spinCount="100000" sqref="GQ713:GR713" name="Rango2_30_2_31_1"/>
    <protectedRange algorithmName="SHA-512" hashValue="EEHzbvEYwO1eufllBljOz0uf9BJ2ENtvOScQ7IsS321QhYbwKn7qhHKKP8cKj02rTDvVRMWvwQ1ZP0mZWsBprQ==" saltValue="CjXqBRFbKezlWOFV37MnDQ==" spinCount="100000" sqref="GW713" name="Rango2_30_2_48_2"/>
    <protectedRange algorithmName="SHA-512" hashValue="q2z5hEFmXS0v2chiPTC/VCoDWNlnhp+Xe6Ybfxe48vIsnB/KTJQxJv+pFUnCXfZ9T6vyJopuqFFNROfQTW/JUw==" saltValue="IctfdGJb5tOTpq+KPi9vww==" spinCount="100000" sqref="ID713:IF713" name="Rango2_88_39_65_1"/>
    <protectedRange algorithmName="SHA-512" hashValue="9+DNppQbWrLYYUMoJ+lyQctV2bX3Vq9kZnegLbpjTLP49It2ovUbcartuoQTeXgP+TGpY//7mDH/UQlFCKDGiA==" saltValue="KUnni6YEm00anzSSvyLqQA==" spinCount="100000" sqref="EY714:FA715" name="Rango2_72_2"/>
    <protectedRange algorithmName="SHA-512" hashValue="9+DNppQbWrLYYUMoJ+lyQctV2bX3Vq9kZnegLbpjTLP49It2ovUbcartuoQTeXgP+TGpY//7mDH/UQlFCKDGiA==" saltValue="KUnni6YEm00anzSSvyLqQA==" spinCount="100000" sqref="FC714:FC715" name="Rango2_98_3"/>
    <protectedRange algorithmName="SHA-512" hashValue="pL4tgTKqwEsWSIEGFTBd+4pvEhE7d5Q99Eijs+L/Y1rhA0saQGGRJw5Pv2HLOP0quglztFwB6WVnQ1YGxd4AiQ==" saltValue="IF5mhk2RcoEjrcYppes1VA==" spinCount="100000" sqref="FT714:FT715" name="Rango2_30_17_2"/>
    <protectedRange algorithmName="SHA-512" hashValue="Umj9+5Ys20VQPxBFtc6qE5LtKKSgPKwit+B8dd4XnEUaLfBM2ozpkEC4YxwK0SbBiAHDDex+pY+LomQ0lyuamQ==" saltValue="N2/MCRws+mmA+NXw0axolg==" spinCount="100000" sqref="FY714:FY715" name="Rango2_31_2_16_1"/>
    <protectedRange algorithmName="SHA-512" hashValue="YXHanhqXL0e4jPrzkCF8r/22WmlCviFUW909WKuG1JOcU0mp0/Huh0aP3EaGYxV2ep0WGu48HsShAy4Ka2uOiw==" saltValue="h/7U5iwJm7DLR4tRVfwZYw==" spinCount="100000" sqref="GC714:GC715" name="Rango2_33_17_3"/>
    <protectedRange algorithmName="SHA-512" hashValue="Rgskw+AQdeJ5qbJdarzTa3SCkJfDGziy0Uan5N0F3IWn/H3Z/e+VcB56R7Nes7MPxNHewNP1sSSucVjz3iTLeA==" saltValue="qKZH3DnwaZHBzy3cBZo1qQ==" spinCount="100000" sqref="GF714:GF715" name="Rango2_31_28_16_2"/>
    <protectedRange algorithmName="SHA-512" hashValue="Umj9+5Ys20VQPxBFtc6qE5LtKKSgPKwit+B8dd4XnEUaLfBM2ozpkEC4YxwK0SbBiAHDDex+pY+LomQ0lyuamQ==" saltValue="N2/MCRws+mmA+NXw0axolg==" spinCount="100000" sqref="GE714:GE715" name="Rango2_31_2_50_2"/>
    <protectedRange algorithmName="SHA-512" hashValue="EEHzbvEYwO1eufllBljOz0uf9BJ2ENtvOScQ7IsS321QhYbwKn7qhHKKP8cKj02rTDvVRMWvwQ1ZP0mZWsBprQ==" saltValue="CjXqBRFbKezlWOFV37MnDQ==" spinCount="100000" sqref="GN714:GN715" name="Rango2_30_2_16_1"/>
    <protectedRange algorithmName="SHA-512" hashValue="EEHzbvEYwO1eufllBljOz0uf9BJ2ENtvOScQ7IsS321QhYbwKn7qhHKKP8cKj02rTDvVRMWvwQ1ZP0mZWsBprQ==" saltValue="CjXqBRFbKezlWOFV37MnDQ==" spinCount="100000" sqref="GQ714:GR715" name="Rango2_30_2_33_1"/>
    <protectedRange algorithmName="SHA-512" hashValue="EEHzbvEYwO1eufllBljOz0uf9BJ2ENtvOScQ7IsS321QhYbwKn7qhHKKP8cKj02rTDvVRMWvwQ1ZP0mZWsBprQ==" saltValue="CjXqBRFbKezlWOFV37MnDQ==" spinCount="100000" sqref="GW714:GW715" name="Rango2_30_2_50_2"/>
    <protectedRange algorithmName="SHA-512" hashValue="q2z5hEFmXS0v2chiPTC/VCoDWNlnhp+Xe6Ybfxe48vIsnB/KTJQxJv+pFUnCXfZ9T6vyJopuqFFNROfQTW/JUw==" saltValue="IctfdGJb5tOTpq+KPi9vww==" spinCount="100000" sqref="ID714:IF715" name="Rango2_88_39_67_8"/>
    <protectedRange algorithmName="SHA-512" hashValue="9+DNppQbWrLYYUMoJ+lyQctV2bX3Vq9kZnegLbpjTLP49It2ovUbcartuoQTeXgP+TGpY//7mDH/UQlFCKDGiA==" saltValue="KUnni6YEm00anzSSvyLqQA==" spinCount="100000" sqref="EY716:FA716" name="Rango2_72_3"/>
    <protectedRange algorithmName="SHA-512" hashValue="9+DNppQbWrLYYUMoJ+lyQctV2bX3Vq9kZnegLbpjTLP49It2ovUbcartuoQTeXgP+TGpY//7mDH/UQlFCKDGiA==" saltValue="KUnni6YEm00anzSSvyLqQA==" spinCount="100000" sqref="FC716" name="Rango2_98_4"/>
    <protectedRange algorithmName="SHA-512" hashValue="pL4tgTKqwEsWSIEGFTBd+4pvEhE7d5Q99Eijs+L/Y1rhA0saQGGRJw5Pv2HLOP0quglztFwB6WVnQ1YGxd4AiQ==" saltValue="IF5mhk2RcoEjrcYppes1VA==" spinCount="100000" sqref="FT716" name="Rango2_30_17_3"/>
    <protectedRange algorithmName="SHA-512" hashValue="Umj9+5Ys20VQPxBFtc6qE5LtKKSgPKwit+B8dd4XnEUaLfBM2ozpkEC4YxwK0SbBiAHDDex+pY+LomQ0lyuamQ==" saltValue="N2/MCRws+mmA+NXw0axolg==" spinCount="100000" sqref="FY716" name="Rango2_31_2_16_2"/>
    <protectedRange algorithmName="SHA-512" hashValue="YXHanhqXL0e4jPrzkCF8r/22WmlCviFUW909WKuG1JOcU0mp0/Huh0aP3EaGYxV2ep0WGu48HsShAy4Ka2uOiw==" saltValue="h/7U5iwJm7DLR4tRVfwZYw==" spinCount="100000" sqref="GC716" name="Rango2_33_17_4"/>
    <protectedRange algorithmName="SHA-512" hashValue="Rgskw+AQdeJ5qbJdarzTa3SCkJfDGziy0Uan5N0F3IWn/H3Z/e+VcB56R7Nes7MPxNHewNP1sSSucVjz3iTLeA==" saltValue="qKZH3DnwaZHBzy3cBZo1qQ==" spinCount="100000" sqref="GF716" name="Rango2_31_28_16_3"/>
    <protectedRange algorithmName="SHA-512" hashValue="Umj9+5Ys20VQPxBFtc6qE5LtKKSgPKwit+B8dd4XnEUaLfBM2ozpkEC4YxwK0SbBiAHDDex+pY+LomQ0lyuamQ==" saltValue="N2/MCRws+mmA+NXw0axolg==" spinCount="100000" sqref="GE716" name="Rango2_31_2_50_3"/>
    <protectedRange algorithmName="SHA-512" hashValue="EEHzbvEYwO1eufllBljOz0uf9BJ2ENtvOScQ7IsS321QhYbwKn7qhHKKP8cKj02rTDvVRMWvwQ1ZP0mZWsBprQ==" saltValue="CjXqBRFbKezlWOFV37MnDQ==" spinCount="100000" sqref="GN716" name="Rango2_30_2_16_2"/>
    <protectedRange algorithmName="SHA-512" hashValue="EEHzbvEYwO1eufllBljOz0uf9BJ2ENtvOScQ7IsS321QhYbwKn7qhHKKP8cKj02rTDvVRMWvwQ1ZP0mZWsBprQ==" saltValue="CjXqBRFbKezlWOFV37MnDQ==" spinCount="100000" sqref="GQ716:GR716" name="Rango2_30_2_33_2"/>
    <protectedRange algorithmName="SHA-512" hashValue="EEHzbvEYwO1eufllBljOz0uf9BJ2ENtvOScQ7IsS321QhYbwKn7qhHKKP8cKj02rTDvVRMWvwQ1ZP0mZWsBprQ==" saltValue="CjXqBRFbKezlWOFV37MnDQ==" spinCount="100000" sqref="GW716" name="Rango2_30_2_50_3"/>
    <protectedRange algorithmName="SHA-512" hashValue="q2z5hEFmXS0v2chiPTC/VCoDWNlnhp+Xe6Ybfxe48vIsnB/KTJQxJv+pFUnCXfZ9T6vyJopuqFFNROfQTW/JUw==" saltValue="IctfdGJb5tOTpq+KPi9vww==" spinCount="100000" sqref="ID716:IF716" name="Rango2_88_39_67_9"/>
    <protectedRange algorithmName="SHA-512" hashValue="9+DNppQbWrLYYUMoJ+lyQctV2bX3Vq9kZnegLbpjTLP49It2ovUbcartuoQTeXgP+TGpY//7mDH/UQlFCKDGiA==" saltValue="KUnni6YEm00anzSSvyLqQA==" spinCount="100000" sqref="EY717:FA717" name="Rango2_72_4"/>
    <protectedRange algorithmName="SHA-512" hashValue="9+DNppQbWrLYYUMoJ+lyQctV2bX3Vq9kZnegLbpjTLP49It2ovUbcartuoQTeXgP+TGpY//7mDH/UQlFCKDGiA==" saltValue="KUnni6YEm00anzSSvyLqQA==" spinCount="100000" sqref="EY718:FA718" name="Rango2_73_2"/>
    <protectedRange algorithmName="SHA-512" hashValue="9+DNppQbWrLYYUMoJ+lyQctV2bX3Vq9kZnegLbpjTLP49It2ovUbcartuoQTeXgP+TGpY//7mDH/UQlFCKDGiA==" saltValue="KUnni6YEm00anzSSvyLqQA==" spinCount="100000" sqref="FC717" name="Rango2_98_5"/>
    <protectedRange algorithmName="SHA-512" hashValue="pL4tgTKqwEsWSIEGFTBd+4pvEhE7d5Q99Eijs+L/Y1rhA0saQGGRJw5Pv2HLOP0quglztFwB6WVnQ1YGxd4AiQ==" saltValue="IF5mhk2RcoEjrcYppes1VA==" spinCount="100000" sqref="FT717" name="Rango2_30_17_4"/>
    <protectedRange algorithmName="SHA-512" hashValue="pL4tgTKqwEsWSIEGFTBd+4pvEhE7d5Q99Eijs+L/Y1rhA0saQGGRJw5Pv2HLOP0quglztFwB6WVnQ1YGxd4AiQ==" saltValue="IF5mhk2RcoEjrcYppes1VA==" spinCount="100000" sqref="FT718" name="Rango2_30_18_2"/>
    <protectedRange algorithmName="SHA-512" hashValue="Umj9+5Ys20VQPxBFtc6qE5LtKKSgPKwit+B8dd4XnEUaLfBM2ozpkEC4YxwK0SbBiAHDDex+pY+LomQ0lyuamQ==" saltValue="N2/MCRws+mmA+NXw0axolg==" spinCount="100000" sqref="FY717" name="Rango2_31_2_16_3"/>
    <protectedRange algorithmName="SHA-512" hashValue="Umj9+5Ys20VQPxBFtc6qE5LtKKSgPKwit+B8dd4XnEUaLfBM2ozpkEC4YxwK0SbBiAHDDex+pY+LomQ0lyuamQ==" saltValue="N2/MCRws+mmA+NXw0axolg==" spinCount="100000" sqref="FY718" name="Rango2_31_2_17_1"/>
    <protectedRange algorithmName="SHA-512" hashValue="YXHanhqXL0e4jPrzkCF8r/22WmlCviFUW909WKuG1JOcU0mp0/Huh0aP3EaGYxV2ep0WGu48HsShAy4Ka2uOiw==" saltValue="h/7U5iwJm7DLR4tRVfwZYw==" spinCount="100000" sqref="GC717" name="Rango2_33_17_5"/>
    <protectedRange algorithmName="SHA-512" hashValue="YXHanhqXL0e4jPrzkCF8r/22WmlCviFUW909WKuG1JOcU0mp0/Huh0aP3EaGYxV2ep0WGu48HsShAy4Ka2uOiw==" saltValue="h/7U5iwJm7DLR4tRVfwZYw==" spinCount="100000" sqref="GC718" name="Rango2_33_18_5"/>
    <protectedRange algorithmName="SHA-512" hashValue="Rgskw+AQdeJ5qbJdarzTa3SCkJfDGziy0Uan5N0F3IWn/H3Z/e+VcB56R7Nes7MPxNHewNP1sSSucVjz3iTLeA==" saltValue="qKZH3DnwaZHBzy3cBZo1qQ==" spinCount="100000" sqref="GF717" name="Rango2_31_28_16_4"/>
    <protectedRange algorithmName="SHA-512" hashValue="Umj9+5Ys20VQPxBFtc6qE5LtKKSgPKwit+B8dd4XnEUaLfBM2ozpkEC4YxwK0SbBiAHDDex+pY+LomQ0lyuamQ==" saltValue="N2/MCRws+mmA+NXw0axolg==" spinCount="100000" sqref="GE717" name="Rango2_31_2_50_4"/>
    <protectedRange algorithmName="SHA-512" hashValue="Rgskw+AQdeJ5qbJdarzTa3SCkJfDGziy0Uan5N0F3IWn/H3Z/e+VcB56R7Nes7MPxNHewNP1sSSucVjz3iTLeA==" saltValue="qKZH3DnwaZHBzy3cBZo1qQ==" spinCount="100000" sqref="GF718" name="Rango2_31_28_17_2"/>
    <protectedRange algorithmName="SHA-512" hashValue="Umj9+5Ys20VQPxBFtc6qE5LtKKSgPKwit+B8dd4XnEUaLfBM2ozpkEC4YxwK0SbBiAHDDex+pY+LomQ0lyuamQ==" saltValue="N2/MCRws+mmA+NXw0axolg==" spinCount="100000" sqref="GE718" name="Rango2_31_2_51_2"/>
    <protectedRange algorithmName="SHA-512" hashValue="EEHzbvEYwO1eufllBljOz0uf9BJ2ENtvOScQ7IsS321QhYbwKn7qhHKKP8cKj02rTDvVRMWvwQ1ZP0mZWsBprQ==" saltValue="CjXqBRFbKezlWOFV37MnDQ==" spinCount="100000" sqref="GN717" name="Rango2_30_2_16_3"/>
    <protectedRange algorithmName="SHA-512" hashValue="EEHzbvEYwO1eufllBljOz0uf9BJ2ENtvOScQ7IsS321QhYbwKn7qhHKKP8cKj02rTDvVRMWvwQ1ZP0mZWsBprQ==" saltValue="CjXqBRFbKezlWOFV37MnDQ==" spinCount="100000" sqref="GN718" name="Rango2_30_2_17_1"/>
    <protectedRange algorithmName="SHA-512" hashValue="EEHzbvEYwO1eufllBljOz0uf9BJ2ENtvOScQ7IsS321QhYbwKn7qhHKKP8cKj02rTDvVRMWvwQ1ZP0mZWsBprQ==" saltValue="CjXqBRFbKezlWOFV37MnDQ==" spinCount="100000" sqref="GQ717:GR717" name="Rango2_30_2_33_3"/>
    <protectedRange algorithmName="SHA-512" hashValue="EEHzbvEYwO1eufllBljOz0uf9BJ2ENtvOScQ7IsS321QhYbwKn7qhHKKP8cKj02rTDvVRMWvwQ1ZP0mZWsBprQ==" saltValue="CjXqBRFbKezlWOFV37MnDQ==" spinCount="100000" sqref="GQ718:GR718" name="Rango2_30_2_34_1"/>
    <protectedRange algorithmName="SHA-512" hashValue="EEHzbvEYwO1eufllBljOz0uf9BJ2ENtvOScQ7IsS321QhYbwKn7qhHKKP8cKj02rTDvVRMWvwQ1ZP0mZWsBprQ==" saltValue="CjXqBRFbKezlWOFV37MnDQ==" spinCount="100000" sqref="GW717" name="Rango2_30_2_50_4"/>
    <protectedRange algorithmName="SHA-512" hashValue="EEHzbvEYwO1eufllBljOz0uf9BJ2ENtvOScQ7IsS321QhYbwKn7qhHKKP8cKj02rTDvVRMWvwQ1ZP0mZWsBprQ==" saltValue="CjXqBRFbKezlWOFV37MnDQ==" spinCount="100000" sqref="GW718" name="Rango2_30_2_51_2"/>
    <protectedRange algorithmName="SHA-512" hashValue="q2z5hEFmXS0v2chiPTC/VCoDWNlnhp+Xe6Ybfxe48vIsnB/KTJQxJv+pFUnCXfZ9T6vyJopuqFFNROfQTW/JUw==" saltValue="IctfdGJb5tOTpq+KPi9vww==" spinCount="100000" sqref="ID717:IF717" name="Rango2_88_39_67_10"/>
    <protectedRange algorithmName="SHA-512" hashValue="q2z5hEFmXS0v2chiPTC/VCoDWNlnhp+Xe6Ybfxe48vIsnB/KTJQxJv+pFUnCXfZ9T6vyJopuqFFNROfQTW/JUw==" saltValue="IctfdGJb5tOTpq+KPi9vww==" spinCount="100000" sqref="ID718:IF718" name="Rango2_88_39_68_1"/>
    <protectedRange algorithmName="SHA-512" hashValue="9+DNppQbWrLYYUMoJ+lyQctV2bX3Vq9kZnegLbpjTLP49It2ovUbcartuoQTeXgP+TGpY//7mDH/UQlFCKDGiA==" saltValue="KUnni6YEm00anzSSvyLqQA==" spinCount="100000" sqref="EY719:FA719" name="Rango2_73_3"/>
    <protectedRange algorithmName="SHA-512" hashValue="pL4tgTKqwEsWSIEGFTBd+4pvEhE7d5Q99Eijs+L/Y1rhA0saQGGRJw5Pv2HLOP0quglztFwB6WVnQ1YGxd4AiQ==" saltValue="IF5mhk2RcoEjrcYppes1VA==" spinCount="100000" sqref="FT719" name="Rango2_30_18_3"/>
    <protectedRange algorithmName="SHA-512" hashValue="Umj9+5Ys20VQPxBFtc6qE5LtKKSgPKwit+B8dd4XnEUaLfBM2ozpkEC4YxwK0SbBiAHDDex+pY+LomQ0lyuamQ==" saltValue="N2/MCRws+mmA+NXw0axolg==" spinCount="100000" sqref="FY719" name="Rango2_31_2_17_2"/>
    <protectedRange algorithmName="SHA-512" hashValue="Rgskw+AQdeJ5qbJdarzTa3SCkJfDGziy0Uan5N0F3IWn/H3Z/e+VcB56R7Nes7MPxNHewNP1sSSucVjz3iTLeA==" saltValue="qKZH3DnwaZHBzy3cBZo1qQ==" spinCount="100000" sqref="GF719" name="Rango2_31_28_17_3"/>
    <protectedRange algorithmName="SHA-512" hashValue="Umj9+5Ys20VQPxBFtc6qE5LtKKSgPKwit+B8dd4XnEUaLfBM2ozpkEC4YxwK0SbBiAHDDex+pY+LomQ0lyuamQ==" saltValue="N2/MCRws+mmA+NXw0axolg==" spinCount="100000" sqref="GE719" name="Rango2_31_2_51_3"/>
    <protectedRange algorithmName="SHA-512" hashValue="EEHzbvEYwO1eufllBljOz0uf9BJ2ENtvOScQ7IsS321QhYbwKn7qhHKKP8cKj02rTDvVRMWvwQ1ZP0mZWsBprQ==" saltValue="CjXqBRFbKezlWOFV37MnDQ==" spinCount="100000" sqref="GN719" name="Rango2_30_2_17_2"/>
    <protectedRange algorithmName="SHA-512" hashValue="EEHzbvEYwO1eufllBljOz0uf9BJ2ENtvOScQ7IsS321QhYbwKn7qhHKKP8cKj02rTDvVRMWvwQ1ZP0mZWsBprQ==" saltValue="CjXqBRFbKezlWOFV37MnDQ==" spinCount="100000" sqref="GQ719:GR719" name="Rango2_30_2_34_2"/>
    <protectedRange algorithmName="SHA-512" hashValue="EEHzbvEYwO1eufllBljOz0uf9BJ2ENtvOScQ7IsS321QhYbwKn7qhHKKP8cKj02rTDvVRMWvwQ1ZP0mZWsBprQ==" saltValue="CjXqBRFbKezlWOFV37MnDQ==" spinCount="100000" sqref="GW719" name="Rango2_30_2_51_3"/>
    <protectedRange algorithmName="SHA-512" hashValue="q2z5hEFmXS0v2chiPTC/VCoDWNlnhp+Xe6Ybfxe48vIsnB/KTJQxJv+pFUnCXfZ9T6vyJopuqFFNROfQTW/JUw==" saltValue="IctfdGJb5tOTpq+KPi9vww==" spinCount="100000" sqref="ID719:IF719" name="Rango2_88_39_68_2"/>
    <protectedRange algorithmName="SHA-512" hashValue="9+DNppQbWrLYYUMoJ+lyQctV2bX3Vq9kZnegLbpjTLP49It2ovUbcartuoQTeXgP+TGpY//7mDH/UQlFCKDGiA==" saltValue="KUnni6YEm00anzSSvyLqQA==" spinCount="100000" sqref="EY720:FA720" name="Rango2_73_4"/>
    <protectedRange algorithmName="SHA-512" hashValue="pL4tgTKqwEsWSIEGFTBd+4pvEhE7d5Q99Eijs+L/Y1rhA0saQGGRJw5Pv2HLOP0quglztFwB6WVnQ1YGxd4AiQ==" saltValue="IF5mhk2RcoEjrcYppes1VA==" spinCount="100000" sqref="FT720" name="Rango2_30_18_4"/>
    <protectedRange algorithmName="SHA-512" hashValue="Umj9+5Ys20VQPxBFtc6qE5LtKKSgPKwit+B8dd4XnEUaLfBM2ozpkEC4YxwK0SbBiAHDDex+pY+LomQ0lyuamQ==" saltValue="N2/MCRws+mmA+NXw0axolg==" spinCount="100000" sqref="FY720" name="Rango2_31_2_17_3"/>
    <protectedRange algorithmName="SHA-512" hashValue="YXHanhqXL0e4jPrzkCF8r/22WmlCviFUW909WKuG1JOcU0mp0/Huh0aP3EaGYxV2ep0WGu48HsShAy4Ka2uOiw==" saltValue="h/7U5iwJm7DLR4tRVfwZYw==" spinCount="100000" sqref="GC720" name="Rango2_33_18_6"/>
    <protectedRange algorithmName="SHA-512" hashValue="Rgskw+AQdeJ5qbJdarzTa3SCkJfDGziy0Uan5N0F3IWn/H3Z/e+VcB56R7Nes7MPxNHewNP1sSSucVjz3iTLeA==" saltValue="qKZH3DnwaZHBzy3cBZo1qQ==" spinCount="100000" sqref="GF720" name="Rango2_31_28_17_4"/>
    <protectedRange algorithmName="SHA-512" hashValue="Umj9+5Ys20VQPxBFtc6qE5LtKKSgPKwit+B8dd4XnEUaLfBM2ozpkEC4YxwK0SbBiAHDDex+pY+LomQ0lyuamQ==" saltValue="N2/MCRws+mmA+NXw0axolg==" spinCount="100000" sqref="GE720" name="Rango2_31_2_51_4"/>
    <protectedRange algorithmName="SHA-512" hashValue="EEHzbvEYwO1eufllBljOz0uf9BJ2ENtvOScQ7IsS321QhYbwKn7qhHKKP8cKj02rTDvVRMWvwQ1ZP0mZWsBprQ==" saltValue="CjXqBRFbKezlWOFV37MnDQ==" spinCount="100000" sqref="GN720" name="Rango2_30_2_17_3"/>
    <protectedRange algorithmName="SHA-512" hashValue="EEHzbvEYwO1eufllBljOz0uf9BJ2ENtvOScQ7IsS321QhYbwKn7qhHKKP8cKj02rTDvVRMWvwQ1ZP0mZWsBprQ==" saltValue="CjXqBRFbKezlWOFV37MnDQ==" spinCount="100000" sqref="GQ720:GR720" name="Rango2_30_2_34_3"/>
    <protectedRange algorithmName="SHA-512" hashValue="EEHzbvEYwO1eufllBljOz0uf9BJ2ENtvOScQ7IsS321QhYbwKn7qhHKKP8cKj02rTDvVRMWvwQ1ZP0mZWsBprQ==" saltValue="CjXqBRFbKezlWOFV37MnDQ==" spinCount="100000" sqref="GW720" name="Rango2_30_2_51_4"/>
    <protectedRange algorithmName="SHA-512" hashValue="q2z5hEFmXS0v2chiPTC/VCoDWNlnhp+Xe6Ybfxe48vIsnB/KTJQxJv+pFUnCXfZ9T6vyJopuqFFNROfQTW/JUw==" saltValue="IctfdGJb5tOTpq+KPi9vww==" spinCount="100000" sqref="ID720:IF720" name="Rango2_88_39_68_3"/>
    <protectedRange algorithmName="SHA-512" hashValue="pL4tgTKqwEsWSIEGFTBd+4pvEhE7d5Q99Eijs+L/Y1rhA0saQGGRJw5Pv2HLOP0quglztFwB6WVnQ1YGxd4AiQ==" saltValue="IF5mhk2RcoEjrcYppes1VA==" spinCount="100000" sqref="FT721" name="Rango2_30_18_5"/>
    <protectedRange algorithmName="SHA-512" hashValue="Umj9+5Ys20VQPxBFtc6qE5LtKKSgPKwit+B8dd4XnEUaLfBM2ozpkEC4YxwK0SbBiAHDDex+pY+LomQ0lyuamQ==" saltValue="N2/MCRws+mmA+NXw0axolg==" spinCount="100000" sqref="FY721" name="Rango2_31_2_17_4"/>
    <protectedRange algorithmName="SHA-512" hashValue="YXHanhqXL0e4jPrzkCF8r/22WmlCviFUW909WKuG1JOcU0mp0/Huh0aP3EaGYxV2ep0WGu48HsShAy4Ka2uOiw==" saltValue="h/7U5iwJm7DLR4tRVfwZYw==" spinCount="100000" sqref="GC721" name="Rango2_33_18_7"/>
    <protectedRange algorithmName="SHA-512" hashValue="EEHzbvEYwO1eufllBljOz0uf9BJ2ENtvOScQ7IsS321QhYbwKn7qhHKKP8cKj02rTDvVRMWvwQ1ZP0mZWsBprQ==" saltValue="CjXqBRFbKezlWOFV37MnDQ==" spinCount="100000" sqref="GN721" name="Rango2_30_2_17_4"/>
    <protectedRange algorithmName="SHA-512" hashValue="EEHzbvEYwO1eufllBljOz0uf9BJ2ENtvOScQ7IsS321QhYbwKn7qhHKKP8cKj02rTDvVRMWvwQ1ZP0mZWsBprQ==" saltValue="CjXqBRFbKezlWOFV37MnDQ==" spinCount="100000" sqref="GQ721:GR721" name="Rango2_30_2_34_4"/>
    <protectedRange algorithmName="SHA-512" hashValue="EEHzbvEYwO1eufllBljOz0uf9BJ2ENtvOScQ7IsS321QhYbwKn7qhHKKP8cKj02rTDvVRMWvwQ1ZP0mZWsBprQ==" saltValue="CjXqBRFbKezlWOFV37MnDQ==" spinCount="100000" sqref="GW721" name="Rango2_30_2_51_5"/>
    <protectedRange algorithmName="SHA-512" hashValue="q2z5hEFmXS0v2chiPTC/VCoDWNlnhp+Xe6Ybfxe48vIsnB/KTJQxJv+pFUnCXfZ9T6vyJopuqFFNROfQTW/JUw==" saltValue="IctfdGJb5tOTpq+KPi9vww==" spinCount="100000" sqref="ID721:IF721" name="Rango2_88_39_68_4"/>
    <protectedRange algorithmName="SHA-512" hashValue="Umj9+5Ys20VQPxBFtc6qE5LtKKSgPKwit+B8dd4XnEUaLfBM2ozpkEC4YxwK0SbBiAHDDex+pY+LomQ0lyuamQ==" saltValue="N2/MCRws+mmA+NXw0axolg==" spinCount="100000" sqref="FY722" name="Rango2_31_2_17_5"/>
    <protectedRange algorithmName="SHA-512" hashValue="EEHzbvEYwO1eufllBljOz0uf9BJ2ENtvOScQ7IsS321QhYbwKn7qhHKKP8cKj02rTDvVRMWvwQ1ZP0mZWsBprQ==" saltValue="CjXqBRFbKezlWOFV37MnDQ==" spinCount="100000" sqref="GN722" name="Rango2_30_2_17_5"/>
    <protectedRange algorithmName="SHA-512" hashValue="EEHzbvEYwO1eufllBljOz0uf9BJ2ENtvOScQ7IsS321QhYbwKn7qhHKKP8cKj02rTDvVRMWvwQ1ZP0mZWsBprQ==" saltValue="CjXqBRFbKezlWOFV37MnDQ==" spinCount="100000" sqref="GQ722:GR722" name="Rango2_30_2_34_5"/>
    <protectedRange algorithmName="SHA-512" hashValue="EEHzbvEYwO1eufllBljOz0uf9BJ2ENtvOScQ7IsS321QhYbwKn7qhHKKP8cKj02rTDvVRMWvwQ1ZP0mZWsBprQ==" saltValue="CjXqBRFbKezlWOFV37MnDQ==" spinCount="100000" sqref="GW722" name="Rango2_30_2_51_6"/>
    <protectedRange algorithmName="SHA-512" hashValue="q2z5hEFmXS0v2chiPTC/VCoDWNlnhp+Xe6Ybfxe48vIsnB/KTJQxJv+pFUnCXfZ9T6vyJopuqFFNROfQTW/JUw==" saltValue="IctfdGJb5tOTpq+KPi9vww==" spinCount="100000" sqref="ID722:IF722" name="Rango2_88_39_68_5"/>
    <protectedRange algorithmName="SHA-512" hashValue="EMMPgE8t/az1rHHzaZAQIhz+GQV0k2O/tQGA96sJqEEMzz1efIRa4CcLzC7iY9CCscto3g7dwz41haOE28iXYg==" saltValue="CVzFsG4X4LXUMo7796PiDQ==" spinCount="100000" sqref="B730:B731" name="Rango2_10_39_1"/>
    <protectedRange algorithmName="SHA-512" hashValue="EMMPgE8t/az1rHHzaZAQIhz+GQV0k2O/tQGA96sJqEEMzz1efIRa4CcLzC7iY9CCscto3g7dwz41haOE28iXYg==" saltValue="CVzFsG4X4LXUMo7796PiDQ==" spinCount="100000" sqref="B732" name="Rango2_10_39_2"/>
    <protectedRange algorithmName="SHA-512" hashValue="EMMPgE8t/az1rHHzaZAQIhz+GQV0k2O/tQGA96sJqEEMzz1efIRa4CcLzC7iY9CCscto3g7dwz41haOE28iXYg==" saltValue="CVzFsG4X4LXUMo7796PiDQ==" spinCount="100000" sqref="B733" name="Rango2_10_39_3"/>
    <protectedRange algorithmName="SHA-512" hashValue="EMMPgE8t/az1rHHzaZAQIhz+GQV0k2O/tQGA96sJqEEMzz1efIRa4CcLzC7iY9CCscto3g7dwz41haOE28iXYg==" saltValue="CVzFsG4X4LXUMo7796PiDQ==" spinCount="100000" sqref="B734" name="Rango2_10_39_4"/>
    <protectedRange algorithmName="SHA-512" hashValue="EMMPgE8t/az1rHHzaZAQIhz+GQV0k2O/tQGA96sJqEEMzz1efIRa4CcLzC7iY9CCscto3g7dwz41haOE28iXYg==" saltValue="CVzFsG4X4LXUMo7796PiDQ==" spinCount="100000" sqref="B735" name="Rango2_10_39_5"/>
    <protectedRange algorithmName="SHA-512" hashValue="EMMPgE8t/az1rHHzaZAQIhz+GQV0k2O/tQGA96sJqEEMzz1efIRa4CcLzC7iY9CCscto3g7dwz41haOE28iXYg==" saltValue="CVzFsG4X4LXUMo7796PiDQ==" spinCount="100000" sqref="B736:B737" name="Rango2_10_39_6"/>
    <protectedRange algorithmName="SHA-512" hashValue="6a5oYwZw9WJcgjqXpleUXH8uaqNEuymPPpeOb7lKBc1WoM6IG/DNyDLWmj2lYwxnZO2yhl+B61kwrxD9m9AdhQ==" saltValue="tdNQPzLQd+n9Ww064QJIaQ==" spinCount="100000" sqref="I738" name="Rango2_61_19_1"/>
    <protectedRange algorithmName="SHA-512" hashValue="XM8+0Jh5zLWw02PI0Lt8dLqjTcW5ulySion19FAnruDN6QRp4UwcVqdfQxnOQAItgpWG7rNsELzjwy0iXOonxw==" saltValue="Sd4WFUedDfLKoMQTDrxJuQ==" spinCount="100000" sqref="K738" name="Rango2_88_4_4_20_1"/>
    <protectedRange algorithmName="SHA-512" hashValue="EMMPgE8t/az1rHHzaZAQIhz+GQV0k2O/tQGA96sJqEEMzz1efIRa4CcLzC7iY9CCscto3g7dwz41haOE28iXYg==" saltValue="CVzFsG4X4LXUMo7796PiDQ==" spinCount="100000" sqref="L738:M738 J738 B738 D738:H738" name="Rango2_10_77_1"/>
    <protectedRange algorithmName="SHA-512" hashValue="EMMPgE8t/az1rHHzaZAQIhz+GQV0k2O/tQGA96sJqEEMzz1efIRa4CcLzC7iY9CCscto3g7dwz41haOE28iXYg==" saltValue="CVzFsG4X4LXUMo7796PiDQ==" spinCount="100000" sqref="B740:B741" name="Rango2_10_39_7"/>
    <protectedRange algorithmName="SHA-512" hashValue="EMMPgE8t/az1rHHzaZAQIhz+GQV0k2O/tQGA96sJqEEMzz1efIRa4CcLzC7iY9CCscto3g7dwz41haOE28iXYg==" saltValue="CVzFsG4X4LXUMo7796PiDQ==" spinCount="100000" sqref="B742:B743" name="Rango2_10_39_8"/>
    <protectedRange algorithmName="SHA-512" hashValue="6a5oYwZw9WJcgjqXpleUXH8uaqNEuymPPpeOb7lKBc1WoM6IG/DNyDLWmj2lYwxnZO2yhl+B61kwrxD9m9AdhQ==" saltValue="tdNQPzLQd+n9Ww064QJIaQ==" spinCount="100000" sqref="I743" name="Rango2_61_13_1"/>
    <protectedRange algorithmName="SHA-512" hashValue="XM8+0Jh5zLWw02PI0Lt8dLqjTcW5ulySion19FAnruDN6QRp4UwcVqdfQxnOQAItgpWG7rNsELzjwy0iXOonxw==" saltValue="Sd4WFUedDfLKoMQTDrxJuQ==" spinCount="100000" sqref="K743" name="Rango2_88_4_4_14_2"/>
    <protectedRange algorithmName="SHA-512" hashValue="EMMPgE8t/az1rHHzaZAQIhz+GQV0k2O/tQGA96sJqEEMzz1efIRa4CcLzC7iY9CCscto3g7dwz41haOE28iXYg==" saltValue="CVzFsG4X4LXUMo7796PiDQ==" spinCount="100000" sqref="L743:M743 J743 D743:H743" name="Rango2_10_81_1"/>
    <protectedRange algorithmName="SHA-512" hashValue="EMMPgE8t/az1rHHzaZAQIhz+GQV0k2O/tQGA96sJqEEMzz1efIRa4CcLzC7iY9CCscto3g7dwz41haOE28iXYg==" saltValue="CVzFsG4X4LXUMo7796PiDQ==" spinCount="100000" sqref="B744" name="Rango2_10_51_2"/>
    <protectedRange algorithmName="SHA-512" hashValue="6a5oYwZw9WJcgjqXpleUXH8uaqNEuymPPpeOb7lKBc1WoM6IG/DNyDLWmj2lYwxnZO2yhl+B61kwrxD9m9AdhQ==" saltValue="tdNQPzLQd+n9Ww064QJIaQ==" spinCount="100000" sqref="I744" name="Rango2_61_13_2"/>
    <protectedRange algorithmName="SHA-512" hashValue="XM8+0Jh5zLWw02PI0Lt8dLqjTcW5ulySion19FAnruDN6QRp4UwcVqdfQxnOQAItgpWG7rNsELzjwy0iXOonxw==" saltValue="Sd4WFUedDfLKoMQTDrxJuQ==" spinCount="100000" sqref="K744" name="Rango2_88_4_4_14_3"/>
    <protectedRange algorithmName="SHA-512" hashValue="EMMPgE8t/az1rHHzaZAQIhz+GQV0k2O/tQGA96sJqEEMzz1efIRa4CcLzC7iY9CCscto3g7dwz41haOE28iXYg==" saltValue="CVzFsG4X4LXUMo7796PiDQ==" spinCount="100000" sqref="L744:M744 J744 D744:H744" name="Rango2_10_81_2"/>
    <protectedRange algorithmName="SHA-512" hashValue="EMMPgE8t/az1rHHzaZAQIhz+GQV0k2O/tQGA96sJqEEMzz1efIRa4CcLzC7iY9CCscto3g7dwz41haOE28iXYg==" saltValue="CVzFsG4X4LXUMo7796PiDQ==" spinCount="100000" sqref="B745" name="Rango2_10_51_3"/>
    <protectedRange algorithmName="SHA-512" hashValue="6a5oYwZw9WJcgjqXpleUXH8uaqNEuymPPpeOb7lKBc1WoM6IG/DNyDLWmj2lYwxnZO2yhl+B61kwrxD9m9AdhQ==" saltValue="tdNQPzLQd+n9Ww064QJIaQ==" spinCount="100000" sqref="I745" name="Rango2_61_29_1"/>
    <protectedRange algorithmName="SHA-512" hashValue="XM8+0Jh5zLWw02PI0Lt8dLqjTcW5ulySion19FAnruDN6QRp4UwcVqdfQxnOQAItgpWG7rNsELzjwy0iXOonxw==" saltValue="Sd4WFUedDfLKoMQTDrxJuQ==" spinCount="100000" sqref="K745" name="Rango2_88_4_4_30_1"/>
    <protectedRange algorithmName="SHA-512" hashValue="EMMPgE8t/az1rHHzaZAQIhz+GQV0k2O/tQGA96sJqEEMzz1efIRa4CcLzC7iY9CCscto3g7dwz41haOE28iXYg==" saltValue="CVzFsG4X4LXUMo7796PiDQ==" spinCount="100000" sqref="L745:M745 J745 D745:H745" name="Rango2_10_1_1_2"/>
    <protectedRange algorithmName="SHA-512" hashValue="EMMPgE8t/az1rHHzaZAQIhz+GQV0k2O/tQGA96sJqEEMzz1efIRa4CcLzC7iY9CCscto3g7dwz41haOE28iXYg==" saltValue="CVzFsG4X4LXUMo7796PiDQ==" spinCount="100000" sqref="B746" name="Rango2_10_39_9"/>
    <protectedRange algorithmName="SHA-512" hashValue="EMMPgE8t/az1rHHzaZAQIhz+GQV0k2O/tQGA96sJqEEMzz1efIRa4CcLzC7iY9CCscto3g7dwz41haOE28iXYg==" saltValue="CVzFsG4X4LXUMo7796PiDQ==" spinCount="100000" sqref="B747" name="Rango2_10_51_4"/>
    <protectedRange algorithmName="SHA-512" hashValue="6a5oYwZw9WJcgjqXpleUXH8uaqNEuymPPpeOb7lKBc1WoM6IG/DNyDLWmj2lYwxnZO2yhl+B61kwrxD9m9AdhQ==" saltValue="tdNQPzLQd+n9Ww064QJIaQ==" spinCount="100000" sqref="I747" name="Rango2_61_29_2"/>
    <protectedRange algorithmName="SHA-512" hashValue="XM8+0Jh5zLWw02PI0Lt8dLqjTcW5ulySion19FAnruDN6QRp4UwcVqdfQxnOQAItgpWG7rNsELzjwy0iXOonxw==" saltValue="Sd4WFUedDfLKoMQTDrxJuQ==" spinCount="100000" sqref="K747" name="Rango2_88_4_4_30_2"/>
    <protectedRange algorithmName="SHA-512" hashValue="EMMPgE8t/az1rHHzaZAQIhz+GQV0k2O/tQGA96sJqEEMzz1efIRa4CcLzC7iY9CCscto3g7dwz41haOE28iXYg==" saltValue="CVzFsG4X4LXUMo7796PiDQ==" spinCount="100000" sqref="L747:M747 J747 D747:H747" name="Rango2_10_1_1_3"/>
    <protectedRange algorithmName="SHA-512" hashValue="EMMPgE8t/az1rHHzaZAQIhz+GQV0k2O/tQGA96sJqEEMzz1efIRa4CcLzC7iY9CCscto3g7dwz41haOE28iXYg==" saltValue="CVzFsG4X4LXUMo7796PiDQ==" spinCount="100000" sqref="B748" name="Rango2_10_51_5"/>
    <protectedRange algorithmName="SHA-512" hashValue="6a5oYwZw9WJcgjqXpleUXH8uaqNEuymPPpeOb7lKBc1WoM6IG/DNyDLWmj2lYwxnZO2yhl+B61kwrxD9m9AdhQ==" saltValue="tdNQPzLQd+n9Ww064QJIaQ==" spinCount="100000" sqref="I748" name="Rango2_61_24_1"/>
    <protectedRange algorithmName="SHA-512" hashValue="XM8+0Jh5zLWw02PI0Lt8dLqjTcW5ulySion19FAnruDN6QRp4UwcVqdfQxnOQAItgpWG7rNsELzjwy0iXOonxw==" saltValue="Sd4WFUedDfLKoMQTDrxJuQ==" spinCount="100000" sqref="K748" name="Rango2_88_4_4_25_1"/>
    <protectedRange algorithmName="SHA-512" hashValue="EMMPgE8t/az1rHHzaZAQIhz+GQV0k2O/tQGA96sJqEEMzz1efIRa4CcLzC7iY9CCscto3g7dwz41haOE28iXYg==" saltValue="CVzFsG4X4LXUMo7796PiDQ==" spinCount="100000" sqref="L748:M748 J748 D748:H748" name="Rango2_10_53_2"/>
    <protectedRange sqref="I749" name="Rango2_61_1_1"/>
    <protectedRange sqref="K749" name="Rango2_88_4_4_1_1"/>
    <protectedRange sqref="L749:M749 J749 D749:H749" name="Rango2_10_1_4"/>
    <protectedRange algorithmName="SHA-512" hashValue="EMMPgE8t/az1rHHzaZAQIhz+GQV0k2O/tQGA96sJqEEMzz1efIRa4CcLzC7iY9CCscto3g7dwz41haOE28iXYg==" saltValue="CVzFsG4X4LXUMo7796PiDQ==" spinCount="100000" sqref="B749" name="Rango2_10_51_6"/>
    <protectedRange sqref="I750:I752" name="Rango2_61_1_2"/>
    <protectedRange sqref="K750:K752" name="Rango2_88_4_4_1_2"/>
    <protectedRange sqref="L750:M752 J750:J752 D750:H752" name="Rango2_10_1_5"/>
    <protectedRange algorithmName="SHA-512" hashValue="EMMPgE8t/az1rHHzaZAQIhz+GQV0k2O/tQGA96sJqEEMzz1efIRa4CcLzC7iY9CCscto3g7dwz41haOE28iXYg==" saltValue="CVzFsG4X4LXUMo7796PiDQ==" spinCount="100000" sqref="B751:B752" name="Rango2_10_39_10"/>
    <protectedRange algorithmName="SHA-512" hashValue="EMMPgE8t/az1rHHzaZAQIhz+GQV0k2O/tQGA96sJqEEMzz1efIRa4CcLzC7iY9CCscto3g7dwz41haOE28iXYg==" saltValue="CVzFsG4X4LXUMo7796PiDQ==" spinCount="100000" sqref="B750" name="Rango2_10_51_7"/>
    <protectedRange algorithmName="SHA-512" hashValue="EMMPgE8t/az1rHHzaZAQIhz+GQV0k2O/tQGA96sJqEEMzz1efIRa4CcLzC7iY9CCscto3g7dwz41haOE28iXYg==" saltValue="CVzFsG4X4LXUMo7796PiDQ==" spinCount="100000" sqref="B753" name="Rango2_10_39_11"/>
    <protectedRange sqref="I755" name="Rango2_61_1_3"/>
    <protectedRange sqref="K755" name="Rango2_88_4_4_1_3"/>
    <protectedRange sqref="D755:H755 J755 L755:M755" name="Rango2_10_1_6"/>
    <protectedRange algorithmName="SHA-512" hashValue="EMMPgE8t/az1rHHzaZAQIhz+GQV0k2O/tQGA96sJqEEMzz1efIRa4CcLzC7iY9CCscto3g7dwz41haOE28iXYg==" saltValue="CVzFsG4X4LXUMo7796PiDQ==" spinCount="100000" sqref="B755" name="Rango2_10_51_8"/>
    <protectedRange algorithmName="SHA-512" hashValue="RQ91b7oAw60DVtcgB2vRpial2kSdzJx5guGCTYUwXYkKrtrUHfiYnLf9R+SNpYXlJDYpyEJLhcWwP0EqNN86dQ==" saltValue="W3RbH3zrcY9sy39xNwXNxg==" spinCount="100000" sqref="BA738:BI738 BV738:BY738" name="Rango2_88_99_71_1"/>
    <protectedRange algorithmName="SHA-512" hashValue="fMbmUM1DQ7FuAPRNvFL5mPdHUYjQnlLFhkuaxvHguaqR7aWyDxcmJs0jLYQfQKY+oyhsMb4Lew4VL6i7um3/ew==" saltValue="ydaTm0CeH8+/cYqoL/AMaQ==" spinCount="100000" sqref="AU738 AW738:AZ738" name="Rango2_88_91_70_1"/>
    <protectedRange algorithmName="SHA-512" hashValue="CHipOQaT63FWw628cQcXXJRZlrbNZ7OgmnEbDx38UmmH7z19GRYEzXFiVOzHAy1OAaAbST7g2bHZHDKQp2qm3w==" saltValue="iRVuL+373yLHv0ZHzS9qog==" spinCount="100000" sqref="AG738:AH738 AJ738 AL738" name="Rango2_88_7_5_75_1"/>
    <protectedRange algorithmName="SHA-512" hashValue="NkG6oHuDGvGBEiLAAq8MEJHEfLQUMyjihfH+DBXhT+eQW0r1yri7tOJEFRM9nbOejjjXiviq9RFo7KB7wF+xJA==" saltValue="bpjB0AAANu2X/PeR3eiFkA==" spinCount="100000" sqref="AM738:AS738" name="Rango2_88_65_70_1"/>
    <protectedRange algorithmName="SHA-512" hashValue="fPHvtIAf3pQeZUoAI9C2/vdXMHBpqqEq+67P5Ypyu4+9IWqs3yc9TZcMWQ0THLxUwqseQPyVvakuYFtCwJHsxA==" saltValue="QHIogSs2PrwAfdqa9PAOFQ==" spinCount="100000" sqref="AC738" name="Rango2_88_5_5_19_1"/>
    <protectedRange algorithmName="SHA-512" hashValue="LEEeiU6pKqm7TAP46VGlz0q+evvFwpT/0iLpRuWuQ7MacbP0OGL1/FSmrIEOg2rb6M+Jla2bPbVWiGag27j87w==" saltValue="HEVt+pS5OloNDlqSnzGLLw==" spinCount="100000" sqref="AI738" name="Rango2_8_7_69_1"/>
    <protectedRange algorithmName="SHA-512" hashValue="q2z5hEFmXS0v2chiPTC/VCoDWNlnhp+Xe6Ybfxe48vIsnB/KTJQxJv+pFUnCXfZ9T6vyJopuqFFNROfQTW/JUw==" saltValue="IctfdGJb5tOTpq+KPi9vww==" spinCount="100000" sqref="AE738:AF738" name="Rango2_88_39_76_1"/>
    <protectedRange algorithmName="SHA-512" hashValue="AYYX88LSDB6RDNMvSqt0KPGWPjBqTk56tMxTOlv5QD61MGTKAAQnSnudvNDWPN0Bbllh2qRQC+P5uq7goxjdrw==" saltValue="i/iPMewnks1FoXYOjKMEVg==" spinCount="100000" sqref="AB738" name="Rango2_87_6_19_1"/>
    <protectedRange algorithmName="SHA-512" hashValue="NUll9P9xh7KbSfMYpMxsRZLfDw/y/AzW2LSWlpXVscBDqiAxmzo71xjs+a2lh+jRa7pceOC849slke4+ZKx8LA==" saltValue="8qbkKpQ+CiQuLnqgShNvXA==" spinCount="100000" sqref="T738" name="Rango2_88_6_20_1"/>
    <protectedRange algorithmName="SHA-512" hashValue="KHhv3JU/LRdRrRTxxkgFceEHPZ5UzadmpZRZR3zmQRnPvkUJZuanRafIJ+qde0IWwLZSvFIQDyUAHq6v6k7XIg==" saltValue="2GKG1kCzVNNcn+vbOPuhJA==" spinCount="100000" sqref="Q738" name="Rango2_2_5_15_1"/>
    <protectedRange algorithmName="SHA-512" hashValue="9+DNppQbWrLYYUMoJ+lyQctV2bX3Vq9kZnegLbpjTLP49It2ovUbcartuoQTeXgP+TGpY//7mDH/UQlFCKDGiA==" saltValue="KUnni6YEm00anzSSvyLqQA==" spinCount="100000" sqref="AD738" name="Rango2_48_1"/>
    <protectedRange algorithmName="SHA-512" hashValue="RQ91b7oAw60DVtcgB2vRpial2kSdzJx5guGCTYUwXYkKrtrUHfiYnLf9R+SNpYXlJDYpyEJLhcWwP0EqNN86dQ==" saltValue="W3RbH3zrcY9sy39xNwXNxg==" spinCount="100000" sqref="BA739:BI739" name="Rango2_88_99_18_2"/>
    <protectedRange algorithmName="SHA-512" hashValue="fMbmUM1DQ7FuAPRNvFL5mPdHUYjQnlLFhkuaxvHguaqR7aWyDxcmJs0jLYQfQKY+oyhsMb4Lew4VL6i7um3/ew==" saltValue="ydaTm0CeH8+/cYqoL/AMaQ==" spinCount="100000" sqref="AW739:AZ739" name="Rango2_88_91_18_1"/>
    <protectedRange algorithmName="SHA-512" hashValue="CHipOQaT63FWw628cQcXXJRZlrbNZ7OgmnEbDx38UmmH7z19GRYEzXFiVOzHAy1OAaAbST7g2bHZHDKQp2qm3w==" saltValue="iRVuL+373yLHv0ZHzS9qog==" spinCount="100000" sqref="AJ739 AG739:AH739 AL739" name="Rango2_88_7_5_19_3"/>
    <protectedRange algorithmName="SHA-512" hashValue="NkG6oHuDGvGBEiLAAq8MEJHEfLQUMyjihfH+DBXhT+eQW0r1yri7tOJEFRM9nbOejjjXiviq9RFo7KB7wF+xJA==" saltValue="bpjB0AAANu2X/PeR3eiFkA==" spinCount="100000" sqref="AM739:AQ739" name="Rango2_88_65_18_1"/>
    <protectedRange algorithmName="SHA-512" hashValue="LEEeiU6pKqm7TAP46VGlz0q+evvFwpT/0iLpRuWuQ7MacbP0OGL1/FSmrIEOg2rb6M+Jla2bPbVWiGag27j87w==" saltValue="HEVt+pS5OloNDlqSnzGLLw==" spinCount="100000" sqref="AI739" name="Rango2_8_7_18_1"/>
    <protectedRange algorithmName="SHA-512" hashValue="q2z5hEFmXS0v2chiPTC/VCoDWNlnhp+Xe6Ybfxe48vIsnB/KTJQxJv+pFUnCXfZ9T6vyJopuqFFNROfQTW/JUw==" saltValue="IctfdGJb5tOTpq+KPi9vww==" spinCount="100000" sqref="AE739:AF739" name="Rango2_88_39_20_1"/>
    <protectedRange algorithmName="SHA-512" hashValue="RQ91b7oAw60DVtcgB2vRpial2kSdzJx5guGCTYUwXYkKrtrUHfiYnLf9R+SNpYXlJDYpyEJLhcWwP0EqNN86dQ==" saltValue="W3RbH3zrcY9sy39xNwXNxg==" spinCount="100000" sqref="BA742:BI742" name="Rango2_88_99_56_1"/>
    <protectedRange algorithmName="SHA-512" hashValue="fMbmUM1DQ7FuAPRNvFL5mPdHUYjQnlLFhkuaxvHguaqR7aWyDxcmJs0jLYQfQKY+oyhsMb4Lew4VL6i7um3/ew==" saltValue="ydaTm0CeH8+/cYqoL/AMaQ==" spinCount="100000" sqref="AW742:AZ742" name="Rango2_88_91_56_1"/>
    <protectedRange algorithmName="SHA-512" hashValue="CHipOQaT63FWw628cQcXXJRZlrbNZ7OgmnEbDx38UmmH7z19GRYEzXFiVOzHAy1OAaAbST7g2bHZHDKQp2qm3w==" saltValue="iRVuL+373yLHv0ZHzS9qog==" spinCount="100000" sqref="AJ742 AG742:AH742 AL742" name="Rango2_88_7_5_57_1"/>
    <protectedRange algorithmName="SHA-512" hashValue="NkG6oHuDGvGBEiLAAq8MEJHEfLQUMyjihfH+DBXhT+eQW0r1yri7tOJEFRM9nbOejjjXiviq9RFo7KB7wF+xJA==" saltValue="bpjB0AAANu2X/PeR3eiFkA==" spinCount="100000" sqref="AM742:AQ742" name="Rango2_88_65_56_1"/>
    <protectedRange algorithmName="SHA-512" hashValue="LEEeiU6pKqm7TAP46VGlz0q+evvFwpT/0iLpRuWuQ7MacbP0OGL1/FSmrIEOg2rb6M+Jla2bPbVWiGag27j87w==" saltValue="HEVt+pS5OloNDlqSnzGLLw==" spinCount="100000" sqref="AI742" name="Rango2_8_7_56_1"/>
    <protectedRange algorithmName="SHA-512" hashValue="q2z5hEFmXS0v2chiPTC/VCoDWNlnhp+Xe6Ybfxe48vIsnB/KTJQxJv+pFUnCXfZ9T6vyJopuqFFNROfQTW/JUw==" saltValue="IctfdGJb5tOTpq+KPi9vww==" spinCount="100000" sqref="AE742:AF742" name="Rango2_88_39_70_1"/>
    <protectedRange algorithmName="SHA-512" hashValue="RQ91b7oAw60DVtcgB2vRpial2kSdzJx5guGCTYUwXYkKrtrUHfiYnLf9R+SNpYXlJDYpyEJLhcWwP0EqNN86dQ==" saltValue="W3RbH3zrcY9sy39xNwXNxg==" spinCount="100000" sqref="BA743:BI743 BV743:BY743" name="Rango2_88_99_68_1"/>
    <protectedRange algorithmName="SHA-512" hashValue="fMbmUM1DQ7FuAPRNvFL5mPdHUYjQnlLFhkuaxvHguaqR7aWyDxcmJs0jLYQfQKY+oyhsMb4Lew4VL6i7um3/ew==" saltValue="ydaTm0CeH8+/cYqoL/AMaQ==" spinCount="100000" sqref="AU743 AW743:AZ743" name="Rango2_88_91_67_1"/>
    <protectedRange algorithmName="SHA-512" hashValue="CHipOQaT63FWw628cQcXXJRZlrbNZ7OgmnEbDx38UmmH7z19GRYEzXFiVOzHAy1OAaAbST7g2bHZHDKQp2qm3w==" saltValue="iRVuL+373yLHv0ZHzS9qog==" spinCount="100000" sqref="AG743:AH743 AJ743 AL743" name="Rango2_88_7_5_72_1"/>
    <protectedRange algorithmName="SHA-512" hashValue="NkG6oHuDGvGBEiLAAq8MEJHEfLQUMyjihfH+DBXhT+eQW0r1yri7tOJEFRM9nbOejjjXiviq9RFo7KB7wF+xJA==" saltValue="bpjB0AAANu2X/PeR3eiFkA==" spinCount="100000" sqref="AM743:AS743" name="Rango2_88_65_67_1"/>
    <protectedRange algorithmName="SHA-512" hashValue="fPHvtIAf3pQeZUoAI9C2/vdXMHBpqqEq+67P5Ypyu4+9IWqs3yc9TZcMWQ0THLxUwqseQPyVvakuYFtCwJHsxA==" saltValue="QHIogSs2PrwAfdqa9PAOFQ==" spinCount="100000" sqref="AC743" name="Rango2_88_5_5_13_1"/>
    <protectedRange algorithmName="SHA-512" hashValue="LEEeiU6pKqm7TAP46VGlz0q+evvFwpT/0iLpRuWuQ7MacbP0OGL1/FSmrIEOg2rb6M+Jla2bPbVWiGag27j87w==" saltValue="HEVt+pS5OloNDlqSnzGLLw==" spinCount="100000" sqref="AI743" name="Rango2_8_7_66_1"/>
    <protectedRange algorithmName="SHA-512" hashValue="q2z5hEFmXS0v2chiPTC/VCoDWNlnhp+Xe6Ybfxe48vIsnB/KTJQxJv+pFUnCXfZ9T6vyJopuqFFNROfQTW/JUw==" saltValue="IctfdGJb5tOTpq+KPi9vww==" spinCount="100000" sqref="AE743:AF743" name="Rango2_88_39_73_1"/>
    <protectedRange algorithmName="SHA-512" hashValue="AYYX88LSDB6RDNMvSqt0KPGWPjBqTk56tMxTOlv5QD61MGTKAAQnSnudvNDWPN0Bbllh2qRQC+P5uq7goxjdrw==" saltValue="i/iPMewnks1FoXYOjKMEVg==" spinCount="100000" sqref="AB743" name="Rango2_87_6_13_1"/>
    <protectedRange algorithmName="SHA-512" hashValue="NUll9P9xh7KbSfMYpMxsRZLfDw/y/AzW2LSWlpXVscBDqiAxmzo71xjs+a2lh+jRa7pceOC849slke4+ZKx8LA==" saltValue="8qbkKpQ+CiQuLnqgShNvXA==" spinCount="100000" sqref="T743" name="Rango2_88_6_14_2"/>
    <protectedRange algorithmName="SHA-512" hashValue="KHhv3JU/LRdRrRTxxkgFceEHPZ5UzadmpZRZR3zmQRnPvkUJZuanRafIJ+qde0IWwLZSvFIQDyUAHq6v6k7XIg==" saltValue="2GKG1kCzVNNcn+vbOPuhJA==" spinCount="100000" sqref="Q743" name="Rango2_2_5_9_6"/>
    <protectedRange algorithmName="SHA-512" hashValue="RQ91b7oAw60DVtcgB2vRpial2kSdzJx5guGCTYUwXYkKrtrUHfiYnLf9R+SNpYXlJDYpyEJLhcWwP0EqNN86dQ==" saltValue="W3RbH3zrcY9sy39xNwXNxg==" spinCount="100000" sqref="BA744:BI744 BV744:BY744" name="Rango2_88_99_68_2"/>
    <protectedRange algorithmName="SHA-512" hashValue="fMbmUM1DQ7FuAPRNvFL5mPdHUYjQnlLFhkuaxvHguaqR7aWyDxcmJs0jLYQfQKY+oyhsMb4Lew4VL6i7um3/ew==" saltValue="ydaTm0CeH8+/cYqoL/AMaQ==" spinCount="100000" sqref="AU744 AW744:AZ744" name="Rango2_88_91_67_2"/>
    <protectedRange algorithmName="SHA-512" hashValue="CHipOQaT63FWw628cQcXXJRZlrbNZ7OgmnEbDx38UmmH7z19GRYEzXFiVOzHAy1OAaAbST7g2bHZHDKQp2qm3w==" saltValue="iRVuL+373yLHv0ZHzS9qog==" spinCount="100000" sqref="AG744:AH744 AJ744 AL744" name="Rango2_88_7_5_72_2"/>
    <protectedRange algorithmName="SHA-512" hashValue="NkG6oHuDGvGBEiLAAq8MEJHEfLQUMyjihfH+DBXhT+eQW0r1yri7tOJEFRM9nbOejjjXiviq9RFo7KB7wF+xJA==" saltValue="bpjB0AAANu2X/PeR3eiFkA==" spinCount="100000" sqref="AM744:AS744" name="Rango2_88_65_67_2"/>
    <protectedRange algorithmName="SHA-512" hashValue="fPHvtIAf3pQeZUoAI9C2/vdXMHBpqqEq+67P5Ypyu4+9IWqs3yc9TZcMWQ0THLxUwqseQPyVvakuYFtCwJHsxA==" saltValue="QHIogSs2PrwAfdqa9PAOFQ==" spinCount="100000" sqref="AC744" name="Rango2_88_5_5_13_2"/>
    <protectedRange algorithmName="SHA-512" hashValue="LEEeiU6pKqm7TAP46VGlz0q+evvFwpT/0iLpRuWuQ7MacbP0OGL1/FSmrIEOg2rb6M+Jla2bPbVWiGag27j87w==" saltValue="HEVt+pS5OloNDlqSnzGLLw==" spinCount="100000" sqref="AI744" name="Rango2_8_7_66_2"/>
    <protectedRange algorithmName="SHA-512" hashValue="q2z5hEFmXS0v2chiPTC/VCoDWNlnhp+Xe6Ybfxe48vIsnB/KTJQxJv+pFUnCXfZ9T6vyJopuqFFNROfQTW/JUw==" saltValue="IctfdGJb5tOTpq+KPi9vww==" spinCount="100000" sqref="AE744:AF744" name="Rango2_88_39_73_2"/>
    <protectedRange algorithmName="SHA-512" hashValue="AYYX88LSDB6RDNMvSqt0KPGWPjBqTk56tMxTOlv5QD61MGTKAAQnSnudvNDWPN0Bbllh2qRQC+P5uq7goxjdrw==" saltValue="i/iPMewnks1FoXYOjKMEVg==" spinCount="100000" sqref="AB744" name="Rango2_87_6_13_2"/>
    <protectedRange algorithmName="SHA-512" hashValue="NUll9P9xh7KbSfMYpMxsRZLfDw/y/AzW2LSWlpXVscBDqiAxmzo71xjs+a2lh+jRa7pceOC849slke4+ZKx8LA==" saltValue="8qbkKpQ+CiQuLnqgShNvXA==" spinCount="100000" sqref="T744" name="Rango2_88_6_14_3"/>
    <protectedRange algorithmName="SHA-512" hashValue="KHhv3JU/LRdRrRTxxkgFceEHPZ5UzadmpZRZR3zmQRnPvkUJZuanRafIJ+qde0IWwLZSvFIQDyUAHq6v6k7XIg==" saltValue="2GKG1kCzVNNcn+vbOPuhJA==" spinCount="100000" sqref="Q744" name="Rango2_2_5_9_7"/>
    <protectedRange algorithmName="SHA-512" hashValue="XZw03RosI/l0z9FxmTtF29EdZ7P+4+ybhqoaAAUmURojSR5XbGfjC4f2i8gMqfY+RI9JvfdCA6PSh9TduXfUxA==" saltValue="5TPtLq2WoiRSae/yaDPnTw==" spinCount="100000" sqref="O745" name="Rango2_99_9_3"/>
    <protectedRange algorithmName="SHA-512" hashValue="CHipOQaT63FWw628cQcXXJRZlrbNZ7OgmnEbDx38UmmH7z19GRYEzXFiVOzHAy1OAaAbST7g2bHZHDKQp2qm3w==" saltValue="iRVuL+373yLHv0ZHzS9qog==" spinCount="100000" sqref="AJ745 AG745:AH745" name="Rango2_88_7_5_16_4"/>
    <protectedRange algorithmName="SHA-512" hashValue="fPHvtIAf3pQeZUoAI9C2/vdXMHBpqqEq+67P5Ypyu4+9IWqs3yc9TZcMWQ0THLxUwqseQPyVvakuYFtCwJHsxA==" saltValue="QHIogSs2PrwAfdqa9PAOFQ==" spinCount="100000" sqref="AC745" name="Rango2_88_5_5_29_1"/>
    <protectedRange algorithmName="SHA-512" hashValue="LEEeiU6pKqm7TAP46VGlz0q+evvFwpT/0iLpRuWuQ7MacbP0OGL1/FSmrIEOg2rb6M+Jla2bPbVWiGag27j87w==" saltValue="HEVt+pS5OloNDlqSnzGLLw==" spinCount="100000" sqref="AI745" name="Rango2_8_7_15_1"/>
    <protectedRange algorithmName="SHA-512" hashValue="q2z5hEFmXS0v2chiPTC/VCoDWNlnhp+Xe6Ybfxe48vIsnB/KTJQxJv+pFUnCXfZ9T6vyJopuqFFNROfQTW/JUw==" saltValue="IctfdGJb5tOTpq+KPi9vww==" spinCount="100000" sqref="AE745:AF745" name="Rango2_88_39_17_7"/>
    <protectedRange algorithmName="SHA-512" hashValue="AYYX88LSDB6RDNMvSqt0KPGWPjBqTk56tMxTOlv5QD61MGTKAAQnSnudvNDWPN0Bbllh2qRQC+P5uq7goxjdrw==" saltValue="i/iPMewnks1FoXYOjKMEVg==" spinCount="100000" sqref="AB745" name="Rango2_87_6_30_1"/>
    <protectedRange algorithmName="SHA-512" hashValue="NUll9P9xh7KbSfMYpMxsRZLfDw/y/AzW2LSWlpXVscBDqiAxmzo71xjs+a2lh+jRa7pceOC849slke4+ZKx8LA==" saltValue="8qbkKpQ+CiQuLnqgShNvXA==" spinCount="100000" sqref="T745" name="Rango2_88_6_30_1"/>
    <protectedRange algorithmName="SHA-512" hashValue="KHhv3JU/LRdRrRTxxkgFceEHPZ5UzadmpZRZR3zmQRnPvkUJZuanRafIJ+qde0IWwLZSvFIQDyUAHq6v6k7XIg==" saltValue="2GKG1kCzVNNcn+vbOPuhJA==" spinCount="100000" sqref="Q745" name="Rango2_2_5_25_1"/>
    <protectedRange algorithmName="SHA-512" hashValue="XZw03RosI/l0z9FxmTtF29EdZ7P+4+ybhqoaAAUmURojSR5XbGfjC4f2i8gMqfY+RI9JvfdCA6PSh9TduXfUxA==" saltValue="5TPtLq2WoiRSae/yaDPnTw==" spinCount="100000" sqref="U745:AA745 R745:S745" name="Rango2_99_9_1_1"/>
    <protectedRange algorithmName="SHA-512" hashValue="9+DNppQbWrLYYUMoJ+lyQctV2bX3Vq9kZnegLbpjTLP49It2ovUbcartuoQTeXgP+TGpY//7mDH/UQlFCKDGiA==" saltValue="KUnni6YEm00anzSSvyLqQA==" spinCount="100000" sqref="AD745" name="Rango2_45_6"/>
    <protectedRange algorithmName="SHA-512" hashValue="RQ91b7oAw60DVtcgB2vRpial2kSdzJx5guGCTYUwXYkKrtrUHfiYnLf9R+SNpYXlJDYpyEJLhcWwP0EqNN86dQ==" saltValue="W3RbH3zrcY9sy39xNwXNxg==" spinCount="100000" sqref="BA745:BI745" name="Rango2_88_99_15_1"/>
    <protectedRange algorithmName="SHA-512" hashValue="fMbmUM1DQ7FuAPRNvFL5mPdHUYjQnlLFhkuaxvHguaqR7aWyDxcmJs0jLYQfQKY+oyhsMb4Lew4VL6i7um3/ew==" saltValue="ydaTm0CeH8+/cYqoL/AMaQ==" spinCount="100000" sqref="AW745:AZ745 AU745" name="Rango2_88_91_15_1"/>
    <protectedRange algorithmName="SHA-512" hashValue="CHipOQaT63FWw628cQcXXJRZlrbNZ7OgmnEbDx38UmmH7z19GRYEzXFiVOzHAy1OAaAbST7g2bHZHDKQp2qm3w==" saltValue="iRVuL+373yLHv0ZHzS9qog==" spinCount="100000" sqref="AL745" name="Rango2_88_7_5_16_1_1"/>
    <protectedRange algorithmName="SHA-512" hashValue="NkG6oHuDGvGBEiLAAq8MEJHEfLQUMyjihfH+DBXhT+eQW0r1yri7tOJEFRM9nbOejjjXiviq9RFo7KB7wF+xJA==" saltValue="bpjB0AAANu2X/PeR3eiFkA==" spinCount="100000" sqref="AM745:AS745" name="Rango2_88_65_15_1"/>
    <protectedRange algorithmName="SHA-512" hashValue="XZw03RosI/l0z9FxmTtF29EdZ7P+4+ybhqoaAAUmURojSR5XbGfjC4f2i8gMqfY+RI9JvfdCA6PSh9TduXfUxA==" saltValue="5TPtLq2WoiRSae/yaDPnTw==" spinCount="100000" sqref="BJ745:BK745 AV745 AT745" name="Rango2_99_9_2_1"/>
    <protectedRange algorithmName="SHA-512" hashValue="RQ91b7oAw60DVtcgB2vRpial2kSdzJx5guGCTYUwXYkKrtrUHfiYnLf9R+SNpYXlJDYpyEJLhcWwP0EqNN86dQ==" saltValue="W3RbH3zrcY9sy39xNwXNxg==" spinCount="100000" sqref="BV745:BY745" name="Rango2_88_99_15_1_1"/>
    <protectedRange algorithmName="SHA-512" hashValue="XZw03RosI/l0z9FxmTtF29EdZ7P+4+ybhqoaAAUmURojSR5XbGfjC4f2i8gMqfY+RI9JvfdCA6PSh9TduXfUxA==" saltValue="5TPtLq2WoiRSae/yaDPnTw==" spinCount="100000" sqref="BZ745:CB745 BR745:BU745" name="Rango2_99_9_3_1"/>
    <protectedRange algorithmName="SHA-512" hashValue="XZw03RosI/l0z9FxmTtF29EdZ7P+4+ybhqoaAAUmURojSR5XbGfjC4f2i8gMqfY+RI9JvfdCA6PSh9TduXfUxA==" saltValue="5TPtLq2WoiRSae/yaDPnTw==" spinCount="100000" sqref="CE745:CF745" name="Rango2_99_9_4"/>
    <protectedRange algorithmName="SHA-512" hashValue="XZw03RosI/l0z9FxmTtF29EdZ7P+4+ybhqoaAAUmURojSR5XbGfjC4f2i8gMqfY+RI9JvfdCA6PSh9TduXfUxA==" saltValue="5TPtLq2WoiRSae/yaDPnTw==" spinCount="100000" sqref="CJ745:CK745" name="Rango2_99_9_5"/>
    <protectedRange algorithmName="SHA-512" hashValue="XZw03RosI/l0z9FxmTtF29EdZ7P+4+ybhqoaAAUmURojSR5XbGfjC4f2i8gMqfY+RI9JvfdCA6PSh9TduXfUxA==" saltValue="5TPtLq2WoiRSae/yaDPnTw==" spinCount="100000" sqref="CP745:CQ745" name="Rango2_99_9_6"/>
    <protectedRange algorithmName="SHA-512" hashValue="XZw03RosI/l0z9FxmTtF29EdZ7P+4+ybhqoaAAUmURojSR5XbGfjC4f2i8gMqfY+RI9JvfdCA6PSh9TduXfUxA==" saltValue="5TPtLq2WoiRSae/yaDPnTw==" spinCount="100000" sqref="CS745:CT745" name="Rango2_99_9_7"/>
    <protectedRange algorithmName="SHA-512" hashValue="XZw03RosI/l0z9FxmTtF29EdZ7P+4+ybhqoaAAUmURojSR5XbGfjC4f2i8gMqfY+RI9JvfdCA6PSh9TduXfUxA==" saltValue="5TPtLq2WoiRSae/yaDPnTw==" spinCount="100000" sqref="CV745:CY745" name="Rango2_99_9_8"/>
    <protectedRange algorithmName="SHA-512" hashValue="XZw03RosI/l0z9FxmTtF29EdZ7P+4+ybhqoaAAUmURojSR5XbGfjC4f2i8gMqfY+RI9JvfdCA6PSh9TduXfUxA==" saltValue="5TPtLq2WoiRSae/yaDPnTw==" spinCount="100000" sqref="DA745:DL745" name="Rango2_99_9_9"/>
    <protectedRange algorithmName="SHA-512" hashValue="XZw03RosI/l0z9FxmTtF29EdZ7P+4+ybhqoaAAUmURojSR5XbGfjC4f2i8gMqfY+RI9JvfdCA6PSh9TduXfUxA==" saltValue="5TPtLq2WoiRSae/yaDPnTw==" spinCount="100000" sqref="CK746" name="Rango2_99_9_5_1"/>
    <protectedRange algorithmName="SHA-512" hashValue="XZw03RosI/l0z9FxmTtF29EdZ7P+4+ybhqoaAAUmURojSR5XbGfjC4f2i8gMqfY+RI9JvfdCA6PSh9TduXfUxA==" saltValue="5TPtLq2WoiRSae/yaDPnTw==" spinCount="100000" sqref="DF746:DL746" name="Rango2_99_9_9_1"/>
    <protectedRange algorithmName="SHA-512" hashValue="RQ91b7oAw60DVtcgB2vRpial2kSdzJx5guGCTYUwXYkKrtrUHfiYnLf9R+SNpYXlJDYpyEJLhcWwP0EqNN86dQ==" saltValue="W3RbH3zrcY9sy39xNwXNxg==" spinCount="100000" sqref="BA746:BI746" name="Rango2_88_99_70_1"/>
    <protectedRange algorithmName="SHA-512" hashValue="fMbmUM1DQ7FuAPRNvFL5mPdHUYjQnlLFhkuaxvHguaqR7aWyDxcmJs0jLYQfQKY+oyhsMb4Lew4VL6i7um3/ew==" saltValue="ydaTm0CeH8+/cYqoL/AMaQ==" spinCount="100000" sqref="AW746:AZ746" name="Rango2_88_91_69_1"/>
    <protectedRange algorithmName="SHA-512" hashValue="CHipOQaT63FWw628cQcXXJRZlrbNZ7OgmnEbDx38UmmH7z19GRYEzXFiVOzHAy1OAaAbST7g2bHZHDKQp2qm3w==" saltValue="iRVuL+373yLHv0ZHzS9qog==" spinCount="100000" sqref="AG746:AH746 AL746" name="Rango2_88_7_5_74_1"/>
    <protectedRange algorithmName="SHA-512" hashValue="NkG6oHuDGvGBEiLAAq8MEJHEfLQUMyjihfH+DBXhT+eQW0r1yri7tOJEFRM9nbOejjjXiviq9RFo7KB7wF+xJA==" saltValue="bpjB0AAANu2X/PeR3eiFkA==" spinCount="100000" sqref="AM746:AQ746" name="Rango2_88_65_69_1"/>
    <protectedRange algorithmName="SHA-512" hashValue="LEEeiU6pKqm7TAP46VGlz0q+evvFwpT/0iLpRuWuQ7MacbP0OGL1/FSmrIEOg2rb6M+Jla2bPbVWiGag27j87w==" saltValue="HEVt+pS5OloNDlqSnzGLLw==" spinCount="100000" sqref="AI746" name="Rango2_8_7_68_1"/>
    <protectedRange algorithmName="SHA-512" hashValue="q2z5hEFmXS0v2chiPTC/VCoDWNlnhp+Xe6Ybfxe48vIsnB/KTJQxJv+pFUnCXfZ9T6vyJopuqFFNROfQTW/JUw==" saltValue="IctfdGJb5tOTpq+KPi9vww==" spinCount="100000" sqref="AE746:AF746" name="Rango2_88_39_75_1"/>
    <protectedRange algorithmName="SHA-512" hashValue="XZw03RosI/l0z9FxmTtF29EdZ7P+4+ybhqoaAAUmURojSR5XbGfjC4f2i8gMqfY+RI9JvfdCA6PSh9TduXfUxA==" saltValue="5TPtLq2WoiRSae/yaDPnTw==" spinCount="100000" sqref="O747" name="Rango2_99_9_10"/>
    <protectedRange algorithmName="SHA-512" hashValue="CHipOQaT63FWw628cQcXXJRZlrbNZ7OgmnEbDx38UmmH7z19GRYEzXFiVOzHAy1OAaAbST7g2bHZHDKQp2qm3w==" saltValue="iRVuL+373yLHv0ZHzS9qog==" spinCount="100000" sqref="AJ747 AG747:AH747" name="Rango2_88_7_5_16_5"/>
    <protectedRange algorithmName="SHA-512" hashValue="fPHvtIAf3pQeZUoAI9C2/vdXMHBpqqEq+67P5Ypyu4+9IWqs3yc9TZcMWQ0THLxUwqseQPyVvakuYFtCwJHsxA==" saltValue="QHIogSs2PrwAfdqa9PAOFQ==" spinCount="100000" sqref="AC747" name="Rango2_88_5_5_29_2"/>
    <protectedRange algorithmName="SHA-512" hashValue="LEEeiU6pKqm7TAP46VGlz0q+evvFwpT/0iLpRuWuQ7MacbP0OGL1/FSmrIEOg2rb6M+Jla2bPbVWiGag27j87w==" saltValue="HEVt+pS5OloNDlqSnzGLLw==" spinCount="100000" sqref="AI747" name="Rango2_8_7_15_2"/>
    <protectedRange algorithmName="SHA-512" hashValue="q2z5hEFmXS0v2chiPTC/VCoDWNlnhp+Xe6Ybfxe48vIsnB/KTJQxJv+pFUnCXfZ9T6vyJopuqFFNROfQTW/JUw==" saltValue="IctfdGJb5tOTpq+KPi9vww==" spinCount="100000" sqref="AE747:AF747" name="Rango2_88_39_17_8"/>
    <protectedRange algorithmName="SHA-512" hashValue="AYYX88LSDB6RDNMvSqt0KPGWPjBqTk56tMxTOlv5QD61MGTKAAQnSnudvNDWPN0Bbllh2qRQC+P5uq7goxjdrw==" saltValue="i/iPMewnks1FoXYOjKMEVg==" spinCount="100000" sqref="AB747" name="Rango2_87_6_30_2"/>
    <protectedRange algorithmName="SHA-512" hashValue="NUll9P9xh7KbSfMYpMxsRZLfDw/y/AzW2LSWlpXVscBDqiAxmzo71xjs+a2lh+jRa7pceOC849slke4+ZKx8LA==" saltValue="8qbkKpQ+CiQuLnqgShNvXA==" spinCount="100000" sqref="T747" name="Rango2_88_6_30_2"/>
    <protectedRange algorithmName="SHA-512" hashValue="KHhv3JU/LRdRrRTxxkgFceEHPZ5UzadmpZRZR3zmQRnPvkUJZuanRafIJ+qde0IWwLZSvFIQDyUAHq6v6k7XIg==" saltValue="2GKG1kCzVNNcn+vbOPuhJA==" spinCount="100000" sqref="Q747" name="Rango2_2_5_25_2"/>
    <protectedRange algorithmName="SHA-512" hashValue="XZw03RosI/l0z9FxmTtF29EdZ7P+4+ybhqoaAAUmURojSR5XbGfjC4f2i8gMqfY+RI9JvfdCA6PSh9TduXfUxA==" saltValue="5TPtLq2WoiRSae/yaDPnTw==" spinCount="100000" sqref="U747:AA747 R747:S747" name="Rango2_99_9_1_2"/>
    <protectedRange algorithmName="SHA-512" hashValue="9+DNppQbWrLYYUMoJ+lyQctV2bX3Vq9kZnegLbpjTLP49It2ovUbcartuoQTeXgP+TGpY//7mDH/UQlFCKDGiA==" saltValue="KUnni6YEm00anzSSvyLqQA==" spinCount="100000" sqref="AD747" name="Rango2_45_7"/>
    <protectedRange algorithmName="SHA-512" hashValue="RQ91b7oAw60DVtcgB2vRpial2kSdzJx5guGCTYUwXYkKrtrUHfiYnLf9R+SNpYXlJDYpyEJLhcWwP0EqNN86dQ==" saltValue="W3RbH3zrcY9sy39xNwXNxg==" spinCount="100000" sqref="BA747:BI747" name="Rango2_88_99_15_2"/>
    <protectedRange algorithmName="SHA-512" hashValue="fMbmUM1DQ7FuAPRNvFL5mPdHUYjQnlLFhkuaxvHguaqR7aWyDxcmJs0jLYQfQKY+oyhsMb4Lew4VL6i7um3/ew==" saltValue="ydaTm0CeH8+/cYqoL/AMaQ==" spinCount="100000" sqref="AW747:AZ747 AU747" name="Rango2_88_91_15_2"/>
    <protectedRange algorithmName="SHA-512" hashValue="CHipOQaT63FWw628cQcXXJRZlrbNZ7OgmnEbDx38UmmH7z19GRYEzXFiVOzHAy1OAaAbST7g2bHZHDKQp2qm3w==" saltValue="iRVuL+373yLHv0ZHzS9qog==" spinCount="100000" sqref="AL747" name="Rango2_88_7_5_16_1_2"/>
    <protectedRange algorithmName="SHA-512" hashValue="NkG6oHuDGvGBEiLAAq8MEJHEfLQUMyjihfH+DBXhT+eQW0r1yri7tOJEFRM9nbOejjjXiviq9RFo7KB7wF+xJA==" saltValue="bpjB0AAANu2X/PeR3eiFkA==" spinCount="100000" sqref="AM747:AS747" name="Rango2_88_65_15_2"/>
    <protectedRange algorithmName="SHA-512" hashValue="XZw03RosI/l0z9FxmTtF29EdZ7P+4+ybhqoaAAUmURojSR5XbGfjC4f2i8gMqfY+RI9JvfdCA6PSh9TduXfUxA==" saltValue="5TPtLq2WoiRSae/yaDPnTw==" spinCount="100000" sqref="BJ747:BK747 AV747 AT747" name="Rango2_99_9_2_2"/>
    <protectedRange algorithmName="SHA-512" hashValue="RQ91b7oAw60DVtcgB2vRpial2kSdzJx5guGCTYUwXYkKrtrUHfiYnLf9R+SNpYXlJDYpyEJLhcWwP0EqNN86dQ==" saltValue="W3RbH3zrcY9sy39xNwXNxg==" spinCount="100000" sqref="BV747:BY747" name="Rango2_88_99_15_1_2"/>
    <protectedRange algorithmName="SHA-512" hashValue="XZw03RosI/l0z9FxmTtF29EdZ7P+4+ybhqoaAAUmURojSR5XbGfjC4f2i8gMqfY+RI9JvfdCA6PSh9TduXfUxA==" saltValue="5TPtLq2WoiRSae/yaDPnTw==" spinCount="100000" sqref="BZ747:CB747 BT747:BU747" name="Rango2_99_9_3_2"/>
    <protectedRange algorithmName="SHA-512" hashValue="XZw03RosI/l0z9FxmTtF29EdZ7P+4+ybhqoaAAUmURojSR5XbGfjC4f2i8gMqfY+RI9JvfdCA6PSh9TduXfUxA==" saltValue="5TPtLq2WoiRSae/yaDPnTw==" spinCount="100000" sqref="CE747:CF747" name="Rango2_99_9_4_1"/>
    <protectedRange algorithmName="SHA-512" hashValue="XZw03RosI/l0z9FxmTtF29EdZ7P+4+ybhqoaAAUmURojSR5XbGfjC4f2i8gMqfY+RI9JvfdCA6PSh9TduXfUxA==" saltValue="5TPtLq2WoiRSae/yaDPnTw==" spinCount="100000" sqref="CP747:CQ747" name="Rango2_99_9_6_1"/>
    <protectedRange algorithmName="SHA-512" hashValue="XZw03RosI/l0z9FxmTtF29EdZ7P+4+ybhqoaAAUmURojSR5XbGfjC4f2i8gMqfY+RI9JvfdCA6PSh9TduXfUxA==" saltValue="5TPtLq2WoiRSae/yaDPnTw==" spinCount="100000" sqref="CS747:CT747" name="Rango2_99_9_7_1"/>
    <protectedRange algorithmName="SHA-512" hashValue="XZw03RosI/l0z9FxmTtF29EdZ7P+4+ybhqoaAAUmURojSR5XbGfjC4f2i8gMqfY+RI9JvfdCA6PSh9TduXfUxA==" saltValue="5TPtLq2WoiRSae/yaDPnTw==" spinCount="100000" sqref="CV747:CY747" name="Rango2_99_9_8_1"/>
    <protectedRange algorithmName="SHA-512" hashValue="XZw03RosI/l0z9FxmTtF29EdZ7P+4+ybhqoaAAUmURojSR5XbGfjC4f2i8gMqfY+RI9JvfdCA6PSh9TduXfUxA==" saltValue="5TPtLq2WoiRSae/yaDPnTw==" spinCount="100000" sqref="DA747:DL747" name="Rango2_99_9_9_2"/>
    <protectedRange algorithmName="SHA-512" hashValue="XZw03RosI/l0z9FxmTtF29EdZ7P+4+ybhqoaAAUmURojSR5XbGfjC4f2i8gMqfY+RI9JvfdCA6PSh9TduXfUxA==" saltValue="5TPtLq2WoiRSae/yaDPnTw==" spinCount="100000" sqref="O748" name="Rango2_99_70_7"/>
    <protectedRange algorithmName="SHA-512" hashValue="CHipOQaT63FWw628cQcXXJRZlrbNZ7OgmnEbDx38UmmH7z19GRYEzXFiVOzHAy1OAaAbST7g2bHZHDKQp2qm3w==" saltValue="iRVuL+373yLHv0ZHzS9qog==" spinCount="100000" sqref="AG748:AH748 AJ748" name="Rango2_88_7_5_38_1"/>
    <protectedRange algorithmName="SHA-512" hashValue="fPHvtIAf3pQeZUoAI9C2/vdXMHBpqqEq+67P5Ypyu4+9IWqs3yc9TZcMWQ0THLxUwqseQPyVvakuYFtCwJHsxA==" saltValue="QHIogSs2PrwAfdqa9PAOFQ==" spinCount="100000" sqref="AC748" name="Rango2_88_5_5_24_1"/>
    <protectedRange algorithmName="SHA-512" hashValue="LEEeiU6pKqm7TAP46VGlz0q+evvFwpT/0iLpRuWuQ7MacbP0OGL1/FSmrIEOg2rb6M+Jla2bPbVWiGag27j87w==" saltValue="HEVt+pS5OloNDlqSnzGLLw==" spinCount="100000" sqref="AI748" name="Rango2_8_7_37_1"/>
    <protectedRange algorithmName="SHA-512" hashValue="q2z5hEFmXS0v2chiPTC/VCoDWNlnhp+Xe6Ybfxe48vIsnB/KTJQxJv+pFUnCXfZ9T6vyJopuqFFNROfQTW/JUw==" saltValue="IctfdGJb5tOTpq+KPi9vww==" spinCount="100000" sqref="AE748:AF748" name="Rango2_88_39_39_1"/>
    <protectedRange algorithmName="SHA-512" hashValue="AYYX88LSDB6RDNMvSqt0KPGWPjBqTk56tMxTOlv5QD61MGTKAAQnSnudvNDWPN0Bbllh2qRQC+P5uq7goxjdrw==" saltValue="i/iPMewnks1FoXYOjKMEVg==" spinCount="100000" sqref="AB748" name="Rango2_87_6_25_1"/>
    <protectedRange algorithmName="SHA-512" hashValue="NUll9P9xh7KbSfMYpMxsRZLfDw/y/AzW2LSWlpXVscBDqiAxmzo71xjs+a2lh+jRa7pceOC849slke4+ZKx8LA==" saltValue="8qbkKpQ+CiQuLnqgShNvXA==" spinCount="100000" sqref="T748" name="Rango2_88_6_25_1"/>
    <protectedRange algorithmName="SHA-512" hashValue="KHhv3JU/LRdRrRTxxkgFceEHPZ5UzadmpZRZR3zmQRnPvkUJZuanRafIJ+qde0IWwLZSvFIQDyUAHq6v6k7XIg==" saltValue="2GKG1kCzVNNcn+vbOPuhJA==" spinCount="100000" sqref="Q748" name="Rango2_2_5_20_1"/>
    <protectedRange algorithmName="SHA-512" hashValue="XZw03RosI/l0z9FxmTtF29EdZ7P+4+ybhqoaAAUmURojSR5XbGfjC4f2i8gMqfY+RI9JvfdCA6PSh9TduXfUxA==" saltValue="5TPtLq2WoiRSae/yaDPnTw==" spinCount="100000" sqref="U748:AA748 R748:S748" name="Rango2_99_70_1_1"/>
    <protectedRange algorithmName="SHA-512" hashValue="9+DNppQbWrLYYUMoJ+lyQctV2bX3Vq9kZnegLbpjTLP49It2ovUbcartuoQTeXgP+TGpY//7mDH/UQlFCKDGiA==" saltValue="KUnni6YEm00anzSSvyLqQA==" spinCount="100000" sqref="AD748" name="Rango2_76_6"/>
    <protectedRange algorithmName="SHA-512" hashValue="RQ91b7oAw60DVtcgB2vRpial2kSdzJx5guGCTYUwXYkKrtrUHfiYnLf9R+SNpYXlJDYpyEJLhcWwP0EqNN86dQ==" saltValue="W3RbH3zrcY9sy39xNwXNxg==" spinCount="100000" sqref="BA748:BI748" name="Rango2_88_99_37_1"/>
    <protectedRange algorithmName="SHA-512" hashValue="fMbmUM1DQ7FuAPRNvFL5mPdHUYjQnlLFhkuaxvHguaqR7aWyDxcmJs0jLYQfQKY+oyhsMb4Lew4VL6i7um3/ew==" saltValue="ydaTm0CeH8+/cYqoL/AMaQ==" spinCount="100000" sqref="AU748 AW748:AZ748" name="Rango2_88_91_37_1"/>
    <protectedRange algorithmName="SHA-512" hashValue="CHipOQaT63FWw628cQcXXJRZlrbNZ7OgmnEbDx38UmmH7z19GRYEzXFiVOzHAy1OAaAbST7g2bHZHDKQp2qm3w==" saltValue="iRVuL+373yLHv0ZHzS9qog==" spinCount="100000" sqref="AL748" name="Rango2_88_7_5_38_1_1"/>
    <protectedRange algorithmName="SHA-512" hashValue="NkG6oHuDGvGBEiLAAq8MEJHEfLQUMyjihfH+DBXhT+eQW0r1yri7tOJEFRM9nbOejjjXiviq9RFo7KB7wF+xJA==" saltValue="bpjB0AAANu2X/PeR3eiFkA==" spinCount="100000" sqref="AM748:AS748" name="Rango2_88_65_37_1"/>
    <protectedRange algorithmName="SHA-512" hashValue="XZw03RosI/l0z9FxmTtF29EdZ7P+4+ybhqoaAAUmURojSR5XbGfjC4f2i8gMqfY+RI9JvfdCA6PSh9TduXfUxA==" saltValue="5TPtLq2WoiRSae/yaDPnTw==" spinCount="100000" sqref="AT748 AV748 BJ748:BK748" name="Rango2_99_70_2_1"/>
    <protectedRange algorithmName="SHA-512" hashValue="RQ91b7oAw60DVtcgB2vRpial2kSdzJx5guGCTYUwXYkKrtrUHfiYnLf9R+SNpYXlJDYpyEJLhcWwP0EqNN86dQ==" saltValue="W3RbH3zrcY9sy39xNwXNxg==" spinCount="100000" sqref="BV748:BY748" name="Rango2_88_99_37_1_1"/>
    <protectedRange algorithmName="SHA-512" hashValue="XZw03RosI/l0z9FxmTtF29EdZ7P+4+ybhqoaAAUmURojSR5XbGfjC4f2i8gMqfY+RI9JvfdCA6PSh9TduXfUxA==" saltValue="5TPtLq2WoiRSae/yaDPnTw==" spinCount="100000" sqref="BR748:BU748 BZ748:CB748" name="Rango2_99_70_3_1"/>
    <protectedRange algorithmName="SHA-512" hashValue="XZw03RosI/l0z9FxmTtF29EdZ7P+4+ybhqoaAAUmURojSR5XbGfjC4f2i8gMqfY+RI9JvfdCA6PSh9TduXfUxA==" saltValue="5TPtLq2WoiRSae/yaDPnTw==" spinCount="100000" sqref="CE748:CF748" name="Rango2_99_70_4_1"/>
    <protectedRange algorithmName="SHA-512" hashValue="XZw03RosI/l0z9FxmTtF29EdZ7P+4+ybhqoaAAUmURojSR5XbGfjC4f2i8gMqfY+RI9JvfdCA6PSh9TduXfUxA==" saltValue="5TPtLq2WoiRSae/yaDPnTw==" spinCount="100000" sqref="CJ748" name="Rango2_99_70_5_1"/>
    <protectedRange algorithmName="SHA-512" hashValue="XZw03RosI/l0z9FxmTtF29EdZ7P+4+ybhqoaAAUmURojSR5XbGfjC4f2i8gMqfY+RI9JvfdCA6PSh9TduXfUxA==" saltValue="5TPtLq2WoiRSae/yaDPnTw==" spinCount="100000" sqref="CK748" name="Rango2_99_9_5_2"/>
    <protectedRange algorithmName="SHA-512" hashValue="XZw03RosI/l0z9FxmTtF29EdZ7P+4+ybhqoaAAUmURojSR5XbGfjC4f2i8gMqfY+RI9JvfdCA6PSh9TduXfUxA==" saltValue="5TPtLq2WoiRSae/yaDPnTw==" spinCount="100000" sqref="CP748:CQ748" name="Rango2_99_70_6_1"/>
    <protectedRange algorithmName="SHA-512" hashValue="XZw03RosI/l0z9FxmTtF29EdZ7P+4+ybhqoaAAUmURojSR5XbGfjC4f2i8gMqfY+RI9JvfdCA6PSh9TduXfUxA==" saltValue="5TPtLq2WoiRSae/yaDPnTw==" spinCount="100000" sqref="CS748:CT748" name="Rango2_99_70_7_1"/>
    <protectedRange algorithmName="SHA-512" hashValue="XZw03RosI/l0z9FxmTtF29EdZ7P+4+ybhqoaAAUmURojSR5XbGfjC4f2i8gMqfY+RI9JvfdCA6PSh9TduXfUxA==" saltValue="5TPtLq2WoiRSae/yaDPnTw==" spinCount="100000" sqref="CV748:CY748" name="Rango2_99_70_8"/>
    <protectedRange algorithmName="SHA-512" hashValue="XZw03RosI/l0z9FxmTtF29EdZ7P+4+ybhqoaAAUmURojSR5XbGfjC4f2i8gMqfY+RI9JvfdCA6PSh9TduXfUxA==" saltValue="5TPtLq2WoiRSae/yaDPnTw==" spinCount="100000" sqref="DA748:DL748" name="Rango2_99_70_9"/>
    <protectedRange sqref="O749" name="Rango2_99_1_1"/>
    <protectedRange sqref="AJ749 AG749:AH749" name="Rango2_88_7_5_1_1"/>
    <protectedRange sqref="AC749" name="Rango2_88_5_5_1_1"/>
    <protectedRange sqref="AI749" name="Rango2_8_7_1_1"/>
    <protectedRange sqref="AE749:AF749" name="Rango2_88_39_1_1"/>
    <protectedRange sqref="AB749" name="Rango2_87_6_1_1"/>
    <protectedRange sqref="T749" name="Rango2_88_6_1_1"/>
    <protectedRange sqref="Q749" name="Rango2_2_5_1_1"/>
    <protectedRange sqref="U749:AA749 R749:S749" name="Rango2_99_2_2"/>
    <protectedRange sqref="AD749" name="Rango2_16_1"/>
    <protectedRange sqref="BA749:BI749" name="Rango2_88_99_1_1"/>
    <protectedRange sqref="AU749 AW749:AZ749" name="Rango2_88_91_1_1"/>
    <protectedRange sqref="AL749" name="Rango2_88_7_5_62_1"/>
    <protectedRange sqref="AM749:AS749" name="Rango2_88_65_1_1"/>
    <protectedRange sqref="BJ749:BK749 AT749 AV749" name="Rango2_99_5_2"/>
    <protectedRange sqref="BV749:BY749" name="Rango2_88_99_2_2"/>
    <protectedRange sqref="BR749:BU749 BZ749:CB749" name="Rango2_99_6_5"/>
    <protectedRange sqref="CE749:CF749" name="Rango2_99_7_3"/>
    <protectedRange sqref="CJ749:CK749" name="Rango2_99_8_3"/>
    <protectedRange sqref="CP749:CQ749" name="Rango2_99_15_4"/>
    <protectedRange sqref="CS749:CT749" name="Rango2_99_16_4"/>
    <protectedRange sqref="CV749:CY749" name="Rango2_99_17_6"/>
    <protectedRange sqref="DA749:DL749" name="Rango2_99_18_5"/>
    <protectedRange sqref="O750:O752" name="Rango2_99_1_2"/>
    <protectedRange sqref="AJ750:AJ752 AG750:AH752" name="Rango2_88_7_5_1_2"/>
    <protectedRange sqref="AC750:AC752" name="Rango2_88_5_5_1_2"/>
    <protectedRange sqref="AI750:AI752" name="Rango2_8_7_1_2"/>
    <protectedRange sqref="AE750:AF752" name="Rango2_88_39_1_2"/>
    <protectedRange sqref="AB750:AB752" name="Rango2_87_6_1_2"/>
    <protectedRange sqref="T750:T752" name="Rango2_88_6_1_2"/>
    <protectedRange sqref="Q750:Q752" name="Rango2_2_5_1_2"/>
    <protectedRange sqref="U750:AA752 R750:S752" name="Rango2_99_2_3"/>
    <protectedRange sqref="AD750:AD752" name="Rango2_16_2"/>
    <protectedRange sqref="BA750:BI752" name="Rango2_88_99_1_2"/>
    <protectedRange sqref="AU750:AU752 AW750:AZ752" name="Rango2_88_91_1_2"/>
    <protectedRange sqref="AL750:AL752" name="Rango2_88_7_5_62_2"/>
    <protectedRange sqref="AM750:AS752" name="Rango2_88_65_1_2"/>
    <protectedRange sqref="BJ750:BK752 AT750:AT752 AV750:AV752" name="Rango2_99_5_3"/>
    <protectedRange sqref="BV750:BY752" name="Rango2_88_99_2_3"/>
    <protectedRange sqref="BR750:BU752 BZ750:CB752" name="Rango2_99_6_6"/>
    <protectedRange sqref="CE750:CE751 CE752:CF752" name="Rango2_99_7_4"/>
    <protectedRange algorithmName="SHA-512" hashValue="XZw03RosI/l0z9FxmTtF29EdZ7P+4+ybhqoaAAUmURojSR5XbGfjC4f2i8gMqfY+RI9JvfdCA6PSh9TduXfUxA==" saltValue="5TPtLq2WoiRSae/yaDPnTw==" spinCount="100000" sqref="CF750:CF751" name="Rango2_99_67_4"/>
    <protectedRange sqref="CJ750:CK752" name="Rango2_99_8_4"/>
    <protectedRange sqref="CP750:CQ752" name="Rango2_99_15_5"/>
    <protectedRange sqref="CS750:CT752" name="Rango2_99_16_5"/>
    <protectedRange sqref="CV750:CY752" name="Rango2_99_17_7"/>
    <protectedRange sqref="DA750:DL752" name="Rango2_99_18_6"/>
    <protectedRange algorithmName="SHA-512" hashValue="RQ91b7oAw60DVtcgB2vRpial2kSdzJx5guGCTYUwXYkKrtrUHfiYnLf9R+SNpYXlJDYpyEJLhcWwP0EqNN86dQ==" saltValue="W3RbH3zrcY9sy39xNwXNxg==" spinCount="100000" sqref="BA753:BI753" name="Rango2_88_99_67_1"/>
    <protectedRange algorithmName="SHA-512" hashValue="fMbmUM1DQ7FuAPRNvFL5mPdHUYjQnlLFhkuaxvHguaqR7aWyDxcmJs0jLYQfQKY+oyhsMb4Lew4VL6i7um3/ew==" saltValue="ydaTm0CeH8+/cYqoL/AMaQ==" spinCount="100000" sqref="AW753:AZ753" name="Rango2_88_91_66_1"/>
    <protectedRange algorithmName="SHA-512" hashValue="CHipOQaT63FWw628cQcXXJRZlrbNZ7OgmnEbDx38UmmH7z19GRYEzXFiVOzHAy1OAaAbST7g2bHZHDKQp2qm3w==" saltValue="iRVuL+373yLHv0ZHzS9qog==" spinCount="100000" sqref="AG753 AL753" name="Rango2_88_7_5_71_1"/>
    <protectedRange algorithmName="SHA-512" hashValue="NkG6oHuDGvGBEiLAAq8MEJHEfLQUMyjihfH+DBXhT+eQW0r1yri7tOJEFRM9nbOejjjXiviq9RFo7KB7wF+xJA==" saltValue="bpjB0AAANu2X/PeR3eiFkA==" spinCount="100000" sqref="AM753:AQ753" name="Rango2_88_65_66_1"/>
    <protectedRange algorithmName="SHA-512" hashValue="q2z5hEFmXS0v2chiPTC/VCoDWNlnhp+Xe6Ybfxe48vIsnB/KTJQxJv+pFUnCXfZ9T6vyJopuqFFNROfQTW/JUw==" saltValue="IctfdGJb5tOTpq+KPi9vww==" spinCount="100000" sqref="AE753" name="Rango2_88_39_72_1"/>
    <protectedRange sqref="O755" name="Rango2_99_1_3"/>
    <protectedRange sqref="AG755:AH755 AJ755" name="Rango2_88_7_5_1_3"/>
    <protectedRange sqref="AC755" name="Rango2_88_5_5_1_3"/>
    <protectedRange sqref="AI755" name="Rango2_8_7_1_3"/>
    <protectedRange sqref="AE755:AF755" name="Rango2_88_39_1_3"/>
    <protectedRange sqref="AB755" name="Rango2_87_6_1_3"/>
    <protectedRange sqref="T755" name="Rango2_88_6_1_3"/>
    <protectedRange sqref="Q755" name="Rango2_2_5_1_3"/>
    <protectedRange sqref="U755:AA755 R755:S755" name="Rango2_99_2_4"/>
    <protectedRange sqref="AD755" name="Rango2_16_3"/>
    <protectedRange sqref="BA755:BI755" name="Rango2_88_99_1_3"/>
    <protectedRange sqref="AW755:AZ755 AU755" name="Rango2_88_91_1_3"/>
    <protectedRange sqref="AL755" name="Rango2_88_7_5_62_3"/>
    <protectedRange sqref="AM755:AS755" name="Rango2_88_65_1_3"/>
    <protectedRange sqref="AV755 AT755 BJ755:BK755" name="Rango2_99_5_4"/>
    <protectedRange sqref="BV755:BY755" name="Rango2_88_99_2_4"/>
    <protectedRange sqref="BZ755:CB755 BR755:BU755" name="Rango2_99_6_7"/>
    <protectedRange sqref="CE755:CF755" name="Rango2_99_7_5"/>
    <protectedRange sqref="CJ755:CK755" name="Rango2_99_8_5"/>
    <protectedRange sqref="CP755:CQ755" name="Rango2_99_15_6"/>
    <protectedRange sqref="CS755:CT755" name="Rango2_99_16_6"/>
    <protectedRange sqref="CV755:CY755" name="Rango2_99_17_8"/>
    <protectedRange sqref="DA755:DL755" name="Rango2_99_18_7"/>
    <protectedRange algorithmName="SHA-512" hashValue="RQ91b7oAw60DVtcgB2vRpial2kSdzJx5guGCTYUwXYkKrtrUHfiYnLf9R+SNpYXlJDYpyEJLhcWwP0EqNN86dQ==" saltValue="W3RbH3zrcY9sy39xNwXNxg==" spinCount="100000" sqref="BA754:BI754" name="Rango2_88_99_65_1"/>
    <protectedRange algorithmName="SHA-512" hashValue="fMbmUM1DQ7FuAPRNvFL5mPdHUYjQnlLFhkuaxvHguaqR7aWyDxcmJs0jLYQfQKY+oyhsMb4Lew4VL6i7um3/ew==" saltValue="ydaTm0CeH8+/cYqoL/AMaQ==" spinCount="100000" sqref="AW754:AZ754" name="Rango2_88_91_64_1"/>
    <protectedRange algorithmName="SHA-512" hashValue="CHipOQaT63FWw628cQcXXJRZlrbNZ7OgmnEbDx38UmmH7z19GRYEzXFiVOzHAy1OAaAbST7g2bHZHDKQp2qm3w==" saltValue="iRVuL+373yLHv0ZHzS9qog==" spinCount="100000" sqref="AJ754 AG754:AH754 AL754" name="Rango2_88_7_5_69_1"/>
    <protectedRange algorithmName="SHA-512" hashValue="NkG6oHuDGvGBEiLAAq8MEJHEfLQUMyjihfH+DBXhT+eQW0r1yri7tOJEFRM9nbOejjjXiviq9RFo7KB7wF+xJA==" saltValue="bpjB0AAANu2X/PeR3eiFkA==" spinCount="100000" sqref="AM754:AQ754" name="Rango2_88_65_64_1"/>
    <protectedRange algorithmName="SHA-512" hashValue="LEEeiU6pKqm7TAP46VGlz0q+evvFwpT/0iLpRuWuQ7MacbP0OGL1/FSmrIEOg2rb6M+Jla2bPbVWiGag27j87w==" saltValue="HEVt+pS5OloNDlqSnzGLLw==" spinCount="100000" sqref="AI754" name="Rango2_8_7_64_1"/>
    <protectedRange algorithmName="SHA-512" hashValue="q2z5hEFmXS0v2chiPTC/VCoDWNlnhp+Xe6Ybfxe48vIsnB/KTJQxJv+pFUnCXfZ9T6vyJopuqFFNROfQTW/JUw==" saltValue="IctfdGJb5tOTpq+KPi9vww==" spinCount="100000" sqref="AE754:AF754" name="Rango2_88_39_60_2"/>
    <protectedRange algorithmName="SHA-512" hashValue="9+DNppQbWrLYYUMoJ+lyQctV2bX3Vq9kZnegLbpjTLP49It2ovUbcartuoQTeXgP+TGpY//7mDH/UQlFCKDGiA==" saltValue="KUnni6YEm00anzSSvyLqQA==" spinCount="100000" sqref="FN730:FN731" name="Rango2_20_4"/>
    <protectedRange algorithmName="SHA-512" hashValue="9+DNppQbWrLYYUMoJ+lyQctV2bX3Vq9kZnegLbpjTLP49It2ovUbcartuoQTeXgP+TGpY//7mDH/UQlFCKDGiA==" saltValue="KUnni6YEm00anzSSvyLqQA==" spinCount="100000" sqref="FK730:FK731" name="Rango2_19_3"/>
    <protectedRange algorithmName="SHA-512" hashValue="9+DNppQbWrLYYUMoJ+lyQctV2bX3Vq9kZnegLbpjTLP49It2ovUbcartuoQTeXgP+TGpY//7mDH/UQlFCKDGiA==" saltValue="KUnni6YEm00anzSSvyLqQA==" spinCount="100000" sqref="FH730:FH731" name="Rango2_18_4"/>
    <protectedRange algorithmName="SHA-512" hashValue="9+DNppQbWrLYYUMoJ+lyQctV2bX3Vq9kZnegLbpjTLP49It2ovUbcartuoQTeXgP+TGpY//7mDH/UQlFCKDGiA==" saltValue="KUnni6YEm00anzSSvyLqQA==" spinCount="100000" sqref="FE730:FE731" name="Rango2_17_3"/>
    <protectedRange algorithmName="SHA-512" hashValue="9+DNppQbWrLYYUMoJ+lyQctV2bX3Vq9kZnegLbpjTLP49It2ovUbcartuoQTeXgP+TGpY//7mDH/UQlFCKDGiA==" saltValue="KUnni6YEm00anzSSvyLqQA==" spinCount="100000" sqref="HD730:HI731" name="Rango2_15_3"/>
    <protectedRange algorithmName="SHA-512" hashValue="9+DNppQbWrLYYUMoJ+lyQctV2bX3Vq9kZnegLbpjTLP49It2ovUbcartuoQTeXgP+TGpY//7mDH/UQlFCKDGiA==" saltValue="KUnni6YEm00anzSSvyLqQA==" spinCount="100000" sqref="FN732" name="Rango2_20_5"/>
    <protectedRange algorithmName="SHA-512" hashValue="9+DNppQbWrLYYUMoJ+lyQctV2bX3Vq9kZnegLbpjTLP49It2ovUbcartuoQTeXgP+TGpY//7mDH/UQlFCKDGiA==" saltValue="KUnni6YEm00anzSSvyLqQA==" spinCount="100000" sqref="FK732" name="Rango2_19_4"/>
    <protectedRange algorithmName="SHA-512" hashValue="9+DNppQbWrLYYUMoJ+lyQctV2bX3Vq9kZnegLbpjTLP49It2ovUbcartuoQTeXgP+TGpY//7mDH/UQlFCKDGiA==" saltValue="KUnni6YEm00anzSSvyLqQA==" spinCount="100000" sqref="FH732" name="Rango2_18_5"/>
    <protectedRange algorithmName="SHA-512" hashValue="9+DNppQbWrLYYUMoJ+lyQctV2bX3Vq9kZnegLbpjTLP49It2ovUbcartuoQTeXgP+TGpY//7mDH/UQlFCKDGiA==" saltValue="KUnni6YEm00anzSSvyLqQA==" spinCount="100000" sqref="FE732" name="Rango2_17_4"/>
    <protectedRange algorithmName="SHA-512" hashValue="9+DNppQbWrLYYUMoJ+lyQctV2bX3Vq9kZnegLbpjTLP49It2ovUbcartuoQTeXgP+TGpY//7mDH/UQlFCKDGiA==" saltValue="KUnni6YEm00anzSSvyLqQA==" spinCount="100000" sqref="HD732:HI732" name="Rango2_15_4"/>
    <protectedRange algorithmName="SHA-512" hashValue="9+DNppQbWrLYYUMoJ+lyQctV2bX3Vq9kZnegLbpjTLP49It2ovUbcartuoQTeXgP+TGpY//7mDH/UQlFCKDGiA==" saltValue="KUnni6YEm00anzSSvyLqQA==" spinCount="100000" sqref="FN733" name="Rango2_20_6"/>
    <protectedRange algorithmName="SHA-512" hashValue="9+DNppQbWrLYYUMoJ+lyQctV2bX3Vq9kZnegLbpjTLP49It2ovUbcartuoQTeXgP+TGpY//7mDH/UQlFCKDGiA==" saltValue="KUnni6YEm00anzSSvyLqQA==" spinCount="100000" sqref="FK733" name="Rango2_19_5"/>
    <protectedRange algorithmName="SHA-512" hashValue="9+DNppQbWrLYYUMoJ+lyQctV2bX3Vq9kZnegLbpjTLP49It2ovUbcartuoQTeXgP+TGpY//7mDH/UQlFCKDGiA==" saltValue="KUnni6YEm00anzSSvyLqQA==" spinCount="100000" sqref="FH733" name="Rango2_18_6"/>
    <protectedRange algorithmName="SHA-512" hashValue="9+DNppQbWrLYYUMoJ+lyQctV2bX3Vq9kZnegLbpjTLP49It2ovUbcartuoQTeXgP+TGpY//7mDH/UQlFCKDGiA==" saltValue="KUnni6YEm00anzSSvyLqQA==" spinCount="100000" sqref="FE733" name="Rango2_17_5"/>
    <protectedRange algorithmName="SHA-512" hashValue="9+DNppQbWrLYYUMoJ+lyQctV2bX3Vq9kZnegLbpjTLP49It2ovUbcartuoQTeXgP+TGpY//7mDH/UQlFCKDGiA==" saltValue="KUnni6YEm00anzSSvyLqQA==" spinCount="100000" sqref="HD733:HI733" name="Rango2_15_5"/>
    <protectedRange algorithmName="SHA-512" hashValue="9+DNppQbWrLYYUMoJ+lyQctV2bX3Vq9kZnegLbpjTLP49It2ovUbcartuoQTeXgP+TGpY//7mDH/UQlFCKDGiA==" saltValue="KUnni6YEm00anzSSvyLqQA==" spinCount="100000" sqref="FN734" name="Rango2_20_7"/>
    <protectedRange algorithmName="SHA-512" hashValue="9+DNppQbWrLYYUMoJ+lyQctV2bX3Vq9kZnegLbpjTLP49It2ovUbcartuoQTeXgP+TGpY//7mDH/UQlFCKDGiA==" saltValue="KUnni6YEm00anzSSvyLqQA==" spinCount="100000" sqref="FK734" name="Rango2_19_6"/>
    <protectedRange algorithmName="SHA-512" hashValue="9+DNppQbWrLYYUMoJ+lyQctV2bX3Vq9kZnegLbpjTLP49It2ovUbcartuoQTeXgP+TGpY//7mDH/UQlFCKDGiA==" saltValue="KUnni6YEm00anzSSvyLqQA==" spinCount="100000" sqref="FH734" name="Rango2_18_12"/>
    <protectedRange algorithmName="SHA-512" hashValue="9+DNppQbWrLYYUMoJ+lyQctV2bX3Vq9kZnegLbpjTLP49It2ovUbcartuoQTeXgP+TGpY//7mDH/UQlFCKDGiA==" saltValue="KUnni6YEm00anzSSvyLqQA==" spinCount="100000" sqref="FE734" name="Rango2_17_6"/>
    <protectedRange algorithmName="SHA-512" hashValue="9+DNppQbWrLYYUMoJ+lyQctV2bX3Vq9kZnegLbpjTLP49It2ovUbcartuoQTeXgP+TGpY//7mDH/UQlFCKDGiA==" saltValue="KUnni6YEm00anzSSvyLqQA==" spinCount="100000" sqref="HD734:HI734" name="Rango2_15_6"/>
    <protectedRange algorithmName="SHA-512" hashValue="9+DNppQbWrLYYUMoJ+lyQctV2bX3Vq9kZnegLbpjTLP49It2ovUbcartuoQTeXgP+TGpY//7mDH/UQlFCKDGiA==" saltValue="KUnni6YEm00anzSSvyLqQA==" spinCount="100000" sqref="FN735" name="Rango2_20_8"/>
    <protectedRange algorithmName="SHA-512" hashValue="9+DNppQbWrLYYUMoJ+lyQctV2bX3Vq9kZnegLbpjTLP49It2ovUbcartuoQTeXgP+TGpY//7mDH/UQlFCKDGiA==" saltValue="KUnni6YEm00anzSSvyLqQA==" spinCount="100000" sqref="FK735" name="Rango2_19_7"/>
    <protectedRange algorithmName="SHA-512" hashValue="9+DNppQbWrLYYUMoJ+lyQctV2bX3Vq9kZnegLbpjTLP49It2ovUbcartuoQTeXgP+TGpY//7mDH/UQlFCKDGiA==" saltValue="KUnni6YEm00anzSSvyLqQA==" spinCount="100000" sqref="FH735" name="Rango2_18_13"/>
    <protectedRange algorithmName="SHA-512" hashValue="9+DNppQbWrLYYUMoJ+lyQctV2bX3Vq9kZnegLbpjTLP49It2ovUbcartuoQTeXgP+TGpY//7mDH/UQlFCKDGiA==" saltValue="KUnni6YEm00anzSSvyLqQA==" spinCount="100000" sqref="FE735" name="Rango2_17_7"/>
    <protectedRange algorithmName="SHA-512" hashValue="9+DNppQbWrLYYUMoJ+lyQctV2bX3Vq9kZnegLbpjTLP49It2ovUbcartuoQTeXgP+TGpY//7mDH/UQlFCKDGiA==" saltValue="KUnni6YEm00anzSSvyLqQA==" spinCount="100000" sqref="HD735:HI735" name="Rango2_15_7"/>
    <protectedRange algorithmName="SHA-512" hashValue="9+DNppQbWrLYYUMoJ+lyQctV2bX3Vq9kZnegLbpjTLP49It2ovUbcartuoQTeXgP+TGpY//7mDH/UQlFCKDGiA==" saltValue="KUnni6YEm00anzSSvyLqQA==" spinCount="100000" sqref="FN736:FN737" name="Rango2_20_9"/>
    <protectedRange algorithmName="SHA-512" hashValue="9+DNppQbWrLYYUMoJ+lyQctV2bX3Vq9kZnegLbpjTLP49It2ovUbcartuoQTeXgP+TGpY//7mDH/UQlFCKDGiA==" saltValue="KUnni6YEm00anzSSvyLqQA==" spinCount="100000" sqref="FK736:FK737" name="Rango2_19_8"/>
    <protectedRange algorithmName="SHA-512" hashValue="9+DNppQbWrLYYUMoJ+lyQctV2bX3Vq9kZnegLbpjTLP49It2ovUbcartuoQTeXgP+TGpY//7mDH/UQlFCKDGiA==" saltValue="KUnni6YEm00anzSSvyLqQA==" spinCount="100000" sqref="FH736:FH737" name="Rango2_18_14"/>
    <protectedRange algorithmName="SHA-512" hashValue="9+DNppQbWrLYYUMoJ+lyQctV2bX3Vq9kZnegLbpjTLP49It2ovUbcartuoQTeXgP+TGpY//7mDH/UQlFCKDGiA==" saltValue="KUnni6YEm00anzSSvyLqQA==" spinCount="100000" sqref="FE736:FE737" name="Rango2_17_8"/>
    <protectedRange algorithmName="SHA-512" hashValue="9+DNppQbWrLYYUMoJ+lyQctV2bX3Vq9kZnegLbpjTLP49It2ovUbcartuoQTeXgP+TGpY//7mDH/UQlFCKDGiA==" saltValue="KUnni6YEm00anzSSvyLqQA==" spinCount="100000" sqref="HD736:HI737" name="Rango2_15_8"/>
    <protectedRange algorithmName="SHA-512" hashValue="EEHzbvEYwO1eufllBljOz0uf9BJ2ENtvOScQ7IsS321QhYbwKn7qhHKKP8cKj02rTDvVRMWvwQ1ZP0mZWsBprQ==" saltValue="CjXqBRFbKezlWOFV37MnDQ==" spinCount="100000" sqref="GQ738:GR738 GW738 GN738" name="Rango2_30_2_16_4"/>
    <protectedRange algorithmName="SHA-512" hashValue="Rgskw+AQdeJ5qbJdarzTa3SCkJfDGziy0Uan5N0F3IWn/H3Z/e+VcB56R7Nes7MPxNHewNP1sSSucVjz3iTLeA==" saltValue="qKZH3DnwaZHBzy3cBZo1qQ==" spinCount="100000" sqref="GF738" name="Rango2_31_28_14_3"/>
    <protectedRange algorithmName="SHA-512" hashValue="Umj9+5Ys20VQPxBFtc6qE5LtKKSgPKwit+B8dd4XnEUaLfBM2ozpkEC4YxwK0SbBiAHDDex+pY+LomQ0lyuamQ==" saltValue="N2/MCRws+mmA+NXw0axolg==" spinCount="100000" sqref="GJ738 GH738 GE738 GL738 FY738" name="Rango2_31_2_15_1"/>
    <protectedRange algorithmName="SHA-512" hashValue="q2z5hEFmXS0v2chiPTC/VCoDWNlnhp+Xe6Ybfxe48vIsnB/KTJQxJv+pFUnCXfZ9T6vyJopuqFFNROfQTW/JUw==" saltValue="IctfdGJb5tOTpq+KPi9vww==" spinCount="100000" sqref="IA738 ID738:IJ738" name="Rango2_88_39_76_2"/>
    <protectedRange algorithmName="SHA-512" hashValue="YXHanhqXL0e4jPrzkCF8r/22WmlCviFUW909WKuG1JOcU0mp0/Huh0aP3EaGYxV2ep0WGu48HsShAy4Ka2uOiw==" saltValue="h/7U5iwJm7DLR4tRVfwZYw==" spinCount="100000" sqref="GI738 GC738" name="Rango2_33_21_6"/>
    <protectedRange algorithmName="SHA-512" hashValue="pL4tgTKqwEsWSIEGFTBd+4pvEhE7d5Q99Eijs+L/Y1rhA0saQGGRJw5Pv2HLOP0quglztFwB6WVnQ1YGxd4AiQ==" saltValue="IF5mhk2RcoEjrcYppes1VA==" spinCount="100000" sqref="FT738" name="Rango2_30_15_3"/>
    <protectedRange algorithmName="SHA-512" hashValue="9+DNppQbWrLYYUMoJ+lyQctV2bX3Vq9kZnegLbpjTLP49It2ovUbcartuoQTeXgP+TGpY//7mDH/UQlFCKDGiA==" saltValue="KUnni6YEm00anzSSvyLqQA==" spinCount="100000" sqref="FE738 GX738 EY738:FA738 FC738 FH738 FK738:FL738 EN738 FN738:FO738 HD738:HI738 HS738:HT738" name="Rango2_48_7"/>
    <protectedRange algorithmName="SHA-512" hashValue="XZw03RosI/l0z9FxmTtF29EdZ7P+4+ybhqoaAAUmURojSR5XbGfjC4f2i8gMqfY+RI9JvfdCA6PSh9TduXfUxA==" saltValue="5TPtLq2WoiRSae/yaDPnTw==" spinCount="100000" sqref="EI739" name="Rango2_99_14_18"/>
    <protectedRange algorithmName="SHA-512" hashValue="9+DNppQbWrLYYUMoJ+lyQctV2bX3Vq9kZnegLbpjTLP49It2ovUbcartuoQTeXgP+TGpY//7mDH/UQlFCKDGiA==" saltValue="KUnni6YEm00anzSSvyLqQA==" spinCount="100000" sqref="FN740:FN741" name="Rango2_20_10"/>
    <protectedRange algorithmName="SHA-512" hashValue="9+DNppQbWrLYYUMoJ+lyQctV2bX3Vq9kZnegLbpjTLP49It2ovUbcartuoQTeXgP+TGpY//7mDH/UQlFCKDGiA==" saltValue="KUnni6YEm00anzSSvyLqQA==" spinCount="100000" sqref="FK740:FK741" name="Rango2_19_9"/>
    <protectedRange algorithmName="SHA-512" hashValue="9+DNppQbWrLYYUMoJ+lyQctV2bX3Vq9kZnegLbpjTLP49It2ovUbcartuoQTeXgP+TGpY//7mDH/UQlFCKDGiA==" saltValue="KUnni6YEm00anzSSvyLqQA==" spinCount="100000" sqref="FH740:FH741" name="Rango2_18_15"/>
    <protectedRange algorithmName="SHA-512" hashValue="9+DNppQbWrLYYUMoJ+lyQctV2bX3Vq9kZnegLbpjTLP49It2ovUbcartuoQTeXgP+TGpY//7mDH/UQlFCKDGiA==" saltValue="KUnni6YEm00anzSSvyLqQA==" spinCount="100000" sqref="FE740:FE741" name="Rango2_17_9"/>
    <protectedRange algorithmName="SHA-512" hashValue="9+DNppQbWrLYYUMoJ+lyQctV2bX3Vq9kZnegLbpjTLP49It2ovUbcartuoQTeXgP+TGpY//7mDH/UQlFCKDGiA==" saltValue="KUnni6YEm00anzSSvyLqQA==" spinCount="100000" sqref="HD740:HI741" name="Rango2_15_9"/>
    <protectedRange sqref="EI741" name="Rango2_99_19_3"/>
    <protectedRange algorithmName="SHA-512" hashValue="XZw03RosI/l0z9FxmTtF29EdZ7P+4+ybhqoaAAUmURojSR5XbGfjC4f2i8gMqfY+RI9JvfdCA6PSh9TduXfUxA==" saltValue="5TPtLq2WoiRSae/yaDPnTw==" spinCount="100000" sqref="EH740" name="Rango2_99_80_1"/>
    <protectedRange algorithmName="SHA-512" hashValue="XZw03RosI/l0z9FxmTtF29EdZ7P+4+ybhqoaAAUmURojSR5XbGfjC4f2i8gMqfY+RI9JvfdCA6PSh9TduXfUxA==" saltValue="5TPtLq2WoiRSae/yaDPnTw==" spinCount="100000" sqref="HX742" name="Rango2_99_99_3"/>
    <protectedRange algorithmName="SHA-512" hashValue="EEHzbvEYwO1eufllBljOz0uf9BJ2ENtvOScQ7IsS321QhYbwKn7qhHKKP8cKj02rTDvVRMWvwQ1ZP0mZWsBprQ==" saltValue="CjXqBRFbKezlWOFV37MnDQ==" spinCount="100000" sqref="GQ743:GR743 GW743 GN743" name="Rango2_30_2_10_3"/>
    <protectedRange algorithmName="SHA-512" hashValue="Rgskw+AQdeJ5qbJdarzTa3SCkJfDGziy0Uan5N0F3IWn/H3Z/e+VcB56R7Nes7MPxNHewNP1sSSucVjz3iTLeA==" saltValue="qKZH3DnwaZHBzy3cBZo1qQ==" spinCount="100000" sqref="GF743" name="Rango2_31_28_8_2"/>
    <protectedRange algorithmName="SHA-512" hashValue="Umj9+5Ys20VQPxBFtc6qE5LtKKSgPKwit+B8dd4XnEUaLfBM2ozpkEC4YxwK0SbBiAHDDex+pY+LomQ0lyuamQ==" saltValue="N2/MCRws+mmA+NXw0axolg==" spinCount="100000" sqref="GJ743 GH743 GE743 GB743 GL743 FY743" name="Rango2_31_2_9_5"/>
    <protectedRange algorithmName="SHA-512" hashValue="q2z5hEFmXS0v2chiPTC/VCoDWNlnhp+Xe6Ybfxe48vIsnB/KTJQxJv+pFUnCXfZ9T6vyJopuqFFNROfQTW/JUw==" saltValue="IctfdGJb5tOTpq+KPi9vww==" spinCount="100000" sqref="IA743 ID743:IJ743" name="Rango2_88_39_73_3"/>
    <protectedRange algorithmName="SHA-512" hashValue="YXHanhqXL0e4jPrzkCF8r/22WmlCviFUW909WKuG1JOcU0mp0/Huh0aP3EaGYxV2ep0WGu48HsShAy4Ka2uOiw==" saltValue="h/7U5iwJm7DLR4tRVfwZYw==" spinCount="100000" sqref="GI743 GC743" name="Rango2_33_15_2"/>
    <protectedRange algorithmName="SHA-512" hashValue="pL4tgTKqwEsWSIEGFTBd+4pvEhE7d5Q99Eijs+L/Y1rhA0saQGGRJw5Pv2HLOP0quglztFwB6WVnQ1YGxd4AiQ==" saltValue="IF5mhk2RcoEjrcYppes1VA==" spinCount="100000" sqref="FT743" name="Rango2_30_9_2"/>
    <protectedRange algorithmName="SHA-512" hashValue="EEHzbvEYwO1eufllBljOz0uf9BJ2ENtvOScQ7IsS321QhYbwKn7qhHKKP8cKj02rTDvVRMWvwQ1ZP0mZWsBprQ==" saltValue="CjXqBRFbKezlWOFV37MnDQ==" spinCount="100000" sqref="GQ744:GR744 GW744 GN744" name="Rango2_30_2_10_4"/>
    <protectedRange algorithmName="SHA-512" hashValue="Rgskw+AQdeJ5qbJdarzTa3SCkJfDGziy0Uan5N0F3IWn/H3Z/e+VcB56R7Nes7MPxNHewNP1sSSucVjz3iTLeA==" saltValue="qKZH3DnwaZHBzy3cBZo1qQ==" spinCount="100000" sqref="GF744" name="Rango2_31_28_8_3"/>
    <protectedRange algorithmName="SHA-512" hashValue="Umj9+5Ys20VQPxBFtc6qE5LtKKSgPKwit+B8dd4XnEUaLfBM2ozpkEC4YxwK0SbBiAHDDex+pY+LomQ0lyuamQ==" saltValue="N2/MCRws+mmA+NXw0axolg==" spinCount="100000" sqref="GJ744 GH744 GE744 GL744 FY744" name="Rango2_31_2_9_6"/>
    <protectedRange algorithmName="SHA-512" hashValue="q2z5hEFmXS0v2chiPTC/VCoDWNlnhp+Xe6Ybfxe48vIsnB/KTJQxJv+pFUnCXfZ9T6vyJopuqFFNROfQTW/JUw==" saltValue="IctfdGJb5tOTpq+KPi9vww==" spinCount="100000" sqref="IA744 ID744:IJ744" name="Rango2_88_39_73_4"/>
    <protectedRange algorithmName="SHA-512" hashValue="YXHanhqXL0e4jPrzkCF8r/22WmlCviFUW909WKuG1JOcU0mp0/Huh0aP3EaGYxV2ep0WGu48HsShAy4Ka2uOiw==" saltValue="h/7U5iwJm7DLR4tRVfwZYw==" spinCount="100000" sqref="GI744 GC744" name="Rango2_33_15_3"/>
    <protectedRange algorithmName="SHA-512" hashValue="pL4tgTKqwEsWSIEGFTBd+4pvEhE7d5Q99Eijs+L/Y1rhA0saQGGRJw5Pv2HLOP0quglztFwB6WVnQ1YGxd4AiQ==" saltValue="IF5mhk2RcoEjrcYppes1VA==" spinCount="100000" sqref="FT744" name="Rango2_30_9_3"/>
    <protectedRange algorithmName="SHA-512" hashValue="XZw03RosI/l0z9FxmTtF29EdZ7P+4+ybhqoaAAUmURojSR5XbGfjC4f2i8gMqfY+RI9JvfdCA6PSh9TduXfUxA==" saltValue="5TPtLq2WoiRSae/yaDPnTw==" spinCount="100000" sqref="EA745:EJ745" name="Rango2_99_80_2"/>
    <protectedRange algorithmName="SHA-512" hashValue="XZw03RosI/l0z9FxmTtF29EdZ7P+4+ybhqoaAAUmURojSR5XbGfjC4f2i8gMqfY+RI9JvfdCA6PSh9TduXfUxA==" saltValue="5TPtLq2WoiRSae/yaDPnTw==" spinCount="100000" sqref="EO745" name="Rango2_99_80_1_1"/>
    <protectedRange algorithmName="SHA-512" hashValue="9+DNppQbWrLYYUMoJ+lyQctV2bX3Vq9kZnegLbpjTLP49It2ovUbcartuoQTeXgP+TGpY//7mDH/UQlFCKDGiA==" saltValue="KUnni6YEm00anzSSvyLqQA==" spinCount="100000" sqref="EN745" name="Rango2_86_4"/>
    <protectedRange algorithmName="SHA-512" hashValue="XZw03RosI/l0z9FxmTtF29EdZ7P+4+ybhqoaAAUmURojSR5XbGfjC4f2i8gMqfY+RI9JvfdCA6PSh9TduXfUxA==" saltValue="5TPtLq2WoiRSae/yaDPnTw==" spinCount="100000" sqref="ER745:ES745" name="Rango2_99_80_2_1"/>
    <protectedRange algorithmName="SHA-512" hashValue="XZw03RosI/l0z9FxmTtF29EdZ7P+4+ybhqoaAAUmURojSR5XbGfjC4f2i8gMqfY+RI9JvfdCA6PSh9TduXfUxA==" saltValue="5TPtLq2WoiRSae/yaDPnTw==" spinCount="100000" sqref="EV745:EW745" name="Rango2_99_80_3"/>
    <protectedRange algorithmName="SHA-512" hashValue="9+DNppQbWrLYYUMoJ+lyQctV2bX3Vq9kZnegLbpjTLP49It2ovUbcartuoQTeXgP+TGpY//7mDH/UQlFCKDGiA==" saltValue="KUnni6YEm00anzSSvyLqQA==" spinCount="100000" sqref="EY745:FA745" name="Rango2_86_1_1"/>
    <protectedRange algorithmName="SHA-512" hashValue="9+DNppQbWrLYYUMoJ+lyQctV2bX3Vq9kZnegLbpjTLP49It2ovUbcartuoQTeXgP+TGpY//7mDH/UQlFCKDGiA==" saltValue="KUnni6YEm00anzSSvyLqQA==" spinCount="100000" sqref="FC745" name="Rango2_86_2_1"/>
    <protectedRange algorithmName="SHA-512" hashValue="XZw03RosI/l0z9FxmTtF29EdZ7P+4+ybhqoaAAUmURojSR5XbGfjC4f2i8gMqfY+RI9JvfdCA6PSh9TduXfUxA==" saltValue="5TPtLq2WoiRSae/yaDPnTw==" spinCount="100000" sqref="FF745" name="Rango2_99_80_4"/>
    <protectedRange algorithmName="SHA-512" hashValue="9+DNppQbWrLYYUMoJ+lyQctV2bX3Vq9kZnegLbpjTLP49It2ovUbcartuoQTeXgP+TGpY//7mDH/UQlFCKDGiA==" saltValue="KUnni6YEm00anzSSvyLqQA==" spinCount="100000" sqref="FE745" name="Rango2_86_3_1"/>
    <protectedRange algorithmName="SHA-512" hashValue="XZw03RosI/l0z9FxmTtF29EdZ7P+4+ybhqoaAAUmURojSR5XbGfjC4f2i8gMqfY+RI9JvfdCA6PSh9TduXfUxA==" saltValue="5TPtLq2WoiRSae/yaDPnTw==" spinCount="100000" sqref="FI745" name="Rango2_99_80_5"/>
    <protectedRange algorithmName="SHA-512" hashValue="9+DNppQbWrLYYUMoJ+lyQctV2bX3Vq9kZnegLbpjTLP49It2ovUbcartuoQTeXgP+TGpY//7mDH/UQlFCKDGiA==" saltValue="KUnni6YEm00anzSSvyLqQA==" spinCount="100000" sqref="FH745" name="Rango2_86_4_1"/>
    <protectedRange algorithmName="SHA-512" hashValue="9+DNppQbWrLYYUMoJ+lyQctV2bX3Vq9kZnegLbpjTLP49It2ovUbcartuoQTeXgP+TGpY//7mDH/UQlFCKDGiA==" saltValue="KUnni6YEm00anzSSvyLqQA==" spinCount="100000" sqref="FK745:FL745" name="Rango2_86_5"/>
    <protectedRange algorithmName="SHA-512" hashValue="9+DNppQbWrLYYUMoJ+lyQctV2bX3Vq9kZnegLbpjTLP49It2ovUbcartuoQTeXgP+TGpY//7mDH/UQlFCKDGiA==" saltValue="KUnni6YEm00anzSSvyLqQA==" spinCount="100000" sqref="FN745:FO745" name="Rango2_86_6"/>
    <protectedRange algorithmName="SHA-512" hashValue="XZw03RosI/l0z9FxmTtF29EdZ7P+4+ybhqoaAAUmURojSR5XbGfjC4f2i8gMqfY+RI9JvfdCA6PSh9TduXfUxA==" saltValue="5TPtLq2WoiRSae/yaDPnTw==" spinCount="100000" sqref="FQ745:FR745" name="Rango2_99_80_6"/>
    <protectedRange algorithmName="SHA-512" hashValue="XZw03RosI/l0z9FxmTtF29EdZ7P+4+ybhqoaAAUmURojSR5XbGfjC4f2i8gMqfY+RI9JvfdCA6PSh9TduXfUxA==" saltValue="5TPtLq2WoiRSae/yaDPnTw==" spinCount="100000" sqref="FU745" name="Rango2_99_80_7"/>
    <protectedRange algorithmName="SHA-512" hashValue="pL4tgTKqwEsWSIEGFTBd+4pvEhE7d5Q99Eijs+L/Y1rhA0saQGGRJw5Pv2HLOP0quglztFwB6WVnQ1YGxd4AiQ==" saltValue="IF5mhk2RcoEjrcYppes1VA==" spinCount="100000" sqref="FT745" name="Rango2_30_27_1"/>
    <protectedRange algorithmName="SHA-512" hashValue="XZw03RosI/l0z9FxmTtF29EdZ7P+4+ybhqoaAAUmURojSR5XbGfjC4f2i8gMqfY+RI9JvfdCA6PSh9TduXfUxA==" saltValue="5TPtLq2WoiRSae/yaDPnTw==" spinCount="100000" sqref="FW745:FX745" name="Rango2_99_80_9"/>
    <protectedRange algorithmName="SHA-512" hashValue="Umj9+5Ys20VQPxBFtc6qE5LtKKSgPKwit+B8dd4XnEUaLfBM2ozpkEC4YxwK0SbBiAHDDex+pY+LomQ0lyuamQ==" saltValue="N2/MCRws+mmA+NXw0axolg==" spinCount="100000" sqref="FY745" name="Rango2_31_2_27_3"/>
    <protectedRange algorithmName="SHA-512" hashValue="XZw03RosI/l0z9FxmTtF29EdZ7P+4+ybhqoaAAUmURojSR5XbGfjC4f2i8gMqfY+RI9JvfdCA6PSh9TduXfUxA==" saltValue="5TPtLq2WoiRSae/yaDPnTw==" spinCount="100000" sqref="FZ745" name="Rango2_99_80_10"/>
    <protectedRange algorithmName="SHA-512" hashValue="Umj9+5Ys20VQPxBFtc6qE5LtKKSgPKwit+B8dd4XnEUaLfBM2ozpkEC4YxwK0SbBiAHDDex+pY+LomQ0lyuamQ==" saltValue="N2/MCRws+mmA+NXw0axolg==" spinCount="100000" sqref="GB745" name="Rango2_31_2_27_1_1"/>
    <protectedRange algorithmName="SHA-512" hashValue="Rgskw+AQdeJ5qbJdarzTa3SCkJfDGziy0Uan5N0F3IWn/H3Z/e+VcB56R7Nes7MPxNHewNP1sSSucVjz3iTLeA==" saltValue="qKZH3DnwaZHBzy3cBZo1qQ==" spinCount="100000" sqref="GF745" name="Rango2_31_28_26_1"/>
    <protectedRange algorithmName="SHA-512" hashValue="Umj9+5Ys20VQPxBFtc6qE5LtKKSgPKwit+B8dd4XnEUaLfBM2ozpkEC4YxwK0SbBiAHDDex+pY+LomQ0lyuamQ==" saltValue="N2/MCRws+mmA+NXw0axolg==" spinCount="100000" sqref="GE745" name="Rango2_31_2_27_2_1"/>
    <protectedRange algorithmName="SHA-512" hashValue="EEHzbvEYwO1eufllBljOz0uf9BJ2ENtvOScQ7IsS321QhYbwKn7qhHKKP8cKj02rTDvVRMWvwQ1ZP0mZWsBprQ==" saltValue="CjXqBRFbKezlWOFV37MnDQ==" spinCount="100000" sqref="GN745" name="Rango2_30_2_28_1"/>
    <protectedRange algorithmName="SHA-512" hashValue="Umj9+5Ys20VQPxBFtc6qE5LtKKSgPKwit+B8dd4XnEUaLfBM2ozpkEC4YxwK0SbBiAHDDex+pY+LomQ0lyuamQ==" saltValue="N2/MCRws+mmA+NXw0axolg==" spinCount="100000" sqref="GL745 GH745 GJ745" name="Rango2_31_2_27_3_1"/>
    <protectedRange algorithmName="SHA-512" hashValue="XZw03RosI/l0z9FxmTtF29EdZ7P+4+ybhqoaAAUmURojSR5XbGfjC4f2i8gMqfY+RI9JvfdCA6PSh9TduXfUxA==" saltValue="5TPtLq2WoiRSae/yaDPnTw==" spinCount="100000" sqref="GK745 GM745" name="Rango2_99_80_11"/>
    <protectedRange algorithmName="SHA-512" hashValue="YXHanhqXL0e4jPrzkCF8r/22WmlCviFUW909WKuG1JOcU0mp0/Huh0aP3EaGYxV2ep0WGu48HsShAy4Ka2uOiw==" saltValue="h/7U5iwJm7DLR4tRVfwZYw==" spinCount="100000" sqref="GI745" name="Rango2_33_39_1"/>
    <protectedRange algorithmName="SHA-512" hashValue="XZw03RosI/l0z9FxmTtF29EdZ7P+4+ybhqoaAAUmURojSR5XbGfjC4f2i8gMqfY+RI9JvfdCA6PSh9TduXfUxA==" saltValue="5TPtLq2WoiRSae/yaDPnTw==" spinCount="100000" sqref="GO745" name="Rango2_99_80_12"/>
    <protectedRange algorithmName="SHA-512" hashValue="EEHzbvEYwO1eufllBljOz0uf9BJ2ENtvOScQ7IsS321QhYbwKn7qhHKKP8cKj02rTDvVRMWvwQ1ZP0mZWsBprQ==" saltValue="CjXqBRFbKezlWOFV37MnDQ==" spinCount="100000" sqref="GQ745:GR745" name="Rango2_30_2_28_1_1"/>
    <protectedRange algorithmName="SHA-512" hashValue="XZw03RosI/l0z9FxmTtF29EdZ7P+4+ybhqoaAAUmURojSR5XbGfjC4f2i8gMqfY+RI9JvfdCA6PSh9TduXfUxA==" saltValue="5TPtLq2WoiRSae/yaDPnTw==" spinCount="100000" sqref="GT745" name="Rango2_99_80_13"/>
    <protectedRange algorithmName="SHA-512" hashValue="EEHzbvEYwO1eufllBljOz0uf9BJ2ENtvOScQ7IsS321QhYbwKn7qhHKKP8cKj02rTDvVRMWvwQ1ZP0mZWsBprQ==" saltValue="CjXqBRFbKezlWOFV37MnDQ==" spinCount="100000" sqref="GW745" name="Rango2_30_2_28_2"/>
    <protectedRange algorithmName="SHA-512" hashValue="XZw03RosI/l0z9FxmTtF29EdZ7P+4+ybhqoaAAUmURojSR5XbGfjC4f2i8gMqfY+RI9JvfdCA6PSh9TduXfUxA==" saltValue="5TPtLq2WoiRSae/yaDPnTw==" spinCount="100000" sqref="GY745:GZ745" name="Rango2_99_80_14"/>
    <protectedRange algorithmName="SHA-512" hashValue="9+DNppQbWrLYYUMoJ+lyQctV2bX3Vq9kZnegLbpjTLP49It2ovUbcartuoQTeXgP+TGpY//7mDH/UQlFCKDGiA==" saltValue="KUnni6YEm00anzSSvyLqQA==" spinCount="100000" sqref="GX745" name="Rango2_86_7"/>
    <protectedRange algorithmName="SHA-512" hashValue="XZw03RosI/l0z9FxmTtF29EdZ7P+4+ybhqoaAAUmURojSR5XbGfjC4f2i8gMqfY+RI9JvfdCA6PSh9TduXfUxA==" saltValue="5TPtLq2WoiRSae/yaDPnTw==" spinCount="100000" sqref="HJ745" name="Rango2_99_80_15"/>
    <protectedRange algorithmName="SHA-512" hashValue="q2z5hEFmXS0v2chiPTC/VCoDWNlnhp+Xe6Ybfxe48vIsnB/KTJQxJv+pFUnCXfZ9T6vyJopuqFFNROfQTW/JUw==" saltValue="IctfdGJb5tOTpq+KPi9vww==" spinCount="100000" sqref="IA745" name="Rango2_88_39_45_3"/>
    <protectedRange algorithmName="SHA-512" hashValue="XZw03RosI/l0z9FxmTtF29EdZ7P+4+ybhqoaAAUmURojSR5XbGfjC4f2i8gMqfY+RI9JvfdCA6PSh9TduXfUxA==" saltValue="5TPtLq2WoiRSae/yaDPnTw==" spinCount="100000" sqref="IB745 HU745:HZ745" name="Rango2_99_80_16"/>
    <protectedRange algorithmName="SHA-512" hashValue="9+DNppQbWrLYYUMoJ+lyQctV2bX3Vq9kZnegLbpjTLP49It2ovUbcartuoQTeXgP+TGpY//7mDH/UQlFCKDGiA==" saltValue="KUnni6YEm00anzSSvyLqQA==" spinCount="100000" sqref="HT745" name="Rango2_86_8"/>
    <protectedRange algorithmName="SHA-512" hashValue="q2z5hEFmXS0v2chiPTC/VCoDWNlnhp+Xe6Ybfxe48vIsnB/KTJQxJv+pFUnCXfZ9T6vyJopuqFFNROfQTW/JUw==" saltValue="IctfdGJb5tOTpq+KPi9vww==" spinCount="100000" sqref="ID745:IJ745" name="Rango2_88_39_45_1_1"/>
    <protectedRange algorithmName="SHA-512" hashValue="XZw03RosI/l0z9FxmTtF29EdZ7P+4+ybhqoaAAUmURojSR5XbGfjC4f2i8gMqfY+RI9JvfdCA6PSh9TduXfUxA==" saltValue="5TPtLq2WoiRSae/yaDPnTw==" spinCount="100000" sqref="IL745:IM745" name="Rango2_99_80_17"/>
    <protectedRange algorithmName="SHA-512" hashValue="XZw03RosI/l0z9FxmTtF29EdZ7P+4+ybhqoaAAUmURojSR5XbGfjC4f2i8gMqfY+RI9JvfdCA6PSh9TduXfUxA==" saltValue="5TPtLq2WoiRSae/yaDPnTw==" spinCount="100000" sqref="IO745" name="Rango2_99_80_18"/>
    <protectedRange algorithmName="SHA-512" hashValue="XZw03RosI/l0z9FxmTtF29EdZ7P+4+ybhqoaAAUmURojSR5XbGfjC4f2i8gMqfY+RI9JvfdCA6PSh9TduXfUxA==" saltValue="5TPtLq2WoiRSae/yaDPnTw==" spinCount="100000" sqref="EA746:EI746" name="Rango2_99_80_8"/>
    <protectedRange algorithmName="SHA-512" hashValue="XZw03RosI/l0z9FxmTtF29EdZ7P+4+ybhqoaAAUmURojSR5XbGfjC4f2i8gMqfY+RI9JvfdCA6PSh9TduXfUxA==" saltValue="5TPtLq2WoiRSae/yaDPnTw==" spinCount="100000" sqref="EA747:EJ747" name="Rango2_99_80_19"/>
    <protectedRange algorithmName="SHA-512" hashValue="XZw03RosI/l0z9FxmTtF29EdZ7P+4+ybhqoaAAUmURojSR5XbGfjC4f2i8gMqfY+RI9JvfdCA6PSh9TduXfUxA==" saltValue="5TPtLq2WoiRSae/yaDPnTw==" spinCount="100000" sqref="EO747" name="Rango2_99_80_1_2"/>
    <protectedRange algorithmName="SHA-512" hashValue="9+DNppQbWrLYYUMoJ+lyQctV2bX3Vq9kZnegLbpjTLP49It2ovUbcartuoQTeXgP+TGpY//7mDH/UQlFCKDGiA==" saltValue="KUnni6YEm00anzSSvyLqQA==" spinCount="100000" sqref="EN747" name="Rango2_86_9"/>
    <protectedRange algorithmName="SHA-512" hashValue="XZw03RosI/l0z9FxmTtF29EdZ7P+4+ybhqoaAAUmURojSR5XbGfjC4f2i8gMqfY+RI9JvfdCA6PSh9TduXfUxA==" saltValue="5TPtLq2WoiRSae/yaDPnTw==" spinCount="100000" sqref="ER747:ES747" name="Rango2_99_80_2_2"/>
    <protectedRange algorithmName="SHA-512" hashValue="XZw03RosI/l0z9FxmTtF29EdZ7P+4+ybhqoaAAUmURojSR5XbGfjC4f2i8gMqfY+RI9JvfdCA6PSh9TduXfUxA==" saltValue="5TPtLq2WoiRSae/yaDPnTw==" spinCount="100000" sqref="EV747:EW747" name="Rango2_99_80_3_1"/>
    <protectedRange algorithmName="SHA-512" hashValue="9+DNppQbWrLYYUMoJ+lyQctV2bX3Vq9kZnegLbpjTLP49It2ovUbcartuoQTeXgP+TGpY//7mDH/UQlFCKDGiA==" saltValue="KUnni6YEm00anzSSvyLqQA==" spinCount="100000" sqref="EY747:FA747" name="Rango2_86_1_2"/>
    <protectedRange algorithmName="SHA-512" hashValue="9+DNppQbWrLYYUMoJ+lyQctV2bX3Vq9kZnegLbpjTLP49It2ovUbcartuoQTeXgP+TGpY//7mDH/UQlFCKDGiA==" saltValue="KUnni6YEm00anzSSvyLqQA==" spinCount="100000" sqref="FC747" name="Rango2_86_2_2"/>
    <protectedRange algorithmName="SHA-512" hashValue="XZw03RosI/l0z9FxmTtF29EdZ7P+4+ybhqoaAAUmURojSR5XbGfjC4f2i8gMqfY+RI9JvfdCA6PSh9TduXfUxA==" saltValue="5TPtLq2WoiRSae/yaDPnTw==" spinCount="100000" sqref="FF747" name="Rango2_99_80_4_1"/>
    <protectedRange algorithmName="SHA-512" hashValue="9+DNppQbWrLYYUMoJ+lyQctV2bX3Vq9kZnegLbpjTLP49It2ovUbcartuoQTeXgP+TGpY//7mDH/UQlFCKDGiA==" saltValue="KUnni6YEm00anzSSvyLqQA==" spinCount="100000" sqref="FE747" name="Rango2_86_3_2"/>
    <protectedRange algorithmName="SHA-512" hashValue="XZw03RosI/l0z9FxmTtF29EdZ7P+4+ybhqoaAAUmURojSR5XbGfjC4f2i8gMqfY+RI9JvfdCA6PSh9TduXfUxA==" saltValue="5TPtLq2WoiRSae/yaDPnTw==" spinCount="100000" sqref="FI747" name="Rango2_99_80_5_1"/>
    <protectedRange algorithmName="SHA-512" hashValue="9+DNppQbWrLYYUMoJ+lyQctV2bX3Vq9kZnegLbpjTLP49It2ovUbcartuoQTeXgP+TGpY//7mDH/UQlFCKDGiA==" saltValue="KUnni6YEm00anzSSvyLqQA==" spinCount="100000" sqref="FH747" name="Rango2_86_4_2"/>
    <protectedRange algorithmName="SHA-512" hashValue="9+DNppQbWrLYYUMoJ+lyQctV2bX3Vq9kZnegLbpjTLP49It2ovUbcartuoQTeXgP+TGpY//7mDH/UQlFCKDGiA==" saltValue="KUnni6YEm00anzSSvyLqQA==" spinCount="100000" sqref="FK747:FL747" name="Rango2_86_5_1"/>
    <protectedRange algorithmName="SHA-512" hashValue="9+DNppQbWrLYYUMoJ+lyQctV2bX3Vq9kZnegLbpjTLP49It2ovUbcartuoQTeXgP+TGpY//7mDH/UQlFCKDGiA==" saltValue="KUnni6YEm00anzSSvyLqQA==" spinCount="100000" sqref="FN747:FO747" name="Rango2_86_6_1"/>
    <protectedRange algorithmName="SHA-512" hashValue="XZw03RosI/l0z9FxmTtF29EdZ7P+4+ybhqoaAAUmURojSR5XbGfjC4f2i8gMqfY+RI9JvfdCA6PSh9TduXfUxA==" saltValue="5TPtLq2WoiRSae/yaDPnTw==" spinCount="100000" sqref="FQ747:FR747" name="Rango2_99_80_6_1"/>
    <protectedRange algorithmName="SHA-512" hashValue="XZw03RosI/l0z9FxmTtF29EdZ7P+4+ybhqoaAAUmURojSR5XbGfjC4f2i8gMqfY+RI9JvfdCA6PSh9TduXfUxA==" saltValue="5TPtLq2WoiRSae/yaDPnTw==" spinCount="100000" sqref="FU747" name="Rango2_99_80_7_1"/>
    <protectedRange algorithmName="SHA-512" hashValue="pL4tgTKqwEsWSIEGFTBd+4pvEhE7d5Q99Eijs+L/Y1rhA0saQGGRJw5Pv2HLOP0quglztFwB6WVnQ1YGxd4AiQ==" saltValue="IF5mhk2RcoEjrcYppes1VA==" spinCount="100000" sqref="FT747" name="Rango2_30_27_2"/>
    <protectedRange sqref="FW747" name="Rango2_99_34_7"/>
    <protectedRange algorithmName="SHA-512" hashValue="XZw03RosI/l0z9FxmTtF29EdZ7P+4+ybhqoaAAUmURojSR5XbGfjC4f2i8gMqfY+RI9JvfdCA6PSh9TduXfUxA==" saltValue="5TPtLq2WoiRSae/yaDPnTw==" spinCount="100000" sqref="FX747" name="Rango2_99_80_9_1"/>
    <protectedRange algorithmName="SHA-512" hashValue="Umj9+5Ys20VQPxBFtc6qE5LtKKSgPKwit+B8dd4XnEUaLfBM2ozpkEC4YxwK0SbBiAHDDex+pY+LomQ0lyuamQ==" saltValue="N2/MCRws+mmA+NXw0axolg==" spinCount="100000" sqref="FY747" name="Rango2_31_2_27_4"/>
    <protectedRange algorithmName="SHA-512" hashValue="XZw03RosI/l0z9FxmTtF29EdZ7P+4+ybhqoaAAUmURojSR5XbGfjC4f2i8gMqfY+RI9JvfdCA6PSh9TduXfUxA==" saltValue="5TPtLq2WoiRSae/yaDPnTw==" spinCount="100000" sqref="FZ747" name="Rango2_99_80_10_1"/>
    <protectedRange algorithmName="SHA-512" hashValue="YXHanhqXL0e4jPrzkCF8r/22WmlCviFUW909WKuG1JOcU0mp0/Huh0aP3EaGYxV2ep0WGu48HsShAy4Ka2uOiw==" saltValue="h/7U5iwJm7DLR4tRVfwZYw==" spinCount="100000" sqref="GC747" name="Rango2_33_39_2"/>
    <protectedRange algorithmName="SHA-512" hashValue="Rgskw+AQdeJ5qbJdarzTa3SCkJfDGziy0Uan5N0F3IWn/H3Z/e+VcB56R7Nes7MPxNHewNP1sSSucVjz3iTLeA==" saltValue="qKZH3DnwaZHBzy3cBZo1qQ==" spinCount="100000" sqref="GF747" name="Rango2_31_28_26_2"/>
    <protectedRange algorithmName="SHA-512" hashValue="Umj9+5Ys20VQPxBFtc6qE5LtKKSgPKwit+B8dd4XnEUaLfBM2ozpkEC4YxwK0SbBiAHDDex+pY+LomQ0lyuamQ==" saltValue="N2/MCRws+mmA+NXw0axolg==" spinCount="100000" sqref="GE747" name="Rango2_31_2_27_2_2"/>
    <protectedRange algorithmName="SHA-512" hashValue="EEHzbvEYwO1eufllBljOz0uf9BJ2ENtvOScQ7IsS321QhYbwKn7qhHKKP8cKj02rTDvVRMWvwQ1ZP0mZWsBprQ==" saltValue="CjXqBRFbKezlWOFV37MnDQ==" spinCount="100000" sqref="GN747" name="Rango2_30_2_28_3"/>
    <protectedRange algorithmName="SHA-512" hashValue="Umj9+5Ys20VQPxBFtc6qE5LtKKSgPKwit+B8dd4XnEUaLfBM2ozpkEC4YxwK0SbBiAHDDex+pY+LomQ0lyuamQ==" saltValue="N2/MCRws+mmA+NXw0axolg==" spinCount="100000" sqref="GL747 GH747 GJ747" name="Rango2_31_2_27_3_2"/>
    <protectedRange algorithmName="SHA-512" hashValue="XZw03RosI/l0z9FxmTtF29EdZ7P+4+ybhqoaAAUmURojSR5XbGfjC4f2i8gMqfY+RI9JvfdCA6PSh9TduXfUxA==" saltValue="5TPtLq2WoiRSae/yaDPnTw==" spinCount="100000" sqref="GK747 GM747" name="Rango2_99_80_11_1"/>
    <protectedRange algorithmName="SHA-512" hashValue="YXHanhqXL0e4jPrzkCF8r/22WmlCviFUW909WKuG1JOcU0mp0/Huh0aP3EaGYxV2ep0WGu48HsShAy4Ka2uOiw==" saltValue="h/7U5iwJm7DLR4tRVfwZYw==" spinCount="100000" sqref="GI747" name="Rango2_33_39_1_1"/>
    <protectedRange algorithmName="SHA-512" hashValue="XZw03RosI/l0z9FxmTtF29EdZ7P+4+ybhqoaAAUmURojSR5XbGfjC4f2i8gMqfY+RI9JvfdCA6PSh9TduXfUxA==" saltValue="5TPtLq2WoiRSae/yaDPnTw==" spinCount="100000" sqref="GO747" name="Rango2_99_80_12_1"/>
    <protectedRange algorithmName="SHA-512" hashValue="EEHzbvEYwO1eufllBljOz0uf9BJ2ENtvOScQ7IsS321QhYbwKn7qhHKKP8cKj02rTDvVRMWvwQ1ZP0mZWsBprQ==" saltValue="CjXqBRFbKezlWOFV37MnDQ==" spinCount="100000" sqref="GQ747:GR747" name="Rango2_30_2_28_1_2"/>
    <protectedRange algorithmName="SHA-512" hashValue="XZw03RosI/l0z9FxmTtF29EdZ7P+4+ybhqoaAAUmURojSR5XbGfjC4f2i8gMqfY+RI9JvfdCA6PSh9TduXfUxA==" saltValue="5TPtLq2WoiRSae/yaDPnTw==" spinCount="100000" sqref="GT747" name="Rango2_99_80_13_1"/>
    <protectedRange algorithmName="SHA-512" hashValue="EEHzbvEYwO1eufllBljOz0uf9BJ2ENtvOScQ7IsS321QhYbwKn7qhHKKP8cKj02rTDvVRMWvwQ1ZP0mZWsBprQ==" saltValue="CjXqBRFbKezlWOFV37MnDQ==" spinCount="100000" sqref="GW747" name="Rango2_30_2_28_2_1"/>
    <protectedRange algorithmName="SHA-512" hashValue="XZw03RosI/l0z9FxmTtF29EdZ7P+4+ybhqoaAAUmURojSR5XbGfjC4f2i8gMqfY+RI9JvfdCA6PSh9TduXfUxA==" saltValue="5TPtLq2WoiRSae/yaDPnTw==" spinCount="100000" sqref="GY747:GZ747" name="Rango2_99_80_14_1"/>
    <protectedRange algorithmName="SHA-512" hashValue="9+DNppQbWrLYYUMoJ+lyQctV2bX3Vq9kZnegLbpjTLP49It2ovUbcartuoQTeXgP+TGpY//7mDH/UQlFCKDGiA==" saltValue="KUnni6YEm00anzSSvyLqQA==" spinCount="100000" sqref="GX747" name="Rango2_86_7_1"/>
    <protectedRange algorithmName="SHA-512" hashValue="XZw03RosI/l0z9FxmTtF29EdZ7P+4+ybhqoaAAUmURojSR5XbGfjC4f2i8gMqfY+RI9JvfdCA6PSh9TduXfUxA==" saltValue="5TPtLq2WoiRSae/yaDPnTw==" spinCount="100000" sqref="HJ747" name="Rango2_99_80_15_1"/>
    <protectedRange algorithmName="SHA-512" hashValue="q2z5hEFmXS0v2chiPTC/VCoDWNlnhp+Xe6Ybfxe48vIsnB/KTJQxJv+pFUnCXfZ9T6vyJopuqFFNROfQTW/JUw==" saltValue="IctfdGJb5tOTpq+KPi9vww==" spinCount="100000" sqref="IA747" name="Rango2_88_39_45_4"/>
    <protectedRange algorithmName="SHA-512" hashValue="XZw03RosI/l0z9FxmTtF29EdZ7P+4+ybhqoaAAUmURojSR5XbGfjC4f2i8gMqfY+RI9JvfdCA6PSh9TduXfUxA==" saltValue="5TPtLq2WoiRSae/yaDPnTw==" spinCount="100000" sqref="IB747 HU747:HZ747" name="Rango2_99_80_16_1"/>
    <protectedRange algorithmName="SHA-512" hashValue="9+DNppQbWrLYYUMoJ+lyQctV2bX3Vq9kZnegLbpjTLP49It2ovUbcartuoQTeXgP+TGpY//7mDH/UQlFCKDGiA==" saltValue="KUnni6YEm00anzSSvyLqQA==" spinCount="100000" sqref="HT747" name="Rango2_86_8_1"/>
    <protectedRange algorithmName="SHA-512" hashValue="q2z5hEFmXS0v2chiPTC/VCoDWNlnhp+Xe6Ybfxe48vIsnB/KTJQxJv+pFUnCXfZ9T6vyJopuqFFNROfQTW/JUw==" saltValue="IctfdGJb5tOTpq+KPi9vww==" spinCount="100000" sqref="ID747:IJ747" name="Rango2_88_39_45_1_2"/>
    <protectedRange algorithmName="SHA-512" hashValue="XZw03RosI/l0z9FxmTtF29EdZ7P+4+ybhqoaAAUmURojSR5XbGfjC4f2i8gMqfY+RI9JvfdCA6PSh9TduXfUxA==" saltValue="5TPtLq2WoiRSae/yaDPnTw==" spinCount="100000" sqref="IL747:IM747" name="Rango2_99_80_17_1"/>
    <protectedRange algorithmName="SHA-512" hashValue="XZw03RosI/l0z9FxmTtF29EdZ7P+4+ybhqoaAAUmURojSR5XbGfjC4f2i8gMqfY+RI9JvfdCA6PSh9TduXfUxA==" saltValue="5TPtLq2WoiRSae/yaDPnTw==" spinCount="100000" sqref="IO747" name="Rango2_99_80_18_1"/>
    <protectedRange algorithmName="SHA-512" hashValue="XZw03RosI/l0z9FxmTtF29EdZ7P+4+ybhqoaAAUmURojSR5XbGfjC4f2i8gMqfY+RI9JvfdCA6PSh9TduXfUxA==" saltValue="5TPtLq2WoiRSae/yaDPnTw==" spinCount="100000" sqref="EA748:EJ748" name="Rango2_99_70_10"/>
    <protectedRange algorithmName="SHA-512" hashValue="XZw03RosI/l0z9FxmTtF29EdZ7P+4+ybhqoaAAUmURojSR5XbGfjC4f2i8gMqfY+RI9JvfdCA6PSh9TduXfUxA==" saltValue="5TPtLq2WoiRSae/yaDPnTw==" spinCount="100000" sqref="EO748" name="Rango2_99_70_11"/>
    <protectedRange algorithmName="SHA-512" hashValue="9+DNppQbWrLYYUMoJ+lyQctV2bX3Vq9kZnegLbpjTLP49It2ovUbcartuoQTeXgP+TGpY//7mDH/UQlFCKDGiA==" saltValue="KUnni6YEm00anzSSvyLqQA==" spinCount="100000" sqref="EN748" name="Rango2_76_1_1"/>
    <protectedRange algorithmName="SHA-512" hashValue="XZw03RosI/l0z9FxmTtF29EdZ7P+4+ybhqoaAAUmURojSR5XbGfjC4f2i8gMqfY+RI9JvfdCA6PSh9TduXfUxA==" saltValue="5TPtLq2WoiRSae/yaDPnTw==" spinCount="100000" sqref="ER748:ES748" name="Rango2_99_70_12"/>
    <protectedRange algorithmName="SHA-512" hashValue="XZw03RosI/l0z9FxmTtF29EdZ7P+4+ybhqoaAAUmURojSR5XbGfjC4f2i8gMqfY+RI9JvfdCA6PSh9TduXfUxA==" saltValue="5TPtLq2WoiRSae/yaDPnTw==" spinCount="100000" sqref="EV748:EW748" name="Rango2_99_70_13"/>
    <protectedRange algorithmName="SHA-512" hashValue="9+DNppQbWrLYYUMoJ+lyQctV2bX3Vq9kZnegLbpjTLP49It2ovUbcartuoQTeXgP+TGpY//7mDH/UQlFCKDGiA==" saltValue="KUnni6YEm00anzSSvyLqQA==" spinCount="100000" sqref="EY748:FA748" name="Rango2_76_2_1"/>
    <protectedRange algorithmName="SHA-512" hashValue="9+DNppQbWrLYYUMoJ+lyQctV2bX3Vq9kZnegLbpjTLP49It2ovUbcartuoQTeXgP+TGpY//7mDH/UQlFCKDGiA==" saltValue="KUnni6YEm00anzSSvyLqQA==" spinCount="100000" sqref="FC748" name="Rango2_76_3_1"/>
    <protectedRange algorithmName="SHA-512" hashValue="XZw03RosI/l0z9FxmTtF29EdZ7P+4+ybhqoaAAUmURojSR5XbGfjC4f2i8gMqfY+RI9JvfdCA6PSh9TduXfUxA==" saltValue="5TPtLq2WoiRSae/yaDPnTw==" spinCount="100000" sqref="FF748" name="Rango2_99_70_14"/>
    <protectedRange algorithmName="SHA-512" hashValue="9+DNppQbWrLYYUMoJ+lyQctV2bX3Vq9kZnegLbpjTLP49It2ovUbcartuoQTeXgP+TGpY//7mDH/UQlFCKDGiA==" saltValue="KUnni6YEm00anzSSvyLqQA==" spinCount="100000" sqref="FE748" name="Rango2_76_4_1"/>
    <protectedRange algorithmName="SHA-512" hashValue="XZw03RosI/l0z9FxmTtF29EdZ7P+4+ybhqoaAAUmURojSR5XbGfjC4f2i8gMqfY+RI9JvfdCA6PSh9TduXfUxA==" saltValue="5TPtLq2WoiRSae/yaDPnTw==" spinCount="100000" sqref="FI748" name="Rango2_99_70_15"/>
    <protectedRange algorithmName="SHA-512" hashValue="9+DNppQbWrLYYUMoJ+lyQctV2bX3Vq9kZnegLbpjTLP49It2ovUbcartuoQTeXgP+TGpY//7mDH/UQlFCKDGiA==" saltValue="KUnni6YEm00anzSSvyLqQA==" spinCount="100000" sqref="FH748" name="Rango2_76_5_1"/>
    <protectedRange algorithmName="SHA-512" hashValue="XZw03RosI/l0z9FxmTtF29EdZ7P+4+ybhqoaAAUmURojSR5XbGfjC4f2i8gMqfY+RI9JvfdCA6PSh9TduXfUxA==" saltValue="5TPtLq2WoiRSae/yaDPnTw==" spinCount="100000" sqref="FL748" name="Rango2_99_70_16"/>
    <protectedRange algorithmName="SHA-512" hashValue="9+DNppQbWrLYYUMoJ+lyQctV2bX3Vq9kZnegLbpjTLP49It2ovUbcartuoQTeXgP+TGpY//7mDH/UQlFCKDGiA==" saltValue="KUnni6YEm00anzSSvyLqQA==" spinCount="100000" sqref="FK748" name="Rango2_76_6_1"/>
    <protectedRange algorithmName="SHA-512" hashValue="9+DNppQbWrLYYUMoJ+lyQctV2bX3Vq9kZnegLbpjTLP49It2ovUbcartuoQTeXgP+TGpY//7mDH/UQlFCKDGiA==" saltValue="KUnni6YEm00anzSSvyLqQA==" spinCount="100000" sqref="FN748:FO748" name="Rango2_76_7"/>
    <protectedRange algorithmName="SHA-512" hashValue="XZw03RosI/l0z9FxmTtF29EdZ7P+4+ybhqoaAAUmURojSR5XbGfjC4f2i8gMqfY+RI9JvfdCA6PSh9TduXfUxA==" saltValue="5TPtLq2WoiRSae/yaDPnTw==" spinCount="100000" sqref="FQ748:FR748" name="Rango2_99_70_17"/>
    <protectedRange algorithmName="SHA-512" hashValue="XZw03RosI/l0z9FxmTtF29EdZ7P+4+ybhqoaAAUmURojSR5XbGfjC4f2i8gMqfY+RI9JvfdCA6PSh9TduXfUxA==" saltValue="5TPtLq2WoiRSae/yaDPnTw==" spinCount="100000" sqref="FU748" name="Rango2_99_70_18"/>
    <protectedRange algorithmName="SHA-512" hashValue="pL4tgTKqwEsWSIEGFTBd+4pvEhE7d5Q99Eijs+L/Y1rhA0saQGGRJw5Pv2HLOP0quglztFwB6WVnQ1YGxd4AiQ==" saltValue="IF5mhk2RcoEjrcYppes1VA==" spinCount="100000" sqref="FT748" name="Rango2_30_20_2"/>
    <protectedRange algorithmName="SHA-512" hashValue="XZw03RosI/l0z9FxmTtF29EdZ7P+4+ybhqoaAAUmURojSR5XbGfjC4f2i8gMqfY+RI9JvfdCA6PSh9TduXfUxA==" saltValue="5TPtLq2WoiRSae/yaDPnTw==" spinCount="100000" sqref="FW748:FX748" name="Rango2_99_70_19"/>
    <protectedRange algorithmName="SHA-512" hashValue="Umj9+5Ys20VQPxBFtc6qE5LtKKSgPKwit+B8dd4XnEUaLfBM2ozpkEC4YxwK0SbBiAHDDex+pY+LomQ0lyuamQ==" saltValue="N2/MCRws+mmA+NXw0axolg==" spinCount="100000" sqref="FY748" name="Rango2_31_2_20_1"/>
    <protectedRange algorithmName="SHA-512" hashValue="XZw03RosI/l0z9FxmTtF29EdZ7P+4+ybhqoaAAUmURojSR5XbGfjC4f2i8gMqfY+RI9JvfdCA6PSh9TduXfUxA==" saltValue="5TPtLq2WoiRSae/yaDPnTw==" spinCount="100000" sqref="FZ748" name="Rango2_99_70_20"/>
    <protectedRange algorithmName="SHA-512" hashValue="YXHanhqXL0e4jPrzkCF8r/22WmlCviFUW909WKuG1JOcU0mp0/Huh0aP3EaGYxV2ep0WGu48HsShAy4Ka2uOiw==" saltValue="h/7U5iwJm7DLR4tRVfwZYw==" spinCount="100000" sqref="GC748" name="Rango2_33_34_1"/>
    <protectedRange algorithmName="SHA-512" hashValue="Rgskw+AQdeJ5qbJdarzTa3SCkJfDGziy0Uan5N0F3IWn/H3Z/e+VcB56R7Nes7MPxNHewNP1sSSucVjz3iTLeA==" saltValue="qKZH3DnwaZHBzy3cBZo1qQ==" spinCount="100000" sqref="GF748" name="Rango2_31_28_19_2"/>
    <protectedRange algorithmName="SHA-512" hashValue="Umj9+5Ys20VQPxBFtc6qE5LtKKSgPKwit+B8dd4XnEUaLfBM2ozpkEC4YxwK0SbBiAHDDex+pY+LomQ0lyuamQ==" saltValue="N2/MCRws+mmA+NXw0axolg==" spinCount="100000" sqref="GE748" name="Rango2_31_2_20_2"/>
    <protectedRange algorithmName="SHA-512" hashValue="EEHzbvEYwO1eufllBljOz0uf9BJ2ENtvOScQ7IsS321QhYbwKn7qhHKKP8cKj02rTDvVRMWvwQ1ZP0mZWsBprQ==" saltValue="CjXqBRFbKezlWOFV37MnDQ==" spinCount="100000" sqref="GN748" name="Rango2_30_2_21_2"/>
    <protectedRange algorithmName="SHA-512" hashValue="Umj9+5Ys20VQPxBFtc6qE5LtKKSgPKwit+B8dd4XnEUaLfBM2ozpkEC4YxwK0SbBiAHDDex+pY+LomQ0lyuamQ==" saltValue="N2/MCRws+mmA+NXw0axolg==" spinCount="100000" sqref="GJ748 GH748 GL748" name="Rango2_31_2_20_3"/>
    <protectedRange algorithmName="SHA-512" hashValue="XZw03RosI/l0z9FxmTtF29EdZ7P+4+ybhqoaAAUmURojSR5XbGfjC4f2i8gMqfY+RI9JvfdCA6PSh9TduXfUxA==" saltValue="5TPtLq2WoiRSae/yaDPnTw==" spinCount="100000" sqref="GM748 GK748" name="Rango2_99_70_21"/>
    <protectedRange algorithmName="SHA-512" hashValue="YXHanhqXL0e4jPrzkCF8r/22WmlCviFUW909WKuG1JOcU0mp0/Huh0aP3EaGYxV2ep0WGu48HsShAy4Ka2uOiw==" saltValue="h/7U5iwJm7DLR4tRVfwZYw==" spinCount="100000" sqref="GI748" name="Rango2_33_34_1_1"/>
    <protectedRange algorithmName="SHA-512" hashValue="XZw03RosI/l0z9FxmTtF29EdZ7P+4+ybhqoaAAUmURojSR5XbGfjC4f2i8gMqfY+RI9JvfdCA6PSh9TduXfUxA==" saltValue="5TPtLq2WoiRSae/yaDPnTw==" spinCount="100000" sqref="GO748" name="Rango2_99_70_22"/>
    <protectedRange algorithmName="SHA-512" hashValue="EEHzbvEYwO1eufllBljOz0uf9BJ2ENtvOScQ7IsS321QhYbwKn7qhHKKP8cKj02rTDvVRMWvwQ1ZP0mZWsBprQ==" saltValue="CjXqBRFbKezlWOFV37MnDQ==" spinCount="100000" sqref="GQ748:GR748" name="Rango2_30_2_21_1_1"/>
    <protectedRange algorithmName="SHA-512" hashValue="XZw03RosI/l0z9FxmTtF29EdZ7P+4+ybhqoaAAUmURojSR5XbGfjC4f2i8gMqfY+RI9JvfdCA6PSh9TduXfUxA==" saltValue="5TPtLq2WoiRSae/yaDPnTw==" spinCount="100000" sqref="GT748" name="Rango2_99_70_23"/>
    <protectedRange algorithmName="SHA-512" hashValue="EEHzbvEYwO1eufllBljOz0uf9BJ2ENtvOScQ7IsS321QhYbwKn7qhHKKP8cKj02rTDvVRMWvwQ1ZP0mZWsBprQ==" saltValue="CjXqBRFbKezlWOFV37MnDQ==" spinCount="100000" sqref="GW748" name="Rango2_30_2_21_2_1"/>
    <protectedRange algorithmName="SHA-512" hashValue="XZw03RosI/l0z9FxmTtF29EdZ7P+4+ybhqoaAAUmURojSR5XbGfjC4f2i8gMqfY+RI9JvfdCA6PSh9TduXfUxA==" saltValue="5TPtLq2WoiRSae/yaDPnTw==" spinCount="100000" sqref="GY748:GZ748" name="Rango2_99_70_24"/>
    <protectedRange algorithmName="SHA-512" hashValue="9+DNppQbWrLYYUMoJ+lyQctV2bX3Vq9kZnegLbpjTLP49It2ovUbcartuoQTeXgP+TGpY//7mDH/UQlFCKDGiA==" saltValue="KUnni6YEm00anzSSvyLqQA==" spinCount="100000" sqref="GX748" name="Rango2_76_8"/>
    <protectedRange algorithmName="SHA-512" hashValue="XZw03RosI/l0z9FxmTtF29EdZ7P+4+ybhqoaAAUmURojSR5XbGfjC4f2i8gMqfY+RI9JvfdCA6PSh9TduXfUxA==" saltValue="5TPtLq2WoiRSae/yaDPnTw==" spinCount="100000" sqref="HJ748" name="Rango2_99_70_25"/>
    <protectedRange algorithmName="SHA-512" hashValue="q2z5hEFmXS0v2chiPTC/VCoDWNlnhp+Xe6Ybfxe48vIsnB/KTJQxJv+pFUnCXfZ9T6vyJopuqFFNROfQTW/JUw==" saltValue="IctfdGJb5tOTpq+KPi9vww==" spinCount="100000" sqref="IA748" name="Rango2_88_39_39_1_1"/>
    <protectedRange algorithmName="SHA-512" hashValue="XZw03RosI/l0z9FxmTtF29EdZ7P+4+ybhqoaAAUmURojSR5XbGfjC4f2i8gMqfY+RI9JvfdCA6PSh9TduXfUxA==" saltValue="5TPtLq2WoiRSae/yaDPnTw==" spinCount="100000" sqref="HU748:HZ748 IB748" name="Rango2_99_70_26"/>
    <protectedRange algorithmName="SHA-512" hashValue="9+DNppQbWrLYYUMoJ+lyQctV2bX3Vq9kZnegLbpjTLP49It2ovUbcartuoQTeXgP+TGpY//7mDH/UQlFCKDGiA==" saltValue="KUnni6YEm00anzSSvyLqQA==" spinCount="100000" sqref="HS748:HT748" name="Rango2_76_9"/>
    <protectedRange algorithmName="SHA-512" hashValue="q2z5hEFmXS0v2chiPTC/VCoDWNlnhp+Xe6Ybfxe48vIsnB/KTJQxJv+pFUnCXfZ9T6vyJopuqFFNROfQTW/JUw==" saltValue="IctfdGJb5tOTpq+KPi9vww==" spinCount="100000" sqref="ID748:IJ748" name="Rango2_88_39_39_2"/>
    <protectedRange algorithmName="SHA-512" hashValue="XZw03RosI/l0z9FxmTtF29EdZ7P+4+ybhqoaAAUmURojSR5XbGfjC4f2i8gMqfY+RI9JvfdCA6PSh9TduXfUxA==" saltValue="5TPtLq2WoiRSae/yaDPnTw==" spinCount="100000" sqref="IL748:IM748" name="Rango2_99_70_27"/>
    <protectedRange algorithmName="SHA-512" hashValue="XZw03RosI/l0z9FxmTtF29EdZ7P+4+ybhqoaAAUmURojSR5XbGfjC4f2i8gMqfY+RI9JvfdCA6PSh9TduXfUxA==" saltValue="5TPtLq2WoiRSae/yaDPnTw==" spinCount="100000" sqref="IO748" name="Rango2_99_70_28"/>
    <protectedRange sqref="EA749:EJ749" name="Rango2_99_19_4"/>
    <protectedRange sqref="EO749" name="Rango2_99_20_1"/>
    <protectedRange sqref="EN749" name="Rango2_25_3"/>
    <protectedRange sqref="ER749:ES749" name="Rango2_99_21_6"/>
    <protectedRange sqref="EV749:EW749" name="Rango2_99_22_2"/>
    <protectedRange sqref="EY749:FA749" name="Rango2_32_5"/>
    <protectedRange sqref="FC749" name="Rango2_39_4"/>
    <protectedRange sqref="FF749" name="Rango2_99_23_4"/>
    <protectedRange sqref="FE749" name="Rango2_40_1"/>
    <protectedRange sqref="FI749" name="Rango2_99_24_6"/>
    <protectedRange sqref="FH749" name="Rango2_43_4"/>
    <protectedRange sqref="FK749:FL749" name="Rango2_46_4"/>
    <protectedRange sqref="FN749:FO749" name="Rango2_49_8"/>
    <protectedRange sqref="FQ749:FR749" name="Rango2_99_26_2"/>
    <protectedRange sqref="FU749" name="Rango2_99_32_3"/>
    <protectedRange sqref="FT749" name="Rango2_30_1_1"/>
    <protectedRange sqref="FW749:FX749" name="Rango2_99_34_8"/>
    <protectedRange sqref="FY749" name="Rango2_31_2_1_1"/>
    <protectedRange sqref="FZ749" name="Rango2_99_37_2"/>
    <protectedRange sqref="GB749" name="Rango2_31_2_25_1"/>
    <protectedRange sqref="GC749" name="Rango2_33_1_1"/>
    <protectedRange sqref="GF749" name="Rango2_31_28_1_1"/>
    <protectedRange sqref="GE749" name="Rango2_31_2_33_4"/>
    <protectedRange sqref="GN749" name="Rango2_30_2_1_1"/>
    <protectedRange sqref="GJ749 GH749 GL749" name="Rango2_31_2_34_5"/>
    <protectedRange sqref="GM749 GK749" name="Rango2_99_51_7"/>
    <protectedRange sqref="GI749" name="Rango2_33_6_4"/>
    <protectedRange sqref="GO749" name="Rango2_99_52_3"/>
    <protectedRange sqref="GQ749:GR749" name="Rango2_30_2_2_2"/>
    <protectedRange sqref="GT749" name="Rango2_99_53_3"/>
    <protectedRange sqref="GW749" name="Rango2_30_2_34_6"/>
    <protectedRange sqref="GY749:GZ749" name="Rango2_99_58_2"/>
    <protectedRange sqref="GX749" name="Rango2_52_3"/>
    <protectedRange sqref="HJ749" name="Rango2_99_62_2"/>
    <protectedRange sqref="IA749" name="Rango2_88_39_4_3"/>
    <protectedRange sqref="HU749:HZ749 IB749" name="Rango2_99_75_1"/>
    <protectedRange sqref="HS749:HT749" name="Rango2_62_4"/>
    <protectedRange sqref="ID749:IE749 IH749:IJ749" name="Rango2_88_39_65_2"/>
    <protectedRange sqref="EA750:EJ752" name="Rango2_99_19_5"/>
    <protectedRange sqref="EO750:EO752" name="Rango2_99_20_2"/>
    <protectedRange sqref="EN750:EN752" name="Rango2_25_4"/>
    <protectedRange sqref="ER752:ES752" name="Rango2_99_21_7"/>
    <protectedRange sqref="EV752:EW752" name="Rango2_99_22_3"/>
    <protectedRange sqref="EY752:FA752" name="Rango2_32_6"/>
    <protectedRange sqref="FC752" name="Rango2_39_5"/>
    <protectedRange sqref="FF752" name="Rango2_99_23_5"/>
    <protectedRange sqref="FE752" name="Rango2_40_3"/>
    <protectedRange sqref="FI752" name="Rango2_99_24_7"/>
    <protectedRange sqref="FH752" name="Rango2_43_5"/>
    <protectedRange sqref="FK752:FL752" name="Rango2_46_5"/>
    <protectedRange sqref="FN752:FO752" name="Rango2_49_9"/>
    <protectedRange sqref="FQ752:FR752" name="Rango2_99_26_3"/>
    <protectedRange sqref="FU752" name="Rango2_99_32_4"/>
    <protectedRange sqref="FT752" name="Rango2_30_1_2"/>
    <protectedRange sqref="FW752:FX752" name="Rango2_99_34_9"/>
    <protectedRange sqref="FY752" name="Rango2_31_2_1_2"/>
    <protectedRange sqref="FZ752" name="Rango2_99_37_3"/>
    <protectedRange sqref="GB752" name="Rango2_31_2_25_2"/>
    <protectedRange sqref="GC752" name="Rango2_33_1_2"/>
    <protectedRange sqref="GF752" name="Rango2_31_28_1_2"/>
    <protectedRange sqref="GE752" name="Rango2_31_2_33_5"/>
    <protectedRange sqref="GN752" name="Rango2_30_2_1_2"/>
    <protectedRange sqref="GJ752 GH752 GL752" name="Rango2_31_2_34_6"/>
    <protectedRange sqref="GM752 GK752" name="Rango2_99_51_8"/>
    <protectedRange sqref="GI752" name="Rango2_33_6_5"/>
    <protectedRange sqref="GO752" name="Rango2_99_52_4"/>
    <protectedRange sqref="GQ752:GR752" name="Rango2_30_2_2_3"/>
    <protectedRange sqref="GT752" name="Rango2_99_53_4"/>
    <protectedRange sqref="GW752" name="Rango2_30_2_34_7"/>
    <protectedRange sqref="GY752:GZ752" name="Rango2_99_58_3"/>
    <protectedRange sqref="GX752" name="Rango2_52_4"/>
    <protectedRange sqref="HJ750:HJ752" name="Rango2_99_62_3"/>
    <protectedRange sqref="IA750:IA752" name="Rango2_88_39_4_4"/>
    <protectedRange sqref="HU750:HZ752 IB750:IB752" name="Rango2_99_75_2"/>
    <protectedRange sqref="HS750:HT752" name="Rango2_62_5"/>
    <protectedRange sqref="ID752:IJ752 ID750:IE751 IH750:IJ751" name="Rango2_88_39_65_3"/>
    <protectedRange algorithmName="SHA-512" hashValue="XZw03RosI/l0z9FxmTtF29EdZ7P+4+ybhqoaAAUmURojSR5XbGfjC4f2i8gMqfY+RI9JvfdCA6PSh9TduXfUxA==" saltValue="5TPtLq2WoiRSae/yaDPnTw==" spinCount="100000" sqref="EI753" name="Rango2_99_14_12"/>
    <protectedRange sqref="EA755:EJ755" name="Rango2_99_19_6"/>
    <protectedRange sqref="EO755" name="Rango2_99_20_3"/>
    <protectedRange sqref="EN755" name="Rango2_25_5"/>
    <protectedRange sqref="ER755:ES755" name="Rango2_99_21_8"/>
    <protectedRange sqref="EV755:EW755" name="Rango2_99_22_4"/>
    <protectedRange sqref="EY755:FA755" name="Rango2_32_7"/>
    <protectedRange sqref="FC755" name="Rango2_39_6"/>
    <protectedRange sqref="FF755" name="Rango2_99_23_6"/>
    <protectedRange sqref="FI755" name="Rango2_99_24_8"/>
    <protectedRange sqref="FH755" name="Rango2_43_6"/>
    <protectedRange sqref="FK755:FL755" name="Rango2_46_6"/>
    <protectedRange sqref="FN755:FO755" name="Rango2_49_10"/>
    <protectedRange sqref="FQ755:FR755" name="Rango2_99_26_4"/>
    <protectedRange sqref="FU755" name="Rango2_99_32_5"/>
    <protectedRange sqref="FT755" name="Rango2_30_1_3"/>
    <protectedRange sqref="FW755:FX755" name="Rango2_99_34_10"/>
    <protectedRange sqref="FY755" name="Rango2_31_2_1_3"/>
    <protectedRange sqref="FZ755" name="Rango2_99_37_4"/>
    <protectedRange sqref="GB755" name="Rango2_31_2_25_3"/>
    <protectedRange sqref="GC755" name="Rango2_33_1_3"/>
    <protectedRange sqref="GF755" name="Rango2_31_28_1_3"/>
    <protectedRange sqref="GE755" name="Rango2_31_2_33_6"/>
    <protectedRange sqref="GN755" name="Rango2_30_2_1_3"/>
    <protectedRange sqref="GL755 GH755 GJ755" name="Rango2_31_2_34_7"/>
    <protectedRange sqref="GK755 GM755" name="Rango2_99_51_9"/>
    <protectedRange sqref="GI755" name="Rango2_33_6_6"/>
    <protectedRange sqref="GO755" name="Rango2_99_52_5"/>
    <protectedRange sqref="GQ755:GR755" name="Rango2_30_2_2_4"/>
    <protectedRange sqref="GT755" name="Rango2_99_53_5"/>
    <protectedRange sqref="GW755" name="Rango2_30_2_34_8"/>
    <protectedRange sqref="GY755:GZ755" name="Rango2_99_58_4"/>
    <protectedRange sqref="GX755" name="Rango2_52_5"/>
    <protectedRange sqref="HJ755" name="Rango2_99_62_4"/>
    <protectedRange sqref="IA755" name="Rango2_88_39_4_5"/>
    <protectedRange sqref="IB755 HU755:HZ755" name="Rango2_99_75_3"/>
    <protectedRange sqref="HT755" name="Rango2_62_6"/>
    <protectedRange sqref="ID755:IJ755" name="Rango2_88_39_65_4"/>
    <protectedRange algorithmName="SHA-512" hashValue="XZw03RosI/l0z9FxmTtF29EdZ7P+4+ybhqoaAAUmURojSR5XbGfjC4f2i8gMqfY+RI9JvfdCA6PSh9TduXfUxA==" saltValue="5TPtLq2WoiRSae/yaDPnTw==" spinCount="100000" sqref="HX754 HZ754" name="Rango2_99_45_2"/>
    <protectedRange algorithmName="SHA-512" hashValue="D8TacORwT7iz0mF9GEucchnMHfB5er2FFjQsxyeWWyeJkM6Bt3gYQ3LbcHPxZXFpVAYtFOuTrzYOCJrlZDx16g==" saltValue="QtCzIBktdS4NZkOEGcLTRQ==" spinCount="100000" sqref="IW730:IW731" name="Rango2_41_14_1"/>
    <protectedRange algorithmName="SHA-512" hashValue="D8TacORwT7iz0mF9GEucchnMHfB5er2FFjQsxyeWWyeJkM6Bt3gYQ3LbcHPxZXFpVAYtFOuTrzYOCJrlZDx16g==" saltValue="QtCzIBktdS4NZkOEGcLTRQ==" spinCount="100000" sqref="IW732" name="Rango2_41_14_2"/>
    <protectedRange algorithmName="SHA-512" hashValue="D8TacORwT7iz0mF9GEucchnMHfB5er2FFjQsxyeWWyeJkM6Bt3gYQ3LbcHPxZXFpVAYtFOuTrzYOCJrlZDx16g==" saltValue="QtCzIBktdS4NZkOEGcLTRQ==" spinCount="100000" sqref="IW733" name="Rango2_41_14_3"/>
    <protectedRange algorithmName="SHA-512" hashValue="D8TacORwT7iz0mF9GEucchnMHfB5er2FFjQsxyeWWyeJkM6Bt3gYQ3LbcHPxZXFpVAYtFOuTrzYOCJrlZDx16g==" saltValue="QtCzIBktdS4NZkOEGcLTRQ==" spinCount="100000" sqref="IW734" name="Rango2_41_14_4"/>
    <protectedRange algorithmName="SHA-512" hashValue="D8TacORwT7iz0mF9GEucchnMHfB5er2FFjQsxyeWWyeJkM6Bt3gYQ3LbcHPxZXFpVAYtFOuTrzYOCJrlZDx16g==" saltValue="QtCzIBktdS4NZkOEGcLTRQ==" spinCount="100000" sqref="IW735" name="Rango2_41_14_5"/>
    <protectedRange algorithmName="SHA-512" hashValue="D8TacORwT7iz0mF9GEucchnMHfB5er2FFjQsxyeWWyeJkM6Bt3gYQ3LbcHPxZXFpVAYtFOuTrzYOCJrlZDx16g==" saltValue="QtCzIBktdS4NZkOEGcLTRQ==" spinCount="100000" sqref="IW736:IW737" name="Rango2_41_14_6"/>
    <protectedRange algorithmName="SHA-512" hashValue="Gqwr8n5jYbCESAqCFk8dpOzViQICBV+k0xoqBoQaZ5lHaRlvT9TZDB4yXtm+qC6OhD064ZDBOFWkwo+LHXu1sg==" saltValue="gEL9PCN2ekF2IxW9yqAGYA==" spinCount="100000" sqref="IS738" name="Rango2_40_2_22_1"/>
    <protectedRange algorithmName="SHA-512" hashValue="9+DNppQbWrLYYUMoJ+lyQctV2bX3Vq9kZnegLbpjTLP49It2ovUbcartuoQTeXgP+TGpY//7mDH/UQlFCKDGiA==" saltValue="KUnni6YEm00anzSSvyLqQA==" spinCount="100000" sqref="IT738:IV738 IX738 IZ738:JM738 JO738:JW738 JY738:KF738 KH738 KJ738:LJ738" name="Rango2_48_8"/>
    <protectedRange algorithmName="SHA-512" hashValue="D8TacORwT7iz0mF9GEucchnMHfB5er2FFjQsxyeWWyeJkM6Bt3gYQ3LbcHPxZXFpVAYtFOuTrzYOCJrlZDx16g==" saltValue="QtCzIBktdS4NZkOEGcLTRQ==" spinCount="100000" sqref="IW740:IW741" name="Rango2_41_14_7"/>
    <protectedRange algorithmName="SHA-512" hashValue="Gqwr8n5jYbCESAqCFk8dpOzViQICBV+k0xoqBoQaZ5lHaRlvT9TZDB4yXtm+qC6OhD064ZDBOFWkwo+LHXu1sg==" saltValue="gEL9PCN2ekF2IxW9yqAGYA==" spinCount="100000" sqref="IS743" name="Rango2_40_2_8_3"/>
    <protectedRange algorithmName="SHA-512" hashValue="D8TacORwT7iz0mF9GEucchnMHfB5er2FFjQsxyeWWyeJkM6Bt3gYQ3LbcHPxZXFpVAYtFOuTrzYOCJrlZDx16g==" saltValue="QtCzIBktdS4NZkOEGcLTRQ==" spinCount="100000" sqref="IW743" name="Rango2_41_28_1"/>
    <protectedRange algorithmName="SHA-512" hashValue="Gqwr8n5jYbCESAqCFk8dpOzViQICBV+k0xoqBoQaZ5lHaRlvT9TZDB4yXtm+qC6OhD064ZDBOFWkwo+LHXu1sg==" saltValue="gEL9PCN2ekF2IxW9yqAGYA==" spinCount="100000" sqref="IS744" name="Rango2_40_2_8_4"/>
    <protectedRange algorithmName="SHA-512" hashValue="D8TacORwT7iz0mF9GEucchnMHfB5er2FFjQsxyeWWyeJkM6Bt3gYQ3LbcHPxZXFpVAYtFOuTrzYOCJrlZDx16g==" saltValue="QtCzIBktdS4NZkOEGcLTRQ==" spinCount="100000" sqref="IW744" name="Rango2_41_28_2"/>
    <protectedRange algorithmName="SHA-512" hashValue="Gqwr8n5jYbCESAqCFk8dpOzViQICBV+k0xoqBoQaZ5lHaRlvT9TZDB4yXtm+qC6OhD064ZDBOFWkwo+LHXu1sg==" saltValue="gEL9PCN2ekF2IxW9yqAGYA==" spinCount="100000" sqref="IS745" name="Rango2_40_2_27_1"/>
    <protectedRange algorithmName="SHA-512" hashValue="9+DNppQbWrLYYUMoJ+lyQctV2bX3Vq9kZnegLbpjTLP49It2ovUbcartuoQTeXgP+TGpY//7mDH/UQlFCKDGiA==" saltValue="KUnni6YEm00anzSSvyLqQA==" spinCount="100000" sqref="LH745:LN745" name="Rango2_86_14"/>
    <protectedRange algorithmName="SHA-512" hashValue="9+DNppQbWrLYYUMoJ+lyQctV2bX3Vq9kZnegLbpjTLP49It2ovUbcartuoQTeXgP+TGpY//7mDH/UQlFCKDGiA==" saltValue="KUnni6YEm00anzSSvyLqQA==" spinCount="100000" sqref="JD746:JM746" name="Rango2_86_10"/>
    <protectedRange algorithmName="SHA-512" hashValue="9+DNppQbWrLYYUMoJ+lyQctV2bX3Vq9kZnegLbpjTLP49It2ovUbcartuoQTeXgP+TGpY//7mDH/UQlFCKDGiA==" saltValue="KUnni6YEm00anzSSvyLqQA==" spinCount="100000" sqref="JO746:JW746" name="Rango2_86_11"/>
    <protectedRange algorithmName="SHA-512" hashValue="9+DNppQbWrLYYUMoJ+lyQctV2bX3Vq9kZnegLbpjTLP49It2ovUbcartuoQTeXgP+TGpY//7mDH/UQlFCKDGiA==" saltValue="KUnni6YEm00anzSSvyLqQA==" spinCount="100000" sqref="KF746" name="Rango2_86_12"/>
    <protectedRange algorithmName="SHA-512" hashValue="9+DNppQbWrLYYUMoJ+lyQctV2bX3Vq9kZnegLbpjTLP49It2ovUbcartuoQTeXgP+TGpY//7mDH/UQlFCKDGiA==" saltValue="KUnni6YEm00anzSSvyLqQA==" spinCount="100000" sqref="KH746" name="Rango2_86_13"/>
    <protectedRange algorithmName="SHA-512" hashValue="9+DNppQbWrLYYUMoJ+lyQctV2bX3Vq9kZnegLbpjTLP49It2ovUbcartuoQTeXgP+TGpY//7mDH/UQlFCKDGiA==" saltValue="KUnni6YEm00anzSSvyLqQA==" spinCount="100000" sqref="KJ746:LN746" name="Rango2_86_14_1"/>
    <protectedRange algorithmName="SHA-512" hashValue="Gqwr8n5jYbCESAqCFk8dpOzViQICBV+k0xoqBoQaZ5lHaRlvT9TZDB4yXtm+qC6OhD064ZDBOFWkwo+LHXu1sg==" saltValue="gEL9PCN2ekF2IxW9yqAGYA==" spinCount="100000" sqref="IS747" name="Rango2_40_2_27_2"/>
    <protectedRange algorithmName="SHA-512" hashValue="D8TacORwT7iz0mF9GEucchnMHfB5er2FFjQsxyeWWyeJkM6Bt3gYQ3LbcHPxZXFpVAYtFOuTrzYOCJrlZDx16g==" saltValue="QtCzIBktdS4NZkOEGcLTRQ==" spinCount="100000" sqref="IW747" name="Rango2_41_27_1"/>
    <protectedRange algorithmName="SHA-512" hashValue="9+DNppQbWrLYYUMoJ+lyQctV2bX3Vq9kZnegLbpjTLP49It2ovUbcartuoQTeXgP+TGpY//7mDH/UQlFCKDGiA==" saltValue="KUnni6YEm00anzSSvyLqQA==" spinCount="100000" sqref="IX747 IT747:IV747" name="Rango2_86_9_1"/>
    <protectedRange algorithmName="SHA-512" hashValue="9+DNppQbWrLYYUMoJ+lyQctV2bX3Vq9kZnegLbpjTLP49It2ovUbcartuoQTeXgP+TGpY//7mDH/UQlFCKDGiA==" saltValue="KUnni6YEm00anzSSvyLqQA==" spinCount="100000" sqref="IZ747:JM747" name="Rango2_86_10_1"/>
    <protectedRange algorithmName="SHA-512" hashValue="9+DNppQbWrLYYUMoJ+lyQctV2bX3Vq9kZnegLbpjTLP49It2ovUbcartuoQTeXgP+TGpY//7mDH/UQlFCKDGiA==" saltValue="KUnni6YEm00anzSSvyLqQA==" spinCount="100000" sqref="JO747:JW747" name="Rango2_86_11_1"/>
    <protectedRange algorithmName="SHA-512" hashValue="9+DNppQbWrLYYUMoJ+lyQctV2bX3Vq9kZnegLbpjTLP49It2ovUbcartuoQTeXgP+TGpY//7mDH/UQlFCKDGiA==" saltValue="KUnni6YEm00anzSSvyLqQA==" spinCount="100000" sqref="KF747" name="Rango2_86_12_1"/>
    <protectedRange algorithmName="SHA-512" hashValue="9+DNppQbWrLYYUMoJ+lyQctV2bX3Vq9kZnegLbpjTLP49It2ovUbcartuoQTeXgP+TGpY//7mDH/UQlFCKDGiA==" saltValue="KUnni6YEm00anzSSvyLqQA==" spinCount="100000" sqref="KH747" name="Rango2_86_13_1"/>
    <protectedRange algorithmName="SHA-512" hashValue="9+DNppQbWrLYYUMoJ+lyQctV2bX3Vq9kZnegLbpjTLP49It2ovUbcartuoQTeXgP+TGpY//7mDH/UQlFCKDGiA==" saltValue="KUnni6YEm00anzSSvyLqQA==" spinCount="100000" sqref="KJ747:LN747" name="Rango2_86_14_2"/>
    <protectedRange algorithmName="SHA-512" hashValue="Gqwr8n5jYbCESAqCFk8dpOzViQICBV+k0xoqBoQaZ5lHaRlvT9TZDB4yXtm+qC6OhD064ZDBOFWkwo+LHXu1sg==" saltValue="gEL9PCN2ekF2IxW9yqAGYA==" spinCount="100000" sqref="IS748" name="Rango2_40_2_14_1"/>
    <protectedRange algorithmName="SHA-512" hashValue="D8TacORwT7iz0mF9GEucchnMHfB5er2FFjQsxyeWWyeJkM6Bt3gYQ3LbcHPxZXFpVAYtFOuTrzYOCJrlZDx16g==" saltValue="QtCzIBktdS4NZkOEGcLTRQ==" spinCount="100000" sqref="IW748" name="Rango2_41_35_1"/>
    <protectedRange algorithmName="SHA-512" hashValue="9+DNppQbWrLYYUMoJ+lyQctV2bX3Vq9kZnegLbpjTLP49It2ovUbcartuoQTeXgP+TGpY//7mDH/UQlFCKDGiA==" saltValue="KUnni6YEm00anzSSvyLqQA==" spinCount="100000" sqref="IS749" name="Rango2_82_1"/>
    <protectedRange algorithmName="SHA-512" hashValue="D8TacORwT7iz0mF9GEucchnMHfB5er2FFjQsxyeWWyeJkM6Bt3gYQ3LbcHPxZXFpVAYtFOuTrzYOCJrlZDx16g==" saltValue="QtCzIBktdS4NZkOEGcLTRQ==" spinCount="100000" sqref="IW749" name="Rango2_41_22_1"/>
    <protectedRange sqref="IS750:IS752" name="Rango2_40_2_1_1"/>
    <protectedRange sqref="IW750:IW752" name="Rango2_41_1_1"/>
    <protectedRange sqref="IX750:IX752 IT750:IV752" name="Rango2_64_2"/>
    <protectedRange sqref="IZ750:JM752" name="Rango2_91_1"/>
    <protectedRange sqref="JO750:JW752" name="Rango2_92_2"/>
    <protectedRange sqref="IS755" name="Rango2_40_2_1_2"/>
    <protectedRange sqref="IW755" name="Rango2_41_1_2"/>
    <protectedRange sqref="IT755:IV755 IX755" name="Rango2_64_3"/>
    <protectedRange sqref="IZ755:JM755" name="Rango2_91_2"/>
    <protectedRange sqref="JO755:JW755" name="Rango2_92_3"/>
    <protectedRange sqref="D756" name="Rango2_10_4_6"/>
    <protectedRange sqref="B757" name="Rango2_71_3"/>
    <protectedRange sqref="D758" name="Rango2_10_6_4"/>
    <protectedRange sqref="B759 M759" name="Rango2_10_1_7"/>
    <protectedRange sqref="I759" name="Rango2_61_4_3"/>
    <protectedRange sqref="K759" name="Rango2_88_4_4_4_3"/>
    <protectedRange sqref="L759 J759 E759:H759" name="Rango2_10_11_1"/>
    <protectedRange algorithmName="SHA-512" hashValue="9+DNppQbWrLYYUMoJ+lyQctV2bX3Vq9kZnegLbpjTLP49It2ovUbcartuoQTeXgP+TGpY//7mDH/UQlFCKDGiA==" saltValue="KUnni6YEm00anzSSvyLqQA==" spinCount="100000" sqref="B760" name="Rango2_47_2"/>
    <protectedRange algorithmName="SHA-512" hashValue="9+DNppQbWrLYYUMoJ+lyQctV2bX3Vq9kZnegLbpjTLP49It2ovUbcartuoQTeXgP+TGpY//7mDH/UQlFCKDGiA==" saltValue="KUnni6YEm00anzSSvyLqQA==" spinCount="100000" sqref="B761" name="Rango2_48_9"/>
    <protectedRange algorithmName="SHA-512" hashValue="6a5oYwZw9WJcgjqXpleUXH8uaqNEuymPPpeOb7lKBc1WoM6IG/DNyDLWmj2lYwxnZO2yhl+B61kwrxD9m9AdhQ==" saltValue="tdNQPzLQd+n9Ww064QJIaQ==" spinCount="100000" sqref="I766:I767" name="Rango2_61_9_5"/>
    <protectedRange algorithmName="SHA-512" hashValue="XM8+0Jh5zLWw02PI0Lt8dLqjTcW5ulySion19FAnruDN6QRp4UwcVqdfQxnOQAItgpWG7rNsELzjwy0iXOonxw==" saltValue="Sd4WFUedDfLKoMQTDrxJuQ==" spinCount="100000" sqref="K766:K767" name="Rango2_88_4_4_9_5"/>
    <protectedRange algorithmName="SHA-512" hashValue="EMMPgE8t/az1rHHzaZAQIhz+GQV0k2O/tQGA96sJqEEMzz1efIRa4CcLzC7iY9CCscto3g7dwz41haOE28iXYg==" saltValue="CVzFsG4X4LXUMo7796PiDQ==" spinCount="100000" sqref="L766:M767 J766:J767 B766:B767 D766:H767" name="Rango2_10_17_6"/>
    <protectedRange algorithmName="SHA-512" hashValue="6a5oYwZw9WJcgjqXpleUXH8uaqNEuymPPpeOb7lKBc1WoM6IG/DNyDLWmj2lYwxnZO2yhl+B61kwrxD9m9AdhQ==" saltValue="tdNQPzLQd+n9Ww064QJIaQ==" spinCount="100000" sqref="I768" name="Rango2_61_9_6"/>
    <protectedRange algorithmName="SHA-512" hashValue="XM8+0Jh5zLWw02PI0Lt8dLqjTcW5ulySion19FAnruDN6QRp4UwcVqdfQxnOQAItgpWG7rNsELzjwy0iXOonxw==" saltValue="Sd4WFUedDfLKoMQTDrxJuQ==" spinCount="100000" sqref="K768" name="Rango2_88_4_4_9_6"/>
    <protectedRange algorithmName="SHA-512" hashValue="EMMPgE8t/az1rHHzaZAQIhz+GQV0k2O/tQGA96sJqEEMzz1efIRa4CcLzC7iY9CCscto3g7dwz41haOE28iXYg==" saltValue="CVzFsG4X4LXUMo7796PiDQ==" spinCount="100000" sqref="L768:M768 J768 B768 D768:H768" name="Rango2_10_17_7"/>
    <protectedRange algorithmName="SHA-512" hashValue="6a5oYwZw9WJcgjqXpleUXH8uaqNEuymPPpeOb7lKBc1WoM6IG/DNyDLWmj2lYwxnZO2yhl+B61kwrxD9m9AdhQ==" saltValue="tdNQPzLQd+n9Ww064QJIaQ==" spinCount="100000" sqref="I770" name="Rango2_61_12_1"/>
    <protectedRange algorithmName="SHA-512" hashValue="XM8+0Jh5zLWw02PI0Lt8dLqjTcW5ulySion19FAnruDN6QRp4UwcVqdfQxnOQAItgpWG7rNsELzjwy0iXOonxw==" saltValue="Sd4WFUedDfLKoMQTDrxJuQ==" spinCount="100000" sqref="K770" name="Rango2_88_4_4_12_1"/>
    <protectedRange algorithmName="SHA-512" hashValue="EMMPgE8t/az1rHHzaZAQIhz+GQV0k2O/tQGA96sJqEEMzz1efIRa4CcLzC7iY9CCscto3g7dwz41haOE28iXYg==" saltValue="CVzFsG4X4LXUMo7796PiDQ==" spinCount="100000" sqref="L770:M770 J770 B770 D770:H770" name="Rango2_10_20_1"/>
    <protectedRange algorithmName="SHA-512" hashValue="EMMPgE8t/az1rHHzaZAQIhz+GQV0k2O/tQGA96sJqEEMzz1efIRa4CcLzC7iY9CCscto3g7dwz41haOE28iXYg==" saltValue="CVzFsG4X4LXUMo7796PiDQ==" spinCount="100000" sqref="B771" name="Rango2_10_21_1"/>
    <protectedRange algorithmName="SHA-512" hashValue="6a5oYwZw9WJcgjqXpleUXH8uaqNEuymPPpeOb7lKBc1WoM6IG/DNyDLWmj2lYwxnZO2yhl+B61kwrxD9m9AdhQ==" saltValue="tdNQPzLQd+n9Ww064QJIaQ==" spinCount="100000" sqref="I775" name="Rango2_61_13_3"/>
    <protectedRange algorithmName="SHA-512" hashValue="XM8+0Jh5zLWw02PI0Lt8dLqjTcW5ulySion19FAnruDN6QRp4UwcVqdfQxnOQAItgpWG7rNsELzjwy0iXOonxw==" saltValue="Sd4WFUedDfLKoMQTDrxJuQ==" spinCount="100000" sqref="K775" name="Rango2_88_4_4_13_1"/>
    <protectedRange algorithmName="SHA-512" hashValue="EMMPgE8t/az1rHHzaZAQIhz+GQV0k2O/tQGA96sJqEEMzz1efIRa4CcLzC7iY9CCscto3g7dwz41haOE28iXYg==" saltValue="CVzFsG4X4LXUMo7796PiDQ==" spinCount="100000" sqref="L775:M775 J775 B775 D775:H775" name="Rango2_10_22_1"/>
    <protectedRange algorithmName="SHA-512" hashValue="6a5oYwZw9WJcgjqXpleUXH8uaqNEuymPPpeOb7lKBc1WoM6IG/DNyDLWmj2lYwxnZO2yhl+B61kwrxD9m9AdhQ==" saltValue="tdNQPzLQd+n9Ww064QJIaQ==" spinCount="100000" sqref="I779" name="Rango2_61_14_2"/>
    <protectedRange algorithmName="SHA-512" hashValue="XM8+0Jh5zLWw02PI0Lt8dLqjTcW5ulySion19FAnruDN6QRp4UwcVqdfQxnOQAItgpWG7rNsELzjwy0iXOonxw==" saltValue="Sd4WFUedDfLKoMQTDrxJuQ==" spinCount="100000" sqref="K779" name="Rango2_88_4_4_14_4"/>
    <protectedRange algorithmName="SHA-512" hashValue="EMMPgE8t/az1rHHzaZAQIhz+GQV0k2O/tQGA96sJqEEMzz1efIRa4CcLzC7iY9CCscto3g7dwz41haOE28iXYg==" saltValue="CVzFsG4X4LXUMo7796PiDQ==" spinCount="100000" sqref="L779:M779 J779 B779 D779:H779" name="Rango2_10_23_5"/>
    <protectedRange algorithmName="SHA-512" hashValue="EMMPgE8t/az1rHHzaZAQIhz+GQV0k2O/tQGA96sJqEEMzz1efIRa4CcLzC7iY9CCscto3g7dwz41haOE28iXYg==" saltValue="CVzFsG4X4LXUMo7796PiDQ==" spinCount="100000" sqref="B780" name="Rango2_10_24_1"/>
    <protectedRange algorithmName="SHA-512" hashValue="6a5oYwZw9WJcgjqXpleUXH8uaqNEuymPPpeOb7lKBc1WoM6IG/DNyDLWmj2lYwxnZO2yhl+B61kwrxD9m9AdhQ==" saltValue="tdNQPzLQd+n9Ww064QJIaQ==" spinCount="100000" sqref="I783" name="Rango2_61_15_1"/>
    <protectedRange algorithmName="SHA-512" hashValue="XM8+0Jh5zLWw02PI0Lt8dLqjTcW5ulySion19FAnruDN6QRp4UwcVqdfQxnOQAItgpWG7rNsELzjwy0iXOonxw==" saltValue="Sd4WFUedDfLKoMQTDrxJuQ==" spinCount="100000" sqref="K783" name="Rango2_88_4_4_15_1"/>
    <protectedRange algorithmName="SHA-512" hashValue="EMMPgE8t/az1rHHzaZAQIhz+GQV0k2O/tQGA96sJqEEMzz1efIRa4CcLzC7iY9CCscto3g7dwz41haOE28iXYg==" saltValue="CVzFsG4X4LXUMo7796PiDQ==" spinCount="100000" sqref="L783:M783 J783 B783 D783:H783" name="Rango2_10_25_1"/>
    <protectedRange algorithmName="SHA-512" hashValue="6a5oYwZw9WJcgjqXpleUXH8uaqNEuymPPpeOb7lKBc1WoM6IG/DNyDLWmj2lYwxnZO2yhl+B61kwrxD9m9AdhQ==" saltValue="tdNQPzLQd+n9Ww064QJIaQ==" spinCount="100000" sqref="I784:I785" name="Rango2_61_16_4"/>
    <protectedRange algorithmName="SHA-512" hashValue="XM8+0Jh5zLWw02PI0Lt8dLqjTcW5ulySion19FAnruDN6QRp4UwcVqdfQxnOQAItgpWG7rNsELzjwy0iXOonxw==" saltValue="Sd4WFUedDfLKoMQTDrxJuQ==" spinCount="100000" sqref="K784:K785" name="Rango2_88_4_4_16_4"/>
    <protectedRange algorithmName="SHA-512" hashValue="EMMPgE8t/az1rHHzaZAQIhz+GQV0k2O/tQGA96sJqEEMzz1efIRa4CcLzC7iY9CCscto3g7dwz41haOE28iXYg==" saltValue="CVzFsG4X4LXUMo7796PiDQ==" spinCount="100000" sqref="B784:B785 L784:M785 J784:J785 D784:H785" name="Rango2_10_26_1"/>
    <protectedRange algorithmName="SHA-512" hashValue="EMMPgE8t/az1rHHzaZAQIhz+GQV0k2O/tQGA96sJqEEMzz1efIRa4CcLzC7iY9CCscto3g7dwz41haOE28iXYg==" saltValue="CVzFsG4X4LXUMo7796PiDQ==" spinCount="100000" sqref="B786" name="Rango2_10_28_1"/>
    <protectedRange sqref="O756" name="Rango2_99_86_1"/>
    <protectedRange sqref="Q756" name="Rango2_2_5_1_1_1"/>
    <protectedRange sqref="AE756:AF756" name="Rango2_88_39_3_4"/>
    <protectedRange sqref="AI756" name="Rango2_8_7_9_1_1"/>
    <protectedRange sqref="AJ756 AG756:AH756" name="Rango2_88_7_5_4_3"/>
    <protectedRange sqref="AD756" name="Rango2_46_7"/>
    <protectedRange sqref="U756:AA756 R756:S756" name="Rango2_99_87_2"/>
    <protectedRange sqref="T756" name="Rango2_88_6_10_4"/>
    <protectedRange sqref="AB756" name="Rango2_87_6_10_4"/>
    <protectedRange sqref="AC756" name="Rango2_88_5_5_10_4"/>
    <protectedRange sqref="AM756:AQ756" name="Rango2_88_65_2_1_1"/>
    <protectedRange sqref="AL756" name="Rango2_88_7_5_5_3"/>
    <protectedRange sqref="AT756 BJ756:BK756 AV756" name="Rango2_99_88_1"/>
    <protectedRange sqref="AR756:AS756" name="Rango2_88_65_3_4"/>
    <protectedRange sqref="AU756 AW756:AZ756" name="Rango2_88_91_3_4"/>
    <protectedRange sqref="BA756:BI756" name="Rango2_88_99_5_3"/>
    <protectedRange sqref="BV756:BY756" name="Rango2_88_99_4_3"/>
    <protectedRange sqref="BZ756" name="Rango2_99_89_2"/>
    <protectedRange sqref="CA756:CB756" name="Rango2_99_90_1"/>
    <protectedRange sqref="CP756:CQ756" name="Rango2_99_92_2"/>
    <protectedRange sqref="CS756:CT756" name="Rango2_99_92_1_1"/>
    <protectedRange sqref="DA756:DL756" name="Rango2_99_94_3"/>
    <protectedRange sqref="O758" name="Rango2_99_1_1_1"/>
    <protectedRange sqref="R758:S758 U758:AA758" name="Rango2_99_2_1_1"/>
    <protectedRange sqref="Q757:Q758" name="Rango2_2_5_1_1_2"/>
    <protectedRange sqref="AD758" name="Rango2_82_2"/>
    <protectedRange sqref="T758" name="Rango2_88_6_12_1"/>
    <protectedRange sqref="AB758" name="Rango2_87_6_12_1"/>
    <protectedRange sqref="AE758:AF758" name="Rango2_88_39_4_6"/>
    <protectedRange sqref="AI758" name="Rango2_8_7_10_4"/>
    <protectedRange sqref="AC758" name="Rango2_88_5_5_12_1"/>
    <protectedRange sqref="AG758:AH758 AJ758" name="Rango2_88_7_5_6_2"/>
    <protectedRange sqref="BJ758:BK758 AV758 AT758" name="Rango2_99_3_3_1"/>
    <protectedRange sqref="AM757:AQ757" name="Rango2_88_65_2_1_2"/>
    <protectedRange sqref="AL757" name="Rango2_88_7_5_5_4"/>
    <protectedRange sqref="AM758:AS758" name="Rango2_88_65_5_3"/>
    <protectedRange sqref="AL758" name="Rango2_88_7_5_7_3"/>
    <protectedRange sqref="AU758 AW758:AZ758" name="Rango2_88_91_5_3"/>
    <protectedRange sqref="BA758:BI758" name="Rango2_88_99_7_2"/>
    <protectedRange sqref="BV757:BY758" name="Rango2_88_99_4_4"/>
    <protectedRange sqref="BR758:BS758" name="Rango2_99_22_3_1"/>
    <protectedRange sqref="CS758:CT758" name="Rango2_99_22_4_1"/>
    <protectedRange sqref="DA758:DC758" name="Rango2_99_12_1_1"/>
    <protectedRange sqref="O759" name="Rango2_99_1_4"/>
    <protectedRange sqref="AG759:AH759 AJ759" name="Rango2_88_7_5_1_4"/>
    <protectedRange sqref="AI759" name="Rango2_8_7_1_4"/>
    <protectedRange sqref="AE759:AF759" name="Rango2_88_39_1_4"/>
    <protectedRange sqref="Q759:Q789 Q791:Q793 Q795:Q801 Q803 Q805:Q809 Q811:Q814 Q817:Q856 Q858 Q860:Q885 Q887:Q1002 Q1004:Q1009 Q1011:Q1034 Q1036:Q1057 Q1059 Q1061:Q1073 Q1075:Q1109 Q1111:Q1144 Q1146:Q1175 Q1388:Q1394 Q1396:Q1410 Q1412:Q1473 Q1475:Q1585 Q1587:Q1646 Q1648:Q1672 Q1674:Q1678 Q1680:Q1704 Q1906:Q1907 Q1909:Q1910 Q1912:Q1915 Q1917:Q1919 Q1921:Q1922 Q1924:Q1930 Q1932:Q1934 Q1936:Q1941 Q1943 Q1946 Q1948:Q1954 Q1956 Q1960:Q1961 Q1963:Q1969 Q1971:Q1972 Q1977:Q1980 Q1982:Q1983 Q1985:Q1989 Q1993:Q2031 Q2034:Q2063 Q2065:Q2079 Q2081 Q2083:Q2099 Q2101:Q2102 Q2104:Q2199 Q2201:Q2206 Q2208:Q2211 Q2213:Q2216 Q2218:Q2221 Q2223:Q2255 Q1706:Q1887 Q1177:Q1386" name="Rango2_2_5_1_4"/>
    <protectedRange sqref="AC759" name="Rango2_88_5_5_17_6"/>
    <protectedRange sqref="AB759" name="Rango2_87_6_17_6"/>
    <protectedRange sqref="T759" name="Rango2_88_6_17_6"/>
    <protectedRange sqref="R759:S759 U759:AA759" name="Rango2_99_3_4"/>
    <protectedRange sqref="AD759" name="Rango2_35_3"/>
    <protectedRange sqref="AU759" name="Rango2_88_91_1_4"/>
    <protectedRange sqref="AV759 BJ759:BK759" name="Rango2_99_4_3"/>
    <protectedRange sqref="AM759:AQ759" name="Rango2_88_65_6_2"/>
    <protectedRange sqref="AL759" name="Rango2_88_7_5_9_6"/>
    <protectedRange sqref="AW759:AZ759" name="Rango2_88_91_43_2"/>
    <protectedRange sqref="BA759:BI759" name="Rango2_88_99_65_2"/>
    <protectedRange sqref="AR759:AS759" name="Rango2_88_65_11_3"/>
    <protectedRange sqref="AT759" name="Rango2_99_5_5"/>
    <protectedRange sqref="BR759:BS759" name="Rango2_99_6_8"/>
    <protectedRange sqref="BV759:BY759" name="Rango2_88_99_13_1"/>
    <protectedRange sqref="BZ759:CB759" name="Rango2_99_7_6"/>
    <protectedRange sqref="CP759:CQ759" name="Rango2_99_27_6"/>
    <protectedRange sqref="CV759:CY759" name="Rango2_99_47_4"/>
    <protectedRange sqref="DF759:DL759" name="Rango2_99_48_6"/>
    <protectedRange sqref="DA759:DB759" name="Rango2_99_49_1"/>
    <protectedRange sqref="CS759:CT759" name="Rango2_99_29_4"/>
    <protectedRange sqref="DC759" name="Rango2_99_48_5_1"/>
    <protectedRange sqref="CJ759:CK759 CE759:CF759" name="Rango2_99_25_2"/>
    <protectedRange sqref="DD759" name="Rango2_99_48_6_1"/>
    <protectedRange sqref="BT759:BU759" name="Rango2_99_6_5_1"/>
    <protectedRange sqref="DE759" name="Rango2_99_48_8"/>
    <protectedRange algorithmName="SHA-512" hashValue="RQ91b7oAw60DVtcgB2vRpial2kSdzJx5guGCTYUwXYkKrtrUHfiYnLf9R+SNpYXlJDYpyEJLhcWwP0EqNN86dQ==" saltValue="W3RbH3zrcY9sy39xNwXNxg==" spinCount="100000" sqref="BA766:BI767" name="Rango2_88_99_21_3"/>
    <protectedRange algorithmName="SHA-512" hashValue="fMbmUM1DQ7FuAPRNvFL5mPdHUYjQnlLFhkuaxvHguaqR7aWyDxcmJs0jLYQfQKY+oyhsMb4Lew4VL6i7um3/ew==" saltValue="ydaTm0CeH8+/cYqoL/AMaQ==" spinCount="100000" sqref="AU766:AU767 AW766:AZ767" name="Rango2_88_91_15_3"/>
    <protectedRange algorithmName="SHA-512" hashValue="CHipOQaT63FWw628cQcXXJRZlrbNZ7OgmnEbDx38UmmH7z19GRYEzXFiVOzHAy1OAaAbST7g2bHZHDKQp2qm3w==" saltValue="iRVuL+373yLHv0ZHzS9qog==" spinCount="100000" sqref="AG766:AH767 AJ766:AJ767 AL766:AL767" name="Rango2_88_7_5_18_2"/>
    <protectedRange algorithmName="SHA-512" hashValue="NkG6oHuDGvGBEiLAAq8MEJHEfLQUMyjihfH+DBXhT+eQW0r1yri7tOJEFRM9nbOejjjXiviq9RFo7KB7wF+xJA==" saltValue="bpjB0AAANu2X/PeR3eiFkA==" spinCount="100000" sqref="AM766:AS767" name="Rango2_88_65_16_4"/>
    <protectedRange algorithmName="SHA-512" hashValue="fPHvtIAf3pQeZUoAI9C2/vdXMHBpqqEq+67P5Ypyu4+9IWqs3yc9TZcMWQ0THLxUwqseQPyVvakuYFtCwJHsxA==" saltValue="QHIogSs2PrwAfdqa9PAOFQ==" spinCount="100000" sqref="AC766:AC767" name="Rango2_88_5_5_22_1"/>
    <protectedRange algorithmName="SHA-512" hashValue="LEEeiU6pKqm7TAP46VGlz0q+evvFwpT/0iLpRuWuQ7MacbP0OGL1/FSmrIEOg2rb6M+Jla2bPbVWiGag27j87w==" saltValue="HEVt+pS5OloNDlqSnzGLLw==" spinCount="100000" sqref="AI766:AI767" name="Rango2_8_7_19_1"/>
    <protectedRange algorithmName="SHA-512" hashValue="q2z5hEFmXS0v2chiPTC/VCoDWNlnhp+Xe6Ybfxe48vIsnB/KTJQxJv+pFUnCXfZ9T6vyJopuqFFNROfQTW/JUw==" saltValue="IctfdGJb5tOTpq+KPi9vww==" spinCount="100000" sqref="AE766:AF767" name="Rango2_88_39_33_1"/>
    <protectedRange algorithmName="SHA-512" hashValue="AYYX88LSDB6RDNMvSqt0KPGWPjBqTk56tMxTOlv5QD61MGTKAAQnSnudvNDWPN0Bbllh2qRQC+P5uq7goxjdrw==" saltValue="i/iPMewnks1FoXYOjKMEVg==" spinCount="100000" sqref="AB766:AB767" name="Rango2_87_6_22_1"/>
    <protectedRange algorithmName="SHA-512" hashValue="NUll9P9xh7KbSfMYpMxsRZLfDw/y/AzW2LSWlpXVscBDqiAxmzo71xjs+a2lh+jRa7pceOC849slke4+ZKx8LA==" saltValue="8qbkKpQ+CiQuLnqgShNvXA==" spinCount="100000" sqref="T766:T767" name="Rango2_88_6_22_1"/>
    <protectedRange algorithmName="SHA-512" hashValue="RQ91b7oAw60DVtcgB2vRpial2kSdzJx5guGCTYUwXYkKrtrUHfiYnLf9R+SNpYXlJDYpyEJLhcWwP0EqNN86dQ==" saltValue="W3RbH3zrcY9sy39xNwXNxg==" spinCount="100000" sqref="BV766:BY767" name="Rango2_88_99_22_3"/>
    <protectedRange algorithmName="SHA-512" hashValue="RQ91b7oAw60DVtcgB2vRpial2kSdzJx5guGCTYUwXYkKrtrUHfiYnLf9R+SNpYXlJDYpyEJLhcWwP0EqNN86dQ==" saltValue="W3RbH3zrcY9sy39xNwXNxg==" spinCount="100000" sqref="BA768:BI768" name="Rango2_88_99_21_4"/>
    <protectedRange algorithmName="SHA-512" hashValue="fMbmUM1DQ7FuAPRNvFL5mPdHUYjQnlLFhkuaxvHguaqR7aWyDxcmJs0jLYQfQKY+oyhsMb4Lew4VL6i7um3/ew==" saltValue="ydaTm0CeH8+/cYqoL/AMaQ==" spinCount="100000" sqref="AU768 AW768:AZ768" name="Rango2_88_91_15_4"/>
    <protectedRange algorithmName="SHA-512" hashValue="CHipOQaT63FWw628cQcXXJRZlrbNZ7OgmnEbDx38UmmH7z19GRYEzXFiVOzHAy1OAaAbST7g2bHZHDKQp2qm3w==" saltValue="iRVuL+373yLHv0ZHzS9qog==" spinCount="100000" sqref="AG768:AH768 AJ768 AL768" name="Rango2_88_7_5_18_3"/>
    <protectedRange algorithmName="SHA-512" hashValue="NkG6oHuDGvGBEiLAAq8MEJHEfLQUMyjihfH+DBXhT+eQW0r1yri7tOJEFRM9nbOejjjXiviq9RFo7KB7wF+xJA==" saltValue="bpjB0AAANu2X/PeR3eiFkA==" spinCount="100000" sqref="AM768:AS768" name="Rango2_88_65_16_5"/>
    <protectedRange algorithmName="SHA-512" hashValue="fPHvtIAf3pQeZUoAI9C2/vdXMHBpqqEq+67P5Ypyu4+9IWqs3yc9TZcMWQ0THLxUwqseQPyVvakuYFtCwJHsxA==" saltValue="QHIogSs2PrwAfdqa9PAOFQ==" spinCount="100000" sqref="AC768" name="Rango2_88_5_5_22_2"/>
    <protectedRange algorithmName="SHA-512" hashValue="LEEeiU6pKqm7TAP46VGlz0q+evvFwpT/0iLpRuWuQ7MacbP0OGL1/FSmrIEOg2rb6M+Jla2bPbVWiGag27j87w==" saltValue="HEVt+pS5OloNDlqSnzGLLw==" spinCount="100000" sqref="AI768" name="Rango2_8_7_19_2"/>
    <protectedRange algorithmName="SHA-512" hashValue="q2z5hEFmXS0v2chiPTC/VCoDWNlnhp+Xe6Ybfxe48vIsnB/KTJQxJv+pFUnCXfZ9T6vyJopuqFFNROfQTW/JUw==" saltValue="IctfdGJb5tOTpq+KPi9vww==" spinCount="100000" sqref="AE768:AF768" name="Rango2_88_39_33_2"/>
    <protectedRange algorithmName="SHA-512" hashValue="AYYX88LSDB6RDNMvSqt0KPGWPjBqTk56tMxTOlv5QD61MGTKAAQnSnudvNDWPN0Bbllh2qRQC+P5uq7goxjdrw==" saltValue="i/iPMewnks1FoXYOjKMEVg==" spinCount="100000" sqref="AB768" name="Rango2_87_6_22_2"/>
    <protectedRange algorithmName="SHA-512" hashValue="NUll9P9xh7KbSfMYpMxsRZLfDw/y/AzW2LSWlpXVscBDqiAxmzo71xjs+a2lh+jRa7pceOC849slke4+ZKx8LA==" saltValue="8qbkKpQ+CiQuLnqgShNvXA==" spinCount="100000" sqref="T768" name="Rango2_88_6_22_2"/>
    <protectedRange algorithmName="SHA-512" hashValue="RQ91b7oAw60DVtcgB2vRpial2kSdzJx5guGCTYUwXYkKrtrUHfiYnLf9R+SNpYXlJDYpyEJLhcWwP0EqNN86dQ==" saltValue="W3RbH3zrcY9sy39xNwXNxg==" spinCount="100000" sqref="BV768:BY768" name="Rango2_88_99_22_4"/>
    <protectedRange sqref="AE769:AF769" name="Rango2_88_39_9_1_1"/>
    <protectedRange sqref="AI769" name="Rango2_8_7_14_1_1"/>
    <protectedRange sqref="AJ769 AG769:AH769" name="Rango2_88_7_5_12_1"/>
    <protectedRange sqref="AM769:AQ769" name="Rango2_88_65_6_1_1"/>
    <protectedRange sqref="AL769" name="Rango2_88_7_5_9_1_1"/>
    <protectedRange sqref="AU769 AW769:BI769" name="Rango2_88_91_10_1_1"/>
    <protectedRange sqref="BV769:BY769" name="Rango2_88_99_13_1_1"/>
    <protectedRange algorithmName="SHA-512" hashValue="RQ91b7oAw60DVtcgB2vRpial2kSdzJx5guGCTYUwXYkKrtrUHfiYnLf9R+SNpYXlJDYpyEJLhcWwP0EqNN86dQ==" saltValue="W3RbH3zrcY9sy39xNwXNxg==" spinCount="100000" sqref="BA770:BI770 BV770:BY770" name="Rango2_88_99_23_4"/>
    <protectedRange algorithmName="SHA-512" hashValue="fMbmUM1DQ7FuAPRNvFL5mPdHUYjQnlLFhkuaxvHguaqR7aWyDxcmJs0jLYQfQKY+oyhsMb4Lew4VL6i7um3/ew==" saltValue="ydaTm0CeH8+/cYqoL/AMaQ==" spinCount="100000" sqref="AU770 AW770:AZ770" name="Rango2_88_91_18_2"/>
    <protectedRange algorithmName="SHA-512" hashValue="CHipOQaT63FWw628cQcXXJRZlrbNZ7OgmnEbDx38UmmH7z19GRYEzXFiVOzHAy1OAaAbST7g2bHZHDKQp2qm3w==" saltValue="iRVuL+373yLHv0ZHzS9qog==" spinCount="100000" sqref="AG770:AH770 AJ770 AL770" name="Rango2_88_7_5_21_3"/>
    <protectedRange algorithmName="SHA-512" hashValue="NkG6oHuDGvGBEiLAAq8MEJHEfLQUMyjihfH+DBXhT+eQW0r1yri7tOJEFRM9nbOejjjXiviq9RFo7KB7wF+xJA==" saltValue="bpjB0AAANu2X/PeR3eiFkA==" spinCount="100000" sqref="AM770:AS770" name="Rango2_88_65_19_1"/>
    <protectedRange algorithmName="SHA-512" hashValue="fPHvtIAf3pQeZUoAI9C2/vdXMHBpqqEq+67P5Ypyu4+9IWqs3yc9TZcMWQ0THLxUwqseQPyVvakuYFtCwJHsxA==" saltValue="QHIogSs2PrwAfdqa9PAOFQ==" spinCount="100000" sqref="AC770" name="Rango2_88_5_5_25_1"/>
    <protectedRange algorithmName="SHA-512" hashValue="LEEeiU6pKqm7TAP46VGlz0q+evvFwpT/0iLpRuWuQ7MacbP0OGL1/FSmrIEOg2rb6M+Jla2bPbVWiGag27j87w==" saltValue="HEVt+pS5OloNDlqSnzGLLw==" spinCount="100000" sqref="AI770" name="Rango2_8_7_22_1"/>
    <protectedRange algorithmName="SHA-512" hashValue="q2z5hEFmXS0v2chiPTC/VCoDWNlnhp+Xe6Ybfxe48vIsnB/KTJQxJv+pFUnCXfZ9T6vyJopuqFFNROfQTW/JUw==" saltValue="IctfdGJb5tOTpq+KPi9vww==" spinCount="100000" sqref="AE770:AF770" name="Rango2_88_39_39_3"/>
    <protectedRange algorithmName="SHA-512" hashValue="AYYX88LSDB6RDNMvSqt0KPGWPjBqTk56tMxTOlv5QD61MGTKAAQnSnudvNDWPN0Bbllh2qRQC+P5uq7goxjdrw==" saltValue="i/iPMewnks1FoXYOjKMEVg==" spinCount="100000" sqref="AB770" name="Rango2_87_6_25_2"/>
    <protectedRange algorithmName="SHA-512" hashValue="NUll9P9xh7KbSfMYpMxsRZLfDw/y/AzW2LSWlpXVscBDqiAxmzo71xjs+a2lh+jRa7pceOC849slke4+ZKx8LA==" saltValue="8qbkKpQ+CiQuLnqgShNvXA==" spinCount="100000" sqref="T770" name="Rango2_88_6_25_2"/>
    <protectedRange sqref="CF771" name="Rango2_99_16_4_1"/>
    <protectedRange algorithmName="SHA-512" hashValue="RQ91b7oAw60DVtcgB2vRpial2kSdzJx5guGCTYUwXYkKrtrUHfiYnLf9R+SNpYXlJDYpyEJLhcWwP0EqNN86dQ==" saltValue="W3RbH3zrcY9sy39xNwXNxg==" spinCount="100000" sqref="BA775:BI775 BV775:BY775" name="Rango2_88_99_24_4"/>
    <protectedRange algorithmName="SHA-512" hashValue="fMbmUM1DQ7FuAPRNvFL5mPdHUYjQnlLFhkuaxvHguaqR7aWyDxcmJs0jLYQfQKY+oyhsMb4Lew4VL6i7um3/ew==" saltValue="ydaTm0CeH8+/cYqoL/AMaQ==" spinCount="100000" sqref="AU775 AW775:AZ775" name="Rango2_88_91_19_1"/>
    <protectedRange algorithmName="SHA-512" hashValue="CHipOQaT63FWw628cQcXXJRZlrbNZ7OgmnEbDx38UmmH7z19GRYEzXFiVOzHAy1OAaAbST7g2bHZHDKQp2qm3w==" saltValue="iRVuL+373yLHv0ZHzS9qog==" spinCount="100000" sqref="AG775:AH775 AJ775 AL775" name="Rango2_88_7_5_22_2"/>
    <protectedRange algorithmName="SHA-512" hashValue="NkG6oHuDGvGBEiLAAq8MEJHEfLQUMyjihfH+DBXhT+eQW0r1yri7tOJEFRM9nbOejjjXiviq9RFo7KB7wF+xJA==" saltValue="bpjB0AAANu2X/PeR3eiFkA==" spinCount="100000" sqref="AM775:AS775" name="Rango2_88_65_20_1"/>
    <protectedRange algorithmName="SHA-512" hashValue="fPHvtIAf3pQeZUoAI9C2/vdXMHBpqqEq+67P5Ypyu4+9IWqs3yc9TZcMWQ0THLxUwqseQPyVvakuYFtCwJHsxA==" saltValue="QHIogSs2PrwAfdqa9PAOFQ==" spinCount="100000" sqref="AC775" name="Rango2_88_5_5_26_1"/>
    <protectedRange algorithmName="SHA-512" hashValue="LEEeiU6pKqm7TAP46VGlz0q+evvFwpT/0iLpRuWuQ7MacbP0OGL1/FSmrIEOg2rb6M+Jla2bPbVWiGag27j87w==" saltValue="HEVt+pS5OloNDlqSnzGLLw==" spinCount="100000" sqref="AI775" name="Rango2_8_7_23_6"/>
    <protectedRange algorithmName="SHA-512" hashValue="q2z5hEFmXS0v2chiPTC/VCoDWNlnhp+Xe6Ybfxe48vIsnB/KTJQxJv+pFUnCXfZ9T6vyJopuqFFNROfQTW/JUw==" saltValue="IctfdGJb5tOTpq+KPi9vww==" spinCount="100000" sqref="AE775:AF775" name="Rango2_88_39_40_2"/>
    <protectedRange algorithmName="SHA-512" hashValue="AYYX88LSDB6RDNMvSqt0KPGWPjBqTk56tMxTOlv5QD61MGTKAAQnSnudvNDWPN0Bbllh2qRQC+P5uq7goxjdrw==" saltValue="i/iPMewnks1FoXYOjKMEVg==" spinCount="100000" sqref="AB775" name="Rango2_87_6_26_1"/>
    <protectedRange algorithmName="SHA-512" hashValue="NUll9P9xh7KbSfMYpMxsRZLfDw/y/AzW2LSWlpXVscBDqiAxmzo71xjs+a2lh+jRa7pceOC849slke4+ZKx8LA==" saltValue="8qbkKpQ+CiQuLnqgShNvXA==" spinCount="100000" sqref="T775" name="Rango2_88_6_26_1"/>
    <protectedRange algorithmName="SHA-512" hashValue="RQ91b7oAw60DVtcgB2vRpial2kSdzJx5guGCTYUwXYkKrtrUHfiYnLf9R+SNpYXlJDYpyEJLhcWwP0EqNN86dQ==" saltValue="W3RbH3zrcY9sy39xNwXNxg==" spinCount="100000" sqref="BA779:BI779 BV779:BY779" name="Rango2_88_99_25_1"/>
    <protectedRange algorithmName="SHA-512" hashValue="fMbmUM1DQ7FuAPRNvFL5mPdHUYjQnlLFhkuaxvHguaqR7aWyDxcmJs0jLYQfQKY+oyhsMb4Lew4VL6i7um3/ew==" saltValue="ydaTm0CeH8+/cYqoL/AMaQ==" spinCount="100000" sqref="AU779 AW779:AZ779" name="Rango2_88_91_20_1"/>
    <protectedRange algorithmName="SHA-512" hashValue="CHipOQaT63FWw628cQcXXJRZlrbNZ7OgmnEbDx38UmmH7z19GRYEzXFiVOzHAy1OAaAbST7g2bHZHDKQp2qm3w==" saltValue="iRVuL+373yLHv0ZHzS9qog==" spinCount="100000" sqref="AG779:AH779 AJ779 AL779" name="Rango2_88_7_5_23_3"/>
    <protectedRange algorithmName="SHA-512" hashValue="NkG6oHuDGvGBEiLAAq8MEJHEfLQUMyjihfH+DBXhT+eQW0r1yri7tOJEFRM9nbOejjjXiviq9RFo7KB7wF+xJA==" saltValue="bpjB0AAANu2X/PeR3eiFkA==" spinCount="100000" sqref="AM779:AS779" name="Rango2_88_65_21_1"/>
    <protectedRange algorithmName="SHA-512" hashValue="fPHvtIAf3pQeZUoAI9C2/vdXMHBpqqEq+67P5Ypyu4+9IWqs3yc9TZcMWQ0THLxUwqseQPyVvakuYFtCwJHsxA==" saltValue="QHIogSs2PrwAfdqa9PAOFQ==" spinCount="100000" sqref="AC779" name="Rango2_88_5_5_27_1"/>
    <protectedRange algorithmName="SHA-512" hashValue="LEEeiU6pKqm7TAP46VGlz0q+evvFwpT/0iLpRuWuQ7MacbP0OGL1/FSmrIEOg2rb6M+Jla2bPbVWiGag27j87w==" saltValue="HEVt+pS5OloNDlqSnzGLLw==" spinCount="100000" sqref="AI779" name="Rango2_8_7_24_1"/>
    <protectedRange algorithmName="SHA-512" hashValue="q2z5hEFmXS0v2chiPTC/VCoDWNlnhp+Xe6Ybfxe48vIsnB/KTJQxJv+pFUnCXfZ9T6vyJopuqFFNROfQTW/JUw==" saltValue="IctfdGJb5tOTpq+KPi9vww==" spinCount="100000" sqref="AE779:AF779" name="Rango2_88_39_41_6"/>
    <protectedRange algorithmName="SHA-512" hashValue="AYYX88LSDB6RDNMvSqt0KPGWPjBqTk56tMxTOlv5QD61MGTKAAQnSnudvNDWPN0Bbllh2qRQC+P5uq7goxjdrw==" saltValue="i/iPMewnks1FoXYOjKMEVg==" spinCount="100000" sqref="AB779" name="Rango2_87_6_27_1"/>
    <protectedRange algorithmName="SHA-512" hashValue="NUll9P9xh7KbSfMYpMxsRZLfDw/y/AzW2LSWlpXVscBDqiAxmzo71xjs+a2lh+jRa7pceOC849slke4+ZKx8LA==" saltValue="8qbkKpQ+CiQuLnqgShNvXA==" spinCount="100000" sqref="T779" name="Rango2_88_6_27_1"/>
    <protectedRange sqref="AG780:AH780 AJ780" name="Rango2_88_7_5_1_2_1"/>
    <protectedRange sqref="AI780" name="Rango2_8_7_1_3_1"/>
    <protectedRange sqref="AF780" name="Rango2_88_39_1_2_1"/>
    <protectedRange sqref="AU780" name="Rango2_88_91_1_3_1"/>
    <protectedRange sqref="AM780:AQ780" name="Rango2_88_65_6_3"/>
    <protectedRange sqref="AL780" name="Rango2_88_7_5_9_3_1"/>
    <protectedRange sqref="AW780:AZ780" name="Rango2_88_91_43_2_1"/>
    <protectedRange sqref="BA780:BI780" name="Rango2_88_99_65_2_1"/>
    <protectedRange sqref="BV780:BY780" name="Rango2_88_99_13_3"/>
    <protectedRange sqref="CF780" name="Rango2_99_16_6_1"/>
    <protectedRange algorithmName="SHA-512" hashValue="RQ91b7oAw60DVtcgB2vRpial2kSdzJx5guGCTYUwXYkKrtrUHfiYnLf9R+SNpYXlJDYpyEJLhcWwP0EqNN86dQ==" saltValue="W3RbH3zrcY9sy39xNwXNxg==" spinCount="100000" sqref="BA783:BI783 BV783:BY783" name="Rango2_88_99_26_2"/>
    <protectedRange algorithmName="SHA-512" hashValue="fMbmUM1DQ7FuAPRNvFL5mPdHUYjQnlLFhkuaxvHguaqR7aWyDxcmJs0jLYQfQKY+oyhsMb4Lew4VL6i7um3/ew==" saltValue="ydaTm0CeH8+/cYqoL/AMaQ==" spinCount="100000" sqref="AU783 AW783:AZ783" name="Rango2_88_91_21_1"/>
    <protectedRange algorithmName="SHA-512" hashValue="CHipOQaT63FWw628cQcXXJRZlrbNZ7OgmnEbDx38UmmH7z19GRYEzXFiVOzHAy1OAaAbST7g2bHZHDKQp2qm3w==" saltValue="iRVuL+373yLHv0ZHzS9qog==" spinCount="100000" sqref="AG783:AH783 AJ783 AL783" name="Rango2_88_7_5_24_1"/>
    <protectedRange algorithmName="SHA-512" hashValue="NkG6oHuDGvGBEiLAAq8MEJHEfLQUMyjihfH+DBXhT+eQW0r1yri7tOJEFRM9nbOejjjXiviq9RFo7KB7wF+xJA==" saltValue="bpjB0AAANu2X/PeR3eiFkA==" spinCount="100000" sqref="AM783:AS783" name="Rango2_88_65_22_1"/>
    <protectedRange algorithmName="SHA-512" hashValue="fPHvtIAf3pQeZUoAI9C2/vdXMHBpqqEq+67P5Ypyu4+9IWqs3yc9TZcMWQ0THLxUwqseQPyVvakuYFtCwJHsxA==" saltValue="QHIogSs2PrwAfdqa9PAOFQ==" spinCount="100000" sqref="AC783" name="Rango2_88_5_5_28_1"/>
    <protectedRange algorithmName="SHA-512" hashValue="LEEeiU6pKqm7TAP46VGlz0q+evvFwpT/0iLpRuWuQ7MacbP0OGL1/FSmrIEOg2rb6M+Jla2bPbVWiGag27j87w==" saltValue="HEVt+pS5OloNDlqSnzGLLw==" spinCount="100000" sqref="AI783" name="Rango2_8_7_25_1"/>
    <protectedRange algorithmName="SHA-512" hashValue="q2z5hEFmXS0v2chiPTC/VCoDWNlnhp+Xe6Ybfxe48vIsnB/KTJQxJv+pFUnCXfZ9T6vyJopuqFFNROfQTW/JUw==" saltValue="IctfdGJb5tOTpq+KPi9vww==" spinCount="100000" sqref="AE783:AF783" name="Rango2_88_39_43_2"/>
    <protectedRange algorithmName="SHA-512" hashValue="AYYX88LSDB6RDNMvSqt0KPGWPjBqTk56tMxTOlv5QD61MGTKAAQnSnudvNDWPN0Bbllh2qRQC+P5uq7goxjdrw==" saltValue="i/iPMewnks1FoXYOjKMEVg==" spinCount="100000" sqref="AB783" name="Rango2_87_6_28_1"/>
    <protectedRange algorithmName="SHA-512" hashValue="NUll9P9xh7KbSfMYpMxsRZLfDw/y/AzW2LSWlpXVscBDqiAxmzo71xjs+a2lh+jRa7pceOC849slke4+ZKx8LA==" saltValue="8qbkKpQ+CiQuLnqgShNvXA==" spinCount="100000" sqref="T783" name="Rango2_88_6_28_1"/>
    <protectedRange algorithmName="SHA-512" hashValue="RQ91b7oAw60DVtcgB2vRpial2kSdzJx5guGCTYUwXYkKrtrUHfiYnLf9R+SNpYXlJDYpyEJLhcWwP0EqNN86dQ==" saltValue="W3RbH3zrcY9sy39xNwXNxg==" spinCount="100000" sqref="BV784:BY785 BA784:BI785" name="Rango2_88_99_27_3"/>
    <protectedRange algorithmName="SHA-512" hashValue="fMbmUM1DQ7FuAPRNvFL5mPdHUYjQnlLFhkuaxvHguaqR7aWyDxcmJs0jLYQfQKY+oyhsMb4Lew4VL6i7um3/ew==" saltValue="ydaTm0CeH8+/cYqoL/AMaQ==" spinCount="100000" sqref="AW784:AZ785 AU784:AU785" name="Rango2_88_91_22_1"/>
    <protectedRange algorithmName="SHA-512" hashValue="CHipOQaT63FWw628cQcXXJRZlrbNZ7OgmnEbDx38UmmH7z19GRYEzXFiVOzHAy1OAaAbST7g2bHZHDKQp2qm3w==" saltValue="iRVuL+373yLHv0ZHzS9qog==" spinCount="100000" sqref="AL784:AL785 AJ784:AJ785 AG784:AH785" name="Rango2_88_7_5_25_1"/>
    <protectedRange algorithmName="SHA-512" hashValue="NkG6oHuDGvGBEiLAAq8MEJHEfLQUMyjihfH+DBXhT+eQW0r1yri7tOJEFRM9nbOejjjXiviq9RFo7KB7wF+xJA==" saltValue="bpjB0AAANu2X/PeR3eiFkA==" spinCount="100000" sqref="AM784:AS785" name="Rango2_88_65_23_6"/>
    <protectedRange algorithmName="SHA-512" hashValue="fPHvtIAf3pQeZUoAI9C2/vdXMHBpqqEq+67P5Ypyu4+9IWqs3yc9TZcMWQ0THLxUwqseQPyVvakuYFtCwJHsxA==" saltValue="QHIogSs2PrwAfdqa9PAOFQ==" spinCount="100000" sqref="AC784:AC785" name="Rango2_88_5_5_29_3"/>
    <protectedRange algorithmName="SHA-512" hashValue="LEEeiU6pKqm7TAP46VGlz0q+evvFwpT/0iLpRuWuQ7MacbP0OGL1/FSmrIEOg2rb6M+Jla2bPbVWiGag27j87w==" saltValue="HEVt+pS5OloNDlqSnzGLLw==" spinCount="100000" sqref="AI784:AI785" name="Rango2_8_7_26_1"/>
    <protectedRange algorithmName="SHA-512" hashValue="q2z5hEFmXS0v2chiPTC/VCoDWNlnhp+Xe6Ybfxe48vIsnB/KTJQxJv+pFUnCXfZ9T6vyJopuqFFNROfQTW/JUw==" saltValue="IctfdGJb5tOTpq+KPi9vww==" spinCount="100000" sqref="AE784:AF785" name="Rango2_88_39_44_1"/>
    <protectedRange algorithmName="SHA-512" hashValue="AYYX88LSDB6RDNMvSqt0KPGWPjBqTk56tMxTOlv5QD61MGTKAAQnSnudvNDWPN0Bbllh2qRQC+P5uq7goxjdrw==" saltValue="i/iPMewnks1FoXYOjKMEVg==" spinCount="100000" sqref="AB784:AB785" name="Rango2_87_6_29_1"/>
    <protectedRange algorithmName="SHA-512" hashValue="NUll9P9xh7KbSfMYpMxsRZLfDw/y/AzW2LSWlpXVscBDqiAxmzo71xjs+a2lh+jRa7pceOC849slke4+ZKx8LA==" saltValue="8qbkKpQ+CiQuLnqgShNvXA==" spinCount="100000" sqref="T784:T785" name="Rango2_88_6_29_1"/>
    <protectedRange sqref="AG786:AH786 AJ786" name="Rango2_88_7_5_1_4_1"/>
    <protectedRange sqref="AI786" name="Rango2_8_7_1_5"/>
    <protectedRange sqref="AF786" name="Rango2_88_39_1_4_1"/>
    <protectedRange sqref="AU786" name="Rango2_88_91_1_5"/>
    <protectedRange sqref="AM786:AQ786" name="Rango2_88_65_6_5"/>
    <protectedRange sqref="AL786" name="Rango2_88_7_5_9_5_1"/>
    <protectedRange sqref="AW786:AZ786" name="Rango2_88_91_43_2_3"/>
    <protectedRange sqref="BA786:BI786" name="Rango2_88_99_65_2_3"/>
    <protectedRange sqref="BV786:BY786" name="Rango2_88_99_13_5"/>
    <protectedRange sqref="CF786" name="Rango2_99_16_8"/>
    <protectedRange sqref="EA756 EC756 EE756" name="Rango2_99_94_1_1"/>
    <protectedRange sqref="FH756" name="Rango2_32_8"/>
    <protectedRange sqref="FQ756" name="Rango2_99_97_2"/>
    <protectedRange sqref="FY756" name="Rango2_31_2_1_1_1"/>
    <protectedRange sqref="GB756" name="Rango2_31_2_2_2"/>
    <protectedRange sqref="GN756" name="Rango2_30_2_1_1_2"/>
    <protectedRange sqref="GQ756:GR756" name="Rango2_30_2_2_2_1"/>
    <protectedRange sqref="IA756" name="Rango2_88_39_14_3"/>
    <protectedRange sqref="HS756:HT756" name="Rango2_21_1_1"/>
    <protectedRange sqref="ID756" name="Rango2_88_39_15_1"/>
    <protectedRange sqref="IE756:IJ756" name="Rango2_88_39_16_5"/>
    <protectedRange sqref="EF757" name="Rango2_99_24_1_1"/>
    <protectedRange sqref="EA758:EH758" name="Rango2_99_97_3"/>
    <protectedRange sqref="FH757:FH758" name="Rango2_32_9"/>
    <protectedRange sqref="FY757:FY758" name="Rango2_31_2_1_1_2"/>
    <protectedRange sqref="GB757:GB758" name="Rango2_31_2_2_3"/>
    <protectedRange sqref="GN757:GN758" name="Rango2_30_2_1_1_2_1"/>
    <protectedRange sqref="GQ757:GR758" name="Rango2_30_2_2_2_1_1"/>
    <protectedRange sqref="IA757:IA758" name="Rango2_88_39_14_4"/>
    <protectedRange sqref="HS757:HT758" name="Rango2_21_1_1_1"/>
    <protectedRange sqref="ID757:ID758" name="Rango2_88_39_15_2"/>
    <protectedRange sqref="IE757:IJ758" name="Rango2_88_39_16_6"/>
    <protectedRange sqref="EI759:EJ759" name="Rango2_99_79_1"/>
    <protectedRange sqref="EA759:EH759" name="Rango2_99_99_4"/>
    <protectedRange sqref="EN759" name="Rango2_16_4"/>
    <protectedRange sqref="EY759:FA759" name="Rango2_24_4"/>
    <protectedRange sqref="FC759" name="Rango2_25_6"/>
    <protectedRange sqref="FH759" name="Rango2_32_10"/>
    <protectedRange sqref="FK759:FL759" name="Rango2_34_2"/>
    <protectedRange sqref="FN759:FO759" name="Rango2_36_3"/>
    <protectedRange sqref="FY759" name="Rango2_31_2_1_4"/>
    <protectedRange sqref="GB759" name="Rango2_31_2_2_4"/>
    <protectedRange sqref="GC759" name="Rango2_33_1_4"/>
    <protectedRange sqref="GF759" name="Rango2_31_28_1_4"/>
    <protectedRange sqref="GE759" name="Rango2_31_2_3_4"/>
    <protectedRange sqref="GN759" name="Rango2_30_2_1_4"/>
    <protectedRange sqref="GJ759 GH759 GL759" name="Rango2_31_2_4_2"/>
    <protectedRange sqref="GI759" name="Rango2_33_2_1"/>
    <protectedRange sqref="GQ759:GR759" name="Rango2_30_2_2_5"/>
    <protectedRange sqref="IA759" name="Rango2_88_39_14_5"/>
    <protectedRange sqref="HS759:HT759" name="Rango2_37_4"/>
    <protectedRange sqref="ID759" name="Rango2_88_39_15_3"/>
    <protectedRange sqref="IE759:IJ759" name="Rango2_88_39_16_7"/>
    <protectedRange algorithmName="SHA-512" hashValue="pL4tgTKqwEsWSIEGFTBd+4pvEhE7d5Q99Eijs+L/Y1rhA0saQGGRJw5Pv2HLOP0quglztFwB6WVnQ1YGxd4AiQ==" saltValue="IF5mhk2RcoEjrcYppes1VA==" spinCount="100000" sqref="FT759" name="Rango2_30_14_2"/>
    <protectedRange sqref="FY761" name="Rango2_31_2_1_5"/>
    <protectedRange sqref="GN761" name="Rango2_30_2_1_3_1"/>
    <protectedRange sqref="GQ761" name="Rango2_30_2_2_2_2"/>
    <protectedRange sqref="ER762:ER764" name="Rango2_99_48_1_1"/>
    <protectedRange sqref="ER765" name="Rango2_99_48_1_2"/>
    <protectedRange algorithmName="SHA-512" hashValue="Umj9+5Ys20VQPxBFtc6qE5LtKKSgPKwit+B8dd4XnEUaLfBM2ozpkEC4YxwK0SbBiAHDDex+pY+LomQ0lyuamQ==" saltValue="N2/MCRws+mmA+NXw0axolg==" spinCount="100000" sqref="FY767" name="Rango2_31_2_17_6"/>
    <protectedRange algorithmName="SHA-512" hashValue="EEHzbvEYwO1eufllBljOz0uf9BJ2ENtvOScQ7IsS321QhYbwKn7qhHKKP8cKj02rTDvVRMWvwQ1ZP0mZWsBprQ==" saltValue="CjXqBRFbKezlWOFV37MnDQ==" spinCount="100000" sqref="GW767 GN767 GQ767:GR767" name="Rango2_30_2_17_6"/>
    <protectedRange algorithmName="SHA-512" hashValue="q2z5hEFmXS0v2chiPTC/VCoDWNlnhp+Xe6Ybfxe48vIsnB/KTJQxJv+pFUnCXfZ9T6vyJopuqFFNROfQTW/JUw==" saltValue="IctfdGJb5tOTpq+KPi9vww==" spinCount="100000" sqref="ID766:ID767" name="Rango2_88_39_34_1"/>
    <protectedRange algorithmName="SHA-512" hashValue="q2z5hEFmXS0v2chiPTC/VCoDWNlnhp+Xe6Ybfxe48vIsnB/KTJQxJv+pFUnCXfZ9T6vyJopuqFFNROfQTW/JUw==" saltValue="IctfdGJb5tOTpq+KPi9vww==" spinCount="100000" sqref="IE766:IE767" name="Rango2_88_39_35_1"/>
    <protectedRange algorithmName="SHA-512" hashValue="EEHzbvEYwO1eufllBljOz0uf9BJ2ENtvOScQ7IsS321QhYbwKn7qhHKKP8cKj02rTDvVRMWvwQ1ZP0mZWsBprQ==" saltValue="CjXqBRFbKezlWOFV37MnDQ==" spinCount="100000" sqref="GQ765:GR766" name="Rango2_30_2_21_3"/>
    <protectedRange algorithmName="SHA-512" hashValue="YXHanhqXL0e4jPrzkCF8r/22WmlCviFUW909WKuG1JOcU0mp0/Huh0aP3EaGYxV2ep0WGu48HsShAy4Ka2uOiw==" saltValue="h/7U5iwJm7DLR4tRVfwZYw==" spinCount="100000" sqref="GC766" name="Rango2_33_33_1"/>
    <protectedRange algorithmName="SHA-512" hashValue="EEHzbvEYwO1eufllBljOz0uf9BJ2ENtvOScQ7IsS321QhYbwKn7qhHKKP8cKj02rTDvVRMWvwQ1ZP0mZWsBprQ==" saltValue="CjXqBRFbKezlWOFV37MnDQ==" spinCount="100000" sqref="GN766" name="Rango2_30_2_28_4"/>
    <protectedRange algorithmName="SHA-512" hashValue="q2z5hEFmXS0v2chiPTC/VCoDWNlnhp+Xe6Ybfxe48vIsnB/KTJQxJv+pFUnCXfZ9T6vyJopuqFFNROfQTW/JUw==" saltValue="IctfdGJb5tOTpq+KPi9vww==" spinCount="100000" sqref="ID768" name="Rango2_88_39_34_2"/>
    <protectedRange algorithmName="SHA-512" hashValue="q2z5hEFmXS0v2chiPTC/VCoDWNlnhp+Xe6Ybfxe48vIsnB/KTJQxJv+pFUnCXfZ9T6vyJopuqFFNROfQTW/JUw==" saltValue="IctfdGJb5tOTpq+KPi9vww==" spinCount="100000" sqref="IE768" name="Rango2_88_39_35_2"/>
    <protectedRange sqref="ER769" name="Rango2_99_48_1_3"/>
    <protectedRange algorithmName="SHA-512" hashValue="Umj9+5Ys20VQPxBFtc6qE5LtKKSgPKwit+B8dd4XnEUaLfBM2ozpkEC4YxwK0SbBiAHDDex+pY+LomQ0lyuamQ==" saltValue="N2/MCRws+mmA+NXw0axolg==" spinCount="100000" sqref="FY768" name="Rango2_31_2_21_2"/>
    <protectedRange algorithmName="SHA-512" hashValue="EEHzbvEYwO1eufllBljOz0uf9BJ2ENtvOScQ7IsS321QhYbwKn7qhHKKP8cKj02rTDvVRMWvwQ1ZP0mZWsBprQ==" saltValue="CjXqBRFbKezlWOFV37MnDQ==" spinCount="100000" sqref="GQ768:GR768 GN768" name="Rango2_30_2_23_2"/>
    <protectedRange algorithmName="SHA-512" hashValue="YXHanhqXL0e4jPrzkCF8r/22WmlCviFUW909WKuG1JOcU0mp0/Huh0aP3EaGYxV2ep0WGu48HsShAy4Ka2uOiw==" saltValue="h/7U5iwJm7DLR4tRVfwZYw==" spinCount="100000" sqref="GC768" name="Rango2_33_34_2"/>
    <protectedRange algorithmName="SHA-512" hashValue="EEHzbvEYwO1eufllBljOz0uf9BJ2ENtvOScQ7IsS321QhYbwKn7qhHKKP8cKj02rTDvVRMWvwQ1ZP0mZWsBprQ==" saltValue="CjXqBRFbKezlWOFV37MnDQ==" spinCount="100000" sqref="GW770" name="Rango2_30_2_24_1"/>
    <protectedRange algorithmName="SHA-512" hashValue="Rgskw+AQdeJ5qbJdarzTa3SCkJfDGziy0Uan5N0F3IWn/H3Z/e+VcB56R7Nes7MPxNHewNP1sSSucVjz3iTLeA==" saltValue="qKZH3DnwaZHBzy3cBZo1qQ==" spinCount="100000" sqref="GF770" name="Rango2_31_28_11_1"/>
    <protectedRange algorithmName="SHA-512" hashValue="Umj9+5Ys20VQPxBFtc6qE5LtKKSgPKwit+B8dd4XnEUaLfBM2ozpkEC4YxwK0SbBiAHDDex+pY+LomQ0lyuamQ==" saltValue="N2/MCRws+mmA+NXw0axolg==" spinCount="100000" sqref="GJ770 GH770 GE770 GL770 FY770" name="Rango2_31_2_22_1"/>
    <protectedRange algorithmName="SHA-512" hashValue="q2z5hEFmXS0v2chiPTC/VCoDWNlnhp+Xe6Ybfxe48vIsnB/KTJQxJv+pFUnCXfZ9T6vyJopuqFFNROfQTW/JUw==" saltValue="IctfdGJb5tOTpq+KPi9vww==" spinCount="100000" sqref="IA770 ID770:IJ770" name="Rango2_88_39_39_4"/>
    <protectedRange algorithmName="SHA-512" hashValue="YXHanhqXL0e4jPrzkCF8r/22WmlCviFUW909WKuG1JOcU0mp0/Huh0aP3EaGYxV2ep0WGu48HsShAy4Ka2uOiw==" saltValue="h/7U5iwJm7DLR4tRVfwZYw==" spinCount="100000" sqref="GI770" name="Rango2_33_28_1"/>
    <protectedRange algorithmName="SHA-512" hashValue="pL4tgTKqwEsWSIEGFTBd+4pvEhE7d5Q99Eijs+L/Y1rhA0saQGGRJw5Pv2HLOP0quglztFwB6WVnQ1YGxd4AiQ==" saltValue="IF5mhk2RcoEjrcYppes1VA==" spinCount="100000" sqref="FT770" name="Rango2_30_16_1"/>
    <protectedRange sqref="ER772" name="Rango2_99_48_1_5"/>
    <protectedRange sqref="HT771" name="Rango2_37_2_1"/>
    <protectedRange algorithmName="SHA-512" hashValue="XZw03RosI/l0z9FxmTtF29EdZ7P+4+ybhqoaAAUmURojSR5XbGfjC4f2i8gMqfY+RI9JvfdCA6PSh9TduXfUxA==" saltValue="5TPtLq2WoiRSae/yaDPnTw==" spinCount="100000" sqref="EI770:EJ770" name="Rango2_99_16_7"/>
    <protectedRange algorithmName="SHA-512" hashValue="EEHzbvEYwO1eufllBljOz0uf9BJ2ENtvOScQ7IsS321QhYbwKn7qhHKKP8cKj02rTDvVRMWvwQ1ZP0mZWsBprQ==" saltValue="CjXqBRFbKezlWOFV37MnDQ==" spinCount="100000" sqref="GN770" name="Rango2_30_2_29_1"/>
    <protectedRange sqref="ER773" name="Rango2_99_48_1_5_1"/>
    <protectedRange algorithmName="SHA-512" hashValue="EEHzbvEYwO1eufllBljOz0uf9BJ2ENtvOScQ7IsS321QhYbwKn7qhHKKP8cKj02rTDvVRMWvwQ1ZP0mZWsBprQ==" saltValue="CjXqBRFbKezlWOFV37MnDQ==" spinCount="100000" sqref="GQ775:GR775 GW775" name="Rango2_30_2_27_3"/>
    <protectedRange algorithmName="SHA-512" hashValue="Rgskw+AQdeJ5qbJdarzTa3SCkJfDGziy0Uan5N0F3IWn/H3Z/e+VcB56R7Nes7MPxNHewNP1sSSucVjz3iTLeA==" saltValue="qKZH3DnwaZHBzy3cBZo1qQ==" spinCount="100000" sqref="GF775" name="Rango2_31_28_12_1"/>
    <protectedRange algorithmName="SHA-512" hashValue="Umj9+5Ys20VQPxBFtc6qE5LtKKSgPKwit+B8dd4XnEUaLfBM2ozpkEC4YxwK0SbBiAHDDex+pY+LomQ0lyuamQ==" saltValue="N2/MCRws+mmA+NXw0axolg==" spinCount="100000" sqref="GJ775 GH775 GE775 GL775 FY775" name="Rango2_31_2_25_4"/>
    <protectedRange algorithmName="SHA-512" hashValue="q2z5hEFmXS0v2chiPTC/VCoDWNlnhp+Xe6Ybfxe48vIsnB/KTJQxJv+pFUnCXfZ9T6vyJopuqFFNROfQTW/JUw==" saltValue="IctfdGJb5tOTpq+KPi9vww==" spinCount="100000" sqref="IA775 ID775:IJ775" name="Rango2_88_39_40_3"/>
    <protectedRange algorithmName="SHA-512" hashValue="YXHanhqXL0e4jPrzkCF8r/22WmlCviFUW909WKuG1JOcU0mp0/Huh0aP3EaGYxV2ep0WGu48HsShAy4Ka2uOiw==" saltValue="h/7U5iwJm7DLR4tRVfwZYw==" spinCount="100000" sqref="GI775" name="Rango2_33_31_1"/>
    <protectedRange algorithmName="SHA-512" hashValue="pL4tgTKqwEsWSIEGFTBd+4pvEhE7d5Q99Eijs+L/Y1rhA0saQGGRJw5Pv2HLOP0quglztFwB6WVnQ1YGxd4AiQ==" saltValue="IF5mhk2RcoEjrcYppes1VA==" spinCount="100000" sqref="FT775" name="Rango2_30_17_5"/>
    <protectedRange sqref="ER776 ER778" name="Rango2_99_48_1_6"/>
    <protectedRange algorithmName="SHA-512" hashValue="EEHzbvEYwO1eufllBljOz0uf9BJ2ENtvOScQ7IsS321QhYbwKn7qhHKKP8cKj02rTDvVRMWvwQ1ZP0mZWsBprQ==" saltValue="CjXqBRFbKezlWOFV37MnDQ==" spinCount="100000" sqref="GN775" name="Rango2_30_2_30_1"/>
    <protectedRange algorithmName="SHA-512" hashValue="EEHzbvEYwO1eufllBljOz0uf9BJ2ENtvOScQ7IsS321QhYbwKn7qhHKKP8cKj02rTDvVRMWvwQ1ZP0mZWsBprQ==" saltValue="CjXqBRFbKezlWOFV37MnDQ==" spinCount="100000" sqref="GW779" name="Rango2_30_2_31_2"/>
    <protectedRange algorithmName="SHA-512" hashValue="Rgskw+AQdeJ5qbJdarzTa3SCkJfDGziy0Uan5N0F3IWn/H3Z/e+VcB56R7Nes7MPxNHewNP1sSSucVjz3iTLeA==" saltValue="qKZH3DnwaZHBzy3cBZo1qQ==" spinCount="100000" sqref="GF779" name="Rango2_31_28_13_2"/>
    <protectedRange algorithmName="SHA-512" hashValue="Umj9+5Ys20VQPxBFtc6qE5LtKKSgPKwit+B8dd4XnEUaLfBM2ozpkEC4YxwK0SbBiAHDDex+pY+LomQ0lyuamQ==" saltValue="N2/MCRws+mmA+NXw0axolg==" spinCount="100000" sqref="GJ779 GH779 GE779 GL779 FY779" name="Rango2_31_2_33_7"/>
    <protectedRange algorithmName="SHA-512" hashValue="YXHanhqXL0e4jPrzkCF8r/22WmlCviFUW909WKuG1JOcU0mp0/Huh0aP3EaGYxV2ep0WGu48HsShAy4Ka2uOiw==" saltValue="h/7U5iwJm7DLR4tRVfwZYw==" spinCount="100000" sqref="GI779" name="Rango2_33_35_1"/>
    <protectedRange algorithmName="SHA-512" hashValue="pL4tgTKqwEsWSIEGFTBd+4pvEhE7d5Q99Eijs+L/Y1rhA0saQGGRJw5Pv2HLOP0quglztFwB6WVnQ1YGxd4AiQ==" saltValue="IF5mhk2RcoEjrcYppes1VA==" spinCount="100000" sqref="FT779" name="Rango2_30_18_6"/>
    <protectedRange sqref="HT780" name="Rango2_37_3_1"/>
    <protectedRange sqref="ER774" name="Rango2_99_48_1_7"/>
    <protectedRange sqref="ER781:ER782" name="Rango2_99_48_1_8"/>
    <protectedRange algorithmName="SHA-512" hashValue="EEHzbvEYwO1eufllBljOz0uf9BJ2ENtvOScQ7IsS321QhYbwKn7qhHKKP8cKj02rTDvVRMWvwQ1ZP0mZWsBprQ==" saltValue="CjXqBRFbKezlWOFV37MnDQ==" spinCount="100000" sqref="GN779" name="Rango2_30_2_32_1"/>
    <protectedRange algorithmName="SHA-512" hashValue="EEHzbvEYwO1eufllBljOz0uf9BJ2ENtvOScQ7IsS321QhYbwKn7qhHKKP8cKj02rTDvVRMWvwQ1ZP0mZWsBprQ==" saltValue="CjXqBRFbKezlWOFV37MnDQ==" spinCount="100000" sqref="GQ779:GR779" name="Rango2_30_2_33_4"/>
    <protectedRange algorithmName="SHA-512" hashValue="q2z5hEFmXS0v2chiPTC/VCoDWNlnhp+Xe6Ybfxe48vIsnB/KTJQxJv+pFUnCXfZ9T6vyJopuqFFNROfQTW/JUw==" saltValue="IctfdGJb5tOTpq+KPi9vww==" spinCount="100000" sqref="IA779 ID779:IJ779" name="Rango2_88_39_42_2"/>
    <protectedRange algorithmName="SHA-512" hashValue="EEHzbvEYwO1eufllBljOz0uf9BJ2ENtvOScQ7IsS321QhYbwKn7qhHKKP8cKj02rTDvVRMWvwQ1ZP0mZWsBprQ==" saltValue="CjXqBRFbKezlWOFV37MnDQ==" spinCount="100000" sqref="GQ783:GR783 GW783 GN783" name="Rango2_30_2_34_9"/>
    <protectedRange algorithmName="SHA-512" hashValue="Rgskw+AQdeJ5qbJdarzTa3SCkJfDGziy0Uan5N0F3IWn/H3Z/e+VcB56R7Nes7MPxNHewNP1sSSucVjz3iTLeA==" saltValue="qKZH3DnwaZHBzy3cBZo1qQ==" spinCount="100000" sqref="GF783" name="Rango2_31_28_15_1"/>
    <protectedRange algorithmName="SHA-512" hashValue="Umj9+5Ys20VQPxBFtc6qE5LtKKSgPKwit+B8dd4XnEUaLfBM2ozpkEC4YxwK0SbBiAHDDex+pY+LomQ0lyuamQ==" saltValue="N2/MCRws+mmA+NXw0axolg==" spinCount="100000" sqref="GJ783 GH783 GE783 GB783 GL783 FY783" name="Rango2_31_2_36_2"/>
    <protectedRange algorithmName="SHA-512" hashValue="q2z5hEFmXS0v2chiPTC/VCoDWNlnhp+Xe6Ybfxe48vIsnB/KTJQxJv+pFUnCXfZ9T6vyJopuqFFNROfQTW/JUw==" saltValue="IctfdGJb5tOTpq+KPi9vww==" spinCount="100000" sqref="IA783 ID783:IJ783" name="Rango2_88_39_43_3"/>
    <protectedRange algorithmName="SHA-512" hashValue="YXHanhqXL0e4jPrzkCF8r/22WmlCviFUW909WKuG1JOcU0mp0/Huh0aP3EaGYxV2ep0WGu48HsShAy4Ka2uOiw==" saltValue="h/7U5iwJm7DLR4tRVfwZYw==" spinCount="100000" sqref="GI783 GC783" name="Rango2_33_38_1"/>
    <protectedRange algorithmName="SHA-512" hashValue="pL4tgTKqwEsWSIEGFTBd+4pvEhE7d5Q99Eijs+L/Y1rhA0saQGGRJw5Pv2HLOP0quglztFwB6WVnQ1YGxd4AiQ==" saltValue="IF5mhk2RcoEjrcYppes1VA==" spinCount="100000" sqref="FT783" name="Rango2_30_19_2"/>
    <protectedRange algorithmName="SHA-512" hashValue="EEHzbvEYwO1eufllBljOz0uf9BJ2ENtvOScQ7IsS321QhYbwKn7qhHKKP8cKj02rTDvVRMWvwQ1ZP0mZWsBprQ==" saltValue="CjXqBRFbKezlWOFV37MnDQ==" spinCount="100000" sqref="GN784:GN785 GW784:GW785 GQ784:GR785" name="Rango2_30_2_35_1"/>
    <protectedRange algorithmName="SHA-512" hashValue="Rgskw+AQdeJ5qbJdarzTa3SCkJfDGziy0Uan5N0F3IWn/H3Z/e+VcB56R7Nes7MPxNHewNP1sSSucVjz3iTLeA==" saltValue="qKZH3DnwaZHBzy3cBZo1qQ==" spinCount="100000" sqref="GF784:GF785" name="Rango2_31_28_16_5"/>
    <protectedRange algorithmName="SHA-512" hashValue="Umj9+5Ys20VQPxBFtc6qE5LtKKSgPKwit+B8dd4XnEUaLfBM2ozpkEC4YxwK0SbBiAHDDex+pY+LomQ0lyuamQ==" saltValue="N2/MCRws+mmA+NXw0axolg==" spinCount="100000" sqref="FY784:FY785 GL784:GL785 GB784:GB785 GE784:GE785 GH784:GH785 GJ784:GJ785" name="Rango2_31_2_37_1"/>
    <protectedRange algorithmName="SHA-512" hashValue="q2z5hEFmXS0v2chiPTC/VCoDWNlnhp+Xe6Ybfxe48vIsnB/KTJQxJv+pFUnCXfZ9T6vyJopuqFFNROfQTW/JUw==" saltValue="IctfdGJb5tOTpq+KPi9vww==" spinCount="100000" sqref="ID784:IJ785 IA784:IA785" name="Rango2_88_39_44_2"/>
    <protectedRange algorithmName="SHA-512" hashValue="YXHanhqXL0e4jPrzkCF8r/22WmlCviFUW909WKuG1JOcU0mp0/Huh0aP3EaGYxV2ep0WGu48HsShAy4Ka2uOiw==" saltValue="h/7U5iwJm7DLR4tRVfwZYw==" spinCount="100000" sqref="GC784:GC785 GI784:GI785" name="Rango2_33_39_3"/>
    <protectedRange algorithmName="SHA-512" hashValue="pL4tgTKqwEsWSIEGFTBd+4pvEhE7d5Q99Eijs+L/Y1rhA0saQGGRJw5Pv2HLOP0quglztFwB6WVnQ1YGxd4AiQ==" saltValue="IF5mhk2RcoEjrcYppes1VA==" spinCount="100000" sqref="FT784:FT785" name="Rango2_30_20_3"/>
    <protectedRange sqref="HT786" name="Rango2_37_5"/>
    <protectedRange algorithmName="SHA-512" hashValue="Gqwr8n5jYbCESAqCFk8dpOzViQICBV+k0xoqBoQaZ5lHaRlvT9TZDB4yXtm+qC6OhD064ZDBOFWkwo+LHXu1sg==" saltValue="gEL9PCN2ekF2IxW9yqAGYA==" spinCount="100000" sqref="IS756" name="Rango2_40_2_1_3"/>
    <protectedRange algorithmName="SHA-512" hashValue="D8TacORwT7iz0mF9GEucchnMHfB5er2FFjQsxyeWWyeJkM6Bt3gYQ3LbcHPxZXFpVAYtFOuTrzYOCJrlZDx16g==" saltValue="QtCzIBktdS4NZkOEGcLTRQ==" spinCount="100000" sqref="IW756" name="Rango2_41_10_2"/>
    <protectedRange algorithmName="SHA-512" hashValue="9+DNppQbWrLYYUMoJ+lyQctV2bX3Vq9kZnegLbpjTLP49It2ovUbcartuoQTeXgP+TGpY//7mDH/UQlFCKDGiA==" saltValue="KUnni6YEm00anzSSvyLqQA==" spinCount="100000" sqref="IX756" name="Rango2_43_7"/>
    <protectedRange algorithmName="SHA-512" hashValue="9+DNppQbWrLYYUMoJ+lyQctV2bX3Vq9kZnegLbpjTLP49It2ovUbcartuoQTeXgP+TGpY//7mDH/UQlFCKDGiA==" saltValue="KUnni6YEm00anzSSvyLqQA==" spinCount="100000" sqref="IZ756:JM756" name="Rango2_44_4"/>
    <protectedRange algorithmName="SHA-512" hashValue="9+DNppQbWrLYYUMoJ+lyQctV2bX3Vq9kZnegLbpjTLP49It2ovUbcartuoQTeXgP+TGpY//7mDH/UQlFCKDGiA==" saltValue="KUnni6YEm00anzSSvyLqQA==" spinCount="100000" sqref="KH756" name="Rango2_45_8"/>
    <protectedRange algorithmName="SHA-512" hashValue="9+DNppQbWrLYYUMoJ+lyQctV2bX3Vq9kZnegLbpjTLP49It2ovUbcartuoQTeXgP+TGpY//7mDH/UQlFCKDGiA==" saltValue="KUnni6YEm00anzSSvyLqQA==" spinCount="100000" sqref="IT756:IV756" name="Rango2_43_6_1"/>
    <protectedRange algorithmName="SHA-512" hashValue="Gqwr8n5jYbCESAqCFk8dpOzViQICBV+k0xoqBoQaZ5lHaRlvT9TZDB4yXtm+qC6OhD064ZDBOFWkwo+LHXu1sg==" saltValue="gEL9PCN2ekF2IxW9yqAGYA==" spinCount="100000" sqref="IS758" name="Rango2_40_2_1_4"/>
    <protectedRange algorithmName="SHA-512" hashValue="9+DNppQbWrLYYUMoJ+lyQctV2bX3Vq9kZnegLbpjTLP49It2ovUbcartuoQTeXgP+TGpY//7mDH/UQlFCKDGiA==" saltValue="KUnni6YEm00anzSSvyLqQA==" spinCount="100000" sqref="JM758" name="Rango2_44_5"/>
    <protectedRange algorithmName="SHA-512" hashValue="9+DNppQbWrLYYUMoJ+lyQctV2bX3Vq9kZnegLbpjTLP49It2ovUbcartuoQTeXgP+TGpY//7mDH/UQlFCKDGiA==" saltValue="KUnni6YEm00anzSSvyLqQA==" spinCount="100000" sqref="KH757:KH758" name="Rango2_45_9"/>
    <protectedRange algorithmName="SHA-512" hashValue="Gqwr8n5jYbCESAqCFk8dpOzViQICBV+k0xoqBoQaZ5lHaRlvT9TZDB4yXtm+qC6OhD064ZDBOFWkwo+LHXu1sg==" saltValue="gEL9PCN2ekF2IxW9yqAGYA==" spinCount="100000" sqref="IS757" name="Rango2_40_2_1_6"/>
    <protectedRange algorithmName="SHA-512" hashValue="D8TacORwT7iz0mF9GEucchnMHfB5er2FFjQsxyeWWyeJkM6Bt3gYQ3LbcHPxZXFpVAYtFOuTrzYOCJrlZDx16g==" saltValue="QtCzIBktdS4NZkOEGcLTRQ==" spinCount="100000" sqref="IW757" name="Rango2_41_10_5"/>
    <protectedRange algorithmName="SHA-512" hashValue="9+DNppQbWrLYYUMoJ+lyQctV2bX3Vq9kZnegLbpjTLP49It2ovUbcartuoQTeXgP+TGpY//7mDH/UQlFCKDGiA==" saltValue="KUnni6YEm00anzSSvyLqQA==" spinCount="100000" sqref="IT757:IV757 IX757" name="Rango2_43_7_1"/>
    <protectedRange algorithmName="SHA-512" hashValue="9+DNppQbWrLYYUMoJ+lyQctV2bX3Vq9kZnegLbpjTLP49It2ovUbcartuoQTeXgP+TGpY//7mDH/UQlFCKDGiA==" saltValue="KUnni6YEm00anzSSvyLqQA==" spinCount="100000" sqref="IZ757:JM757" name="Rango2_44_5_1"/>
    <protectedRange algorithmName="SHA-512" hashValue="D8TacORwT7iz0mF9GEucchnMHfB5er2FFjQsxyeWWyeJkM6Bt3gYQ3LbcHPxZXFpVAYtFOuTrzYOCJrlZDx16g==" saltValue="QtCzIBktdS4NZkOEGcLTRQ==" spinCount="100000" sqref="IW758" name="Rango2_41_10_6"/>
    <protectedRange algorithmName="SHA-512" hashValue="9+DNppQbWrLYYUMoJ+lyQctV2bX3Vq9kZnegLbpjTLP49It2ovUbcartuoQTeXgP+TGpY//7mDH/UQlFCKDGiA==" saltValue="KUnni6YEm00anzSSvyLqQA==" spinCount="100000" sqref="IT758:IV758 IX758" name="Rango2_43_8"/>
    <protectedRange algorithmName="SHA-512" hashValue="9+DNppQbWrLYYUMoJ+lyQctV2bX3Vq9kZnegLbpjTLP49It2ovUbcartuoQTeXgP+TGpY//7mDH/UQlFCKDGiA==" saltValue="KUnni6YEm00anzSSvyLqQA==" spinCount="100000" sqref="IZ758:JL758" name="Rango2_44_6"/>
    <protectedRange algorithmName="SHA-512" hashValue="Gqwr8n5jYbCESAqCFk8dpOzViQICBV+k0xoqBoQaZ5lHaRlvT9TZDB4yXtm+qC6OhD064ZDBOFWkwo+LHXu1sg==" saltValue="gEL9PCN2ekF2IxW9yqAGYA==" spinCount="100000" sqref="IS759" name="Rango2_40_2_25_1"/>
    <protectedRange algorithmName="SHA-512" hashValue="D8TacORwT7iz0mF9GEucchnMHfB5er2FFjQsxyeWWyeJkM6Bt3gYQ3LbcHPxZXFpVAYtFOuTrzYOCJrlZDx16g==" saltValue="QtCzIBktdS4NZkOEGcLTRQ==" spinCount="100000" sqref="IW759" name="Rango2_41_24_1"/>
    <protectedRange algorithmName="SHA-512" hashValue="9+DNppQbWrLYYUMoJ+lyQctV2bX3Vq9kZnegLbpjTLP49It2ovUbcartuoQTeXgP+TGpY//7mDH/UQlFCKDGiA==" saltValue="KUnni6YEm00anzSSvyLqQA==" spinCount="100000" sqref="IZ759:JM759" name="Rango2_44_7"/>
    <protectedRange algorithmName="SHA-512" hashValue="9+DNppQbWrLYYUMoJ+lyQctV2bX3Vq9kZnegLbpjTLP49It2ovUbcartuoQTeXgP+TGpY//7mDH/UQlFCKDGiA==" saltValue="KUnni6YEm00anzSSvyLqQA==" spinCount="100000" sqref="JA760:JM760" name="Rango2_44_8"/>
    <protectedRange algorithmName="SHA-512" hashValue="Gqwr8n5jYbCESAqCFk8dpOzViQICBV+k0xoqBoQaZ5lHaRlvT9TZDB4yXtm+qC6OhD064ZDBOFWkwo+LHXu1sg==" saltValue="gEL9PCN2ekF2IxW9yqAGYA==" spinCount="100000" sqref="IS767" name="Rango2_40_2_26_1"/>
    <protectedRange algorithmName="SHA-512" hashValue="D8TacORwT7iz0mF9GEucchnMHfB5er2FFjQsxyeWWyeJkM6Bt3gYQ3LbcHPxZXFpVAYtFOuTrzYOCJrlZDx16g==" saltValue="QtCzIBktdS4NZkOEGcLTRQ==" spinCount="100000" sqref="IW767" name="Rango2_41_25_1"/>
    <protectedRange algorithmName="SHA-512" hashValue="Gqwr8n5jYbCESAqCFk8dpOzViQICBV+k0xoqBoQaZ5lHaRlvT9TZDB4yXtm+qC6OhD064ZDBOFWkwo+LHXu1sg==" saltValue="gEL9PCN2ekF2IxW9yqAGYA==" spinCount="100000" sqref="IS770" name="Rango2_40_2_10_2"/>
    <protectedRange algorithmName="SHA-512" hashValue="D8TacORwT7iz0mF9GEucchnMHfB5er2FFjQsxyeWWyeJkM6Bt3gYQ3LbcHPxZXFpVAYtFOuTrzYOCJrlZDx16g==" saltValue="QtCzIBktdS4NZkOEGcLTRQ==" spinCount="100000" sqref="IW770" name="Rango2_41_9_5"/>
    <protectedRange algorithmName="SHA-512" hashValue="Gqwr8n5jYbCESAqCFk8dpOzViQICBV+k0xoqBoQaZ5lHaRlvT9TZDB4yXtm+qC6OhD064ZDBOFWkwo+LHXu1sg==" saltValue="gEL9PCN2ekF2IxW9yqAGYA==" spinCount="100000" sqref="IS775" name="Rango2_40_2_20_1"/>
    <protectedRange algorithmName="SHA-512" hashValue="D8TacORwT7iz0mF9GEucchnMHfB5er2FFjQsxyeWWyeJkM6Bt3gYQ3LbcHPxZXFpVAYtFOuTrzYOCJrlZDx16g==" saltValue="QtCzIBktdS4NZkOEGcLTRQ==" spinCount="100000" sqref="IW775" name="Rango2_41_19_1"/>
    <protectedRange algorithmName="SHA-512" hashValue="Gqwr8n5jYbCESAqCFk8dpOzViQICBV+k0xoqBoQaZ5lHaRlvT9TZDB4yXtm+qC6OhD064ZDBOFWkwo+LHXu1sg==" saltValue="gEL9PCN2ekF2IxW9yqAGYA==" spinCount="100000" sqref="IS779" name="Rango2_40_2_24_1"/>
    <protectedRange algorithmName="SHA-512" hashValue="D8TacORwT7iz0mF9GEucchnMHfB5er2FFjQsxyeWWyeJkM6Bt3gYQ3LbcHPxZXFpVAYtFOuTrzYOCJrlZDx16g==" saltValue="QtCzIBktdS4NZkOEGcLTRQ==" spinCount="100000" sqref="IW779" name="Rango2_41_23_1"/>
    <protectedRange sqref="L788:M788" name="Rango2_10_7_3"/>
    <protectedRange sqref="B790" name="Rango2_86_15"/>
    <protectedRange sqref="B791" name="Rango2_87_2"/>
    <protectedRange sqref="B792" name="Rango2_90_4"/>
    <protectedRange sqref="B793" name="Rango2_91_3"/>
    <protectedRange sqref="AJ787" name="Rango2_88_7_5_1_7"/>
    <protectedRange sqref="AV787" name="Rango2_99_12_8"/>
    <protectedRange sqref="AW787:AZ787" name="Rango2_88_91_1_8"/>
    <protectedRange sqref="BA788:BI788" name="Rango2_88_99_9_6"/>
    <protectedRange sqref="AU788" name="Rango2_88_91_3_5"/>
    <protectedRange sqref="AG788:AH788" name="Rango2_88_7_5_8_3"/>
    <protectedRange sqref="BZ788:CB788 CV788:CY788 CS788:CT788 U788:AA788 O788" name="Rango2_99_61_3"/>
    <protectedRange sqref="V789" name="Rango2_99_62_5"/>
    <protectedRange sqref="AG790:AH790" name="Rango2_88_7_5_10_4"/>
    <protectedRange sqref="V790 AA790" name="Rango2_99_65_3"/>
    <protectedRange sqref="AG791:AH791" name="Rango2_88_7_5_11_2"/>
    <protectedRange sqref="AC791" name="Rango2_88_5_5_6_2"/>
    <protectedRange sqref="V791 AA791" name="Rango2_99_66_4"/>
    <protectedRange sqref="AG792:AH792" name="Rango2_88_7_5_12_2"/>
    <protectedRange sqref="AC792" name="Rango2_88_5_5_7_3"/>
    <protectedRange sqref="V792 AA792" name="Rango2_99_67_5"/>
    <protectedRange sqref="AG793:AH793" name="Rango2_88_7_5_13_1"/>
    <protectedRange sqref="AC793" name="Rango2_88_5_5_8_3"/>
    <protectedRange sqref="V793 AA793" name="Rango2_99_68_7"/>
    <protectedRange sqref="GJ787" name="Rango2_31_2_19_2"/>
    <protectedRange sqref="HD787:HI787" name="Rango2_80_3"/>
    <protectedRange sqref="FW787" name="Rango2_99_36_8"/>
    <protectedRange sqref="HV787:HZ787" name="Rango2_99_41_7"/>
    <protectedRange sqref="GN788" name="Rango2_30_2_5_2"/>
    <protectedRange sqref="FY788 GJ788 GH788" name="Rango2_31_2_20_4"/>
    <protectedRange sqref="IA788" name="Rango2_88_39_16_8"/>
    <protectedRange sqref="FU788 FZ788 EV788:EW788 FQ788:FR788 IB788 GY788:GZ788 FI788" name="Rango2_99_61_4"/>
    <protectedRange sqref="HD788:HI788 FN788:FO788 FC788" name="Rango2_81_4"/>
    <protectedRange sqref="GH789" name="Rango2_31_2_21_3"/>
    <protectedRange sqref="IA789" name="Rango2_88_39_17_9"/>
    <protectedRange sqref="HJ789" name="Rango2_99_62_6"/>
    <protectedRange sqref="FN789" name="Rango2_82_3"/>
    <protectedRange sqref="GH790" name="Rango2_31_2_24_1"/>
    <protectedRange sqref="IA790" name="Rango2_88_39_19_1"/>
    <protectedRange sqref="HJ790" name="Rango2_99_65_4"/>
    <protectedRange sqref="FN790" name="Rango2_86_16"/>
    <protectedRange sqref="GH791" name="Rango2_31_2_25_5"/>
    <protectedRange sqref="IA791" name="Rango2_88_39_20_2"/>
    <protectedRange sqref="HJ791" name="Rango2_99_66_5"/>
    <protectedRange sqref="IA792" name="Rango2_88_39_21_1"/>
    <protectedRange sqref="HJ792" name="Rango2_99_67_6"/>
    <protectedRange sqref="IA793" name="Rango2_88_39_22_1"/>
    <protectedRange sqref="HJ793" name="Rango2_99_68_8"/>
    <protectedRange sqref="JV787 JQ787" name="Rango2_19_11"/>
    <protectedRange sqref="IT788:IV788" name="Rango2_81_5"/>
    <protectedRange sqref="JR789 IT789:IV789 JP789 JD789:JM789 KJ789:KL789 KH789 KF789" name="Rango2_82_4"/>
    <protectedRange sqref="JR790 IT790:IV790 JD790:JL790 JP790 KJ790 KL790" name="Rango2_86_17"/>
    <protectedRange sqref="JR791 IT791:IV791 JD791:JL791 JP791 KJ791 KL791" name="Rango2_87_3"/>
    <protectedRange sqref="JR792 IT792:IV792 JD792:JL792 JP792 KJ792 KL792" name="Rango2_90_5"/>
    <protectedRange algorithmName="SHA-512" hashValue="XZw03RosI/l0z9FxmTtF29EdZ7P+4+ybhqoaAAUmURojSR5XbGfjC4f2i8gMqfY+RI9JvfdCA6PSh9TduXfUxA==" saltValue="5TPtLq2WoiRSae/yaDPnTw==" spinCount="100000" sqref="ES806" name="Rango2_99_2_5"/>
    <protectedRange algorithmName="SHA-512" hashValue="XZw03RosI/l0z9FxmTtF29EdZ7P+4+ybhqoaAAUmURojSR5XbGfjC4f2i8gMqfY+RI9JvfdCA6PSh9TduXfUxA==" saltValue="5TPtLq2WoiRSae/yaDPnTw==" spinCount="100000" sqref="FF806" name="Rango2_99_3_5"/>
    <protectedRange algorithmName="SHA-512" hashValue="9+DNppQbWrLYYUMoJ+lyQctV2bX3Vq9kZnegLbpjTLP49It2ovUbcartuoQTeXgP+TGpY//7mDH/UQlFCKDGiA==" saltValue="KUnni6YEm00anzSSvyLqQA==" spinCount="100000" sqref="FE806" name="Rango2_16_5"/>
    <protectedRange algorithmName="SHA-512" hashValue="XZw03RosI/l0z9FxmTtF29EdZ7P+4+ybhqoaAAUmURojSR5XbGfjC4f2i8gMqfY+RI9JvfdCA6PSh9TduXfUxA==" saltValue="5TPtLq2WoiRSae/yaDPnTw==" spinCount="100000" sqref="FQ806:FR806" name="Rango2_99_4_4"/>
    <protectedRange algorithmName="SHA-512" hashValue="XZw03RosI/l0z9FxmTtF29EdZ7P+4+ybhqoaAAUmURojSR5XbGfjC4f2i8gMqfY+RI9JvfdCA6PSh9TduXfUxA==" saltValue="5TPtLq2WoiRSae/yaDPnTw==" spinCount="100000" sqref="BR848:BU848" name="Rango2_99_1_5"/>
    <protectedRange algorithmName="SHA-512" hashValue="XZw03RosI/l0z9FxmTtF29EdZ7P+4+ybhqoaAAUmURojSR5XbGfjC4f2i8gMqfY+RI9JvfdCA6PSh9TduXfUxA==" saltValue="5TPtLq2WoiRSae/yaDPnTw==" spinCount="100000" sqref="EW831" name="Rango2_99_15_7"/>
    <protectedRange algorithmName="SHA-512" hashValue="XZw03RosI/l0z9FxmTtF29EdZ7P+4+ybhqoaAAUmURojSR5XbGfjC4f2i8gMqfY+RI9JvfdCA6PSh9TduXfUxA==" saltValue="5TPtLq2WoiRSae/yaDPnTw==" spinCount="100000" sqref="EW824" name="Rango2_99_24_9"/>
    <protectedRange algorithmName="SHA-512" hashValue="XZw03RosI/l0z9FxmTtF29EdZ7P+4+ybhqoaAAUmURojSR5XbGfjC4f2i8gMqfY+RI9JvfdCA6PSh9TduXfUxA==" saltValue="5TPtLq2WoiRSae/yaDPnTw==" spinCount="100000" sqref="EW823" name="Rango2_99_28_9"/>
    <protectedRange algorithmName="SHA-512" hashValue="XZw03RosI/l0z9FxmTtF29EdZ7P+4+ybhqoaAAUmURojSR5XbGfjC4f2i8gMqfY+RI9JvfdCA6PSh9TduXfUxA==" saltValue="5TPtLq2WoiRSae/yaDPnTw==" spinCount="100000" sqref="EW826" name="Rango2_99_37_5"/>
    <protectedRange algorithmName="SHA-512" hashValue="XZw03RosI/l0z9FxmTtF29EdZ7P+4+ybhqoaAAUmURojSR5XbGfjC4f2i8gMqfY+RI9JvfdCA6PSh9TduXfUxA==" saltValue="5TPtLq2WoiRSae/yaDPnTw==" spinCount="100000" sqref="EW827" name="Rango2_99_38_3"/>
    <protectedRange algorithmName="SHA-512" hashValue="XZw03RosI/l0z9FxmTtF29EdZ7P+4+ybhqoaAAUmURojSR5XbGfjC4f2i8gMqfY+RI9JvfdCA6PSh9TduXfUxA==" saltValue="5TPtLq2WoiRSae/yaDPnTw==" spinCount="100000" sqref="EW819" name="Rango2_99_40_5"/>
    <protectedRange algorithmName="SHA-512" hashValue="XZw03RosI/l0z9FxmTtF29EdZ7P+4+ybhqoaAAUmURojSR5XbGfjC4f2i8gMqfY+RI9JvfdCA6PSh9TduXfUxA==" saltValue="5TPtLq2WoiRSae/yaDPnTw==" spinCount="100000" sqref="EW829" name="Rango2_99_41_1"/>
    <protectedRange algorithmName="SHA-512" hashValue="XZw03RosI/l0z9FxmTtF29EdZ7P+4+ybhqoaAAUmURojSR5XbGfjC4f2i8gMqfY+RI9JvfdCA6PSh9TduXfUxA==" saltValue="5TPtLq2WoiRSae/yaDPnTw==" spinCount="100000" sqref="EW833" name="Rango2_99_12_4"/>
    <protectedRange algorithmName="SHA-512" hashValue="XZw03RosI/l0z9FxmTtF29EdZ7P+4+ybhqoaAAUmURojSR5XbGfjC4f2i8gMqfY+RI9JvfdCA6PSh9TduXfUxA==" saltValue="5TPtLq2WoiRSae/yaDPnTw==" spinCount="100000" sqref="EW835" name="Rango2_99_25_3"/>
    <protectedRange algorithmName="SHA-512" hashValue="XZw03RosI/l0z9FxmTtF29EdZ7P+4+ybhqoaAAUmURojSR5XbGfjC4f2i8gMqfY+RI9JvfdCA6PSh9TduXfUxA==" saltValue="5TPtLq2WoiRSae/yaDPnTw==" spinCount="100000" sqref="EW836" name="Rango2_99_48_7"/>
    <protectedRange algorithmName="SHA-512" hashValue="XZw03RosI/l0z9FxmTtF29EdZ7P+4+ybhqoaAAUmURojSR5XbGfjC4f2i8gMqfY+RI9JvfdCA6PSh9TduXfUxA==" saltValue="5TPtLq2WoiRSae/yaDPnTw==" spinCount="100000" sqref="EW839" name="Rango2_99_20_4"/>
    <protectedRange algorithmName="SHA-512" hashValue="XZw03RosI/l0z9FxmTtF29EdZ7P+4+ybhqoaAAUmURojSR5XbGfjC4f2i8gMqfY+RI9JvfdCA6PSh9TduXfUxA==" saltValue="5TPtLq2WoiRSae/yaDPnTw==" spinCount="100000" sqref="EW838" name="Rango2_99_31_2"/>
    <protectedRange algorithmName="SHA-512" hashValue="XZw03RosI/l0z9FxmTtF29EdZ7P+4+ybhqoaAAUmURojSR5XbGfjC4f2i8gMqfY+RI9JvfdCA6PSh9TduXfUxA==" saltValue="5TPtLq2WoiRSae/yaDPnTw==" spinCount="100000" sqref="EW841" name="Rango2_99_3_6"/>
    <protectedRange algorithmName="SHA-512" hashValue="XZw03RosI/l0z9FxmTtF29EdZ7P+4+ybhqoaAAUmURojSR5XbGfjC4f2i8gMqfY+RI9JvfdCA6PSh9TduXfUxA==" saltValue="5TPtLq2WoiRSae/yaDPnTw==" spinCount="100000" sqref="EW844" name="Rango2_99_29_2"/>
    <protectedRange algorithmName="SHA-512" hashValue="XZw03RosI/l0z9FxmTtF29EdZ7P+4+ybhqoaAAUmURojSR5XbGfjC4f2i8gMqfY+RI9JvfdCA6PSh9TduXfUxA==" saltValue="5TPtLq2WoiRSae/yaDPnTw==" spinCount="100000" sqref="EW845" name="Rango2_99_39_1"/>
    <protectedRange algorithmName="SHA-512" hashValue="XZw03RosI/l0z9FxmTtF29EdZ7P+4+ybhqoaAAUmURojSR5XbGfjC4f2i8gMqfY+RI9JvfdCA6PSh9TduXfUxA==" saltValue="5TPtLq2WoiRSae/yaDPnTw==" spinCount="100000" sqref="EW852" name="Rango2_99_7_7"/>
    <protectedRange algorithmName="SHA-512" hashValue="XZw03RosI/l0z9FxmTtF29EdZ7P+4+ybhqoaAAUmURojSR5XbGfjC4f2i8gMqfY+RI9JvfdCA6PSh9TduXfUxA==" saltValue="5TPtLq2WoiRSae/yaDPnTw==" spinCount="100000" sqref="EW847" name="Rango2_99_16_9"/>
    <protectedRange algorithmName="SHA-512" hashValue="XZw03RosI/l0z9FxmTtF29EdZ7P+4+ybhqoaAAUmURojSR5XbGfjC4f2i8gMqfY+RI9JvfdCA6PSh9TduXfUxA==" saltValue="5TPtLq2WoiRSae/yaDPnTw==" spinCount="100000" sqref="EW850" name="Rango2_99_31_3"/>
    <protectedRange algorithmName="SHA-512" hashValue="XZw03RosI/l0z9FxmTtF29EdZ7P+4+ybhqoaAAUmURojSR5XbGfjC4f2i8gMqfY+RI9JvfdCA6PSh9TduXfUxA==" saltValue="5TPtLq2WoiRSae/yaDPnTw==" spinCount="100000" sqref="EF848:EG848" name="Rango2_99_2_6"/>
    <protectedRange algorithmName="SHA-512" hashValue="XZw03RosI/l0z9FxmTtF29EdZ7P+4+ybhqoaAAUmURojSR5XbGfjC4f2i8gMqfY+RI9JvfdCA6PSh9TduXfUxA==" saltValue="5TPtLq2WoiRSae/yaDPnTw==" spinCount="100000" sqref="FR848" name="Rango2_99_4_6"/>
    <protectedRange algorithmName="SHA-512" hashValue="XZw03RosI/l0z9FxmTtF29EdZ7P+4+ybhqoaAAUmURojSR5XbGfjC4f2i8gMqfY+RI9JvfdCA6PSh9TduXfUxA==" saltValue="5TPtLq2WoiRSae/yaDPnTw==" spinCount="100000" sqref="FU848" name="Rango2_99_5_6"/>
    <protectedRange algorithmName="SHA-512" hashValue="XZw03RosI/l0z9FxmTtF29EdZ7P+4+ybhqoaAAUmURojSR5XbGfjC4f2i8gMqfY+RI9JvfdCA6PSh9TduXfUxA==" saltValue="5TPtLq2WoiRSae/yaDPnTw==" spinCount="100000" sqref="EW855" name="Rango2_99_17_9"/>
    <protectedRange algorithmName="SHA-512" hashValue="XZw03RosI/l0z9FxmTtF29EdZ7P+4+ybhqoaAAUmURojSR5XbGfjC4f2i8gMqfY+RI9JvfdCA6PSh9TduXfUxA==" saltValue="5TPtLq2WoiRSae/yaDPnTw==" spinCount="100000" sqref="EW858" name="Rango2_99_32_6"/>
    <protectedRange algorithmName="SHA-512" hashValue="XZw03RosI/l0z9FxmTtF29EdZ7P+4+ybhqoaAAUmURojSR5XbGfjC4f2i8gMqfY+RI9JvfdCA6PSh9TduXfUxA==" saltValue="5TPtLq2WoiRSae/yaDPnTw==" spinCount="100000" sqref="EW857" name="Rango2_99_35_3"/>
    <protectedRange algorithmName="SHA-512" hashValue="XZw03RosI/l0z9FxmTtF29EdZ7P+4+ybhqoaAAUmURojSR5XbGfjC4f2i8gMqfY+RI9JvfdCA6PSh9TduXfUxA==" saltValue="5TPtLq2WoiRSae/yaDPnTw==" spinCount="100000" sqref="EW859" name="Rango2_99_13_1"/>
    <protectedRange algorithmName="SHA-512" hashValue="XZw03RosI/l0z9FxmTtF29EdZ7P+4+ybhqoaAAUmURojSR5XbGfjC4f2i8gMqfY+RI9JvfdCA6PSh9TduXfUxA==" saltValue="5TPtLq2WoiRSae/yaDPnTw==" spinCount="100000" sqref="EW860" name="Rango2_99_8_6"/>
    <protectedRange algorithmName="SHA-512" hashValue="XZw03RosI/l0z9FxmTtF29EdZ7P+4+ybhqoaAAUmURojSR5XbGfjC4f2i8gMqfY+RI9JvfdCA6PSh9TduXfUxA==" saltValue="5TPtLq2WoiRSae/yaDPnTw==" spinCount="100000" sqref="EW869" name="Rango2_99_10_4"/>
    <protectedRange algorithmName="SHA-512" hashValue="XZw03RosI/l0z9FxmTtF29EdZ7P+4+ybhqoaAAUmURojSR5XbGfjC4f2i8gMqfY+RI9JvfdCA6PSh9TduXfUxA==" saltValue="5TPtLq2WoiRSae/yaDPnTw==" spinCount="100000" sqref="EW864" name="Rango2_99_23_7"/>
    <protectedRange algorithmName="SHA-512" hashValue="XZw03RosI/l0z9FxmTtF29EdZ7P+4+ybhqoaAAUmURojSR5XbGfjC4f2i8gMqfY+RI9JvfdCA6PSh9TduXfUxA==" saltValue="5TPtLq2WoiRSae/yaDPnTw==" spinCount="100000" sqref="EW868" name="Rango2_99_49_2"/>
    <protectedRange algorithmName="SHA-512" hashValue="XZw03RosI/l0z9FxmTtF29EdZ7P+4+ybhqoaAAUmURojSR5XbGfjC4f2i8gMqfY+RI9JvfdCA6PSh9TduXfUxA==" saltValue="5TPtLq2WoiRSae/yaDPnTw==" spinCount="100000" sqref="EW874" name="Rango2_99_11_2"/>
    <protectedRange algorithmName="SHA-512" hashValue="9+DNppQbWrLYYUMoJ+lyQctV2bX3Vq9kZnegLbpjTLP49It2ovUbcartuoQTeXgP+TGpY//7mDH/UQlFCKDGiA==" saltValue="KUnni6YEm00anzSSvyLqQA==" spinCount="100000" sqref="FH890" name="Rango2_18_16"/>
    <protectedRange algorithmName="SHA-512" hashValue="9+DNppQbWrLYYUMoJ+lyQctV2bX3Vq9kZnegLbpjTLP49It2ovUbcartuoQTeXgP+TGpY//7mDH/UQlFCKDGiA==" saltValue="KUnni6YEm00anzSSvyLqQA==" spinCount="100000" sqref="JO812 JQ812" name="Rango2_21_5"/>
    <protectedRange algorithmName="SHA-512" hashValue="9+DNppQbWrLYYUMoJ+lyQctV2bX3Vq9kZnegLbpjTLP49It2ovUbcartuoQTeXgP+TGpY//7mDH/UQlFCKDGiA==" saltValue="KUnni6YEm00anzSSvyLqQA==" spinCount="100000" sqref="JO826 JQ826" name="Rango2_16_6"/>
    <protectedRange algorithmName="SHA-512" hashValue="9+DNppQbWrLYYUMoJ+lyQctV2bX3Vq9kZnegLbpjTLP49It2ovUbcartuoQTeXgP+TGpY//7mDH/UQlFCKDGiA==" saltValue="KUnni6YEm00anzSSvyLqQA==" spinCount="100000" sqref="LE823:LF823" name="Rango2_32_11"/>
    <protectedRange algorithmName="SHA-512" hashValue="9+DNppQbWrLYYUMoJ+lyQctV2bX3Vq9kZnegLbpjTLP49It2ovUbcartuoQTeXgP+TGpY//7mDH/UQlFCKDGiA==" saltValue="KUnni6YEm00anzSSvyLqQA==" spinCount="100000" sqref="LE843:LF843 LU842:LV842" name="Rango2_32_12"/>
    <protectedRange algorithmName="SHA-512" hashValue="9+DNppQbWrLYYUMoJ+lyQctV2bX3Vq9kZnegLbpjTLP49It2ovUbcartuoQTeXgP+TGpY//7mDH/UQlFCKDGiA==" saltValue="KUnni6YEm00anzSSvyLqQA==" spinCount="100000" sqref="LM847:LN847" name="Rango2_32_13"/>
    <protectedRange algorithmName="SHA-512" hashValue="9+DNppQbWrLYYUMoJ+lyQctV2bX3Vq9kZnegLbpjTLP49It2ovUbcartuoQTeXgP+TGpY//7mDH/UQlFCKDGiA==" saltValue="KUnni6YEm00anzSSvyLqQA==" spinCount="100000" sqref="LQ861:LR861" name="Rango2_32_14"/>
    <protectedRange algorithmName="SHA-512" hashValue="9+DNppQbWrLYYUMoJ+lyQctV2bX3Vq9kZnegLbpjTLP49It2ovUbcartuoQTeXgP+TGpY//7mDH/UQlFCKDGiA==" saltValue="KUnni6YEm00anzSSvyLqQA==" spinCount="100000" sqref="JO863 JQ863" name="Rango2_22_2"/>
    <protectedRange algorithmName="SHA-512" hashValue="9+DNppQbWrLYYUMoJ+lyQctV2bX3Vq9kZnegLbpjTLP49It2ovUbcartuoQTeXgP+TGpY//7mDH/UQlFCKDGiA==" saltValue="KUnni6YEm00anzSSvyLqQA==" spinCount="100000" sqref="LM863:LN863" name="Rango2_32_15"/>
    <protectedRange algorithmName="SHA-512" hashValue="9+DNppQbWrLYYUMoJ+lyQctV2bX3Vq9kZnegLbpjTLP49It2ovUbcartuoQTeXgP+TGpY//7mDH/UQlFCKDGiA==" saltValue="KUnni6YEm00anzSSvyLqQA==" spinCount="100000" sqref="LF878" name="Rango2_26_3"/>
    <protectedRange algorithmName="SHA-512" hashValue="9+DNppQbWrLYYUMoJ+lyQctV2bX3Vq9kZnegLbpjTLP49It2ovUbcartuoQTeXgP+TGpY//7mDH/UQlFCKDGiA==" saltValue="KUnni6YEm00anzSSvyLqQA==" spinCount="100000" sqref="LE878" name="Rango2_45_10"/>
    <protectedRange algorithmName="SHA-512" hashValue="9+DNppQbWrLYYUMoJ+lyQctV2bX3Vq9kZnegLbpjTLP49It2ovUbcartuoQTeXgP+TGpY//7mDH/UQlFCKDGiA==" saltValue="KUnni6YEm00anzSSvyLqQA==" spinCount="100000" sqref="LM919:LN919" name="Rango2_32_16"/>
    <protectedRange algorithmName="SHA-512" hashValue="EMMPgE8t/az1rHHzaZAQIhz+GQV0k2O/tQGA96sJqEEMzz1efIRa4CcLzC7iY9CCscto3g7dwz41haOE28iXYg==" saltValue="CVzFsG4X4LXUMo7796PiDQ==" spinCount="100000" sqref="Z1230" name="Rango2_10_1_8"/>
    <protectedRange algorithmName="SHA-512" hashValue="9+DNppQbWrLYYUMoJ+lyQctV2bX3Vq9kZnegLbpjTLP49It2ovUbcartuoQTeXgP+TGpY//7mDH/UQlFCKDGiA==" saltValue="KUnni6YEm00anzSSvyLqQA==" spinCount="100000" sqref="FH1329" name="Rango2_18_17"/>
    <protectedRange algorithmName="SHA-512" hashValue="9+DNppQbWrLYYUMoJ+lyQctV2bX3Vq9kZnegLbpjTLP49It2ovUbcartuoQTeXgP+TGpY//7mDH/UQlFCKDGiA==" saltValue="KUnni6YEm00anzSSvyLqQA==" spinCount="100000" sqref="FN1385:FO1385" name="Rango2_16_7"/>
    <protectedRange algorithmName="SHA-512" hashValue="9+DNppQbWrLYYUMoJ+lyQctV2bX3Vq9kZnegLbpjTLP49It2ovUbcartuoQTeXgP+TGpY//7mDH/UQlFCKDGiA==" saltValue="KUnni6YEm00anzSSvyLqQA==" spinCount="100000" sqref="FN1386:FO1386" name="Rango2_16_8"/>
    <protectedRange algorithmName="SHA-512" hashValue="9+DNppQbWrLYYUMoJ+lyQctV2bX3Vq9kZnegLbpjTLP49It2ovUbcartuoQTeXgP+TGpY//7mDH/UQlFCKDGiA==" saltValue="KUnni6YEm00anzSSvyLqQA==" spinCount="100000" sqref="FN1387:FO1388" name="Rango2_16_9"/>
    <protectedRange algorithmName="SHA-512" hashValue="9+DNppQbWrLYYUMoJ+lyQctV2bX3Vq9kZnegLbpjTLP49It2ovUbcartuoQTeXgP+TGpY//7mDH/UQlFCKDGiA==" saltValue="KUnni6YEm00anzSSvyLqQA==" spinCount="100000" sqref="FN1389:FO1389" name="Rango2_16_10"/>
    <protectedRange algorithmName="SHA-512" hashValue="9+DNppQbWrLYYUMoJ+lyQctV2bX3Vq9kZnegLbpjTLP49It2ovUbcartuoQTeXgP+TGpY//7mDH/UQlFCKDGiA==" saltValue="KUnni6YEm00anzSSvyLqQA==" spinCount="100000" sqref="FN1390:FO1391" name="Rango2_16_11"/>
    <protectedRange algorithmName="SHA-512" hashValue="9+DNppQbWrLYYUMoJ+lyQctV2bX3Vq9kZnegLbpjTLP49It2ovUbcartuoQTeXgP+TGpY//7mDH/UQlFCKDGiA==" saltValue="KUnni6YEm00anzSSvyLqQA==" spinCount="100000" sqref="FN1392:FO1393" name="Rango2_16_12"/>
    <protectedRange algorithmName="SHA-512" hashValue="9+DNppQbWrLYYUMoJ+lyQctV2bX3Vq9kZnegLbpjTLP49It2ovUbcartuoQTeXgP+TGpY//7mDH/UQlFCKDGiA==" saltValue="KUnni6YEm00anzSSvyLqQA==" spinCount="100000" sqref="FN1394:FO1394" name="Rango2_16_13"/>
    <protectedRange algorithmName="SHA-512" hashValue="9+DNppQbWrLYYUMoJ+lyQctV2bX3Vq9kZnegLbpjTLP49It2ovUbcartuoQTeXgP+TGpY//7mDH/UQlFCKDGiA==" saltValue="KUnni6YEm00anzSSvyLqQA==" spinCount="100000" sqref="FN1395:FO1396" name="Rango2_16_14"/>
    <protectedRange algorithmName="SHA-512" hashValue="9+DNppQbWrLYYUMoJ+lyQctV2bX3Vq9kZnegLbpjTLP49It2ovUbcartuoQTeXgP+TGpY//7mDH/UQlFCKDGiA==" saltValue="KUnni6YEm00anzSSvyLqQA==" spinCount="100000" sqref="FN1397:FO1398" name="Rango2_16_15"/>
    <protectedRange algorithmName="SHA-512" hashValue="9+DNppQbWrLYYUMoJ+lyQctV2bX3Vq9kZnegLbpjTLP49It2ovUbcartuoQTeXgP+TGpY//7mDH/UQlFCKDGiA==" saltValue="KUnni6YEm00anzSSvyLqQA==" spinCount="100000" sqref="FN1399:FO1406" name="Rango2_16_16"/>
    <protectedRange algorithmName="SHA-512" hashValue="9+DNppQbWrLYYUMoJ+lyQctV2bX3Vq9kZnegLbpjTLP49It2ovUbcartuoQTeXgP+TGpY//7mDH/UQlFCKDGiA==" saltValue="KUnni6YEm00anzSSvyLqQA==" spinCount="100000" sqref="FN1407:FO1412" name="Rango2_16_17"/>
    <protectedRange algorithmName="SHA-512" hashValue="9+DNppQbWrLYYUMoJ+lyQctV2bX3Vq9kZnegLbpjTLP49It2ovUbcartuoQTeXgP+TGpY//7mDH/UQlFCKDGiA==" saltValue="KUnni6YEm00anzSSvyLqQA==" spinCount="100000" sqref="FN1413:FO1413" name="Rango2_16_18"/>
    <protectedRange algorithmName="SHA-512" hashValue="9+DNppQbWrLYYUMoJ+lyQctV2bX3Vq9kZnegLbpjTLP49It2ovUbcartuoQTeXgP+TGpY//7mDH/UQlFCKDGiA==" saltValue="KUnni6YEm00anzSSvyLqQA==" spinCount="100000" sqref="FN1414:FO1418" name="Rango2_16_19"/>
    <protectedRange algorithmName="SHA-512" hashValue="9+DNppQbWrLYYUMoJ+lyQctV2bX3Vq9kZnegLbpjTLP49It2ovUbcartuoQTeXgP+TGpY//7mDH/UQlFCKDGiA==" saltValue="KUnni6YEm00anzSSvyLqQA==" spinCount="100000" sqref="FN1419:FO1426" name="Rango2_16_20"/>
    <protectedRange algorithmName="SHA-512" hashValue="9+DNppQbWrLYYUMoJ+lyQctV2bX3Vq9kZnegLbpjTLP49It2ovUbcartuoQTeXgP+TGpY//7mDH/UQlFCKDGiA==" saltValue="KUnni6YEm00anzSSvyLqQA==" spinCount="100000" sqref="FN1427:FO1429" name="Rango2_16_21"/>
    <protectedRange algorithmName="SHA-512" hashValue="9+DNppQbWrLYYUMoJ+lyQctV2bX3Vq9kZnegLbpjTLP49It2ovUbcartuoQTeXgP+TGpY//7mDH/UQlFCKDGiA==" saltValue="KUnni6YEm00anzSSvyLqQA==" spinCount="100000" sqref="FN1430:FO1431" name="Rango2_16_22"/>
    <protectedRange algorithmName="SHA-512" hashValue="9+DNppQbWrLYYUMoJ+lyQctV2bX3Vq9kZnegLbpjTLP49It2ovUbcartuoQTeXgP+TGpY//7mDH/UQlFCKDGiA==" saltValue="KUnni6YEm00anzSSvyLqQA==" spinCount="100000" sqref="FN1432:FO1437" name="Rango2_16_23"/>
    <protectedRange algorithmName="SHA-512" hashValue="9+DNppQbWrLYYUMoJ+lyQctV2bX3Vq9kZnegLbpjTLP49It2ovUbcartuoQTeXgP+TGpY//7mDH/UQlFCKDGiA==" saltValue="KUnni6YEm00anzSSvyLqQA==" spinCount="100000" sqref="FN1438:FO1438" name="Rango2_16_24"/>
    <protectedRange algorithmName="SHA-512" hashValue="9+DNppQbWrLYYUMoJ+lyQctV2bX3Vq9kZnegLbpjTLP49It2ovUbcartuoQTeXgP+TGpY//7mDH/UQlFCKDGiA==" saltValue="KUnni6YEm00anzSSvyLqQA==" spinCount="100000" sqref="FN1439:FO1442" name="Rango2_16_25"/>
    <protectedRange algorithmName="SHA-512" hashValue="9+DNppQbWrLYYUMoJ+lyQctV2bX3Vq9kZnegLbpjTLP49It2ovUbcartuoQTeXgP+TGpY//7mDH/UQlFCKDGiA==" saltValue="KUnni6YEm00anzSSvyLqQA==" spinCount="100000" sqref="FN1443:FO1447" name="Rango2_16_26"/>
    <protectedRange algorithmName="SHA-512" hashValue="9+DNppQbWrLYYUMoJ+lyQctV2bX3Vq9kZnegLbpjTLP49It2ovUbcartuoQTeXgP+TGpY//7mDH/UQlFCKDGiA==" saltValue="KUnni6YEm00anzSSvyLqQA==" spinCount="100000" sqref="FN1448:FO1448" name="Rango2_16_27"/>
    <protectedRange algorithmName="SHA-512" hashValue="9+DNppQbWrLYYUMoJ+lyQctV2bX3Vq9kZnegLbpjTLP49It2ovUbcartuoQTeXgP+TGpY//7mDH/UQlFCKDGiA==" saltValue="KUnni6YEm00anzSSvyLqQA==" spinCount="100000" sqref="FN1449:FO1453" name="Rango2_16_28"/>
    <protectedRange algorithmName="SHA-512" hashValue="9+DNppQbWrLYYUMoJ+lyQctV2bX3Vq9kZnegLbpjTLP49It2ovUbcartuoQTeXgP+TGpY//7mDH/UQlFCKDGiA==" saltValue="KUnni6YEm00anzSSvyLqQA==" spinCount="100000" sqref="FN1454:FO1457" name="Rango2_16_29"/>
    <protectedRange algorithmName="SHA-512" hashValue="9+DNppQbWrLYYUMoJ+lyQctV2bX3Vq9kZnegLbpjTLP49It2ovUbcartuoQTeXgP+TGpY//7mDH/UQlFCKDGiA==" saltValue="KUnni6YEm00anzSSvyLqQA==" spinCount="100000" sqref="FN1458:FO1471" name="Rango2_16_30"/>
    <protectedRange algorithmName="SHA-512" hashValue="9+DNppQbWrLYYUMoJ+lyQctV2bX3Vq9kZnegLbpjTLP49It2ovUbcartuoQTeXgP+TGpY//7mDH/UQlFCKDGiA==" saltValue="KUnni6YEm00anzSSvyLqQA==" spinCount="100000" sqref="FN1472:FO1473" name="Rango2_16_31"/>
    <protectedRange algorithmName="SHA-512" hashValue="9+DNppQbWrLYYUMoJ+lyQctV2bX3Vq9kZnegLbpjTLP49It2ovUbcartuoQTeXgP+TGpY//7mDH/UQlFCKDGiA==" saltValue="KUnni6YEm00anzSSvyLqQA==" spinCount="100000" sqref="FN1474:FO1476" name="Rango2_16_32"/>
    <protectedRange algorithmName="SHA-512" hashValue="9+DNppQbWrLYYUMoJ+lyQctV2bX3Vq9kZnegLbpjTLP49It2ovUbcartuoQTeXgP+TGpY//7mDH/UQlFCKDGiA==" saltValue="KUnni6YEm00anzSSvyLqQA==" spinCount="100000" sqref="FN1477:FO1477" name="Rango2_16_33"/>
    <protectedRange algorithmName="SHA-512" hashValue="9+DNppQbWrLYYUMoJ+lyQctV2bX3Vq9kZnegLbpjTLP49It2ovUbcartuoQTeXgP+TGpY//7mDH/UQlFCKDGiA==" saltValue="KUnni6YEm00anzSSvyLqQA==" spinCount="100000" sqref="FN1478:FO1486" name="Rango2_16_34"/>
    <protectedRange algorithmName="SHA-512" hashValue="9+DNppQbWrLYYUMoJ+lyQctV2bX3Vq9kZnegLbpjTLP49It2ovUbcartuoQTeXgP+TGpY//7mDH/UQlFCKDGiA==" saltValue="KUnni6YEm00anzSSvyLqQA==" spinCount="100000" sqref="FN1487:FO1489" name="Rango2_16_35"/>
    <protectedRange algorithmName="SHA-512" hashValue="9+DNppQbWrLYYUMoJ+lyQctV2bX3Vq9kZnegLbpjTLP49It2ovUbcartuoQTeXgP+TGpY//7mDH/UQlFCKDGiA==" saltValue="KUnni6YEm00anzSSvyLqQA==" spinCount="100000" sqref="FN1490:FO1490" name="Rango2_16_36"/>
    <protectedRange algorithmName="SHA-512" hashValue="9+DNppQbWrLYYUMoJ+lyQctV2bX3Vq9kZnegLbpjTLP49It2ovUbcartuoQTeXgP+TGpY//7mDH/UQlFCKDGiA==" saltValue="KUnni6YEm00anzSSvyLqQA==" spinCount="100000" sqref="FN1491:FO1494" name="Rango2_16_37"/>
    <protectedRange algorithmName="SHA-512" hashValue="9+DNppQbWrLYYUMoJ+lyQctV2bX3Vq9kZnegLbpjTLP49It2ovUbcartuoQTeXgP+TGpY//7mDH/UQlFCKDGiA==" saltValue="KUnni6YEm00anzSSvyLqQA==" spinCount="100000" sqref="FN1495:FO1501" name="Rango2_16_38"/>
    <protectedRange algorithmName="SHA-512" hashValue="9+DNppQbWrLYYUMoJ+lyQctV2bX3Vq9kZnegLbpjTLP49It2ovUbcartuoQTeXgP+TGpY//7mDH/UQlFCKDGiA==" saltValue="KUnni6YEm00anzSSvyLqQA==" spinCount="100000" sqref="FN1502:FO1505" name="Rango2_16_39"/>
    <protectedRange algorithmName="SHA-512" hashValue="9+DNppQbWrLYYUMoJ+lyQctV2bX3Vq9kZnegLbpjTLP49It2ovUbcartuoQTeXgP+TGpY//7mDH/UQlFCKDGiA==" saltValue="KUnni6YEm00anzSSvyLqQA==" spinCount="100000" sqref="FN1506:FO1506" name="Rango2_16_40"/>
    <protectedRange algorithmName="SHA-512" hashValue="9+DNppQbWrLYYUMoJ+lyQctV2bX3Vq9kZnegLbpjTLP49It2ovUbcartuoQTeXgP+TGpY//7mDH/UQlFCKDGiA==" saltValue="KUnni6YEm00anzSSvyLqQA==" spinCount="100000" sqref="FN1507:FO1534" name="Rango2_16_41"/>
    <protectedRange algorithmName="SHA-512" hashValue="9+DNppQbWrLYYUMoJ+lyQctV2bX3Vq9kZnegLbpjTLP49It2ovUbcartuoQTeXgP+TGpY//7mDH/UQlFCKDGiA==" saltValue="KUnni6YEm00anzSSvyLqQA==" spinCount="100000" sqref="FN1535:FO1536" name="Rango2_16_42"/>
    <protectedRange algorithmName="SHA-512" hashValue="9+DNppQbWrLYYUMoJ+lyQctV2bX3Vq9kZnegLbpjTLP49It2ovUbcartuoQTeXgP+TGpY//7mDH/UQlFCKDGiA==" saltValue="KUnni6YEm00anzSSvyLqQA==" spinCount="100000" sqref="FN1537:FO1538" name="Rango2_16_43"/>
    <protectedRange algorithmName="SHA-512" hashValue="9+DNppQbWrLYYUMoJ+lyQctV2bX3Vq9kZnegLbpjTLP49It2ovUbcartuoQTeXgP+TGpY//7mDH/UQlFCKDGiA==" saltValue="KUnni6YEm00anzSSvyLqQA==" spinCount="100000" sqref="FN1539:FO1547" name="Rango2_16_44"/>
    <protectedRange algorithmName="SHA-512" hashValue="9+DNppQbWrLYYUMoJ+lyQctV2bX3Vq9kZnegLbpjTLP49It2ovUbcartuoQTeXgP+TGpY//7mDH/UQlFCKDGiA==" saltValue="KUnni6YEm00anzSSvyLqQA==" spinCount="100000" sqref="FN1548:FO1555" name="Rango2_16_45"/>
    <protectedRange algorithmName="SHA-512" hashValue="9+DNppQbWrLYYUMoJ+lyQctV2bX3Vq9kZnegLbpjTLP49It2ovUbcartuoQTeXgP+TGpY//7mDH/UQlFCKDGiA==" saltValue="KUnni6YEm00anzSSvyLqQA==" spinCount="100000" sqref="FN1556:FO1561" name="Rango2_16_46"/>
    <protectedRange algorithmName="SHA-512" hashValue="9+DNppQbWrLYYUMoJ+lyQctV2bX3Vq9kZnegLbpjTLP49It2ovUbcartuoQTeXgP+TGpY//7mDH/UQlFCKDGiA==" saltValue="KUnni6YEm00anzSSvyLqQA==" spinCount="100000" sqref="FH1658" name="Rango2_18_18"/>
    <protectedRange algorithmName="SHA-512" hashValue="9+DNppQbWrLYYUMoJ+lyQctV2bX3Vq9kZnegLbpjTLP49It2ovUbcartuoQTeXgP+TGpY//7mDH/UQlFCKDGiA==" saltValue="KUnni6YEm00anzSSvyLqQA==" spinCount="100000" sqref="FN1562:FO1736" name="Rango2_16_47"/>
    <protectedRange algorithmName="SHA-512" hashValue="6a5oYwZw9WJcgjqXpleUXH8uaqNEuymPPpeOb7lKBc1WoM6IG/DNyDLWmj2lYwxnZO2yhl+B61kwrxD9m9AdhQ==" saltValue="tdNQPzLQd+n9Ww064QJIaQ==" spinCount="100000" sqref="I1810:I1822" name="Rango2_61_1_4"/>
    <protectedRange algorithmName="SHA-512" hashValue="XM8+0Jh5zLWw02PI0Lt8dLqjTcW5ulySion19FAnruDN6QRp4UwcVqdfQxnOQAItgpWG7rNsELzjwy0iXOonxw==" saltValue="Sd4WFUedDfLKoMQTDrxJuQ==" spinCount="100000" sqref="K1810:K1818" name="Rango2_88_4_4_1_4"/>
    <protectedRange algorithmName="SHA-512" hashValue="EMMPgE8t/az1rHHzaZAQIhz+GQV0k2O/tQGA96sJqEEMzz1efIRa4CcLzC7iY9CCscto3g7dwz41haOE28iXYg==" saltValue="CVzFsG4X4LXUMo7796PiDQ==" spinCount="100000" sqref="E1810:H1811 L1810:M1811 J1810:J1811 L1812:L1820" name="Rango2_10_1_9"/>
    <protectedRange algorithmName="SHA-512" hashValue="6a5oYwZw9WJcgjqXpleUXH8uaqNEuymPPpeOb7lKBc1WoM6IG/DNyDLWmj2lYwxnZO2yhl+B61kwrxD9m9AdhQ==" saltValue="tdNQPzLQd+n9Ww064QJIaQ==" spinCount="100000" sqref="I1831" name="Rango2_61_2_2"/>
    <protectedRange algorithmName="SHA-512" hashValue="EMMPgE8t/az1rHHzaZAQIhz+GQV0k2O/tQGA96sJqEEMzz1efIRa4CcLzC7iY9CCscto3g7dwz41haOE28iXYg==" saltValue="CVzFsG4X4LXUMo7796PiDQ==" spinCount="100000" sqref="J1831 D1831:H1831 L1831:M1831" name="Rango2_10_2_2"/>
    <protectedRange algorithmName="SHA-512" hashValue="XZw03RosI/l0z9FxmTtF29EdZ7P+4+ybhqoaAAUmURojSR5XbGfjC4f2i8gMqfY+RI9JvfdCA6PSh9TduXfUxA==" saltValue="5TPtLq2WoiRSae/yaDPnTw==" spinCount="100000" sqref="O1810:O1811" name="Rango2_99_1_6"/>
    <protectedRange algorithmName="SHA-512" hashValue="XZw03RosI/l0z9FxmTtF29EdZ7P+4+ybhqoaAAUmURojSR5XbGfjC4f2i8gMqfY+RI9JvfdCA6PSh9TduXfUxA==" saltValue="5TPtLq2WoiRSae/yaDPnTw==" spinCount="100000" sqref="R1810:R1811" name="Rango2_99_2_7"/>
    <protectedRange algorithmName="SHA-512" hashValue="CHipOQaT63FWw628cQcXXJRZlrbNZ7OgmnEbDx38UmmH7z19GRYEzXFiVOzHAy1OAaAbST7g2bHZHDKQp2qm3w==" saltValue="iRVuL+373yLHv0ZHzS9qog==" spinCount="100000" sqref="AG1810:AH1821 AJ1810:AJ1820" name="Rango2_88_7_5_1_5"/>
    <protectedRange algorithmName="SHA-512" hashValue="fPHvtIAf3pQeZUoAI9C2/vdXMHBpqqEq+67P5Ypyu4+9IWqs3yc9TZcMWQ0THLxUwqseQPyVvakuYFtCwJHsxA==" saltValue="QHIogSs2PrwAfdqa9PAOFQ==" spinCount="100000" sqref="AC1810:AC1813" name="Rango2_88_5_5_1_4"/>
    <protectedRange algorithmName="SHA-512" hashValue="LEEeiU6pKqm7TAP46VGlz0q+evvFwpT/0iLpRuWuQ7MacbP0OGL1/FSmrIEOg2rb6M+Jla2bPbVWiGag27j87w==" saltValue="HEVt+pS5OloNDlqSnzGLLw==" spinCount="100000" sqref="AI1810:AI1821" name="Rango2_8_7_1_6"/>
    <protectedRange algorithmName="SHA-512" hashValue="q2z5hEFmXS0v2chiPTC/VCoDWNlnhp+Xe6Ybfxe48vIsnB/KTJQxJv+pFUnCXfZ9T6vyJopuqFFNROfQTW/JUw==" saltValue="IctfdGJb5tOTpq+KPi9vww==" spinCount="100000" sqref="AE1810:AF1821" name="Rango2_88_39_1_5"/>
    <protectedRange algorithmName="SHA-512" hashValue="NUll9P9xh7KbSfMYpMxsRZLfDw/y/AzW2LSWlpXVscBDqiAxmzo71xjs+a2lh+jRa7pceOC849slke4+ZKx8LA==" saltValue="8qbkKpQ+CiQuLnqgShNvXA==" spinCount="100000" sqref="T1810:T1822" name="Rango2_88_6_1_4"/>
    <protectedRange algorithmName="SHA-512" hashValue="XZw03RosI/l0z9FxmTtF29EdZ7P+4+ybhqoaAAUmURojSR5XbGfjC4f2i8gMqfY+RI9JvfdCA6PSh9TduXfUxA==" saltValue="5TPtLq2WoiRSae/yaDPnTw==" spinCount="100000" sqref="U1810:X1811 U1812:V1821 U1822 Z1810:Z1811" name="Rango2_99_3_7"/>
    <protectedRange algorithmName="SHA-512" hashValue="9+DNppQbWrLYYUMoJ+lyQctV2bX3Vq9kZnegLbpjTLP49It2ovUbcartuoQTeXgP+TGpY//7mDH/UQlFCKDGiA==" saltValue="KUnni6YEm00anzSSvyLqQA==" spinCount="100000" sqref="AD1810:AD1815" name="Rango2_19_10"/>
    <protectedRange algorithmName="SHA-512" hashValue="RQ91b7oAw60DVtcgB2vRpial2kSdzJx5guGCTYUwXYkKrtrUHfiYnLf9R+SNpYXlJDYpyEJLhcWwP0EqNN86dQ==" saltValue="W3RbH3zrcY9sy39xNwXNxg==" spinCount="100000" sqref="BA1810:BI1819 BH1820:BI1821" name="Rango2_88_99_1_4"/>
    <protectedRange algorithmName="SHA-512" hashValue="fMbmUM1DQ7FuAPRNvFL5mPdHUYjQnlLFhkuaxvHguaqR7aWyDxcmJs0jLYQfQKY+oyhsMb4Lew4VL6i7um3/ew==" saltValue="ydaTm0CeH8+/cYqoL/AMaQ==" spinCount="100000" sqref="AU1810:AU1812 AW1810:AZ1818 AY1819:AZ1819" name="Rango2_88_91_1_6"/>
    <protectedRange algorithmName="SHA-512" hashValue="CHipOQaT63FWw628cQcXXJRZlrbNZ7OgmnEbDx38UmmH7z19GRYEzXFiVOzHAy1OAaAbST7g2bHZHDKQp2qm3w==" saltValue="iRVuL+373yLHv0ZHzS9qog==" spinCount="100000" sqref="AL1810:AQ1820" name="Rango2_88_7_5_2_2"/>
    <protectedRange algorithmName="SHA-512" hashValue="NkG6oHuDGvGBEiLAAq8MEJHEfLQUMyjihfH+DBXhT+eQW0r1yri7tOJEFRM9nbOejjjXiviq9RFo7KB7wF+xJA==" saltValue="bpjB0AAANu2X/PeR3eiFkA==" spinCount="100000" sqref="AR1810:AS1811" name="Rango2_88_65_1_4"/>
    <protectedRange algorithmName="SHA-512" hashValue="XZw03RosI/l0z9FxmTtF29EdZ7P+4+ybhqoaAAUmURojSR5XbGfjC4f2i8gMqfY+RI9JvfdCA6PSh9TduXfUxA==" saltValue="5TPtLq2WoiRSae/yaDPnTw==" spinCount="100000" sqref="AT1810:AT1811 AV1810:AV1811 BJ1810:BK1811" name="Rango2_99_4_8"/>
    <protectedRange algorithmName="SHA-512" hashValue="XZw03RosI/l0z9FxmTtF29EdZ7P+4+ybhqoaAAUmURojSR5XbGfjC4f2i8gMqfY+RI9JvfdCA6PSh9TduXfUxA==" saltValue="5TPtLq2WoiRSae/yaDPnTw==" spinCount="100000" sqref="BZ1810:CB1811" name="Rango2_99_5_7"/>
    <protectedRange algorithmName="SHA-512" hashValue="XZw03RosI/l0z9FxmTtF29EdZ7P+4+ybhqoaAAUmURojSR5XbGfjC4f2i8gMqfY+RI9JvfdCA6PSh9TduXfUxA==" saltValue="5TPtLq2WoiRSae/yaDPnTw==" spinCount="100000" sqref="CE1810:CF1810" name="Rango2_99_7_8"/>
    <protectedRange algorithmName="SHA-512" hashValue="XZw03RosI/l0z9FxmTtF29EdZ7P+4+ybhqoaAAUmURojSR5XbGfjC4f2i8gMqfY+RI9JvfdCA6PSh9TduXfUxA==" saltValue="5TPtLq2WoiRSae/yaDPnTw==" spinCount="100000" sqref="CP1811:CQ1811" name="Rango2_99_8_7"/>
    <protectedRange algorithmName="SHA-512" hashValue="XZw03RosI/l0z9FxmTtF29EdZ7P+4+ybhqoaAAUmURojSR5XbGfjC4f2i8gMqfY+RI9JvfdCA6PSh9TduXfUxA==" saltValue="5TPtLq2WoiRSae/yaDPnTw==" spinCount="100000" sqref="DA1810:DB1811" name="Rango2_99_9_11"/>
    <protectedRange algorithmName="SHA-512" hashValue="9+DNppQbWrLYYUMoJ+lyQctV2bX3Vq9kZnegLbpjTLP49It2ovUbcartuoQTeXgP+TGpY//7mDH/UQlFCKDGiA==" saltValue="KUnni6YEm00anzSSvyLqQA==" spinCount="100000" sqref="FN1737" name="Rango2_20_11"/>
    <protectedRange algorithmName="SHA-512" hashValue="9+DNppQbWrLYYUMoJ+lyQctV2bX3Vq9kZnegLbpjTLP49It2ovUbcartuoQTeXgP+TGpY//7mDH/UQlFCKDGiA==" saltValue="KUnni6YEm00anzSSvyLqQA==" spinCount="100000" sqref="FK1737" name="Rango2_18_19"/>
    <protectedRange algorithmName="SHA-512" hashValue="9+DNppQbWrLYYUMoJ+lyQctV2bX3Vq9kZnegLbpjTLP49It2ovUbcartuoQTeXgP+TGpY//7mDH/UQlFCKDGiA==" saltValue="KUnni6YEm00anzSSvyLqQA==" spinCount="100000" sqref="FE1737 FH1737" name="Rango2_17_10"/>
    <protectedRange algorithmName="SHA-512" hashValue="9+DNppQbWrLYYUMoJ+lyQctV2bX3Vq9kZnegLbpjTLP49It2ovUbcartuoQTeXgP+TGpY//7mDH/UQlFCKDGiA==" saltValue="KUnni6YEm00anzSSvyLqQA==" spinCount="100000" sqref="HD1737:HI1737" name="Rango2_15_10"/>
    <protectedRange algorithmName="SHA-512" hashValue="XZw03RosI/l0z9FxmTtF29EdZ7P+4+ybhqoaAAUmURojSR5XbGfjC4f2i8gMqfY+RI9JvfdCA6PSh9TduXfUxA==" saltValue="5TPtLq2WoiRSae/yaDPnTw==" spinCount="100000" sqref="EA1810:EJ1811" name="Rango2_99_10_5"/>
    <protectedRange algorithmName="SHA-512" hashValue="XZw03RosI/l0z9FxmTtF29EdZ7P+4+ybhqoaAAUmURojSR5XbGfjC4f2i8gMqfY+RI9JvfdCA6PSh9TduXfUxA==" saltValue="5TPtLq2WoiRSae/yaDPnTw==" spinCount="100000" sqref="ER1810:ES1810" name="Rango2_99_11_3"/>
    <protectedRange algorithmName="SHA-512" hashValue="XZw03RosI/l0z9FxmTtF29EdZ7P+4+ybhqoaAAUmURojSR5XbGfjC4f2i8gMqfY+RI9JvfdCA6PSh9TduXfUxA==" saltValue="5TPtLq2WoiRSae/yaDPnTw==" spinCount="100000" sqref="EV1810:EW1810" name="Rango2_99_12_5"/>
    <protectedRange algorithmName="SHA-512" hashValue="9+DNppQbWrLYYUMoJ+lyQctV2bX3Vq9kZnegLbpjTLP49It2ovUbcartuoQTeXgP+TGpY//7mDH/UQlFCKDGiA==" saltValue="KUnni6YEm00anzSSvyLqQA==" spinCount="100000" sqref="FK1810:FL1810" name="Rango2_25_7"/>
    <protectedRange algorithmName="SHA-512" hashValue="XZw03RosI/l0z9FxmTtF29EdZ7P+4+ybhqoaAAUmURojSR5XbGfjC4f2i8gMqfY+RI9JvfdCA6PSh9TduXfUxA==" saltValue="5TPtLq2WoiRSae/yaDPnTw==" spinCount="100000" sqref="FQ1810:FR1810" name="Rango2_99_13_2"/>
    <protectedRange algorithmName="SHA-512" hashValue="9+DNppQbWrLYYUMoJ+lyQctV2bX3Vq9kZnegLbpjTLP49It2ovUbcartuoQTeXgP+TGpY//7mDH/UQlFCKDGiA==" saltValue="KUnni6YEm00anzSSvyLqQA==" spinCount="100000" sqref="JC1737" name="Rango2_21_3"/>
    <protectedRange algorithmName="SHA-512" hashValue="9+DNppQbWrLYYUMoJ+lyQctV2bX3Vq9kZnegLbpjTLP49It2ovUbcartuoQTeXgP+TGpY//7mDH/UQlFCKDGiA==" saltValue="KUnni6YEm00anzSSvyLqQA==" spinCount="100000" sqref="FN1879" name="Rango2_20_12"/>
    <protectedRange algorithmName="SHA-512" hashValue="9+DNppQbWrLYYUMoJ+lyQctV2bX3Vq9kZnegLbpjTLP49It2ovUbcartuoQTeXgP+TGpY//7mDH/UQlFCKDGiA==" saltValue="KUnni6YEm00anzSSvyLqQA==" spinCount="100000" sqref="FK1879" name="Rango2_19_12"/>
    <protectedRange algorithmName="SHA-512" hashValue="9+DNppQbWrLYYUMoJ+lyQctV2bX3Vq9kZnegLbpjTLP49It2ovUbcartuoQTeXgP+TGpY//7mDH/UQlFCKDGiA==" saltValue="KUnni6YEm00anzSSvyLqQA==" spinCount="100000" sqref="FH1879" name="Rango2_18_20"/>
    <protectedRange algorithmName="SHA-512" hashValue="9+DNppQbWrLYYUMoJ+lyQctV2bX3Vq9kZnegLbpjTLP49It2ovUbcartuoQTeXgP+TGpY//7mDH/UQlFCKDGiA==" saltValue="KUnni6YEm00anzSSvyLqQA==" spinCount="100000" sqref="FE1879" name="Rango2_17_11"/>
    <protectedRange algorithmName="SHA-512" hashValue="9+DNppQbWrLYYUMoJ+lyQctV2bX3Vq9kZnegLbpjTLP49It2ovUbcartuoQTeXgP+TGpY//7mDH/UQlFCKDGiA==" saltValue="KUnni6YEm00anzSSvyLqQA==" spinCount="100000" sqref="HD1879:HI1879" name="Rango2_15_11"/>
    <protectedRange algorithmName="SHA-512" hashValue="9+DNppQbWrLYYUMoJ+lyQctV2bX3Vq9kZnegLbpjTLP49It2ovUbcartuoQTeXgP+TGpY//7mDH/UQlFCKDGiA==" saltValue="KUnni6YEm00anzSSvyLqQA==" spinCount="100000" sqref="JC1879" name="Rango2_21_4"/>
    <protectedRange algorithmName="SHA-512" hashValue="9+DNppQbWrLYYUMoJ+lyQctV2bX3Vq9kZnegLbpjTLP49It2ovUbcartuoQTeXgP+TGpY//7mDH/UQlFCKDGiA==" saltValue="KUnni6YEm00anzSSvyLqQA==" spinCount="100000" sqref="JO1880" name="Rango2_16_48"/>
    <protectedRange algorithmName="SHA-512" hashValue="D8TacORwT7iz0mF9GEucchnMHfB5er2FFjQsxyeWWyeJkM6Bt3gYQ3LbcHPxZXFpVAYtFOuTrzYOCJrlZDx16g==" saltValue="QtCzIBktdS4NZkOEGcLTRQ==" spinCount="100000" sqref="IS1881" name="Rango2_41_1_3"/>
    <protectedRange algorithmName="SHA-512" hashValue="9+DNppQbWrLYYUMoJ+lyQctV2bX3Vq9kZnegLbpjTLP49It2ovUbcartuoQTeXgP+TGpY//7mDH/UQlFCKDGiA==" saltValue="KUnni6YEm00anzSSvyLqQA==" spinCount="100000" sqref="KQ1881" name="Rango2_34_3"/>
    <protectedRange algorithmName="SHA-512" hashValue="9+DNppQbWrLYYUMoJ+lyQctV2bX3Vq9kZnegLbpjTLP49It2ovUbcartuoQTeXgP+TGpY//7mDH/UQlFCKDGiA==" saltValue="KUnni6YEm00anzSSvyLqQA==" spinCount="100000" sqref="JM1880" name="Rango2_36_4"/>
    <protectedRange algorithmName="SHA-512" hashValue="9+DNppQbWrLYYUMoJ+lyQctV2bX3Vq9kZnegLbpjTLP49It2ovUbcartuoQTeXgP+TGpY//7mDH/UQlFCKDGiA==" saltValue="KUnni6YEm00anzSSvyLqQA==" spinCount="100000" sqref="JM1881" name="Rango2_37_6"/>
    <protectedRange algorithmName="SHA-512" hashValue="9+DNppQbWrLYYUMoJ+lyQctV2bX3Vq9kZnegLbpjTLP49It2ovUbcartuoQTeXgP+TGpY//7mDH/UQlFCKDGiA==" saltValue="KUnni6YEm00anzSSvyLqQA==" spinCount="100000" sqref="JO1881" name="Rango2_38_2"/>
    <protectedRange algorithmName="SHA-512" hashValue="9+DNppQbWrLYYUMoJ+lyQctV2bX3Vq9kZnegLbpjTLP49It2ovUbcartuoQTeXgP+TGpY//7mDH/UQlFCKDGiA==" saltValue="KUnni6YEm00anzSSvyLqQA==" spinCount="100000" sqref="KW1880" name="Rango2_39_7"/>
    <protectedRange algorithmName="SHA-512" hashValue="9+DNppQbWrLYYUMoJ+lyQctV2bX3Vq9kZnegLbpjTLP49It2ovUbcartuoQTeXgP+TGpY//7mDH/UQlFCKDGiA==" saltValue="KUnni6YEm00anzSSvyLqQA==" spinCount="100000" sqref="KW1881" name="Rango2_40_5"/>
    <protectedRange algorithmName="SHA-512" hashValue="9+DNppQbWrLYYUMoJ+lyQctV2bX3Vq9kZnegLbpjTLP49It2ovUbcartuoQTeXgP+TGpY//7mDH/UQlFCKDGiA==" saltValue="KUnni6YEm00anzSSvyLqQA==" spinCount="100000" sqref="LC1880:MP1880" name="Rango2_24_6"/>
    <protectedRange algorithmName="SHA-512" hashValue="9+DNppQbWrLYYUMoJ+lyQctV2bX3Vq9kZnegLbpjTLP49It2ovUbcartuoQTeXgP+TGpY//7mDH/UQlFCKDGiA==" saltValue="KUnni6YEm00anzSSvyLqQA==" spinCount="100000" sqref="LC1881:MP1881" name="Rango2_35_4"/>
    <protectedRange algorithmName="SHA-512" hashValue="EMMPgE8t/az1rHHzaZAQIhz+GQV0k2O/tQGA96sJqEEMzz1efIRa4CcLzC7iY9CCscto3g7dwz41haOE28iXYg==" saltValue="CVzFsG4X4LXUMo7796PiDQ==" spinCount="100000" sqref="B1903" name="Rango2_10_1_10"/>
    <protectedRange algorithmName="SHA-512" hashValue="6a5oYwZw9WJcgjqXpleUXH8uaqNEuymPPpeOb7lKBc1WoM6IG/DNyDLWmj2lYwxnZO2yhl+B61kwrxD9m9AdhQ==" saltValue="tdNQPzLQd+n9Ww064QJIaQ==" spinCount="100000" sqref="I1996" name="Rango2_61_1_5"/>
    <protectedRange algorithmName="SHA-512" hashValue="EMMPgE8t/az1rHHzaZAQIhz+GQV0k2O/tQGA96sJqEEMzz1efIRa4CcLzC7iY9CCscto3g7dwz41haOE28iXYg==" saltValue="CVzFsG4X4LXUMo7796PiDQ==" spinCount="100000" sqref="L1996:M1996 J1996 B1996:H1996 C1997:C2121" name="Rango2_10_1_1"/>
    <protectedRange algorithmName="SHA-512" hashValue="6a5oYwZw9WJcgjqXpleUXH8uaqNEuymPPpeOb7lKBc1WoM6IG/DNyDLWmj2lYwxnZO2yhl+B61kwrxD9m9AdhQ==" saltValue="tdNQPzLQd+n9Ww064QJIaQ==" spinCount="100000" sqref="I1997" name="Rango2_61_1_6"/>
    <protectedRange algorithmName="SHA-512" hashValue="EMMPgE8t/az1rHHzaZAQIhz+GQV0k2O/tQGA96sJqEEMzz1efIRa4CcLzC7iY9CCscto3g7dwz41haOE28iXYg==" saltValue="CVzFsG4X4LXUMo7796PiDQ==" spinCount="100000" sqref="L1997:M1997 J1997 B1997 D1997:H1997" name="Rango2_10_1_2"/>
    <protectedRange algorithmName="SHA-512" hashValue="6a5oYwZw9WJcgjqXpleUXH8uaqNEuymPPpeOb7lKBc1WoM6IG/DNyDLWmj2lYwxnZO2yhl+B61kwrxD9m9AdhQ==" saltValue="tdNQPzLQd+n9Ww064QJIaQ==" spinCount="100000" sqref="I1998" name="Rango2_61_1_7"/>
    <protectedRange algorithmName="SHA-512" hashValue="EMMPgE8t/az1rHHzaZAQIhz+GQV0k2O/tQGA96sJqEEMzz1efIRa4CcLzC7iY9CCscto3g7dwz41haOE28iXYg==" saltValue="CVzFsG4X4LXUMo7796PiDQ==" spinCount="100000" sqref="L1998:M1998 J1998 B1998 D1998:H1998" name="Rango2_10_1_3"/>
    <protectedRange algorithmName="SHA-512" hashValue="6a5oYwZw9WJcgjqXpleUXH8uaqNEuymPPpeOb7lKBc1WoM6IG/DNyDLWmj2lYwxnZO2yhl+B61kwrxD9m9AdhQ==" saltValue="tdNQPzLQd+n9Ww064QJIaQ==" spinCount="100000" sqref="I1999" name="Rango2_61_1_8"/>
    <protectedRange algorithmName="SHA-512" hashValue="EMMPgE8t/az1rHHzaZAQIhz+GQV0k2O/tQGA96sJqEEMzz1efIRa4CcLzC7iY9CCscto3g7dwz41haOE28iXYg==" saltValue="CVzFsG4X4LXUMo7796PiDQ==" spinCount="100000" sqref="L1999:M1999 J1999 B1999 D1999:H1999" name="Rango2_10_1_11"/>
    <protectedRange algorithmName="SHA-512" hashValue="6a5oYwZw9WJcgjqXpleUXH8uaqNEuymPPpeOb7lKBc1WoM6IG/DNyDLWmj2lYwxnZO2yhl+B61kwrxD9m9AdhQ==" saltValue="tdNQPzLQd+n9Ww064QJIaQ==" spinCount="100000" sqref="I2000" name="Rango2_61_1_9"/>
    <protectedRange algorithmName="SHA-512" hashValue="EMMPgE8t/az1rHHzaZAQIhz+GQV0k2O/tQGA96sJqEEMzz1efIRa4CcLzC7iY9CCscto3g7dwz41haOE28iXYg==" saltValue="CVzFsG4X4LXUMo7796PiDQ==" spinCount="100000" sqref="L2000:M2000 J2000 B2000 D2000:H2000" name="Rango2_10_1_12"/>
    <protectedRange algorithmName="SHA-512" hashValue="6a5oYwZw9WJcgjqXpleUXH8uaqNEuymPPpeOb7lKBc1WoM6IG/DNyDLWmj2lYwxnZO2yhl+B61kwrxD9m9AdhQ==" saltValue="tdNQPzLQd+n9Ww064QJIaQ==" spinCount="100000" sqref="I2001" name="Rango2_61_1_10"/>
    <protectedRange algorithmName="SHA-512" hashValue="EMMPgE8t/az1rHHzaZAQIhz+GQV0k2O/tQGA96sJqEEMzz1efIRa4CcLzC7iY9CCscto3g7dwz41haOE28iXYg==" saltValue="CVzFsG4X4LXUMo7796PiDQ==" spinCount="100000" sqref="L2001:M2001 J2001 B2001 D2001:H2001" name="Rango2_10_1_13"/>
    <protectedRange algorithmName="SHA-512" hashValue="6a5oYwZw9WJcgjqXpleUXH8uaqNEuymPPpeOb7lKBc1WoM6IG/DNyDLWmj2lYwxnZO2yhl+B61kwrxD9m9AdhQ==" saltValue="tdNQPzLQd+n9Ww064QJIaQ==" spinCount="100000" sqref="I2002" name="Rango2_61_1_11"/>
    <protectedRange algorithmName="SHA-512" hashValue="EMMPgE8t/az1rHHzaZAQIhz+GQV0k2O/tQGA96sJqEEMzz1efIRa4CcLzC7iY9CCscto3g7dwz41haOE28iXYg==" saltValue="CVzFsG4X4LXUMo7796PiDQ==" spinCount="100000" sqref="L2002:M2002 J2002 B2002 D2002:H2002" name="Rango2_10_1_14"/>
    <protectedRange algorithmName="SHA-512" hashValue="6a5oYwZw9WJcgjqXpleUXH8uaqNEuymPPpeOb7lKBc1WoM6IG/DNyDLWmj2lYwxnZO2yhl+B61kwrxD9m9AdhQ==" saltValue="tdNQPzLQd+n9Ww064QJIaQ==" spinCount="100000" sqref="I2003" name="Rango2_61_1_12"/>
    <protectedRange algorithmName="SHA-512" hashValue="EMMPgE8t/az1rHHzaZAQIhz+GQV0k2O/tQGA96sJqEEMzz1efIRa4CcLzC7iY9CCscto3g7dwz41haOE28iXYg==" saltValue="CVzFsG4X4LXUMo7796PiDQ==" spinCount="100000" sqref="L2003:M2003 J2003 B2003 D2003:H2003" name="Rango2_10_1_15"/>
    <protectedRange algorithmName="SHA-512" hashValue="6a5oYwZw9WJcgjqXpleUXH8uaqNEuymPPpeOb7lKBc1WoM6IG/DNyDLWmj2lYwxnZO2yhl+B61kwrxD9m9AdhQ==" saltValue="tdNQPzLQd+n9Ww064QJIaQ==" spinCount="100000" sqref="I2004" name="Rango2_61_1_13"/>
    <protectedRange algorithmName="SHA-512" hashValue="EMMPgE8t/az1rHHzaZAQIhz+GQV0k2O/tQGA96sJqEEMzz1efIRa4CcLzC7iY9CCscto3g7dwz41haOE28iXYg==" saltValue="CVzFsG4X4LXUMo7796PiDQ==" spinCount="100000" sqref="L2004:M2004 B2004 D2004:H2004" name="Rango2_10_1_16"/>
    <protectedRange algorithmName="SHA-512" hashValue="6a5oYwZw9WJcgjqXpleUXH8uaqNEuymPPpeOb7lKBc1WoM6IG/DNyDLWmj2lYwxnZO2yhl+B61kwrxD9m9AdhQ==" saltValue="tdNQPzLQd+n9Ww064QJIaQ==" spinCount="100000" sqref="I2005" name="Rango2_61_1_14"/>
    <protectedRange algorithmName="SHA-512" hashValue="EMMPgE8t/az1rHHzaZAQIhz+GQV0k2O/tQGA96sJqEEMzz1efIRa4CcLzC7iY9CCscto3g7dwz41haOE28iXYg==" saltValue="CVzFsG4X4LXUMo7796PiDQ==" spinCount="100000" sqref="L2005:M2005 J2005 B2005 D2005:H2005" name="Rango2_10_1_17"/>
    <protectedRange algorithmName="SHA-512" hashValue="6a5oYwZw9WJcgjqXpleUXH8uaqNEuymPPpeOb7lKBc1WoM6IG/DNyDLWmj2lYwxnZO2yhl+B61kwrxD9m9AdhQ==" saltValue="tdNQPzLQd+n9Ww064QJIaQ==" spinCount="100000" sqref="I2006" name="Rango2_61_1_15"/>
    <protectedRange algorithmName="SHA-512" hashValue="EMMPgE8t/az1rHHzaZAQIhz+GQV0k2O/tQGA96sJqEEMzz1efIRa4CcLzC7iY9CCscto3g7dwz41haOE28iXYg==" saltValue="CVzFsG4X4LXUMo7796PiDQ==" spinCount="100000" sqref="L2006:M2006 J2006 B2006 D2006:H2006" name="Rango2_10_1_18"/>
    <protectedRange algorithmName="SHA-512" hashValue="6a5oYwZw9WJcgjqXpleUXH8uaqNEuymPPpeOb7lKBc1WoM6IG/DNyDLWmj2lYwxnZO2yhl+B61kwrxD9m9AdhQ==" saltValue="tdNQPzLQd+n9Ww064QJIaQ==" spinCount="100000" sqref="I2007:I2009" name="Rango2_61_1_16"/>
    <protectedRange algorithmName="SHA-512" hashValue="EMMPgE8t/az1rHHzaZAQIhz+GQV0k2O/tQGA96sJqEEMzz1efIRa4CcLzC7iY9CCscto3g7dwz41haOE28iXYg==" saltValue="CVzFsG4X4LXUMo7796PiDQ==" spinCount="100000" sqref="L2007:M2009 J2007:J2009 B2007:B2009 D2007:H2009" name="Rango2_10_1_19"/>
    <protectedRange algorithmName="SHA-512" hashValue="6a5oYwZw9WJcgjqXpleUXH8uaqNEuymPPpeOb7lKBc1WoM6IG/DNyDLWmj2lYwxnZO2yhl+B61kwrxD9m9AdhQ==" saltValue="tdNQPzLQd+n9Ww064QJIaQ==" spinCount="100000" sqref="I2010" name="Rango2_61_1_17"/>
    <protectedRange algorithmName="SHA-512" hashValue="EMMPgE8t/az1rHHzaZAQIhz+GQV0k2O/tQGA96sJqEEMzz1efIRa4CcLzC7iY9CCscto3g7dwz41haOE28iXYg==" saltValue="CVzFsG4X4LXUMo7796PiDQ==" spinCount="100000" sqref="L2010:M2010 J2010 B2010 D2010:H2010" name="Rango2_10_1_20"/>
    <protectedRange algorithmName="SHA-512" hashValue="6a5oYwZw9WJcgjqXpleUXH8uaqNEuymPPpeOb7lKBc1WoM6IG/DNyDLWmj2lYwxnZO2yhl+B61kwrxD9m9AdhQ==" saltValue="tdNQPzLQd+n9Ww064QJIaQ==" spinCount="100000" sqref="I2011:I2012" name="Rango2_61_1_18"/>
    <protectedRange algorithmName="SHA-512" hashValue="EMMPgE8t/az1rHHzaZAQIhz+GQV0k2O/tQGA96sJqEEMzz1efIRa4CcLzC7iY9CCscto3g7dwz41haOE28iXYg==" saltValue="CVzFsG4X4LXUMo7796PiDQ==" spinCount="100000" sqref="L2011:M2012 B2011:B2012 D2011:H2012" name="Rango2_10_1_21"/>
    <protectedRange algorithmName="SHA-512" hashValue="6a5oYwZw9WJcgjqXpleUXH8uaqNEuymPPpeOb7lKBc1WoM6IG/DNyDLWmj2lYwxnZO2yhl+B61kwrxD9m9AdhQ==" saltValue="tdNQPzLQd+n9Ww064QJIaQ==" spinCount="100000" sqref="I2013" name="Rango2_61_1_19"/>
    <protectedRange algorithmName="SHA-512" hashValue="EMMPgE8t/az1rHHzaZAQIhz+GQV0k2O/tQGA96sJqEEMzz1efIRa4CcLzC7iY9CCscto3g7dwz41haOE28iXYg==" saltValue="CVzFsG4X4LXUMo7796PiDQ==" spinCount="100000" sqref="L2013:M2013 J2013 B2013 D2013:H2013" name="Rango2_10_1_22"/>
    <protectedRange algorithmName="SHA-512" hashValue="6a5oYwZw9WJcgjqXpleUXH8uaqNEuymPPpeOb7lKBc1WoM6IG/DNyDLWmj2lYwxnZO2yhl+B61kwrxD9m9AdhQ==" saltValue="tdNQPzLQd+n9Ww064QJIaQ==" spinCount="100000" sqref="I2014" name="Rango2_61_1_20"/>
    <protectedRange algorithmName="SHA-512" hashValue="EMMPgE8t/az1rHHzaZAQIhz+GQV0k2O/tQGA96sJqEEMzz1efIRa4CcLzC7iY9CCscto3g7dwz41haOE28iXYg==" saltValue="CVzFsG4X4LXUMo7796PiDQ==" spinCount="100000" sqref="L2014:M2014 J2014 B2014 D2014:H2014" name="Rango2_10_1_23"/>
    <protectedRange algorithmName="SHA-512" hashValue="6a5oYwZw9WJcgjqXpleUXH8uaqNEuymPPpeOb7lKBc1WoM6IG/DNyDLWmj2lYwxnZO2yhl+B61kwrxD9m9AdhQ==" saltValue="tdNQPzLQd+n9Ww064QJIaQ==" spinCount="100000" sqref="I2015" name="Rango2_61_1_21"/>
    <protectedRange algorithmName="SHA-512" hashValue="EMMPgE8t/az1rHHzaZAQIhz+GQV0k2O/tQGA96sJqEEMzz1efIRa4CcLzC7iY9CCscto3g7dwz41haOE28iXYg==" saltValue="CVzFsG4X4LXUMo7796PiDQ==" spinCount="100000" sqref="L2015:M2015 J2015 B2015 D2015:H2015" name="Rango2_10_1_24"/>
    <protectedRange algorithmName="SHA-512" hashValue="6a5oYwZw9WJcgjqXpleUXH8uaqNEuymPPpeOb7lKBc1WoM6IG/DNyDLWmj2lYwxnZO2yhl+B61kwrxD9m9AdhQ==" saltValue="tdNQPzLQd+n9Ww064QJIaQ==" spinCount="100000" sqref="I2016" name="Rango2_61_1_22"/>
    <protectedRange algorithmName="SHA-512" hashValue="EMMPgE8t/az1rHHzaZAQIhz+GQV0k2O/tQGA96sJqEEMzz1efIRa4CcLzC7iY9CCscto3g7dwz41haOE28iXYg==" saltValue="CVzFsG4X4LXUMo7796PiDQ==" spinCount="100000" sqref="L2016:M2016 J2016 B2016 D2016:H2016" name="Rango2_10_1_25"/>
    <protectedRange algorithmName="SHA-512" hashValue="6a5oYwZw9WJcgjqXpleUXH8uaqNEuymPPpeOb7lKBc1WoM6IG/DNyDLWmj2lYwxnZO2yhl+B61kwrxD9m9AdhQ==" saltValue="tdNQPzLQd+n9Ww064QJIaQ==" spinCount="100000" sqref="I2017" name="Rango2_61_1_23"/>
    <protectedRange algorithmName="SHA-512" hashValue="EMMPgE8t/az1rHHzaZAQIhz+GQV0k2O/tQGA96sJqEEMzz1efIRa4CcLzC7iY9CCscto3g7dwz41haOE28iXYg==" saltValue="CVzFsG4X4LXUMo7796PiDQ==" spinCount="100000" sqref="L2017:M2017 J2017 B2017 D2017:H2017" name="Rango2_10_1_26"/>
    <protectedRange algorithmName="SHA-512" hashValue="6a5oYwZw9WJcgjqXpleUXH8uaqNEuymPPpeOb7lKBc1WoM6IG/DNyDLWmj2lYwxnZO2yhl+B61kwrxD9m9AdhQ==" saltValue="tdNQPzLQd+n9Ww064QJIaQ==" spinCount="100000" sqref="I2018" name="Rango2_61_1_24"/>
    <protectedRange algorithmName="SHA-512" hashValue="EMMPgE8t/az1rHHzaZAQIhz+GQV0k2O/tQGA96sJqEEMzz1efIRa4CcLzC7iY9CCscto3g7dwz41haOE28iXYg==" saltValue="CVzFsG4X4LXUMo7796PiDQ==" spinCount="100000" sqref="L2018:M2018 J2018 B2018 D2018:H2018" name="Rango2_10_1_27"/>
    <protectedRange algorithmName="SHA-512" hashValue="6a5oYwZw9WJcgjqXpleUXH8uaqNEuymPPpeOb7lKBc1WoM6IG/DNyDLWmj2lYwxnZO2yhl+B61kwrxD9m9AdhQ==" saltValue="tdNQPzLQd+n9Ww064QJIaQ==" spinCount="100000" sqref="I2019:I2020" name="Rango2_61_1_25"/>
    <protectedRange algorithmName="SHA-512" hashValue="EMMPgE8t/az1rHHzaZAQIhz+GQV0k2O/tQGA96sJqEEMzz1efIRa4CcLzC7iY9CCscto3g7dwz41haOE28iXYg==" saltValue="CVzFsG4X4LXUMo7796PiDQ==" spinCount="100000" sqref="L2019:M2020 J2019:J2020 B2019:B2020 D2019:H2020" name="Rango2_10_1_28"/>
    <protectedRange algorithmName="SHA-512" hashValue="6a5oYwZw9WJcgjqXpleUXH8uaqNEuymPPpeOb7lKBc1WoM6IG/DNyDLWmj2lYwxnZO2yhl+B61kwrxD9m9AdhQ==" saltValue="tdNQPzLQd+n9Ww064QJIaQ==" spinCount="100000" sqref="I2021:I2029" name="Rango2_61_1_26"/>
    <protectedRange algorithmName="SHA-512" hashValue="EMMPgE8t/az1rHHzaZAQIhz+GQV0k2O/tQGA96sJqEEMzz1efIRa4CcLzC7iY9CCscto3g7dwz41haOE28iXYg==" saltValue="CVzFsG4X4LXUMo7796PiDQ==" spinCount="100000" sqref="L2021:M2029 J2021:J2029 B2021:B2029 D2021:H2029" name="Rango2_10_1_29"/>
    <protectedRange algorithmName="SHA-512" hashValue="6a5oYwZw9WJcgjqXpleUXH8uaqNEuymPPpeOb7lKBc1WoM6IG/DNyDLWmj2lYwxnZO2yhl+B61kwrxD9m9AdhQ==" saltValue="tdNQPzLQd+n9Ww064QJIaQ==" spinCount="100000" sqref="I2030:I2031" name="Rango2_61_1_27"/>
    <protectedRange algorithmName="SHA-512" hashValue="EMMPgE8t/az1rHHzaZAQIhz+GQV0k2O/tQGA96sJqEEMzz1efIRa4CcLzC7iY9CCscto3g7dwz41haOE28iXYg==" saltValue="CVzFsG4X4LXUMo7796PiDQ==" spinCount="100000" sqref="L2030:M2031 J2030:J2031 B2030:B2031 D2030:H2031" name="Rango2_10_1_30"/>
    <protectedRange algorithmName="SHA-512" hashValue="6a5oYwZw9WJcgjqXpleUXH8uaqNEuymPPpeOb7lKBc1WoM6IG/DNyDLWmj2lYwxnZO2yhl+B61kwrxD9m9AdhQ==" saltValue="tdNQPzLQd+n9Ww064QJIaQ==" spinCount="100000" sqref="I2032" name="Rango2_61_1_28"/>
    <protectedRange algorithmName="SHA-512" hashValue="EMMPgE8t/az1rHHzaZAQIhz+GQV0k2O/tQGA96sJqEEMzz1efIRa4CcLzC7iY9CCscto3g7dwz41haOE28iXYg==" saltValue="CVzFsG4X4LXUMo7796PiDQ==" spinCount="100000" sqref="L2032:M2032 J2032 B2032 D2032:H2032" name="Rango2_10_1_31"/>
    <protectedRange algorithmName="SHA-512" hashValue="6a5oYwZw9WJcgjqXpleUXH8uaqNEuymPPpeOb7lKBc1WoM6IG/DNyDLWmj2lYwxnZO2yhl+B61kwrxD9m9AdhQ==" saltValue="tdNQPzLQd+n9Ww064QJIaQ==" spinCount="100000" sqref="I2033:I2034" name="Rango2_61_1_29"/>
    <protectedRange algorithmName="SHA-512" hashValue="EMMPgE8t/az1rHHzaZAQIhz+GQV0k2O/tQGA96sJqEEMzz1efIRa4CcLzC7iY9CCscto3g7dwz41haOE28iXYg==" saltValue="CVzFsG4X4LXUMo7796PiDQ==" spinCount="100000" sqref="L2033:M2034 J2033:J2034 B2033:B2034 D2033:H2034" name="Rango2_10_1_32"/>
    <protectedRange algorithmName="SHA-512" hashValue="6a5oYwZw9WJcgjqXpleUXH8uaqNEuymPPpeOb7lKBc1WoM6IG/DNyDLWmj2lYwxnZO2yhl+B61kwrxD9m9AdhQ==" saltValue="tdNQPzLQd+n9Ww064QJIaQ==" spinCount="100000" sqref="I2035:I2036" name="Rango2_61_1_30"/>
    <protectedRange algorithmName="SHA-512" hashValue="EMMPgE8t/az1rHHzaZAQIhz+GQV0k2O/tQGA96sJqEEMzz1efIRa4CcLzC7iY9CCscto3g7dwz41haOE28iXYg==" saltValue="CVzFsG4X4LXUMo7796PiDQ==" spinCount="100000" sqref="L2035:M2036 J2035:J2036 B2035:B2036 D2035:H2036" name="Rango2_10_1_33"/>
    <protectedRange algorithmName="SHA-512" hashValue="6a5oYwZw9WJcgjqXpleUXH8uaqNEuymPPpeOb7lKBc1WoM6IG/DNyDLWmj2lYwxnZO2yhl+B61kwrxD9m9AdhQ==" saltValue="tdNQPzLQd+n9Ww064QJIaQ==" spinCount="100000" sqref="I2037" name="Rango2_61_1_31"/>
    <protectedRange algorithmName="SHA-512" hashValue="EMMPgE8t/az1rHHzaZAQIhz+GQV0k2O/tQGA96sJqEEMzz1efIRa4CcLzC7iY9CCscto3g7dwz41haOE28iXYg==" saltValue="CVzFsG4X4LXUMo7796PiDQ==" spinCount="100000" sqref="L2037:M2037 J2037 B2037 D2037:H2037" name="Rango2_10_1_34"/>
    <protectedRange algorithmName="SHA-512" hashValue="6a5oYwZw9WJcgjqXpleUXH8uaqNEuymPPpeOb7lKBc1WoM6IG/DNyDLWmj2lYwxnZO2yhl+B61kwrxD9m9AdhQ==" saltValue="tdNQPzLQd+n9Ww064QJIaQ==" spinCount="100000" sqref="I2038" name="Rango2_61_1_32"/>
    <protectedRange algorithmName="SHA-512" hashValue="EMMPgE8t/az1rHHzaZAQIhz+GQV0k2O/tQGA96sJqEEMzz1efIRa4CcLzC7iY9CCscto3g7dwz41haOE28iXYg==" saltValue="CVzFsG4X4LXUMo7796PiDQ==" spinCount="100000" sqref="L2038:M2038 J2038 B2038 D2038:H2038" name="Rango2_10_1_35"/>
    <protectedRange algorithmName="SHA-512" hashValue="6a5oYwZw9WJcgjqXpleUXH8uaqNEuymPPpeOb7lKBc1WoM6IG/DNyDLWmj2lYwxnZO2yhl+B61kwrxD9m9AdhQ==" saltValue="tdNQPzLQd+n9Ww064QJIaQ==" spinCount="100000" sqref="I2039" name="Rango2_61_1_33"/>
    <protectedRange algorithmName="SHA-512" hashValue="EMMPgE8t/az1rHHzaZAQIhz+GQV0k2O/tQGA96sJqEEMzz1efIRa4CcLzC7iY9CCscto3g7dwz41haOE28iXYg==" saltValue="CVzFsG4X4LXUMo7796PiDQ==" spinCount="100000" sqref="L2039:M2039 J2039 B2039 D2039:H2039" name="Rango2_10_1_36"/>
    <protectedRange algorithmName="SHA-512" hashValue="6a5oYwZw9WJcgjqXpleUXH8uaqNEuymPPpeOb7lKBc1WoM6IG/DNyDLWmj2lYwxnZO2yhl+B61kwrxD9m9AdhQ==" saltValue="tdNQPzLQd+n9Ww064QJIaQ==" spinCount="100000" sqref="I2040" name="Rango2_61_1_34"/>
    <protectedRange algorithmName="SHA-512" hashValue="EMMPgE8t/az1rHHzaZAQIhz+GQV0k2O/tQGA96sJqEEMzz1efIRa4CcLzC7iY9CCscto3g7dwz41haOE28iXYg==" saltValue="CVzFsG4X4LXUMo7796PiDQ==" spinCount="100000" sqref="L2040:M2040 J2040 B2040 D2040:H2040" name="Rango2_10_1_37"/>
    <protectedRange algorithmName="SHA-512" hashValue="6a5oYwZw9WJcgjqXpleUXH8uaqNEuymPPpeOb7lKBc1WoM6IG/DNyDLWmj2lYwxnZO2yhl+B61kwrxD9m9AdhQ==" saltValue="tdNQPzLQd+n9Ww064QJIaQ==" spinCount="100000" sqref="I2041:I2042" name="Rango2_61_1_35"/>
    <protectedRange algorithmName="SHA-512" hashValue="EMMPgE8t/az1rHHzaZAQIhz+GQV0k2O/tQGA96sJqEEMzz1efIRa4CcLzC7iY9CCscto3g7dwz41haOE28iXYg==" saltValue="CVzFsG4X4LXUMo7796PiDQ==" spinCount="100000" sqref="L2041:M2042 J2041:J2042 B2041:B2042 D2041:H2042" name="Rango2_10_1_38"/>
    <protectedRange algorithmName="SHA-512" hashValue="6a5oYwZw9WJcgjqXpleUXH8uaqNEuymPPpeOb7lKBc1WoM6IG/DNyDLWmj2lYwxnZO2yhl+B61kwrxD9m9AdhQ==" saltValue="tdNQPzLQd+n9Ww064QJIaQ==" spinCount="100000" sqref="I2043:I2044" name="Rango2_61_1_36"/>
    <protectedRange algorithmName="SHA-512" hashValue="EMMPgE8t/az1rHHzaZAQIhz+GQV0k2O/tQGA96sJqEEMzz1efIRa4CcLzC7iY9CCscto3g7dwz41haOE28iXYg==" saltValue="CVzFsG4X4LXUMo7796PiDQ==" spinCount="100000" sqref="L2043:M2044 J2043:J2044 B2043:B2044 D2043:H2044" name="Rango2_10_1_39"/>
    <protectedRange algorithmName="SHA-512" hashValue="6a5oYwZw9WJcgjqXpleUXH8uaqNEuymPPpeOb7lKBc1WoM6IG/DNyDLWmj2lYwxnZO2yhl+B61kwrxD9m9AdhQ==" saltValue="tdNQPzLQd+n9Ww064QJIaQ==" spinCount="100000" sqref="I2045:I2046" name="Rango2_61_1_37"/>
    <protectedRange algorithmName="SHA-512" hashValue="EMMPgE8t/az1rHHzaZAQIhz+GQV0k2O/tQGA96sJqEEMzz1efIRa4CcLzC7iY9CCscto3g7dwz41haOE28iXYg==" saltValue="CVzFsG4X4LXUMo7796PiDQ==" spinCount="100000" sqref="L2045:M2046 J2045:J2046 B2045:B2046 D2045:H2046" name="Rango2_10_1_40"/>
    <protectedRange algorithmName="SHA-512" hashValue="6a5oYwZw9WJcgjqXpleUXH8uaqNEuymPPpeOb7lKBc1WoM6IG/DNyDLWmj2lYwxnZO2yhl+B61kwrxD9m9AdhQ==" saltValue="tdNQPzLQd+n9Ww064QJIaQ==" spinCount="100000" sqref="I2047" name="Rango2_61_1_38"/>
    <protectedRange algorithmName="SHA-512" hashValue="EMMPgE8t/az1rHHzaZAQIhz+GQV0k2O/tQGA96sJqEEMzz1efIRa4CcLzC7iY9CCscto3g7dwz41haOE28iXYg==" saltValue="CVzFsG4X4LXUMo7796PiDQ==" spinCount="100000" sqref="L2047:M2047 J2047 B2047 D2047:H2047" name="Rango2_10_1_41"/>
    <protectedRange algorithmName="SHA-512" hashValue="6a5oYwZw9WJcgjqXpleUXH8uaqNEuymPPpeOb7lKBc1WoM6IG/DNyDLWmj2lYwxnZO2yhl+B61kwrxD9m9AdhQ==" saltValue="tdNQPzLQd+n9Ww064QJIaQ==" spinCount="100000" sqref="I2048:I2053" name="Rango2_61_1_39"/>
    <protectedRange algorithmName="SHA-512" hashValue="EMMPgE8t/az1rHHzaZAQIhz+GQV0k2O/tQGA96sJqEEMzz1efIRa4CcLzC7iY9CCscto3g7dwz41haOE28iXYg==" saltValue="CVzFsG4X4LXUMo7796PiDQ==" spinCount="100000" sqref="L2048:M2053 J2048:J2053 B2048:B2053 D2048:H2053" name="Rango2_10_1_42"/>
    <protectedRange algorithmName="SHA-512" hashValue="6a5oYwZw9WJcgjqXpleUXH8uaqNEuymPPpeOb7lKBc1WoM6IG/DNyDLWmj2lYwxnZO2yhl+B61kwrxD9m9AdhQ==" saltValue="tdNQPzLQd+n9Ww064QJIaQ==" spinCount="100000" sqref="I2054:I2095" name="Rango2_61_1_40"/>
    <protectedRange algorithmName="SHA-512" hashValue="EMMPgE8t/az1rHHzaZAQIhz+GQV0k2O/tQGA96sJqEEMzz1efIRa4CcLzC7iY9CCscto3g7dwz41haOE28iXYg==" saltValue="CVzFsG4X4LXUMo7796PiDQ==" spinCount="100000" sqref="L2054:M2095 J2054:J2095 B2054:B2095 D2054:H2095" name="Rango2_10_1_43"/>
    <protectedRange algorithmName="SHA-512" hashValue="6a5oYwZw9WJcgjqXpleUXH8uaqNEuymPPpeOb7lKBc1WoM6IG/DNyDLWmj2lYwxnZO2yhl+B61kwrxD9m9AdhQ==" saltValue="tdNQPzLQd+n9Ww064QJIaQ==" spinCount="100000" sqref="I2096:I2106" name="Rango2_61_1_41"/>
    <protectedRange algorithmName="SHA-512" hashValue="EMMPgE8t/az1rHHzaZAQIhz+GQV0k2O/tQGA96sJqEEMzz1efIRa4CcLzC7iY9CCscto3g7dwz41haOE28iXYg==" saltValue="CVzFsG4X4LXUMo7796PiDQ==" spinCount="100000" sqref="L2096:M2106 J2096:J2106 B2096:B2106 D2096:H2106" name="Rango2_10_1_44"/>
    <protectedRange algorithmName="SHA-512" hashValue="XZw03RosI/l0z9FxmTtF29EdZ7P+4+ybhqoaAAUmURojSR5XbGfjC4f2i8gMqfY+RI9JvfdCA6PSh9TduXfUxA==" saltValue="5TPtLq2WoiRSae/yaDPnTw==" spinCount="100000" sqref="O1996" name="Rango2_99_2_8"/>
    <protectedRange algorithmName="SHA-512" hashValue="fPHvtIAf3pQeZUoAI9C2/vdXMHBpqqEq+67P5Ypyu4+9IWqs3yc9TZcMWQ0THLxUwqseQPyVvakuYFtCwJHsxA==" saltValue="QHIogSs2PrwAfdqa9PAOFQ==" spinCount="100000" sqref="AC1996" name="Rango2_88_5_5_1_5"/>
    <protectedRange algorithmName="SHA-512" hashValue="LEEeiU6pKqm7TAP46VGlz0q+evvFwpT/0iLpRuWuQ7MacbP0OGL1/FSmrIEOg2rb6M+Jla2bPbVWiGag27j87w==" saltValue="HEVt+pS5OloNDlqSnzGLLw==" spinCount="100000" sqref="AI1996" name="Rango2_8_7_1_7"/>
    <protectedRange algorithmName="SHA-512" hashValue="q2z5hEFmXS0v2chiPTC/VCoDWNlnhp+Xe6Ybfxe48vIsnB/KTJQxJv+pFUnCXfZ9T6vyJopuqFFNROfQTW/JUw==" saltValue="IctfdGJb5tOTpq+KPi9vww==" spinCount="100000" sqref="AE1996:AF1996" name="Rango2_88_39_1_6"/>
    <protectedRange algorithmName="SHA-512" hashValue="NUll9P9xh7KbSfMYpMxsRZLfDw/y/AzW2LSWlpXVscBDqiAxmzo71xjs+a2lh+jRa7pceOC849slke4+ZKx8LA==" saltValue="8qbkKpQ+CiQuLnqgShNvXA==" spinCount="100000" sqref="T1996" name="Rango2_88_6_1_5"/>
    <protectedRange algorithmName="SHA-512" hashValue="XZw03RosI/l0z9FxmTtF29EdZ7P+4+ybhqoaAAUmURojSR5XbGfjC4f2i8gMqfY+RI9JvfdCA6PSh9TduXfUxA==" saltValue="5TPtLq2WoiRSae/yaDPnTw==" spinCount="100000" sqref="R1996:S1996 U1996:AA1996" name="Rango2_99_4_9"/>
    <protectedRange algorithmName="SHA-512" hashValue="fMbmUM1DQ7FuAPRNvFL5mPdHUYjQnlLFhkuaxvHguaqR7aWyDxcmJs0jLYQfQKY+oyhsMb4Lew4VL6i7um3/ew==" saltValue="ydaTm0CeH8+/cYqoL/AMaQ==" spinCount="100000" sqref="AU1996 AW1996:AZ1996" name="Rango2_88_91_1_7"/>
    <protectedRange algorithmName="SHA-512" hashValue="CHipOQaT63FWw628cQcXXJRZlrbNZ7OgmnEbDx38UmmH7z19GRYEzXFiVOzHAy1OAaAbST7g2bHZHDKQp2qm3w==" saltValue="iRVuL+373yLHv0ZHzS9qog==" spinCount="100000" sqref="AL1996" name="Rango2_88_7_5_2_3"/>
    <protectedRange algorithmName="SHA-512" hashValue="NkG6oHuDGvGBEiLAAq8MEJHEfLQUMyjihfH+DBXhT+eQW0r1yri7tOJEFRM9nbOejjjXiviq9RFo7KB7wF+xJA==" saltValue="bpjB0AAANu2X/PeR3eiFkA==" spinCount="100000" sqref="AM1996:AS1996" name="Rango2_88_65_1_5"/>
    <protectedRange algorithmName="SHA-512" hashValue="RQ91b7oAw60DVtcgB2vRpial2kSdzJx5guGCTYUwXYkKrtrUHfiYnLf9R+SNpYXlJDYpyEJLhcWwP0EqNN86dQ==" saltValue="W3RbH3zrcY9sy39xNwXNxg==" spinCount="100000" sqref="BV1996:BY1996" name="Rango2_88_99_2_5"/>
    <protectedRange algorithmName="SHA-512" hashValue="XZw03RosI/l0z9FxmTtF29EdZ7P+4+ybhqoaAAUmURojSR5XbGfjC4f2i8gMqfY+RI9JvfdCA6PSh9TduXfUxA==" saltValue="5TPtLq2WoiRSae/yaDPnTw==" spinCount="100000" sqref="BR1996:BU1996 BZ1996:CB1996" name="Rango2_99_10_6"/>
    <protectedRange algorithmName="SHA-512" hashValue="XZw03RosI/l0z9FxmTtF29EdZ7P+4+ybhqoaAAUmURojSR5XbGfjC4f2i8gMqfY+RI9JvfdCA6PSh9TduXfUxA==" saltValue="5TPtLq2WoiRSae/yaDPnTw==" spinCount="100000" sqref="CE1996:CF1996" name="Rango2_99_11_4"/>
    <protectedRange algorithmName="SHA-512" hashValue="XZw03RosI/l0z9FxmTtF29EdZ7P+4+ybhqoaAAUmURojSR5XbGfjC4f2i8gMqfY+RI9JvfdCA6PSh9TduXfUxA==" saltValue="5TPtLq2WoiRSae/yaDPnTw==" spinCount="100000" sqref="CJ1996:CK1996" name="Rango2_99_12_6"/>
    <protectedRange algorithmName="SHA-512" hashValue="XZw03RosI/l0z9FxmTtF29EdZ7P+4+ybhqoaAAUmURojSR5XbGfjC4f2i8gMqfY+RI9JvfdCA6PSh9TduXfUxA==" saltValue="5TPtLq2WoiRSae/yaDPnTw==" spinCount="100000" sqref="CP1996:CQ1996" name="Rango2_99_14_7"/>
    <protectedRange algorithmName="SHA-512" hashValue="XZw03RosI/l0z9FxmTtF29EdZ7P+4+ybhqoaAAUmURojSR5XbGfjC4f2i8gMqfY+RI9JvfdCA6PSh9TduXfUxA==" saltValue="5TPtLq2WoiRSae/yaDPnTw==" spinCount="100000" sqref="CS1996:CT1996" name="Rango2_99_15_8"/>
    <protectedRange algorithmName="SHA-512" hashValue="XZw03RosI/l0z9FxmTtF29EdZ7P+4+ybhqoaAAUmURojSR5XbGfjC4f2i8gMqfY+RI9JvfdCA6PSh9TduXfUxA==" saltValue="5TPtLq2WoiRSae/yaDPnTw==" spinCount="100000" sqref="DA1996:DN1996" name="Rango2_99_17_10"/>
    <protectedRange algorithmName="SHA-512" hashValue="XZw03RosI/l0z9FxmTtF29EdZ7P+4+ybhqoaAAUmURojSR5XbGfjC4f2i8gMqfY+RI9JvfdCA6PSh9TduXfUxA==" saltValue="5TPtLq2WoiRSae/yaDPnTw==" spinCount="100000" sqref="O1997" name="Rango2_99_2_9"/>
    <protectedRange algorithmName="SHA-512" hashValue="fPHvtIAf3pQeZUoAI9C2/vdXMHBpqqEq+67P5Ypyu4+9IWqs3yc9TZcMWQ0THLxUwqseQPyVvakuYFtCwJHsxA==" saltValue="QHIogSs2PrwAfdqa9PAOFQ==" spinCount="100000" sqref="AC1997" name="Rango2_88_5_5_1_6"/>
    <protectedRange algorithmName="SHA-512" hashValue="LEEeiU6pKqm7TAP46VGlz0q+evvFwpT/0iLpRuWuQ7MacbP0OGL1/FSmrIEOg2rb6M+Jla2bPbVWiGag27j87w==" saltValue="HEVt+pS5OloNDlqSnzGLLw==" spinCount="100000" sqref="AI1997" name="Rango2_8_7_1_8"/>
    <protectedRange algorithmName="SHA-512" hashValue="q2z5hEFmXS0v2chiPTC/VCoDWNlnhp+Xe6Ybfxe48vIsnB/KTJQxJv+pFUnCXfZ9T6vyJopuqFFNROfQTW/JUw==" saltValue="IctfdGJb5tOTpq+KPi9vww==" spinCount="100000" sqref="AE1997:AF1997" name="Rango2_88_39_1_7"/>
    <protectedRange algorithmName="SHA-512" hashValue="NUll9P9xh7KbSfMYpMxsRZLfDw/y/AzW2LSWlpXVscBDqiAxmzo71xjs+a2lh+jRa7pceOC849slke4+ZKx8LA==" saltValue="8qbkKpQ+CiQuLnqgShNvXA==" spinCount="100000" sqref="T1997" name="Rango2_88_6_1_6"/>
    <protectedRange algorithmName="SHA-512" hashValue="XZw03RosI/l0z9FxmTtF29EdZ7P+4+ybhqoaAAUmURojSR5XbGfjC4f2i8gMqfY+RI9JvfdCA6PSh9TduXfUxA==" saltValue="5TPtLq2WoiRSae/yaDPnTw==" spinCount="100000" sqref="R1997:S1997 U1997:AA1997" name="Rango2_99_4_10"/>
    <protectedRange algorithmName="SHA-512" hashValue="fMbmUM1DQ7FuAPRNvFL5mPdHUYjQnlLFhkuaxvHguaqR7aWyDxcmJs0jLYQfQKY+oyhsMb4Lew4VL6i7um3/ew==" saltValue="ydaTm0CeH8+/cYqoL/AMaQ==" spinCount="100000" sqref="AU1997 AW1997:AZ1997" name="Rango2_88_91_1_9"/>
    <protectedRange algorithmName="SHA-512" hashValue="CHipOQaT63FWw628cQcXXJRZlrbNZ7OgmnEbDx38UmmH7z19GRYEzXFiVOzHAy1OAaAbST7g2bHZHDKQp2qm3w==" saltValue="iRVuL+373yLHv0ZHzS9qog==" spinCount="100000" sqref="AL1997" name="Rango2_88_7_5_2_4"/>
    <protectedRange algorithmName="SHA-512" hashValue="NkG6oHuDGvGBEiLAAq8MEJHEfLQUMyjihfH+DBXhT+eQW0r1yri7tOJEFRM9nbOejjjXiviq9RFo7KB7wF+xJA==" saltValue="bpjB0AAANu2X/PeR3eiFkA==" spinCount="100000" sqref="AM1997:AS1997" name="Rango2_88_65_1_6"/>
    <protectedRange algorithmName="SHA-512" hashValue="RQ91b7oAw60DVtcgB2vRpial2kSdzJx5guGCTYUwXYkKrtrUHfiYnLf9R+SNpYXlJDYpyEJLhcWwP0EqNN86dQ==" saltValue="W3RbH3zrcY9sy39xNwXNxg==" spinCount="100000" sqref="BV1997:BY1997" name="Rango2_88_99_2_6"/>
    <protectedRange algorithmName="SHA-512" hashValue="XZw03RosI/l0z9FxmTtF29EdZ7P+4+ybhqoaAAUmURojSR5XbGfjC4f2i8gMqfY+RI9JvfdCA6PSh9TduXfUxA==" saltValue="5TPtLq2WoiRSae/yaDPnTw==" spinCount="100000" sqref="BZ1997:CB1997 BR1997:BU1997" name="Rango2_99_10_7"/>
    <protectedRange algorithmName="SHA-512" hashValue="XZw03RosI/l0z9FxmTtF29EdZ7P+4+ybhqoaAAUmURojSR5XbGfjC4f2i8gMqfY+RI9JvfdCA6PSh9TduXfUxA==" saltValue="5TPtLq2WoiRSae/yaDPnTw==" spinCount="100000" sqref="CE1997:CF1997" name="Rango2_99_11_5"/>
    <protectedRange algorithmName="SHA-512" hashValue="XZw03RosI/l0z9FxmTtF29EdZ7P+4+ybhqoaAAUmURojSR5XbGfjC4f2i8gMqfY+RI9JvfdCA6PSh9TduXfUxA==" saltValue="5TPtLq2WoiRSae/yaDPnTw==" spinCount="100000" sqref="CJ1997:CK1997" name="Rango2_99_12_7"/>
    <protectedRange algorithmName="SHA-512" hashValue="XZw03RosI/l0z9FxmTtF29EdZ7P+4+ybhqoaAAUmURojSR5XbGfjC4f2i8gMqfY+RI9JvfdCA6PSh9TduXfUxA==" saltValue="5TPtLq2WoiRSae/yaDPnTw==" spinCount="100000" sqref="CP1997:CQ1997" name="Rango2_99_14_8"/>
    <protectedRange algorithmName="SHA-512" hashValue="XZw03RosI/l0z9FxmTtF29EdZ7P+4+ybhqoaAAUmURojSR5XbGfjC4f2i8gMqfY+RI9JvfdCA6PSh9TduXfUxA==" saltValue="5TPtLq2WoiRSae/yaDPnTw==" spinCount="100000" sqref="CS1997:CT1997" name="Rango2_99_15_9"/>
    <protectedRange algorithmName="SHA-512" hashValue="XZw03RosI/l0z9FxmTtF29EdZ7P+4+ybhqoaAAUmURojSR5XbGfjC4f2i8gMqfY+RI9JvfdCA6PSh9TduXfUxA==" saltValue="5TPtLq2WoiRSae/yaDPnTw==" spinCount="100000" sqref="DA1997:DN1997" name="Rango2_99_17_11"/>
    <protectedRange algorithmName="SHA-512" hashValue="XZw03RosI/l0z9FxmTtF29EdZ7P+4+ybhqoaAAUmURojSR5XbGfjC4f2i8gMqfY+RI9JvfdCA6PSh9TduXfUxA==" saltValue="5TPtLq2WoiRSae/yaDPnTw==" spinCount="100000" sqref="O1998" name="Rango2_99_2_10"/>
    <protectedRange algorithmName="SHA-512" hashValue="fPHvtIAf3pQeZUoAI9C2/vdXMHBpqqEq+67P5Ypyu4+9IWqs3yc9TZcMWQ0THLxUwqseQPyVvakuYFtCwJHsxA==" saltValue="QHIogSs2PrwAfdqa9PAOFQ==" spinCount="100000" sqref="AC1998" name="Rango2_88_5_5_1_7"/>
    <protectedRange algorithmName="SHA-512" hashValue="LEEeiU6pKqm7TAP46VGlz0q+evvFwpT/0iLpRuWuQ7MacbP0OGL1/FSmrIEOg2rb6M+Jla2bPbVWiGag27j87w==" saltValue="HEVt+pS5OloNDlqSnzGLLw==" spinCount="100000" sqref="AI1998" name="Rango2_8_7_1_9"/>
    <protectedRange algorithmName="SHA-512" hashValue="q2z5hEFmXS0v2chiPTC/VCoDWNlnhp+Xe6Ybfxe48vIsnB/KTJQxJv+pFUnCXfZ9T6vyJopuqFFNROfQTW/JUw==" saltValue="IctfdGJb5tOTpq+KPi9vww==" spinCount="100000" sqref="AE1998:AF1998" name="Rango2_88_39_1_8"/>
    <protectedRange algorithmName="SHA-512" hashValue="NUll9P9xh7KbSfMYpMxsRZLfDw/y/AzW2LSWlpXVscBDqiAxmzo71xjs+a2lh+jRa7pceOC849slke4+ZKx8LA==" saltValue="8qbkKpQ+CiQuLnqgShNvXA==" spinCount="100000" sqref="T1998" name="Rango2_88_6_1_7"/>
    <protectedRange algorithmName="SHA-512" hashValue="XZw03RosI/l0z9FxmTtF29EdZ7P+4+ybhqoaAAUmURojSR5XbGfjC4f2i8gMqfY+RI9JvfdCA6PSh9TduXfUxA==" saltValue="5TPtLq2WoiRSae/yaDPnTw==" spinCount="100000" sqref="R1998:S1998 U1998:AA1998" name="Rango2_99_4_11"/>
    <protectedRange algorithmName="SHA-512" hashValue="fMbmUM1DQ7FuAPRNvFL5mPdHUYjQnlLFhkuaxvHguaqR7aWyDxcmJs0jLYQfQKY+oyhsMb4Lew4VL6i7um3/ew==" saltValue="ydaTm0CeH8+/cYqoL/AMaQ==" spinCount="100000" sqref="AU1998 AW1998:AZ1998" name="Rango2_88_91_1_10"/>
    <protectedRange algorithmName="SHA-512" hashValue="CHipOQaT63FWw628cQcXXJRZlrbNZ7OgmnEbDx38UmmH7z19GRYEzXFiVOzHAy1OAaAbST7g2bHZHDKQp2qm3w==" saltValue="iRVuL+373yLHv0ZHzS9qog==" spinCount="100000" sqref="AL1998" name="Rango2_88_7_5_2_5"/>
    <protectedRange algorithmName="SHA-512" hashValue="NkG6oHuDGvGBEiLAAq8MEJHEfLQUMyjihfH+DBXhT+eQW0r1yri7tOJEFRM9nbOejjjXiviq9RFo7KB7wF+xJA==" saltValue="bpjB0AAANu2X/PeR3eiFkA==" spinCount="100000" sqref="AM1998:AS1998" name="Rango2_88_65_1_7"/>
    <protectedRange algorithmName="SHA-512" hashValue="RQ91b7oAw60DVtcgB2vRpial2kSdzJx5guGCTYUwXYkKrtrUHfiYnLf9R+SNpYXlJDYpyEJLhcWwP0EqNN86dQ==" saltValue="W3RbH3zrcY9sy39xNwXNxg==" spinCount="100000" sqref="BV1998:BY1998" name="Rango2_88_99_2_7"/>
    <protectedRange algorithmName="SHA-512" hashValue="XZw03RosI/l0z9FxmTtF29EdZ7P+4+ybhqoaAAUmURojSR5XbGfjC4f2i8gMqfY+RI9JvfdCA6PSh9TduXfUxA==" saltValue="5TPtLq2WoiRSae/yaDPnTw==" spinCount="100000" sqref="BZ1998:CB1998 BR1998:BU1998" name="Rango2_99_10_8"/>
    <protectedRange algorithmName="SHA-512" hashValue="XZw03RosI/l0z9FxmTtF29EdZ7P+4+ybhqoaAAUmURojSR5XbGfjC4f2i8gMqfY+RI9JvfdCA6PSh9TduXfUxA==" saltValue="5TPtLq2WoiRSae/yaDPnTw==" spinCount="100000" sqref="CE1998:CF1998" name="Rango2_99_11_6"/>
    <protectedRange algorithmName="SHA-512" hashValue="XZw03RosI/l0z9FxmTtF29EdZ7P+4+ybhqoaAAUmURojSR5XbGfjC4f2i8gMqfY+RI9JvfdCA6PSh9TduXfUxA==" saltValue="5TPtLq2WoiRSae/yaDPnTw==" spinCount="100000" sqref="CJ1998:CK1998" name="Rango2_99_12_9"/>
    <protectedRange algorithmName="SHA-512" hashValue="XZw03RosI/l0z9FxmTtF29EdZ7P+4+ybhqoaAAUmURojSR5XbGfjC4f2i8gMqfY+RI9JvfdCA6PSh9TduXfUxA==" saltValue="5TPtLq2WoiRSae/yaDPnTw==" spinCount="100000" sqref="CP1998:CQ1998" name="Rango2_99_14_9"/>
    <protectedRange algorithmName="SHA-512" hashValue="XZw03RosI/l0z9FxmTtF29EdZ7P+4+ybhqoaAAUmURojSR5XbGfjC4f2i8gMqfY+RI9JvfdCA6PSh9TduXfUxA==" saltValue="5TPtLq2WoiRSae/yaDPnTw==" spinCount="100000" sqref="CS1998:CT1998" name="Rango2_99_15_10"/>
    <protectedRange algorithmName="SHA-512" hashValue="XZw03RosI/l0z9FxmTtF29EdZ7P+4+ybhqoaAAUmURojSR5XbGfjC4f2i8gMqfY+RI9JvfdCA6PSh9TduXfUxA==" saltValue="5TPtLq2WoiRSae/yaDPnTw==" spinCount="100000" sqref="DA1998:DN1998" name="Rango2_99_17_12"/>
    <protectedRange algorithmName="SHA-512" hashValue="XZw03RosI/l0z9FxmTtF29EdZ7P+4+ybhqoaAAUmURojSR5XbGfjC4f2i8gMqfY+RI9JvfdCA6PSh9TduXfUxA==" saltValue="5TPtLq2WoiRSae/yaDPnTw==" spinCount="100000" sqref="O1999" name="Rango2_99_2_11"/>
    <protectedRange algorithmName="SHA-512" hashValue="fPHvtIAf3pQeZUoAI9C2/vdXMHBpqqEq+67P5Ypyu4+9IWqs3yc9TZcMWQ0THLxUwqseQPyVvakuYFtCwJHsxA==" saltValue="QHIogSs2PrwAfdqa9PAOFQ==" spinCount="100000" sqref="AC1999" name="Rango2_88_5_5_1_8"/>
    <protectedRange algorithmName="SHA-512" hashValue="LEEeiU6pKqm7TAP46VGlz0q+evvFwpT/0iLpRuWuQ7MacbP0OGL1/FSmrIEOg2rb6M+Jla2bPbVWiGag27j87w==" saltValue="HEVt+pS5OloNDlqSnzGLLw==" spinCount="100000" sqref="AI1999" name="Rango2_8_7_1_10"/>
    <protectedRange algorithmName="SHA-512" hashValue="q2z5hEFmXS0v2chiPTC/VCoDWNlnhp+Xe6Ybfxe48vIsnB/KTJQxJv+pFUnCXfZ9T6vyJopuqFFNROfQTW/JUw==" saltValue="IctfdGJb5tOTpq+KPi9vww==" spinCount="100000" sqref="AE1999:AF1999" name="Rango2_88_39_1_9"/>
    <protectedRange algorithmName="SHA-512" hashValue="NUll9P9xh7KbSfMYpMxsRZLfDw/y/AzW2LSWlpXVscBDqiAxmzo71xjs+a2lh+jRa7pceOC849slke4+ZKx8LA==" saltValue="8qbkKpQ+CiQuLnqgShNvXA==" spinCount="100000" sqref="T1999" name="Rango2_88_6_1_8"/>
    <protectedRange algorithmName="SHA-512" hashValue="XZw03RosI/l0z9FxmTtF29EdZ7P+4+ybhqoaAAUmURojSR5XbGfjC4f2i8gMqfY+RI9JvfdCA6PSh9TduXfUxA==" saltValue="5TPtLq2WoiRSae/yaDPnTw==" spinCount="100000" sqref="R1999:S1999 U1999:AA1999" name="Rango2_99_4_12"/>
    <protectedRange algorithmName="SHA-512" hashValue="fMbmUM1DQ7FuAPRNvFL5mPdHUYjQnlLFhkuaxvHguaqR7aWyDxcmJs0jLYQfQKY+oyhsMb4Lew4VL6i7um3/ew==" saltValue="ydaTm0CeH8+/cYqoL/AMaQ==" spinCount="100000" sqref="AU1999 AW1999:AZ1999" name="Rango2_88_91_1_11"/>
    <protectedRange algorithmName="SHA-512" hashValue="CHipOQaT63FWw628cQcXXJRZlrbNZ7OgmnEbDx38UmmH7z19GRYEzXFiVOzHAy1OAaAbST7g2bHZHDKQp2qm3w==" saltValue="iRVuL+373yLHv0ZHzS9qog==" spinCount="100000" sqref="AL1999" name="Rango2_88_7_5_2_6"/>
    <protectedRange algorithmName="SHA-512" hashValue="NkG6oHuDGvGBEiLAAq8MEJHEfLQUMyjihfH+DBXhT+eQW0r1yri7tOJEFRM9nbOejjjXiviq9RFo7KB7wF+xJA==" saltValue="bpjB0AAANu2X/PeR3eiFkA==" spinCount="100000" sqref="AM1999:AS1999" name="Rango2_88_65_1_8"/>
    <protectedRange algorithmName="SHA-512" hashValue="RQ91b7oAw60DVtcgB2vRpial2kSdzJx5guGCTYUwXYkKrtrUHfiYnLf9R+SNpYXlJDYpyEJLhcWwP0EqNN86dQ==" saltValue="W3RbH3zrcY9sy39xNwXNxg==" spinCount="100000" sqref="BV1999:BY1999" name="Rango2_88_99_2_8"/>
    <protectedRange algorithmName="SHA-512" hashValue="XZw03RosI/l0z9FxmTtF29EdZ7P+4+ybhqoaAAUmURojSR5XbGfjC4f2i8gMqfY+RI9JvfdCA6PSh9TduXfUxA==" saltValue="5TPtLq2WoiRSae/yaDPnTw==" spinCount="100000" sqref="BZ1999:CB1999 BR1999:BU1999" name="Rango2_99_10_9"/>
    <protectedRange algorithmName="SHA-512" hashValue="XZw03RosI/l0z9FxmTtF29EdZ7P+4+ybhqoaAAUmURojSR5XbGfjC4f2i8gMqfY+RI9JvfdCA6PSh9TduXfUxA==" saltValue="5TPtLq2WoiRSae/yaDPnTw==" spinCount="100000" sqref="CE1999:CF1999" name="Rango2_99_11_7"/>
    <protectedRange algorithmName="SHA-512" hashValue="XZw03RosI/l0z9FxmTtF29EdZ7P+4+ybhqoaAAUmURojSR5XbGfjC4f2i8gMqfY+RI9JvfdCA6PSh9TduXfUxA==" saltValue="5TPtLq2WoiRSae/yaDPnTw==" spinCount="100000" sqref="CJ1999:CK1999" name="Rango2_99_12_10"/>
    <protectedRange algorithmName="SHA-512" hashValue="XZw03RosI/l0z9FxmTtF29EdZ7P+4+ybhqoaAAUmURojSR5XbGfjC4f2i8gMqfY+RI9JvfdCA6PSh9TduXfUxA==" saltValue="5TPtLq2WoiRSae/yaDPnTw==" spinCount="100000" sqref="CP1999:CQ1999" name="Rango2_99_14_10"/>
    <protectedRange algorithmName="SHA-512" hashValue="XZw03RosI/l0z9FxmTtF29EdZ7P+4+ybhqoaAAUmURojSR5XbGfjC4f2i8gMqfY+RI9JvfdCA6PSh9TduXfUxA==" saltValue="5TPtLq2WoiRSae/yaDPnTw==" spinCount="100000" sqref="CS1999:CT1999" name="Rango2_99_15_11"/>
    <protectedRange algorithmName="SHA-512" hashValue="XZw03RosI/l0z9FxmTtF29EdZ7P+4+ybhqoaAAUmURojSR5XbGfjC4f2i8gMqfY+RI9JvfdCA6PSh9TduXfUxA==" saltValue="5TPtLq2WoiRSae/yaDPnTw==" spinCount="100000" sqref="DA1999:DN1999" name="Rango2_99_17_13"/>
    <protectedRange algorithmName="SHA-512" hashValue="XZw03RosI/l0z9FxmTtF29EdZ7P+4+ybhqoaAAUmURojSR5XbGfjC4f2i8gMqfY+RI9JvfdCA6PSh9TduXfUxA==" saltValue="5TPtLq2WoiRSae/yaDPnTw==" spinCount="100000" sqref="O2000" name="Rango2_99_2_12"/>
    <protectedRange algorithmName="SHA-512" hashValue="fPHvtIAf3pQeZUoAI9C2/vdXMHBpqqEq+67P5Ypyu4+9IWqs3yc9TZcMWQ0THLxUwqseQPyVvakuYFtCwJHsxA==" saltValue="QHIogSs2PrwAfdqa9PAOFQ==" spinCount="100000" sqref="AC2000" name="Rango2_88_5_5_1_9"/>
    <protectedRange algorithmName="SHA-512" hashValue="LEEeiU6pKqm7TAP46VGlz0q+evvFwpT/0iLpRuWuQ7MacbP0OGL1/FSmrIEOg2rb6M+Jla2bPbVWiGag27j87w==" saltValue="HEVt+pS5OloNDlqSnzGLLw==" spinCount="100000" sqref="AI2000" name="Rango2_8_7_1_11"/>
    <protectedRange algorithmName="SHA-512" hashValue="q2z5hEFmXS0v2chiPTC/VCoDWNlnhp+Xe6Ybfxe48vIsnB/KTJQxJv+pFUnCXfZ9T6vyJopuqFFNROfQTW/JUw==" saltValue="IctfdGJb5tOTpq+KPi9vww==" spinCount="100000" sqref="AE2000:AF2000" name="Rango2_88_39_1_10"/>
    <protectedRange algorithmName="SHA-512" hashValue="NUll9P9xh7KbSfMYpMxsRZLfDw/y/AzW2LSWlpXVscBDqiAxmzo71xjs+a2lh+jRa7pceOC849slke4+ZKx8LA==" saltValue="8qbkKpQ+CiQuLnqgShNvXA==" spinCount="100000" sqref="T2000" name="Rango2_88_6_1_9"/>
    <protectedRange algorithmName="SHA-512" hashValue="XZw03RosI/l0z9FxmTtF29EdZ7P+4+ybhqoaAAUmURojSR5XbGfjC4f2i8gMqfY+RI9JvfdCA6PSh9TduXfUxA==" saltValue="5TPtLq2WoiRSae/yaDPnTw==" spinCount="100000" sqref="R2000:S2000 U2000:AA2000" name="Rango2_99_4_13"/>
    <protectedRange algorithmName="SHA-512" hashValue="fMbmUM1DQ7FuAPRNvFL5mPdHUYjQnlLFhkuaxvHguaqR7aWyDxcmJs0jLYQfQKY+oyhsMb4Lew4VL6i7um3/ew==" saltValue="ydaTm0CeH8+/cYqoL/AMaQ==" spinCount="100000" sqref="AU2000 AW2000:AZ2000" name="Rango2_88_91_1_12"/>
    <protectedRange algorithmName="SHA-512" hashValue="CHipOQaT63FWw628cQcXXJRZlrbNZ7OgmnEbDx38UmmH7z19GRYEzXFiVOzHAy1OAaAbST7g2bHZHDKQp2qm3w==" saltValue="iRVuL+373yLHv0ZHzS9qog==" spinCount="100000" sqref="AL2000" name="Rango2_88_7_5_2_7"/>
    <protectedRange algorithmName="SHA-512" hashValue="NkG6oHuDGvGBEiLAAq8MEJHEfLQUMyjihfH+DBXhT+eQW0r1yri7tOJEFRM9nbOejjjXiviq9RFo7KB7wF+xJA==" saltValue="bpjB0AAANu2X/PeR3eiFkA==" spinCount="100000" sqref="AM2000:AS2000" name="Rango2_88_65_1_9"/>
    <protectedRange algorithmName="SHA-512" hashValue="RQ91b7oAw60DVtcgB2vRpial2kSdzJx5guGCTYUwXYkKrtrUHfiYnLf9R+SNpYXlJDYpyEJLhcWwP0EqNN86dQ==" saltValue="W3RbH3zrcY9sy39xNwXNxg==" spinCount="100000" sqref="BV2000:BY2000" name="Rango2_88_99_2_9"/>
    <protectedRange algorithmName="SHA-512" hashValue="XZw03RosI/l0z9FxmTtF29EdZ7P+4+ybhqoaAAUmURojSR5XbGfjC4f2i8gMqfY+RI9JvfdCA6PSh9TduXfUxA==" saltValue="5TPtLq2WoiRSae/yaDPnTw==" spinCount="100000" sqref="BZ2000:CB2000 BR2000:BU2000" name="Rango2_99_10_10"/>
    <protectedRange algorithmName="SHA-512" hashValue="XZw03RosI/l0z9FxmTtF29EdZ7P+4+ybhqoaAAUmURojSR5XbGfjC4f2i8gMqfY+RI9JvfdCA6PSh9TduXfUxA==" saltValue="5TPtLq2WoiRSae/yaDPnTw==" spinCount="100000" sqref="CE2000:CF2000" name="Rango2_99_11_8"/>
    <protectedRange algorithmName="SHA-512" hashValue="XZw03RosI/l0z9FxmTtF29EdZ7P+4+ybhqoaAAUmURojSR5XbGfjC4f2i8gMqfY+RI9JvfdCA6PSh9TduXfUxA==" saltValue="5TPtLq2WoiRSae/yaDPnTw==" spinCount="100000" sqref="CJ2000:CK2000" name="Rango2_99_12_11"/>
    <protectedRange algorithmName="SHA-512" hashValue="XZw03RosI/l0z9FxmTtF29EdZ7P+4+ybhqoaAAUmURojSR5XbGfjC4f2i8gMqfY+RI9JvfdCA6PSh9TduXfUxA==" saltValue="5TPtLq2WoiRSae/yaDPnTw==" spinCount="100000" sqref="CP2000:CQ2000" name="Rango2_99_14_11"/>
    <protectedRange algorithmName="SHA-512" hashValue="XZw03RosI/l0z9FxmTtF29EdZ7P+4+ybhqoaAAUmURojSR5XbGfjC4f2i8gMqfY+RI9JvfdCA6PSh9TduXfUxA==" saltValue="5TPtLq2WoiRSae/yaDPnTw==" spinCount="100000" sqref="CS2000:CT2000" name="Rango2_99_15_12"/>
    <protectedRange algorithmName="SHA-512" hashValue="XZw03RosI/l0z9FxmTtF29EdZ7P+4+ybhqoaAAUmURojSR5XbGfjC4f2i8gMqfY+RI9JvfdCA6PSh9TduXfUxA==" saltValue="5TPtLq2WoiRSae/yaDPnTw==" spinCount="100000" sqref="DA2000:DN2000" name="Rango2_99_17_14"/>
    <protectedRange algorithmName="SHA-512" hashValue="XZw03RosI/l0z9FxmTtF29EdZ7P+4+ybhqoaAAUmURojSR5XbGfjC4f2i8gMqfY+RI9JvfdCA6PSh9TduXfUxA==" saltValue="5TPtLq2WoiRSae/yaDPnTw==" spinCount="100000" sqref="O2001" name="Rango2_99_2_13"/>
    <protectedRange algorithmName="SHA-512" hashValue="fPHvtIAf3pQeZUoAI9C2/vdXMHBpqqEq+67P5Ypyu4+9IWqs3yc9TZcMWQ0THLxUwqseQPyVvakuYFtCwJHsxA==" saltValue="QHIogSs2PrwAfdqa9PAOFQ==" spinCount="100000" sqref="AC2001" name="Rango2_88_5_5_1_10"/>
    <protectedRange algorithmName="SHA-512" hashValue="LEEeiU6pKqm7TAP46VGlz0q+evvFwpT/0iLpRuWuQ7MacbP0OGL1/FSmrIEOg2rb6M+Jla2bPbVWiGag27j87w==" saltValue="HEVt+pS5OloNDlqSnzGLLw==" spinCount="100000" sqref="AI2001" name="Rango2_8_7_1_12"/>
    <protectedRange algorithmName="SHA-512" hashValue="q2z5hEFmXS0v2chiPTC/VCoDWNlnhp+Xe6Ybfxe48vIsnB/KTJQxJv+pFUnCXfZ9T6vyJopuqFFNROfQTW/JUw==" saltValue="IctfdGJb5tOTpq+KPi9vww==" spinCount="100000" sqref="AE2001:AF2001" name="Rango2_88_39_1_11"/>
    <protectedRange algorithmName="SHA-512" hashValue="NUll9P9xh7KbSfMYpMxsRZLfDw/y/AzW2LSWlpXVscBDqiAxmzo71xjs+a2lh+jRa7pceOC849slke4+ZKx8LA==" saltValue="8qbkKpQ+CiQuLnqgShNvXA==" spinCount="100000" sqref="T2001" name="Rango2_88_6_1_10"/>
    <protectedRange algorithmName="SHA-512" hashValue="XZw03RosI/l0z9FxmTtF29EdZ7P+4+ybhqoaAAUmURojSR5XbGfjC4f2i8gMqfY+RI9JvfdCA6PSh9TduXfUxA==" saltValue="5TPtLq2WoiRSae/yaDPnTw==" spinCount="100000" sqref="R2001:S2001 U2001:AA2001" name="Rango2_99_4_14"/>
    <protectedRange algorithmName="SHA-512" hashValue="fMbmUM1DQ7FuAPRNvFL5mPdHUYjQnlLFhkuaxvHguaqR7aWyDxcmJs0jLYQfQKY+oyhsMb4Lew4VL6i7um3/ew==" saltValue="ydaTm0CeH8+/cYqoL/AMaQ==" spinCount="100000" sqref="AU2001 AW2001:AZ2001" name="Rango2_88_91_1_13"/>
    <protectedRange algorithmName="SHA-512" hashValue="CHipOQaT63FWw628cQcXXJRZlrbNZ7OgmnEbDx38UmmH7z19GRYEzXFiVOzHAy1OAaAbST7g2bHZHDKQp2qm3w==" saltValue="iRVuL+373yLHv0ZHzS9qog==" spinCount="100000" sqref="AL2001" name="Rango2_88_7_5_2_8"/>
    <protectedRange algorithmName="SHA-512" hashValue="NkG6oHuDGvGBEiLAAq8MEJHEfLQUMyjihfH+DBXhT+eQW0r1yri7tOJEFRM9nbOejjjXiviq9RFo7KB7wF+xJA==" saltValue="bpjB0AAANu2X/PeR3eiFkA==" spinCount="100000" sqref="AM2001:AS2001" name="Rango2_88_65_1_10"/>
    <protectedRange algorithmName="SHA-512" hashValue="RQ91b7oAw60DVtcgB2vRpial2kSdzJx5guGCTYUwXYkKrtrUHfiYnLf9R+SNpYXlJDYpyEJLhcWwP0EqNN86dQ==" saltValue="W3RbH3zrcY9sy39xNwXNxg==" spinCount="100000" sqref="BV2001:BY2001" name="Rango2_88_99_2_10"/>
    <protectedRange algorithmName="SHA-512" hashValue="XZw03RosI/l0z9FxmTtF29EdZ7P+4+ybhqoaAAUmURojSR5XbGfjC4f2i8gMqfY+RI9JvfdCA6PSh9TduXfUxA==" saltValue="5TPtLq2WoiRSae/yaDPnTw==" spinCount="100000" sqref="BZ2001:CB2001 BR2001:BU2001" name="Rango2_99_10_11"/>
    <protectedRange algorithmName="SHA-512" hashValue="XZw03RosI/l0z9FxmTtF29EdZ7P+4+ybhqoaAAUmURojSR5XbGfjC4f2i8gMqfY+RI9JvfdCA6PSh9TduXfUxA==" saltValue="5TPtLq2WoiRSae/yaDPnTw==" spinCount="100000" sqref="CE2001:CF2001" name="Rango2_99_11_9"/>
    <protectedRange algorithmName="SHA-512" hashValue="XZw03RosI/l0z9FxmTtF29EdZ7P+4+ybhqoaAAUmURojSR5XbGfjC4f2i8gMqfY+RI9JvfdCA6PSh9TduXfUxA==" saltValue="5TPtLq2WoiRSae/yaDPnTw==" spinCount="100000" sqref="CJ2001:CK2001" name="Rango2_99_12_12"/>
    <protectedRange algorithmName="SHA-512" hashValue="XZw03RosI/l0z9FxmTtF29EdZ7P+4+ybhqoaAAUmURojSR5XbGfjC4f2i8gMqfY+RI9JvfdCA6PSh9TduXfUxA==" saltValue="5TPtLq2WoiRSae/yaDPnTw==" spinCount="100000" sqref="CP2001:CQ2001" name="Rango2_99_14_13"/>
    <protectedRange algorithmName="SHA-512" hashValue="XZw03RosI/l0z9FxmTtF29EdZ7P+4+ybhqoaAAUmURojSR5XbGfjC4f2i8gMqfY+RI9JvfdCA6PSh9TduXfUxA==" saltValue="5TPtLq2WoiRSae/yaDPnTw==" spinCount="100000" sqref="CS2001:CT2001" name="Rango2_99_15_13"/>
    <protectedRange algorithmName="SHA-512" hashValue="XZw03RosI/l0z9FxmTtF29EdZ7P+4+ybhqoaAAUmURojSR5XbGfjC4f2i8gMqfY+RI9JvfdCA6PSh9TduXfUxA==" saltValue="5TPtLq2WoiRSae/yaDPnTw==" spinCount="100000" sqref="DA2001:DN2001" name="Rango2_99_17_15"/>
    <protectedRange algorithmName="SHA-512" hashValue="XZw03RosI/l0z9FxmTtF29EdZ7P+4+ybhqoaAAUmURojSR5XbGfjC4f2i8gMqfY+RI9JvfdCA6PSh9TduXfUxA==" saltValue="5TPtLq2WoiRSae/yaDPnTw==" spinCount="100000" sqref="O2002" name="Rango2_99_2_14"/>
    <protectedRange algorithmName="SHA-512" hashValue="fPHvtIAf3pQeZUoAI9C2/vdXMHBpqqEq+67P5Ypyu4+9IWqs3yc9TZcMWQ0THLxUwqseQPyVvakuYFtCwJHsxA==" saltValue="QHIogSs2PrwAfdqa9PAOFQ==" spinCount="100000" sqref="AC2002" name="Rango2_88_5_5_1_11"/>
    <protectedRange algorithmName="SHA-512" hashValue="LEEeiU6pKqm7TAP46VGlz0q+evvFwpT/0iLpRuWuQ7MacbP0OGL1/FSmrIEOg2rb6M+Jla2bPbVWiGag27j87w==" saltValue="HEVt+pS5OloNDlqSnzGLLw==" spinCount="100000" sqref="AI2002" name="Rango2_8_7_1_13"/>
    <protectedRange algorithmName="SHA-512" hashValue="q2z5hEFmXS0v2chiPTC/VCoDWNlnhp+Xe6Ybfxe48vIsnB/KTJQxJv+pFUnCXfZ9T6vyJopuqFFNROfQTW/JUw==" saltValue="IctfdGJb5tOTpq+KPi9vww==" spinCount="100000" sqref="AE2002:AF2002" name="Rango2_88_39_1_12"/>
    <protectedRange algorithmName="SHA-512" hashValue="NUll9P9xh7KbSfMYpMxsRZLfDw/y/AzW2LSWlpXVscBDqiAxmzo71xjs+a2lh+jRa7pceOC849slke4+ZKx8LA==" saltValue="8qbkKpQ+CiQuLnqgShNvXA==" spinCount="100000" sqref="T2002" name="Rango2_88_6_1_11"/>
    <protectedRange algorithmName="SHA-512" hashValue="XZw03RosI/l0z9FxmTtF29EdZ7P+4+ybhqoaAAUmURojSR5XbGfjC4f2i8gMqfY+RI9JvfdCA6PSh9TduXfUxA==" saltValue="5TPtLq2WoiRSae/yaDPnTw==" spinCount="100000" sqref="R2002:S2002 U2002:AA2002" name="Rango2_99_4_15"/>
    <protectedRange algorithmName="SHA-512" hashValue="fMbmUM1DQ7FuAPRNvFL5mPdHUYjQnlLFhkuaxvHguaqR7aWyDxcmJs0jLYQfQKY+oyhsMb4Lew4VL6i7um3/ew==" saltValue="ydaTm0CeH8+/cYqoL/AMaQ==" spinCount="100000" sqref="AU2002 AW2002:AZ2002" name="Rango2_88_91_1_14"/>
    <protectedRange algorithmName="SHA-512" hashValue="CHipOQaT63FWw628cQcXXJRZlrbNZ7OgmnEbDx38UmmH7z19GRYEzXFiVOzHAy1OAaAbST7g2bHZHDKQp2qm3w==" saltValue="iRVuL+373yLHv0ZHzS9qog==" spinCount="100000" sqref="AL2002" name="Rango2_88_7_5_2_9"/>
    <protectedRange algorithmName="SHA-512" hashValue="NkG6oHuDGvGBEiLAAq8MEJHEfLQUMyjihfH+DBXhT+eQW0r1yri7tOJEFRM9nbOejjjXiviq9RFo7KB7wF+xJA==" saltValue="bpjB0AAANu2X/PeR3eiFkA==" spinCount="100000" sqref="AM2002:AS2002" name="Rango2_88_65_1_11"/>
    <protectedRange algorithmName="SHA-512" hashValue="RQ91b7oAw60DVtcgB2vRpial2kSdzJx5guGCTYUwXYkKrtrUHfiYnLf9R+SNpYXlJDYpyEJLhcWwP0EqNN86dQ==" saltValue="W3RbH3zrcY9sy39xNwXNxg==" spinCount="100000" sqref="BV2002:BY2002" name="Rango2_88_99_2_11"/>
    <protectedRange algorithmName="SHA-512" hashValue="XZw03RosI/l0z9FxmTtF29EdZ7P+4+ybhqoaAAUmURojSR5XbGfjC4f2i8gMqfY+RI9JvfdCA6PSh9TduXfUxA==" saltValue="5TPtLq2WoiRSae/yaDPnTw==" spinCount="100000" sqref="BZ2002:CB2002 BR2002:BU2002" name="Rango2_99_10_12"/>
    <protectedRange algorithmName="SHA-512" hashValue="XZw03RosI/l0z9FxmTtF29EdZ7P+4+ybhqoaAAUmURojSR5XbGfjC4f2i8gMqfY+RI9JvfdCA6PSh9TduXfUxA==" saltValue="5TPtLq2WoiRSae/yaDPnTw==" spinCount="100000" sqref="CE2002:CF2002" name="Rango2_99_11_10"/>
    <protectedRange algorithmName="SHA-512" hashValue="XZw03RosI/l0z9FxmTtF29EdZ7P+4+ybhqoaAAUmURojSR5XbGfjC4f2i8gMqfY+RI9JvfdCA6PSh9TduXfUxA==" saltValue="5TPtLq2WoiRSae/yaDPnTw==" spinCount="100000" sqref="CJ2002:CK2002" name="Rango2_99_12_13"/>
    <protectedRange algorithmName="SHA-512" hashValue="XZw03RosI/l0z9FxmTtF29EdZ7P+4+ybhqoaAAUmURojSR5XbGfjC4f2i8gMqfY+RI9JvfdCA6PSh9TduXfUxA==" saltValue="5TPtLq2WoiRSae/yaDPnTw==" spinCount="100000" sqref="CP2002:CQ2002" name="Rango2_99_14_14"/>
    <protectedRange algorithmName="SHA-512" hashValue="XZw03RosI/l0z9FxmTtF29EdZ7P+4+ybhqoaAAUmURojSR5XbGfjC4f2i8gMqfY+RI9JvfdCA6PSh9TduXfUxA==" saltValue="5TPtLq2WoiRSae/yaDPnTw==" spinCount="100000" sqref="CS2002:CT2002" name="Rango2_99_15_14"/>
    <protectedRange algorithmName="SHA-512" hashValue="XZw03RosI/l0z9FxmTtF29EdZ7P+4+ybhqoaAAUmURojSR5XbGfjC4f2i8gMqfY+RI9JvfdCA6PSh9TduXfUxA==" saltValue="5TPtLq2WoiRSae/yaDPnTw==" spinCount="100000" sqref="DA2002:DN2002" name="Rango2_99_17_16"/>
    <protectedRange algorithmName="SHA-512" hashValue="XZw03RosI/l0z9FxmTtF29EdZ7P+4+ybhqoaAAUmURojSR5XbGfjC4f2i8gMqfY+RI9JvfdCA6PSh9TduXfUxA==" saltValue="5TPtLq2WoiRSae/yaDPnTw==" spinCount="100000" sqref="O2003" name="Rango2_99_2_15"/>
    <protectedRange algorithmName="SHA-512" hashValue="fPHvtIAf3pQeZUoAI9C2/vdXMHBpqqEq+67P5Ypyu4+9IWqs3yc9TZcMWQ0THLxUwqseQPyVvakuYFtCwJHsxA==" saltValue="QHIogSs2PrwAfdqa9PAOFQ==" spinCount="100000" sqref="AC2003" name="Rango2_88_5_5_1_12"/>
    <protectedRange algorithmName="SHA-512" hashValue="LEEeiU6pKqm7TAP46VGlz0q+evvFwpT/0iLpRuWuQ7MacbP0OGL1/FSmrIEOg2rb6M+Jla2bPbVWiGag27j87w==" saltValue="HEVt+pS5OloNDlqSnzGLLw==" spinCount="100000" sqref="AI2003" name="Rango2_8_7_1_14"/>
    <protectedRange algorithmName="SHA-512" hashValue="q2z5hEFmXS0v2chiPTC/VCoDWNlnhp+Xe6Ybfxe48vIsnB/KTJQxJv+pFUnCXfZ9T6vyJopuqFFNROfQTW/JUw==" saltValue="IctfdGJb5tOTpq+KPi9vww==" spinCount="100000" sqref="AE2003:AF2003" name="Rango2_88_39_1_13"/>
    <protectedRange algorithmName="SHA-512" hashValue="NUll9P9xh7KbSfMYpMxsRZLfDw/y/AzW2LSWlpXVscBDqiAxmzo71xjs+a2lh+jRa7pceOC849slke4+ZKx8LA==" saltValue="8qbkKpQ+CiQuLnqgShNvXA==" spinCount="100000" sqref="T2003" name="Rango2_88_6_1_12"/>
    <protectedRange algorithmName="SHA-512" hashValue="XZw03RosI/l0z9FxmTtF29EdZ7P+4+ybhqoaAAUmURojSR5XbGfjC4f2i8gMqfY+RI9JvfdCA6PSh9TduXfUxA==" saltValue="5TPtLq2WoiRSae/yaDPnTw==" spinCount="100000" sqref="R2003:S2003 U2003:AA2003" name="Rango2_99_4_16"/>
    <protectedRange algorithmName="SHA-512" hashValue="fMbmUM1DQ7FuAPRNvFL5mPdHUYjQnlLFhkuaxvHguaqR7aWyDxcmJs0jLYQfQKY+oyhsMb4Lew4VL6i7um3/ew==" saltValue="ydaTm0CeH8+/cYqoL/AMaQ==" spinCount="100000" sqref="AU2003 AW2003:AZ2003" name="Rango2_88_91_1_15"/>
    <protectedRange algorithmName="SHA-512" hashValue="CHipOQaT63FWw628cQcXXJRZlrbNZ7OgmnEbDx38UmmH7z19GRYEzXFiVOzHAy1OAaAbST7g2bHZHDKQp2qm3w==" saltValue="iRVuL+373yLHv0ZHzS9qog==" spinCount="100000" sqref="AL2003" name="Rango2_88_7_5_2_10"/>
    <protectedRange algorithmName="SHA-512" hashValue="NkG6oHuDGvGBEiLAAq8MEJHEfLQUMyjihfH+DBXhT+eQW0r1yri7tOJEFRM9nbOejjjXiviq9RFo7KB7wF+xJA==" saltValue="bpjB0AAANu2X/PeR3eiFkA==" spinCount="100000" sqref="AM2003:AS2003" name="Rango2_88_65_1_12"/>
    <protectedRange algorithmName="SHA-512" hashValue="RQ91b7oAw60DVtcgB2vRpial2kSdzJx5guGCTYUwXYkKrtrUHfiYnLf9R+SNpYXlJDYpyEJLhcWwP0EqNN86dQ==" saltValue="W3RbH3zrcY9sy39xNwXNxg==" spinCount="100000" sqref="BV2003:BY2003" name="Rango2_88_99_2_12"/>
    <protectedRange algorithmName="SHA-512" hashValue="XZw03RosI/l0z9FxmTtF29EdZ7P+4+ybhqoaAAUmURojSR5XbGfjC4f2i8gMqfY+RI9JvfdCA6PSh9TduXfUxA==" saltValue="5TPtLq2WoiRSae/yaDPnTw==" spinCount="100000" sqref="BZ2003:CB2003 BR2003:BU2003" name="Rango2_99_10_13"/>
    <protectedRange algorithmName="SHA-512" hashValue="XZw03RosI/l0z9FxmTtF29EdZ7P+4+ybhqoaAAUmURojSR5XbGfjC4f2i8gMqfY+RI9JvfdCA6PSh9TduXfUxA==" saltValue="5TPtLq2WoiRSae/yaDPnTw==" spinCount="100000" sqref="CE2003:CF2003" name="Rango2_99_11_11"/>
    <protectedRange algorithmName="SHA-512" hashValue="XZw03RosI/l0z9FxmTtF29EdZ7P+4+ybhqoaAAUmURojSR5XbGfjC4f2i8gMqfY+RI9JvfdCA6PSh9TduXfUxA==" saltValue="5TPtLq2WoiRSae/yaDPnTw==" spinCount="100000" sqref="CJ2003:CK2003" name="Rango2_99_12_14"/>
    <protectedRange algorithmName="SHA-512" hashValue="XZw03RosI/l0z9FxmTtF29EdZ7P+4+ybhqoaAAUmURojSR5XbGfjC4f2i8gMqfY+RI9JvfdCA6PSh9TduXfUxA==" saltValue="5TPtLq2WoiRSae/yaDPnTw==" spinCount="100000" sqref="CP2003:CQ2003" name="Rango2_99_14_15"/>
    <protectedRange algorithmName="SHA-512" hashValue="XZw03RosI/l0z9FxmTtF29EdZ7P+4+ybhqoaAAUmURojSR5XbGfjC4f2i8gMqfY+RI9JvfdCA6PSh9TduXfUxA==" saltValue="5TPtLq2WoiRSae/yaDPnTw==" spinCount="100000" sqref="CS2003:CT2003" name="Rango2_99_15_15"/>
    <protectedRange algorithmName="SHA-512" hashValue="XZw03RosI/l0z9FxmTtF29EdZ7P+4+ybhqoaAAUmURojSR5XbGfjC4f2i8gMqfY+RI9JvfdCA6PSh9TduXfUxA==" saltValue="5TPtLq2WoiRSae/yaDPnTw==" spinCount="100000" sqref="DA2003:DN2003" name="Rango2_99_17_17"/>
    <protectedRange algorithmName="SHA-512" hashValue="XZw03RosI/l0z9FxmTtF29EdZ7P+4+ybhqoaAAUmURojSR5XbGfjC4f2i8gMqfY+RI9JvfdCA6PSh9TduXfUxA==" saltValue="5TPtLq2WoiRSae/yaDPnTw==" spinCount="100000" sqref="O2004" name="Rango2_99_2_16"/>
    <protectedRange algorithmName="SHA-512" hashValue="fPHvtIAf3pQeZUoAI9C2/vdXMHBpqqEq+67P5Ypyu4+9IWqs3yc9TZcMWQ0THLxUwqseQPyVvakuYFtCwJHsxA==" saltValue="QHIogSs2PrwAfdqa9PAOFQ==" spinCount="100000" sqref="AC2004" name="Rango2_88_5_5_1_13"/>
    <protectedRange algorithmName="SHA-512" hashValue="LEEeiU6pKqm7TAP46VGlz0q+evvFwpT/0iLpRuWuQ7MacbP0OGL1/FSmrIEOg2rb6M+Jla2bPbVWiGag27j87w==" saltValue="HEVt+pS5OloNDlqSnzGLLw==" spinCount="100000" sqref="AI2004" name="Rango2_8_7_1_15"/>
    <protectedRange algorithmName="SHA-512" hashValue="q2z5hEFmXS0v2chiPTC/VCoDWNlnhp+Xe6Ybfxe48vIsnB/KTJQxJv+pFUnCXfZ9T6vyJopuqFFNROfQTW/JUw==" saltValue="IctfdGJb5tOTpq+KPi9vww==" spinCount="100000" sqref="AE2004:AF2004" name="Rango2_88_39_1_14"/>
    <protectedRange algorithmName="SHA-512" hashValue="NUll9P9xh7KbSfMYpMxsRZLfDw/y/AzW2LSWlpXVscBDqiAxmzo71xjs+a2lh+jRa7pceOC849slke4+ZKx8LA==" saltValue="8qbkKpQ+CiQuLnqgShNvXA==" spinCount="100000" sqref="T2004" name="Rango2_88_6_1_13"/>
    <protectedRange algorithmName="SHA-512" hashValue="XZw03RosI/l0z9FxmTtF29EdZ7P+4+ybhqoaAAUmURojSR5XbGfjC4f2i8gMqfY+RI9JvfdCA6PSh9TduXfUxA==" saltValue="5TPtLq2WoiRSae/yaDPnTw==" spinCount="100000" sqref="R2004:S2004 U2004:AA2004" name="Rango2_99_4_17"/>
    <protectedRange algorithmName="SHA-512" hashValue="fMbmUM1DQ7FuAPRNvFL5mPdHUYjQnlLFhkuaxvHguaqR7aWyDxcmJs0jLYQfQKY+oyhsMb4Lew4VL6i7um3/ew==" saltValue="ydaTm0CeH8+/cYqoL/AMaQ==" spinCount="100000" sqref="AU2004 AW2004:AZ2004" name="Rango2_88_91_1_16"/>
    <protectedRange algorithmName="SHA-512" hashValue="CHipOQaT63FWw628cQcXXJRZlrbNZ7OgmnEbDx38UmmH7z19GRYEzXFiVOzHAy1OAaAbST7g2bHZHDKQp2qm3w==" saltValue="iRVuL+373yLHv0ZHzS9qog==" spinCount="100000" sqref="AL2004" name="Rango2_88_7_5_2_11"/>
    <protectedRange algorithmName="SHA-512" hashValue="NkG6oHuDGvGBEiLAAq8MEJHEfLQUMyjihfH+DBXhT+eQW0r1yri7tOJEFRM9nbOejjjXiviq9RFo7KB7wF+xJA==" saltValue="bpjB0AAANu2X/PeR3eiFkA==" spinCount="100000" sqref="AM2004:AS2004" name="Rango2_88_65_1_13"/>
    <protectedRange algorithmName="SHA-512" hashValue="RQ91b7oAw60DVtcgB2vRpial2kSdzJx5guGCTYUwXYkKrtrUHfiYnLf9R+SNpYXlJDYpyEJLhcWwP0EqNN86dQ==" saltValue="W3RbH3zrcY9sy39xNwXNxg==" spinCount="100000" sqref="BV2004:BY2004" name="Rango2_88_99_2_13"/>
    <protectedRange algorithmName="SHA-512" hashValue="XZw03RosI/l0z9FxmTtF29EdZ7P+4+ybhqoaAAUmURojSR5XbGfjC4f2i8gMqfY+RI9JvfdCA6PSh9TduXfUxA==" saltValue="5TPtLq2WoiRSae/yaDPnTw==" spinCount="100000" sqref="BZ2004:CB2004 BR2004:BU2004" name="Rango2_99_10_14"/>
    <protectedRange algorithmName="SHA-512" hashValue="XZw03RosI/l0z9FxmTtF29EdZ7P+4+ybhqoaAAUmURojSR5XbGfjC4f2i8gMqfY+RI9JvfdCA6PSh9TduXfUxA==" saltValue="5TPtLq2WoiRSae/yaDPnTw==" spinCount="100000" sqref="CE2004:CF2004" name="Rango2_99_11_12"/>
    <protectedRange algorithmName="SHA-512" hashValue="XZw03RosI/l0z9FxmTtF29EdZ7P+4+ybhqoaAAUmURojSR5XbGfjC4f2i8gMqfY+RI9JvfdCA6PSh9TduXfUxA==" saltValue="5TPtLq2WoiRSae/yaDPnTw==" spinCount="100000" sqref="CJ2004:CK2004" name="Rango2_99_12_15"/>
    <protectedRange algorithmName="SHA-512" hashValue="XZw03RosI/l0z9FxmTtF29EdZ7P+4+ybhqoaAAUmURojSR5XbGfjC4f2i8gMqfY+RI9JvfdCA6PSh9TduXfUxA==" saltValue="5TPtLq2WoiRSae/yaDPnTw==" spinCount="100000" sqref="CP2004:CQ2004" name="Rango2_99_14_16"/>
    <protectedRange algorithmName="SHA-512" hashValue="XZw03RosI/l0z9FxmTtF29EdZ7P+4+ybhqoaAAUmURojSR5XbGfjC4f2i8gMqfY+RI9JvfdCA6PSh9TduXfUxA==" saltValue="5TPtLq2WoiRSae/yaDPnTw==" spinCount="100000" sqref="CS2004:CT2004" name="Rango2_99_15_16"/>
    <protectedRange algorithmName="SHA-512" hashValue="XZw03RosI/l0z9FxmTtF29EdZ7P+4+ybhqoaAAUmURojSR5XbGfjC4f2i8gMqfY+RI9JvfdCA6PSh9TduXfUxA==" saltValue="5TPtLq2WoiRSae/yaDPnTw==" spinCount="100000" sqref="DA2004:DN2004" name="Rango2_99_17_18"/>
    <protectedRange algorithmName="SHA-512" hashValue="XZw03RosI/l0z9FxmTtF29EdZ7P+4+ybhqoaAAUmURojSR5XbGfjC4f2i8gMqfY+RI9JvfdCA6PSh9TduXfUxA==" saltValue="5TPtLq2WoiRSae/yaDPnTw==" spinCount="100000" sqref="O2005" name="Rango2_99_2_17"/>
    <protectedRange algorithmName="SHA-512" hashValue="fPHvtIAf3pQeZUoAI9C2/vdXMHBpqqEq+67P5Ypyu4+9IWqs3yc9TZcMWQ0THLxUwqseQPyVvakuYFtCwJHsxA==" saltValue="QHIogSs2PrwAfdqa9PAOFQ==" spinCount="100000" sqref="AC2005" name="Rango2_88_5_5_1_14"/>
    <protectedRange algorithmName="SHA-512" hashValue="LEEeiU6pKqm7TAP46VGlz0q+evvFwpT/0iLpRuWuQ7MacbP0OGL1/FSmrIEOg2rb6M+Jla2bPbVWiGag27j87w==" saltValue="HEVt+pS5OloNDlqSnzGLLw==" spinCount="100000" sqref="AI2005" name="Rango2_8_7_1_16"/>
    <protectedRange algorithmName="SHA-512" hashValue="q2z5hEFmXS0v2chiPTC/VCoDWNlnhp+Xe6Ybfxe48vIsnB/KTJQxJv+pFUnCXfZ9T6vyJopuqFFNROfQTW/JUw==" saltValue="IctfdGJb5tOTpq+KPi9vww==" spinCount="100000" sqref="AE2005:AF2005" name="Rango2_88_39_1_15"/>
    <protectedRange algorithmName="SHA-512" hashValue="NUll9P9xh7KbSfMYpMxsRZLfDw/y/AzW2LSWlpXVscBDqiAxmzo71xjs+a2lh+jRa7pceOC849slke4+ZKx8LA==" saltValue="8qbkKpQ+CiQuLnqgShNvXA==" spinCount="100000" sqref="T2005" name="Rango2_88_6_1_14"/>
    <protectedRange algorithmName="SHA-512" hashValue="XZw03RosI/l0z9FxmTtF29EdZ7P+4+ybhqoaAAUmURojSR5XbGfjC4f2i8gMqfY+RI9JvfdCA6PSh9TduXfUxA==" saltValue="5TPtLq2WoiRSae/yaDPnTw==" spinCount="100000" sqref="R2005:S2005 U2005:AA2005" name="Rango2_99_4_18"/>
    <protectedRange algorithmName="SHA-512" hashValue="fMbmUM1DQ7FuAPRNvFL5mPdHUYjQnlLFhkuaxvHguaqR7aWyDxcmJs0jLYQfQKY+oyhsMb4Lew4VL6i7um3/ew==" saltValue="ydaTm0CeH8+/cYqoL/AMaQ==" spinCount="100000" sqref="AU2005 AW2005:AZ2005" name="Rango2_88_91_1_17"/>
    <protectedRange algorithmName="SHA-512" hashValue="CHipOQaT63FWw628cQcXXJRZlrbNZ7OgmnEbDx38UmmH7z19GRYEzXFiVOzHAy1OAaAbST7g2bHZHDKQp2qm3w==" saltValue="iRVuL+373yLHv0ZHzS9qog==" spinCount="100000" sqref="AL2005" name="Rango2_88_7_5_2_12"/>
    <protectedRange algorithmName="SHA-512" hashValue="NkG6oHuDGvGBEiLAAq8MEJHEfLQUMyjihfH+DBXhT+eQW0r1yri7tOJEFRM9nbOejjjXiviq9RFo7KB7wF+xJA==" saltValue="bpjB0AAANu2X/PeR3eiFkA==" spinCount="100000" sqref="AM2005:AS2005" name="Rango2_88_65_1_14"/>
    <protectedRange algorithmName="SHA-512" hashValue="RQ91b7oAw60DVtcgB2vRpial2kSdzJx5guGCTYUwXYkKrtrUHfiYnLf9R+SNpYXlJDYpyEJLhcWwP0EqNN86dQ==" saltValue="W3RbH3zrcY9sy39xNwXNxg==" spinCount="100000" sqref="BV2005:BY2005" name="Rango2_88_99_2_14"/>
    <protectedRange algorithmName="SHA-512" hashValue="XZw03RosI/l0z9FxmTtF29EdZ7P+4+ybhqoaAAUmURojSR5XbGfjC4f2i8gMqfY+RI9JvfdCA6PSh9TduXfUxA==" saltValue="5TPtLq2WoiRSae/yaDPnTw==" spinCount="100000" sqref="BZ2005:CB2005 BR2005:BU2005" name="Rango2_99_10_15"/>
    <protectedRange algorithmName="SHA-512" hashValue="XZw03RosI/l0z9FxmTtF29EdZ7P+4+ybhqoaAAUmURojSR5XbGfjC4f2i8gMqfY+RI9JvfdCA6PSh9TduXfUxA==" saltValue="5TPtLq2WoiRSae/yaDPnTw==" spinCount="100000" sqref="CE2005:CF2005" name="Rango2_99_11_13"/>
    <protectedRange algorithmName="SHA-512" hashValue="XZw03RosI/l0z9FxmTtF29EdZ7P+4+ybhqoaAAUmURojSR5XbGfjC4f2i8gMqfY+RI9JvfdCA6PSh9TduXfUxA==" saltValue="5TPtLq2WoiRSae/yaDPnTw==" spinCount="100000" sqref="CJ2005:CK2005" name="Rango2_99_12_16"/>
    <protectedRange algorithmName="SHA-512" hashValue="XZw03RosI/l0z9FxmTtF29EdZ7P+4+ybhqoaAAUmURojSR5XbGfjC4f2i8gMqfY+RI9JvfdCA6PSh9TduXfUxA==" saltValue="5TPtLq2WoiRSae/yaDPnTw==" spinCount="100000" sqref="CP2005:CQ2005" name="Rango2_99_14_17"/>
    <protectedRange algorithmName="SHA-512" hashValue="XZw03RosI/l0z9FxmTtF29EdZ7P+4+ybhqoaAAUmURojSR5XbGfjC4f2i8gMqfY+RI9JvfdCA6PSh9TduXfUxA==" saltValue="5TPtLq2WoiRSae/yaDPnTw==" spinCount="100000" sqref="CS2005:CT2005" name="Rango2_99_15_17"/>
    <protectedRange algorithmName="SHA-512" hashValue="XZw03RosI/l0z9FxmTtF29EdZ7P+4+ybhqoaAAUmURojSR5XbGfjC4f2i8gMqfY+RI9JvfdCA6PSh9TduXfUxA==" saltValue="5TPtLq2WoiRSae/yaDPnTw==" spinCount="100000" sqref="DA2005:DN2005" name="Rango2_99_17_19"/>
    <protectedRange algorithmName="SHA-512" hashValue="XZw03RosI/l0z9FxmTtF29EdZ7P+4+ybhqoaAAUmURojSR5XbGfjC4f2i8gMqfY+RI9JvfdCA6PSh9TduXfUxA==" saltValue="5TPtLq2WoiRSae/yaDPnTw==" spinCount="100000" sqref="O2006" name="Rango2_99_2_18"/>
    <protectedRange algorithmName="SHA-512" hashValue="LEEeiU6pKqm7TAP46VGlz0q+evvFwpT/0iLpRuWuQ7MacbP0OGL1/FSmrIEOg2rb6M+Jla2bPbVWiGag27j87w==" saltValue="HEVt+pS5OloNDlqSnzGLLw==" spinCount="100000" sqref="AI2006" name="Rango2_8_7_1_17"/>
    <protectedRange algorithmName="SHA-512" hashValue="q2z5hEFmXS0v2chiPTC/VCoDWNlnhp+Xe6Ybfxe48vIsnB/KTJQxJv+pFUnCXfZ9T6vyJopuqFFNROfQTW/JUw==" saltValue="IctfdGJb5tOTpq+KPi9vww==" spinCount="100000" sqref="AE2006:AF2006" name="Rango2_88_39_1_16"/>
    <protectedRange algorithmName="SHA-512" hashValue="NUll9P9xh7KbSfMYpMxsRZLfDw/y/AzW2LSWlpXVscBDqiAxmzo71xjs+a2lh+jRa7pceOC849slke4+ZKx8LA==" saltValue="8qbkKpQ+CiQuLnqgShNvXA==" spinCount="100000" sqref="T2006" name="Rango2_88_6_1_15"/>
    <protectedRange algorithmName="SHA-512" hashValue="XZw03RosI/l0z9FxmTtF29EdZ7P+4+ybhqoaAAUmURojSR5XbGfjC4f2i8gMqfY+RI9JvfdCA6PSh9TduXfUxA==" saltValue="5TPtLq2WoiRSae/yaDPnTw==" spinCount="100000" sqref="R2006:S2006 U2006:AA2006" name="Rango2_99_4_19"/>
    <protectedRange algorithmName="SHA-512" hashValue="AYYX88LSDB6RDNMvSqt0KPGWPjBqTk56tMxTOlv5QD61MGTKAAQnSnudvNDWPN0Bbllh2qRQC+P5uq7goxjdrw==" saltValue="i/iPMewnks1FoXYOjKMEVg==" spinCount="100000" sqref="AB2006" name="Rango2_87_6_2_2"/>
    <protectedRange algorithmName="SHA-512" hashValue="fMbmUM1DQ7FuAPRNvFL5mPdHUYjQnlLFhkuaxvHguaqR7aWyDxcmJs0jLYQfQKY+oyhsMb4Lew4VL6i7um3/ew==" saltValue="ydaTm0CeH8+/cYqoL/AMaQ==" spinCount="100000" sqref="AU2006 AW2006:AZ2006" name="Rango2_88_91_1_18"/>
    <protectedRange algorithmName="SHA-512" hashValue="CHipOQaT63FWw628cQcXXJRZlrbNZ7OgmnEbDx38UmmH7z19GRYEzXFiVOzHAy1OAaAbST7g2bHZHDKQp2qm3w==" saltValue="iRVuL+373yLHv0ZHzS9qog==" spinCount="100000" sqref="AL2006" name="Rango2_88_7_5_2_13"/>
    <protectedRange algorithmName="SHA-512" hashValue="NkG6oHuDGvGBEiLAAq8MEJHEfLQUMyjihfH+DBXhT+eQW0r1yri7tOJEFRM9nbOejjjXiviq9RFo7KB7wF+xJA==" saltValue="bpjB0AAANu2X/PeR3eiFkA==" spinCount="100000" sqref="AM2006:AS2006" name="Rango2_88_65_1_15"/>
    <protectedRange algorithmName="SHA-512" hashValue="RQ91b7oAw60DVtcgB2vRpial2kSdzJx5guGCTYUwXYkKrtrUHfiYnLf9R+SNpYXlJDYpyEJLhcWwP0EqNN86dQ==" saltValue="W3RbH3zrcY9sy39xNwXNxg==" spinCount="100000" sqref="BV2006:BY2006" name="Rango2_88_99_2_15"/>
    <protectedRange algorithmName="SHA-512" hashValue="XZw03RosI/l0z9FxmTtF29EdZ7P+4+ybhqoaAAUmURojSR5XbGfjC4f2i8gMqfY+RI9JvfdCA6PSh9TduXfUxA==" saltValue="5TPtLq2WoiRSae/yaDPnTw==" spinCount="100000" sqref="BZ2006:CB2006 BR2006:BU2006" name="Rango2_99_10_16"/>
    <protectedRange algorithmName="SHA-512" hashValue="XZw03RosI/l0z9FxmTtF29EdZ7P+4+ybhqoaAAUmURojSR5XbGfjC4f2i8gMqfY+RI9JvfdCA6PSh9TduXfUxA==" saltValue="5TPtLq2WoiRSae/yaDPnTw==" spinCount="100000" sqref="CE2006:CF2006" name="Rango2_99_11_14"/>
    <protectedRange algorithmName="SHA-512" hashValue="XZw03RosI/l0z9FxmTtF29EdZ7P+4+ybhqoaAAUmURojSR5XbGfjC4f2i8gMqfY+RI9JvfdCA6PSh9TduXfUxA==" saltValue="5TPtLq2WoiRSae/yaDPnTw==" spinCount="100000" sqref="CJ2006:CK2006" name="Rango2_99_12_17"/>
    <protectedRange algorithmName="SHA-512" hashValue="XZw03RosI/l0z9FxmTtF29EdZ7P+4+ybhqoaAAUmURojSR5XbGfjC4f2i8gMqfY+RI9JvfdCA6PSh9TduXfUxA==" saltValue="5TPtLq2WoiRSae/yaDPnTw==" spinCount="100000" sqref="CP2006:CQ2006" name="Rango2_99_14_19"/>
    <protectedRange algorithmName="SHA-512" hashValue="XZw03RosI/l0z9FxmTtF29EdZ7P+4+ybhqoaAAUmURojSR5XbGfjC4f2i8gMqfY+RI9JvfdCA6PSh9TduXfUxA==" saltValue="5TPtLq2WoiRSae/yaDPnTw==" spinCount="100000" sqref="CS2006:CT2006" name="Rango2_99_15_18"/>
    <protectedRange algorithmName="SHA-512" hashValue="XZw03RosI/l0z9FxmTtF29EdZ7P+4+ybhqoaAAUmURojSR5XbGfjC4f2i8gMqfY+RI9JvfdCA6PSh9TduXfUxA==" saltValue="5TPtLq2WoiRSae/yaDPnTw==" spinCount="100000" sqref="DA2006:DN2006" name="Rango2_99_17_20"/>
    <protectedRange algorithmName="SHA-512" hashValue="XZw03RosI/l0z9FxmTtF29EdZ7P+4+ybhqoaAAUmURojSR5XbGfjC4f2i8gMqfY+RI9JvfdCA6PSh9TduXfUxA==" saltValue="5TPtLq2WoiRSae/yaDPnTw==" spinCount="100000" sqref="O2007:O2009" name="Rango2_99_2_19"/>
    <protectedRange algorithmName="SHA-512" hashValue="fPHvtIAf3pQeZUoAI9C2/vdXMHBpqqEq+67P5Ypyu4+9IWqs3yc9TZcMWQ0THLxUwqseQPyVvakuYFtCwJHsxA==" saltValue="QHIogSs2PrwAfdqa9PAOFQ==" spinCount="100000" sqref="AC2007:AC2009" name="Rango2_88_5_5_1_15"/>
    <protectedRange algorithmName="SHA-512" hashValue="LEEeiU6pKqm7TAP46VGlz0q+evvFwpT/0iLpRuWuQ7MacbP0OGL1/FSmrIEOg2rb6M+Jla2bPbVWiGag27j87w==" saltValue="HEVt+pS5OloNDlqSnzGLLw==" spinCount="100000" sqref="AI2007:AI2009" name="Rango2_8_7_1_18"/>
    <protectedRange algorithmName="SHA-512" hashValue="q2z5hEFmXS0v2chiPTC/VCoDWNlnhp+Xe6Ybfxe48vIsnB/KTJQxJv+pFUnCXfZ9T6vyJopuqFFNROfQTW/JUw==" saltValue="IctfdGJb5tOTpq+KPi9vww==" spinCount="100000" sqref="AE2007:AF2009" name="Rango2_88_39_1_17"/>
    <protectedRange algorithmName="SHA-512" hashValue="NUll9P9xh7KbSfMYpMxsRZLfDw/y/AzW2LSWlpXVscBDqiAxmzo71xjs+a2lh+jRa7pceOC849slke4+ZKx8LA==" saltValue="8qbkKpQ+CiQuLnqgShNvXA==" spinCount="100000" sqref="T2007:T2009" name="Rango2_88_6_1_16"/>
    <protectedRange algorithmName="SHA-512" hashValue="XZw03RosI/l0z9FxmTtF29EdZ7P+4+ybhqoaAAUmURojSR5XbGfjC4f2i8gMqfY+RI9JvfdCA6PSh9TduXfUxA==" saltValue="5TPtLq2WoiRSae/yaDPnTw==" spinCount="100000" sqref="R2007:S2009 U2007:X2009 Z2007:AA2009" name="Rango2_99_4_20"/>
    <protectedRange algorithmName="SHA-512" hashValue="AYYX88LSDB6RDNMvSqt0KPGWPjBqTk56tMxTOlv5QD61MGTKAAQnSnudvNDWPN0Bbllh2qRQC+P5uq7goxjdrw==" saltValue="i/iPMewnks1FoXYOjKMEVg==" spinCount="100000" sqref="AB2007" name="Rango2_87_6_1_1_1"/>
    <protectedRange algorithmName="SHA-512" hashValue="XZw03RosI/l0z9FxmTtF29EdZ7P+4+ybhqoaAAUmURojSR5XbGfjC4f2i8gMqfY+RI9JvfdCA6PSh9TduXfUxA==" saltValue="5TPtLq2WoiRSae/yaDPnTw==" spinCount="100000" sqref="Y2008:Y2009" name="Rango2_99_2_2_1"/>
    <protectedRange algorithmName="SHA-512" hashValue="AYYX88LSDB6RDNMvSqt0KPGWPjBqTk56tMxTOlv5QD61MGTKAAQnSnudvNDWPN0Bbllh2qRQC+P5uq7goxjdrw==" saltValue="i/iPMewnks1FoXYOjKMEVg==" spinCount="100000" sqref="AB2008:AB2009" name="Rango2_87_6_2_1_1"/>
    <protectedRange algorithmName="SHA-512" hashValue="fMbmUM1DQ7FuAPRNvFL5mPdHUYjQnlLFhkuaxvHguaqR7aWyDxcmJs0jLYQfQKY+oyhsMb4Lew4VL6i7um3/ew==" saltValue="ydaTm0CeH8+/cYqoL/AMaQ==" spinCount="100000" sqref="AU2007:AU2009 AW2007:AZ2009" name="Rango2_88_91_1_19"/>
    <protectedRange algorithmName="SHA-512" hashValue="CHipOQaT63FWw628cQcXXJRZlrbNZ7OgmnEbDx38UmmH7z19GRYEzXFiVOzHAy1OAaAbST7g2bHZHDKQp2qm3w==" saltValue="iRVuL+373yLHv0ZHzS9qog==" spinCount="100000" sqref="AL2007:AL2009" name="Rango2_88_7_5_2_14"/>
    <protectedRange algorithmName="SHA-512" hashValue="NkG6oHuDGvGBEiLAAq8MEJHEfLQUMyjihfH+DBXhT+eQW0r1yri7tOJEFRM9nbOejjjXiviq9RFo7KB7wF+xJA==" saltValue="bpjB0AAANu2X/PeR3eiFkA==" spinCount="100000" sqref="AM2007:AS2009" name="Rango2_88_65_1_16"/>
    <protectedRange algorithmName="SHA-512" hashValue="RQ91b7oAw60DVtcgB2vRpial2kSdzJx5guGCTYUwXYkKrtrUHfiYnLf9R+SNpYXlJDYpyEJLhcWwP0EqNN86dQ==" saltValue="W3RbH3zrcY9sy39xNwXNxg==" spinCount="100000" sqref="BV2007:BY2009" name="Rango2_88_99_2_16"/>
    <protectedRange algorithmName="SHA-512" hashValue="XZw03RosI/l0z9FxmTtF29EdZ7P+4+ybhqoaAAUmURojSR5XbGfjC4f2i8gMqfY+RI9JvfdCA6PSh9TduXfUxA==" saltValue="5TPtLq2WoiRSae/yaDPnTw==" spinCount="100000" sqref="BZ2007:CB2009 BR2007:BU2009" name="Rango2_99_10_17"/>
    <protectedRange algorithmName="SHA-512" hashValue="XZw03RosI/l0z9FxmTtF29EdZ7P+4+ybhqoaAAUmURojSR5XbGfjC4f2i8gMqfY+RI9JvfdCA6PSh9TduXfUxA==" saltValue="5TPtLq2WoiRSae/yaDPnTw==" spinCount="100000" sqref="CE2007:CF2009" name="Rango2_99_11_15"/>
    <protectedRange algorithmName="SHA-512" hashValue="XZw03RosI/l0z9FxmTtF29EdZ7P+4+ybhqoaAAUmURojSR5XbGfjC4f2i8gMqfY+RI9JvfdCA6PSh9TduXfUxA==" saltValue="5TPtLq2WoiRSae/yaDPnTw==" spinCount="100000" sqref="CJ2007:CK2009" name="Rango2_99_12_18"/>
    <protectedRange algorithmName="SHA-512" hashValue="XZw03RosI/l0z9FxmTtF29EdZ7P+4+ybhqoaAAUmURojSR5XbGfjC4f2i8gMqfY+RI9JvfdCA6PSh9TduXfUxA==" saltValue="5TPtLq2WoiRSae/yaDPnTw==" spinCount="100000" sqref="CP2007:CQ2009" name="Rango2_99_14_20"/>
    <protectedRange algorithmName="SHA-512" hashValue="XZw03RosI/l0z9FxmTtF29EdZ7P+4+ybhqoaAAUmURojSR5XbGfjC4f2i8gMqfY+RI9JvfdCA6PSh9TduXfUxA==" saltValue="5TPtLq2WoiRSae/yaDPnTw==" spinCount="100000" sqref="CS2007:CT2009" name="Rango2_99_15_19"/>
    <protectedRange algorithmName="SHA-512" hashValue="XZw03RosI/l0z9FxmTtF29EdZ7P+4+ybhqoaAAUmURojSR5XbGfjC4f2i8gMqfY+RI9JvfdCA6PSh9TduXfUxA==" saltValue="5TPtLq2WoiRSae/yaDPnTw==" spinCount="100000" sqref="DA2007:DN2009" name="Rango2_99_17_21"/>
    <protectedRange algorithmName="SHA-512" hashValue="XZw03RosI/l0z9FxmTtF29EdZ7P+4+ybhqoaAAUmURojSR5XbGfjC4f2i8gMqfY+RI9JvfdCA6PSh9TduXfUxA==" saltValue="5TPtLq2WoiRSae/yaDPnTw==" spinCount="100000" sqref="O2010" name="Rango2_99_2_20"/>
    <protectedRange algorithmName="SHA-512" hashValue="fPHvtIAf3pQeZUoAI9C2/vdXMHBpqqEq+67P5Ypyu4+9IWqs3yc9TZcMWQ0THLxUwqseQPyVvakuYFtCwJHsxA==" saltValue="QHIogSs2PrwAfdqa9PAOFQ==" spinCount="100000" sqref="AC2010" name="Rango2_88_5_5_1_16"/>
    <protectedRange algorithmName="SHA-512" hashValue="LEEeiU6pKqm7TAP46VGlz0q+evvFwpT/0iLpRuWuQ7MacbP0OGL1/FSmrIEOg2rb6M+Jla2bPbVWiGag27j87w==" saltValue="HEVt+pS5OloNDlqSnzGLLw==" spinCount="100000" sqref="AI2010" name="Rango2_8_7_1_19"/>
    <protectedRange algorithmName="SHA-512" hashValue="q2z5hEFmXS0v2chiPTC/VCoDWNlnhp+Xe6Ybfxe48vIsnB/KTJQxJv+pFUnCXfZ9T6vyJopuqFFNROfQTW/JUw==" saltValue="IctfdGJb5tOTpq+KPi9vww==" spinCount="100000" sqref="AE2010:AF2010" name="Rango2_88_39_1_18"/>
    <protectedRange algorithmName="SHA-512" hashValue="NUll9P9xh7KbSfMYpMxsRZLfDw/y/AzW2LSWlpXVscBDqiAxmzo71xjs+a2lh+jRa7pceOC849slke4+ZKx8LA==" saltValue="8qbkKpQ+CiQuLnqgShNvXA==" spinCount="100000" sqref="T2010" name="Rango2_88_6_1_17"/>
    <protectedRange algorithmName="SHA-512" hashValue="XZw03RosI/l0z9FxmTtF29EdZ7P+4+ybhqoaAAUmURojSR5XbGfjC4f2i8gMqfY+RI9JvfdCA6PSh9TduXfUxA==" saltValue="5TPtLq2WoiRSae/yaDPnTw==" spinCount="100000" sqref="R2010:S2010 U2010:X2010 Z2010:AA2010" name="Rango2_99_4_21"/>
    <protectedRange algorithmName="SHA-512" hashValue="AYYX88LSDB6RDNMvSqt0KPGWPjBqTk56tMxTOlv5QD61MGTKAAQnSnudvNDWPN0Bbllh2qRQC+P5uq7goxjdrw==" saltValue="i/iPMewnks1FoXYOjKMEVg==" spinCount="100000" sqref="AB2010" name="Rango2_87_6_1_1_2"/>
    <protectedRange algorithmName="SHA-512" hashValue="fMbmUM1DQ7FuAPRNvFL5mPdHUYjQnlLFhkuaxvHguaqR7aWyDxcmJs0jLYQfQKY+oyhsMb4Lew4VL6i7um3/ew==" saltValue="ydaTm0CeH8+/cYqoL/AMaQ==" spinCount="100000" sqref="AU2010 AW2010:AZ2010" name="Rango2_88_91_1_20"/>
    <protectedRange algorithmName="SHA-512" hashValue="CHipOQaT63FWw628cQcXXJRZlrbNZ7OgmnEbDx38UmmH7z19GRYEzXFiVOzHAy1OAaAbST7g2bHZHDKQp2qm3w==" saltValue="iRVuL+373yLHv0ZHzS9qog==" spinCount="100000" sqref="AL2010" name="Rango2_88_7_5_2_15"/>
    <protectedRange algorithmName="SHA-512" hashValue="NkG6oHuDGvGBEiLAAq8MEJHEfLQUMyjihfH+DBXhT+eQW0r1yri7tOJEFRM9nbOejjjXiviq9RFo7KB7wF+xJA==" saltValue="bpjB0AAANu2X/PeR3eiFkA==" spinCount="100000" sqref="AM2010:AS2010" name="Rango2_88_65_1_17"/>
    <protectedRange algorithmName="SHA-512" hashValue="RQ91b7oAw60DVtcgB2vRpial2kSdzJx5guGCTYUwXYkKrtrUHfiYnLf9R+SNpYXlJDYpyEJLhcWwP0EqNN86dQ==" saltValue="W3RbH3zrcY9sy39xNwXNxg==" spinCount="100000" sqref="BV2010:BY2010" name="Rango2_88_99_2_17"/>
    <protectedRange algorithmName="SHA-512" hashValue="XZw03RosI/l0z9FxmTtF29EdZ7P+4+ybhqoaAAUmURojSR5XbGfjC4f2i8gMqfY+RI9JvfdCA6PSh9TduXfUxA==" saltValue="5TPtLq2WoiRSae/yaDPnTw==" spinCount="100000" sqref="BZ2010:CB2010 BR2010:BU2010" name="Rango2_99_10_18"/>
    <protectedRange algorithmName="SHA-512" hashValue="XZw03RosI/l0z9FxmTtF29EdZ7P+4+ybhqoaAAUmURojSR5XbGfjC4f2i8gMqfY+RI9JvfdCA6PSh9TduXfUxA==" saltValue="5TPtLq2WoiRSae/yaDPnTw==" spinCount="100000" sqref="CE2010:CF2010" name="Rango2_99_11_16"/>
    <protectedRange algorithmName="SHA-512" hashValue="XZw03RosI/l0z9FxmTtF29EdZ7P+4+ybhqoaAAUmURojSR5XbGfjC4f2i8gMqfY+RI9JvfdCA6PSh9TduXfUxA==" saltValue="5TPtLq2WoiRSae/yaDPnTw==" spinCount="100000" sqref="CJ2010:CK2010" name="Rango2_99_12_19"/>
    <protectedRange algorithmName="SHA-512" hashValue="XZw03RosI/l0z9FxmTtF29EdZ7P+4+ybhqoaAAUmURojSR5XbGfjC4f2i8gMqfY+RI9JvfdCA6PSh9TduXfUxA==" saltValue="5TPtLq2WoiRSae/yaDPnTw==" spinCount="100000" sqref="CP2010:CQ2010" name="Rango2_99_14_21"/>
    <protectedRange algorithmName="SHA-512" hashValue="XZw03RosI/l0z9FxmTtF29EdZ7P+4+ybhqoaAAUmURojSR5XbGfjC4f2i8gMqfY+RI9JvfdCA6PSh9TduXfUxA==" saltValue="5TPtLq2WoiRSae/yaDPnTw==" spinCount="100000" sqref="CS2010:CT2010" name="Rango2_99_15_20"/>
    <protectedRange algorithmName="SHA-512" hashValue="XZw03RosI/l0z9FxmTtF29EdZ7P+4+ybhqoaAAUmURojSR5XbGfjC4f2i8gMqfY+RI9JvfdCA6PSh9TduXfUxA==" saltValue="5TPtLq2WoiRSae/yaDPnTw==" spinCount="100000" sqref="DA2010:DN2010" name="Rango2_99_17_22"/>
    <protectedRange algorithmName="SHA-512" hashValue="XZw03RosI/l0z9FxmTtF29EdZ7P+4+ybhqoaAAUmURojSR5XbGfjC4f2i8gMqfY+RI9JvfdCA6PSh9TduXfUxA==" saltValue="5TPtLq2WoiRSae/yaDPnTw==" spinCount="100000" sqref="O2011:O2012" name="Rango2_99_2_21"/>
    <protectedRange algorithmName="SHA-512" hashValue="fPHvtIAf3pQeZUoAI9C2/vdXMHBpqqEq+67P5Ypyu4+9IWqs3yc9TZcMWQ0THLxUwqseQPyVvakuYFtCwJHsxA==" saltValue="QHIogSs2PrwAfdqa9PAOFQ==" spinCount="100000" sqref="AC2011:AC2012" name="Rango2_88_5_5_1_17"/>
    <protectedRange algorithmName="SHA-512" hashValue="LEEeiU6pKqm7TAP46VGlz0q+evvFwpT/0iLpRuWuQ7MacbP0OGL1/FSmrIEOg2rb6M+Jla2bPbVWiGag27j87w==" saltValue="HEVt+pS5OloNDlqSnzGLLw==" spinCount="100000" sqref="AI2011:AI2012" name="Rango2_8_7_1_20"/>
    <protectedRange algorithmName="SHA-512" hashValue="q2z5hEFmXS0v2chiPTC/VCoDWNlnhp+Xe6Ybfxe48vIsnB/KTJQxJv+pFUnCXfZ9T6vyJopuqFFNROfQTW/JUw==" saltValue="IctfdGJb5tOTpq+KPi9vww==" spinCount="100000" sqref="AE2011:AF2012" name="Rango2_88_39_1_19"/>
    <protectedRange algorithmName="SHA-512" hashValue="NUll9P9xh7KbSfMYpMxsRZLfDw/y/AzW2LSWlpXVscBDqiAxmzo71xjs+a2lh+jRa7pceOC849slke4+ZKx8LA==" saltValue="8qbkKpQ+CiQuLnqgShNvXA==" spinCount="100000" sqref="T2011:T2012" name="Rango2_88_6_1_18"/>
    <protectedRange algorithmName="SHA-512" hashValue="XZw03RosI/l0z9FxmTtF29EdZ7P+4+ybhqoaAAUmURojSR5XbGfjC4f2i8gMqfY+RI9JvfdCA6PSh9TduXfUxA==" saltValue="5TPtLq2WoiRSae/yaDPnTw==" spinCount="100000" sqref="R2011:S2012 U2011:X2012 Z2011:AA2012" name="Rango2_99_4_22"/>
    <protectedRange algorithmName="SHA-512" hashValue="fMbmUM1DQ7FuAPRNvFL5mPdHUYjQnlLFhkuaxvHguaqR7aWyDxcmJs0jLYQfQKY+oyhsMb4Lew4VL6i7um3/ew==" saltValue="ydaTm0CeH8+/cYqoL/AMaQ==" spinCount="100000" sqref="AU2011:AU2012 AW2011:AZ2012" name="Rango2_88_91_1_21"/>
    <protectedRange algorithmName="SHA-512" hashValue="CHipOQaT63FWw628cQcXXJRZlrbNZ7OgmnEbDx38UmmH7z19GRYEzXFiVOzHAy1OAaAbST7g2bHZHDKQp2qm3w==" saltValue="iRVuL+373yLHv0ZHzS9qog==" spinCount="100000" sqref="AL2011:AL2012" name="Rango2_88_7_5_2_16"/>
    <protectedRange algorithmName="SHA-512" hashValue="NkG6oHuDGvGBEiLAAq8MEJHEfLQUMyjihfH+DBXhT+eQW0r1yri7tOJEFRM9nbOejjjXiviq9RFo7KB7wF+xJA==" saltValue="bpjB0AAANu2X/PeR3eiFkA==" spinCount="100000" sqref="AM2011:AS2012" name="Rango2_88_65_1_18"/>
    <protectedRange algorithmName="SHA-512" hashValue="RQ91b7oAw60DVtcgB2vRpial2kSdzJx5guGCTYUwXYkKrtrUHfiYnLf9R+SNpYXlJDYpyEJLhcWwP0EqNN86dQ==" saltValue="W3RbH3zrcY9sy39xNwXNxg==" spinCount="100000" sqref="BV2011:BY2012" name="Rango2_88_99_2_18"/>
    <protectedRange algorithmName="SHA-512" hashValue="XZw03RosI/l0z9FxmTtF29EdZ7P+4+ybhqoaAAUmURojSR5XbGfjC4f2i8gMqfY+RI9JvfdCA6PSh9TduXfUxA==" saltValue="5TPtLq2WoiRSae/yaDPnTw==" spinCount="100000" sqref="BZ2011:CB2012 BR2011:BU2012" name="Rango2_99_10_19"/>
    <protectedRange algorithmName="SHA-512" hashValue="XZw03RosI/l0z9FxmTtF29EdZ7P+4+ybhqoaAAUmURojSR5XbGfjC4f2i8gMqfY+RI9JvfdCA6PSh9TduXfUxA==" saltValue="5TPtLq2WoiRSae/yaDPnTw==" spinCount="100000" sqref="CE2011:CF2012" name="Rango2_99_11_17"/>
    <protectedRange algorithmName="SHA-512" hashValue="XZw03RosI/l0z9FxmTtF29EdZ7P+4+ybhqoaAAUmURojSR5XbGfjC4f2i8gMqfY+RI9JvfdCA6PSh9TduXfUxA==" saltValue="5TPtLq2WoiRSae/yaDPnTw==" spinCount="100000" sqref="CJ2011:CK2012" name="Rango2_99_12_20"/>
    <protectedRange algorithmName="SHA-512" hashValue="XZw03RosI/l0z9FxmTtF29EdZ7P+4+ybhqoaAAUmURojSR5XbGfjC4f2i8gMqfY+RI9JvfdCA6PSh9TduXfUxA==" saltValue="5TPtLq2WoiRSae/yaDPnTw==" spinCount="100000" sqref="CP2011:CQ2012" name="Rango2_99_14_22"/>
    <protectedRange algorithmName="SHA-512" hashValue="XZw03RosI/l0z9FxmTtF29EdZ7P+4+ybhqoaAAUmURojSR5XbGfjC4f2i8gMqfY+RI9JvfdCA6PSh9TduXfUxA==" saltValue="5TPtLq2WoiRSae/yaDPnTw==" spinCount="100000" sqref="CS2011:CT2012" name="Rango2_99_15_21"/>
    <protectedRange algorithmName="SHA-512" hashValue="XZw03RosI/l0z9FxmTtF29EdZ7P+4+ybhqoaAAUmURojSR5XbGfjC4f2i8gMqfY+RI9JvfdCA6PSh9TduXfUxA==" saltValue="5TPtLq2WoiRSae/yaDPnTw==" spinCount="100000" sqref="DA2011:DN2012" name="Rango2_99_17_23"/>
    <protectedRange algorithmName="SHA-512" hashValue="XZw03RosI/l0z9FxmTtF29EdZ7P+4+ybhqoaAAUmURojSR5XbGfjC4f2i8gMqfY+RI9JvfdCA6PSh9TduXfUxA==" saltValue="5TPtLq2WoiRSae/yaDPnTw==" spinCount="100000" sqref="O2013" name="Rango2_99_2_22"/>
    <protectedRange algorithmName="SHA-512" hashValue="fPHvtIAf3pQeZUoAI9C2/vdXMHBpqqEq+67P5Ypyu4+9IWqs3yc9TZcMWQ0THLxUwqseQPyVvakuYFtCwJHsxA==" saltValue="QHIogSs2PrwAfdqa9PAOFQ==" spinCount="100000" sqref="AC2013" name="Rango2_88_5_5_1_18"/>
    <protectedRange algorithmName="SHA-512" hashValue="LEEeiU6pKqm7TAP46VGlz0q+evvFwpT/0iLpRuWuQ7MacbP0OGL1/FSmrIEOg2rb6M+Jla2bPbVWiGag27j87w==" saltValue="HEVt+pS5OloNDlqSnzGLLw==" spinCount="100000" sqref="AI2013" name="Rango2_8_7_1_21"/>
    <protectedRange algorithmName="SHA-512" hashValue="q2z5hEFmXS0v2chiPTC/VCoDWNlnhp+Xe6Ybfxe48vIsnB/KTJQxJv+pFUnCXfZ9T6vyJopuqFFNROfQTW/JUw==" saltValue="IctfdGJb5tOTpq+KPi9vww==" spinCount="100000" sqref="AE2013:AF2013" name="Rango2_88_39_1_20"/>
    <protectedRange algorithmName="SHA-512" hashValue="NUll9P9xh7KbSfMYpMxsRZLfDw/y/AzW2LSWlpXVscBDqiAxmzo71xjs+a2lh+jRa7pceOC849slke4+ZKx8LA==" saltValue="8qbkKpQ+CiQuLnqgShNvXA==" spinCount="100000" sqref="T2013" name="Rango2_88_6_1_19"/>
    <protectedRange algorithmName="SHA-512" hashValue="XZw03RosI/l0z9FxmTtF29EdZ7P+4+ybhqoaAAUmURojSR5XbGfjC4f2i8gMqfY+RI9JvfdCA6PSh9TduXfUxA==" saltValue="5TPtLq2WoiRSae/yaDPnTw==" spinCount="100000" sqref="R2013:S2013 U2013:AA2013" name="Rango2_99_4_23"/>
    <protectedRange algorithmName="SHA-512" hashValue="fMbmUM1DQ7FuAPRNvFL5mPdHUYjQnlLFhkuaxvHguaqR7aWyDxcmJs0jLYQfQKY+oyhsMb4Lew4VL6i7um3/ew==" saltValue="ydaTm0CeH8+/cYqoL/AMaQ==" spinCount="100000" sqref="AU2013 AW2013:AZ2013" name="Rango2_88_91_1_22"/>
    <protectedRange algorithmName="SHA-512" hashValue="CHipOQaT63FWw628cQcXXJRZlrbNZ7OgmnEbDx38UmmH7z19GRYEzXFiVOzHAy1OAaAbST7g2bHZHDKQp2qm3w==" saltValue="iRVuL+373yLHv0ZHzS9qog==" spinCount="100000" sqref="AL2013" name="Rango2_88_7_5_2_17"/>
    <protectedRange algorithmName="SHA-512" hashValue="NkG6oHuDGvGBEiLAAq8MEJHEfLQUMyjihfH+DBXhT+eQW0r1yri7tOJEFRM9nbOejjjXiviq9RFo7KB7wF+xJA==" saltValue="bpjB0AAANu2X/PeR3eiFkA==" spinCount="100000" sqref="AM2013:AS2013" name="Rango2_88_65_1_19"/>
    <protectedRange algorithmName="SHA-512" hashValue="RQ91b7oAw60DVtcgB2vRpial2kSdzJx5guGCTYUwXYkKrtrUHfiYnLf9R+SNpYXlJDYpyEJLhcWwP0EqNN86dQ==" saltValue="W3RbH3zrcY9sy39xNwXNxg==" spinCount="100000" sqref="BV2013:BY2013" name="Rango2_88_99_2_19"/>
    <protectedRange algorithmName="SHA-512" hashValue="XZw03RosI/l0z9FxmTtF29EdZ7P+4+ybhqoaAAUmURojSR5XbGfjC4f2i8gMqfY+RI9JvfdCA6PSh9TduXfUxA==" saltValue="5TPtLq2WoiRSae/yaDPnTw==" spinCount="100000" sqref="BZ2013:CB2013 BR2013:BU2013" name="Rango2_99_10_20"/>
    <protectedRange algorithmName="SHA-512" hashValue="XZw03RosI/l0z9FxmTtF29EdZ7P+4+ybhqoaAAUmURojSR5XbGfjC4f2i8gMqfY+RI9JvfdCA6PSh9TduXfUxA==" saltValue="5TPtLq2WoiRSae/yaDPnTw==" spinCount="100000" sqref="CE2013:CF2013" name="Rango2_99_11_18"/>
    <protectedRange algorithmName="SHA-512" hashValue="XZw03RosI/l0z9FxmTtF29EdZ7P+4+ybhqoaAAUmURojSR5XbGfjC4f2i8gMqfY+RI9JvfdCA6PSh9TduXfUxA==" saltValue="5TPtLq2WoiRSae/yaDPnTw==" spinCount="100000" sqref="CJ2013:CK2013" name="Rango2_99_12_21"/>
    <protectedRange algorithmName="SHA-512" hashValue="XZw03RosI/l0z9FxmTtF29EdZ7P+4+ybhqoaAAUmURojSR5XbGfjC4f2i8gMqfY+RI9JvfdCA6PSh9TduXfUxA==" saltValue="5TPtLq2WoiRSae/yaDPnTw==" spinCount="100000" sqref="CP2013:CQ2013" name="Rango2_99_14_23"/>
    <protectedRange algorithmName="SHA-512" hashValue="XZw03RosI/l0z9FxmTtF29EdZ7P+4+ybhqoaAAUmURojSR5XbGfjC4f2i8gMqfY+RI9JvfdCA6PSh9TduXfUxA==" saltValue="5TPtLq2WoiRSae/yaDPnTw==" spinCount="100000" sqref="CS2013:CT2013" name="Rango2_99_15_22"/>
    <protectedRange algorithmName="SHA-512" hashValue="XZw03RosI/l0z9FxmTtF29EdZ7P+4+ybhqoaAAUmURojSR5XbGfjC4f2i8gMqfY+RI9JvfdCA6PSh9TduXfUxA==" saltValue="5TPtLq2WoiRSae/yaDPnTw==" spinCount="100000" sqref="DA2013:DN2013" name="Rango2_99_17_24"/>
    <protectedRange algorithmName="SHA-512" hashValue="XZw03RosI/l0z9FxmTtF29EdZ7P+4+ybhqoaAAUmURojSR5XbGfjC4f2i8gMqfY+RI9JvfdCA6PSh9TduXfUxA==" saltValue="5TPtLq2WoiRSae/yaDPnTw==" spinCount="100000" sqref="O2014" name="Rango2_99_2_23"/>
    <protectedRange algorithmName="SHA-512" hashValue="fPHvtIAf3pQeZUoAI9C2/vdXMHBpqqEq+67P5Ypyu4+9IWqs3yc9TZcMWQ0THLxUwqseQPyVvakuYFtCwJHsxA==" saltValue="QHIogSs2PrwAfdqa9PAOFQ==" spinCount="100000" sqref="AC2014" name="Rango2_88_5_5_1_19"/>
    <protectedRange algorithmName="SHA-512" hashValue="LEEeiU6pKqm7TAP46VGlz0q+evvFwpT/0iLpRuWuQ7MacbP0OGL1/FSmrIEOg2rb6M+Jla2bPbVWiGag27j87w==" saltValue="HEVt+pS5OloNDlqSnzGLLw==" spinCount="100000" sqref="AI2014" name="Rango2_8_7_1_22"/>
    <protectedRange algorithmName="SHA-512" hashValue="q2z5hEFmXS0v2chiPTC/VCoDWNlnhp+Xe6Ybfxe48vIsnB/KTJQxJv+pFUnCXfZ9T6vyJopuqFFNROfQTW/JUw==" saltValue="IctfdGJb5tOTpq+KPi9vww==" spinCount="100000" sqref="AE2014:AF2014" name="Rango2_88_39_1_21"/>
    <protectedRange algorithmName="SHA-512" hashValue="NUll9P9xh7KbSfMYpMxsRZLfDw/y/AzW2LSWlpXVscBDqiAxmzo71xjs+a2lh+jRa7pceOC849slke4+ZKx8LA==" saltValue="8qbkKpQ+CiQuLnqgShNvXA==" spinCount="100000" sqref="T2014" name="Rango2_88_6_1_20"/>
    <protectedRange algorithmName="SHA-512" hashValue="XZw03RosI/l0z9FxmTtF29EdZ7P+4+ybhqoaAAUmURojSR5XbGfjC4f2i8gMqfY+RI9JvfdCA6PSh9TduXfUxA==" saltValue="5TPtLq2WoiRSae/yaDPnTw==" spinCount="100000" sqref="R2014:S2014 U2014:X2014 Z2014:AA2014" name="Rango2_99_4_24"/>
    <protectedRange algorithmName="SHA-512" hashValue="XZw03RosI/l0z9FxmTtF29EdZ7P+4+ybhqoaAAUmURojSR5XbGfjC4f2i8gMqfY+RI9JvfdCA6PSh9TduXfUxA==" saltValue="5TPtLq2WoiRSae/yaDPnTw==" spinCount="100000" sqref="Y2014" name="Rango2_99_2_5_1"/>
    <protectedRange algorithmName="SHA-512" hashValue="fMbmUM1DQ7FuAPRNvFL5mPdHUYjQnlLFhkuaxvHguaqR7aWyDxcmJs0jLYQfQKY+oyhsMb4Lew4VL6i7um3/ew==" saltValue="ydaTm0CeH8+/cYqoL/AMaQ==" spinCount="100000" sqref="AU2014 AW2014:AZ2014" name="Rango2_88_91_1_23"/>
    <protectedRange algorithmName="SHA-512" hashValue="CHipOQaT63FWw628cQcXXJRZlrbNZ7OgmnEbDx38UmmH7z19GRYEzXFiVOzHAy1OAaAbST7g2bHZHDKQp2qm3w==" saltValue="iRVuL+373yLHv0ZHzS9qog==" spinCount="100000" sqref="AL2014" name="Rango2_88_7_5_2_18"/>
    <protectedRange algorithmName="SHA-512" hashValue="NkG6oHuDGvGBEiLAAq8MEJHEfLQUMyjihfH+DBXhT+eQW0r1yri7tOJEFRM9nbOejjjXiviq9RFo7KB7wF+xJA==" saltValue="bpjB0AAANu2X/PeR3eiFkA==" spinCount="100000" sqref="AM2014:AS2014" name="Rango2_88_65_1_20"/>
    <protectedRange algorithmName="SHA-512" hashValue="RQ91b7oAw60DVtcgB2vRpial2kSdzJx5guGCTYUwXYkKrtrUHfiYnLf9R+SNpYXlJDYpyEJLhcWwP0EqNN86dQ==" saltValue="W3RbH3zrcY9sy39xNwXNxg==" spinCount="100000" sqref="BV2014:BY2014" name="Rango2_88_99_2_20"/>
    <protectedRange algorithmName="SHA-512" hashValue="XZw03RosI/l0z9FxmTtF29EdZ7P+4+ybhqoaAAUmURojSR5XbGfjC4f2i8gMqfY+RI9JvfdCA6PSh9TduXfUxA==" saltValue="5TPtLq2WoiRSae/yaDPnTw==" spinCount="100000" sqref="BZ2014:CB2014 BR2014:BU2014" name="Rango2_99_10_21"/>
    <protectedRange algorithmName="SHA-512" hashValue="XZw03RosI/l0z9FxmTtF29EdZ7P+4+ybhqoaAAUmURojSR5XbGfjC4f2i8gMqfY+RI9JvfdCA6PSh9TduXfUxA==" saltValue="5TPtLq2WoiRSae/yaDPnTw==" spinCount="100000" sqref="CE2014:CF2014" name="Rango2_99_11_19"/>
    <protectedRange algorithmName="SHA-512" hashValue="XZw03RosI/l0z9FxmTtF29EdZ7P+4+ybhqoaAAUmURojSR5XbGfjC4f2i8gMqfY+RI9JvfdCA6PSh9TduXfUxA==" saltValue="5TPtLq2WoiRSae/yaDPnTw==" spinCount="100000" sqref="CJ2014:CK2014" name="Rango2_99_12_22"/>
    <protectedRange algorithmName="SHA-512" hashValue="XZw03RosI/l0z9FxmTtF29EdZ7P+4+ybhqoaAAUmURojSR5XbGfjC4f2i8gMqfY+RI9JvfdCA6PSh9TduXfUxA==" saltValue="5TPtLq2WoiRSae/yaDPnTw==" spinCount="100000" sqref="CP2014:CQ2014" name="Rango2_99_14_24"/>
    <protectedRange algorithmName="SHA-512" hashValue="XZw03RosI/l0z9FxmTtF29EdZ7P+4+ybhqoaAAUmURojSR5XbGfjC4f2i8gMqfY+RI9JvfdCA6PSh9TduXfUxA==" saltValue="5TPtLq2WoiRSae/yaDPnTw==" spinCount="100000" sqref="CS2014:CT2014" name="Rango2_99_15_23"/>
    <protectedRange algorithmName="SHA-512" hashValue="XZw03RosI/l0z9FxmTtF29EdZ7P+4+ybhqoaAAUmURojSR5XbGfjC4f2i8gMqfY+RI9JvfdCA6PSh9TduXfUxA==" saltValue="5TPtLq2WoiRSae/yaDPnTw==" spinCount="100000" sqref="DA2014:DN2014" name="Rango2_99_17_25"/>
    <protectedRange algorithmName="SHA-512" hashValue="XZw03RosI/l0z9FxmTtF29EdZ7P+4+ybhqoaAAUmURojSR5XbGfjC4f2i8gMqfY+RI9JvfdCA6PSh9TduXfUxA==" saltValue="5TPtLq2WoiRSae/yaDPnTw==" spinCount="100000" sqref="O2015" name="Rango2_99_2_24"/>
    <protectedRange algorithmName="SHA-512" hashValue="fPHvtIAf3pQeZUoAI9C2/vdXMHBpqqEq+67P5Ypyu4+9IWqs3yc9TZcMWQ0THLxUwqseQPyVvakuYFtCwJHsxA==" saltValue="QHIogSs2PrwAfdqa9PAOFQ==" spinCount="100000" sqref="AC2015" name="Rango2_88_5_5_1_20"/>
    <protectedRange algorithmName="SHA-512" hashValue="LEEeiU6pKqm7TAP46VGlz0q+evvFwpT/0iLpRuWuQ7MacbP0OGL1/FSmrIEOg2rb6M+Jla2bPbVWiGag27j87w==" saltValue="HEVt+pS5OloNDlqSnzGLLw==" spinCount="100000" sqref="AI2015" name="Rango2_8_7_1_23"/>
    <protectedRange algorithmName="SHA-512" hashValue="q2z5hEFmXS0v2chiPTC/VCoDWNlnhp+Xe6Ybfxe48vIsnB/KTJQxJv+pFUnCXfZ9T6vyJopuqFFNROfQTW/JUw==" saltValue="IctfdGJb5tOTpq+KPi9vww==" spinCount="100000" sqref="AE2015:AF2015" name="Rango2_88_39_1_22"/>
    <protectedRange algorithmName="SHA-512" hashValue="NUll9P9xh7KbSfMYpMxsRZLfDw/y/AzW2LSWlpXVscBDqiAxmzo71xjs+a2lh+jRa7pceOC849slke4+ZKx8LA==" saltValue="8qbkKpQ+CiQuLnqgShNvXA==" spinCount="100000" sqref="T2015" name="Rango2_88_6_1_21"/>
    <protectedRange algorithmName="SHA-512" hashValue="XZw03RosI/l0z9FxmTtF29EdZ7P+4+ybhqoaAAUmURojSR5XbGfjC4f2i8gMqfY+RI9JvfdCA6PSh9TduXfUxA==" saltValue="5TPtLq2WoiRSae/yaDPnTw==" spinCount="100000" sqref="R2015:S2015 U2015:X2015 Z2015:AA2015" name="Rango2_99_4_25"/>
    <protectedRange algorithmName="SHA-512" hashValue="XZw03RosI/l0z9FxmTtF29EdZ7P+4+ybhqoaAAUmURojSR5XbGfjC4f2i8gMqfY+RI9JvfdCA6PSh9TduXfUxA==" saltValue="5TPtLq2WoiRSae/yaDPnTw==" spinCount="100000" sqref="Y2015" name="Rango2_99_2_3_1"/>
    <protectedRange algorithmName="SHA-512" hashValue="fMbmUM1DQ7FuAPRNvFL5mPdHUYjQnlLFhkuaxvHguaqR7aWyDxcmJs0jLYQfQKY+oyhsMb4Lew4VL6i7um3/ew==" saltValue="ydaTm0CeH8+/cYqoL/AMaQ==" spinCount="100000" sqref="AU2015 AW2015:AZ2015" name="Rango2_88_91_1_24"/>
    <protectedRange algorithmName="SHA-512" hashValue="CHipOQaT63FWw628cQcXXJRZlrbNZ7OgmnEbDx38UmmH7z19GRYEzXFiVOzHAy1OAaAbST7g2bHZHDKQp2qm3w==" saltValue="iRVuL+373yLHv0ZHzS9qog==" spinCount="100000" sqref="AL2015" name="Rango2_88_7_5_2_19"/>
    <protectedRange algorithmName="SHA-512" hashValue="NkG6oHuDGvGBEiLAAq8MEJHEfLQUMyjihfH+DBXhT+eQW0r1yri7tOJEFRM9nbOejjjXiviq9RFo7KB7wF+xJA==" saltValue="bpjB0AAANu2X/PeR3eiFkA==" spinCount="100000" sqref="AM2015:AS2015" name="Rango2_88_65_1_21"/>
    <protectedRange algorithmName="SHA-512" hashValue="RQ91b7oAw60DVtcgB2vRpial2kSdzJx5guGCTYUwXYkKrtrUHfiYnLf9R+SNpYXlJDYpyEJLhcWwP0EqNN86dQ==" saltValue="W3RbH3zrcY9sy39xNwXNxg==" spinCount="100000" sqref="BV2015:BY2015" name="Rango2_88_99_2_21"/>
    <protectedRange algorithmName="SHA-512" hashValue="XZw03RosI/l0z9FxmTtF29EdZ7P+4+ybhqoaAAUmURojSR5XbGfjC4f2i8gMqfY+RI9JvfdCA6PSh9TduXfUxA==" saltValue="5TPtLq2WoiRSae/yaDPnTw==" spinCount="100000" sqref="BZ2015:CB2015 BR2015:BU2015" name="Rango2_99_10_22"/>
    <protectedRange algorithmName="SHA-512" hashValue="XZw03RosI/l0z9FxmTtF29EdZ7P+4+ybhqoaAAUmURojSR5XbGfjC4f2i8gMqfY+RI9JvfdCA6PSh9TduXfUxA==" saltValue="5TPtLq2WoiRSae/yaDPnTw==" spinCount="100000" sqref="CE2015:CF2015" name="Rango2_99_11_20"/>
    <protectedRange algorithmName="SHA-512" hashValue="XZw03RosI/l0z9FxmTtF29EdZ7P+4+ybhqoaAAUmURojSR5XbGfjC4f2i8gMqfY+RI9JvfdCA6PSh9TduXfUxA==" saltValue="5TPtLq2WoiRSae/yaDPnTw==" spinCount="100000" sqref="CJ2015:CK2015" name="Rango2_99_12_23"/>
    <protectedRange algorithmName="SHA-512" hashValue="XZw03RosI/l0z9FxmTtF29EdZ7P+4+ybhqoaAAUmURojSR5XbGfjC4f2i8gMqfY+RI9JvfdCA6PSh9TduXfUxA==" saltValue="5TPtLq2WoiRSae/yaDPnTw==" spinCount="100000" sqref="CP2015:CQ2015" name="Rango2_99_14_25"/>
    <protectedRange algorithmName="SHA-512" hashValue="XZw03RosI/l0z9FxmTtF29EdZ7P+4+ybhqoaAAUmURojSR5XbGfjC4f2i8gMqfY+RI9JvfdCA6PSh9TduXfUxA==" saltValue="5TPtLq2WoiRSae/yaDPnTw==" spinCount="100000" sqref="CS2015:CT2015" name="Rango2_99_15_24"/>
    <protectedRange algorithmName="SHA-512" hashValue="XZw03RosI/l0z9FxmTtF29EdZ7P+4+ybhqoaAAUmURojSR5XbGfjC4f2i8gMqfY+RI9JvfdCA6PSh9TduXfUxA==" saltValue="5TPtLq2WoiRSae/yaDPnTw==" spinCount="100000" sqref="DA2015:DN2015" name="Rango2_99_17_26"/>
    <protectedRange algorithmName="SHA-512" hashValue="XZw03RosI/l0z9FxmTtF29EdZ7P+4+ybhqoaAAUmURojSR5XbGfjC4f2i8gMqfY+RI9JvfdCA6PSh9TduXfUxA==" saltValue="5TPtLq2WoiRSae/yaDPnTw==" spinCount="100000" sqref="O2016" name="Rango2_99_2_25"/>
    <protectedRange algorithmName="SHA-512" hashValue="fPHvtIAf3pQeZUoAI9C2/vdXMHBpqqEq+67P5Ypyu4+9IWqs3yc9TZcMWQ0THLxUwqseQPyVvakuYFtCwJHsxA==" saltValue="QHIogSs2PrwAfdqa9PAOFQ==" spinCount="100000" sqref="AC2016" name="Rango2_88_5_5_1_21"/>
    <protectedRange algorithmName="SHA-512" hashValue="LEEeiU6pKqm7TAP46VGlz0q+evvFwpT/0iLpRuWuQ7MacbP0OGL1/FSmrIEOg2rb6M+Jla2bPbVWiGag27j87w==" saltValue="HEVt+pS5OloNDlqSnzGLLw==" spinCount="100000" sqref="AI2016" name="Rango2_8_7_1_24"/>
    <protectedRange algorithmName="SHA-512" hashValue="q2z5hEFmXS0v2chiPTC/VCoDWNlnhp+Xe6Ybfxe48vIsnB/KTJQxJv+pFUnCXfZ9T6vyJopuqFFNROfQTW/JUw==" saltValue="IctfdGJb5tOTpq+KPi9vww==" spinCount="100000" sqref="AE2016:AF2016" name="Rango2_88_39_1_23"/>
    <protectedRange algorithmName="SHA-512" hashValue="NUll9P9xh7KbSfMYpMxsRZLfDw/y/AzW2LSWlpXVscBDqiAxmzo71xjs+a2lh+jRa7pceOC849slke4+ZKx8LA==" saltValue="8qbkKpQ+CiQuLnqgShNvXA==" spinCount="100000" sqref="T2016" name="Rango2_88_6_1_22"/>
    <protectedRange algorithmName="SHA-512" hashValue="XZw03RosI/l0z9FxmTtF29EdZ7P+4+ybhqoaAAUmURojSR5XbGfjC4f2i8gMqfY+RI9JvfdCA6PSh9TduXfUxA==" saltValue="5TPtLq2WoiRSae/yaDPnTw==" spinCount="100000" sqref="R2016:S2016 U2016:X2016 Z2016:AA2016" name="Rango2_99_4_26"/>
    <protectedRange algorithmName="SHA-512" hashValue="XZw03RosI/l0z9FxmTtF29EdZ7P+4+ybhqoaAAUmURojSR5XbGfjC4f2i8gMqfY+RI9JvfdCA6PSh9TduXfUxA==" saltValue="5TPtLq2WoiRSae/yaDPnTw==" spinCount="100000" sqref="Y2016" name="Rango2_99_5_8"/>
    <protectedRange algorithmName="SHA-512" hashValue="fMbmUM1DQ7FuAPRNvFL5mPdHUYjQnlLFhkuaxvHguaqR7aWyDxcmJs0jLYQfQKY+oyhsMb4Lew4VL6i7um3/ew==" saltValue="ydaTm0CeH8+/cYqoL/AMaQ==" spinCount="100000" sqref="AU2016 AW2016:AZ2016" name="Rango2_88_91_1_25"/>
    <protectedRange algorithmName="SHA-512" hashValue="CHipOQaT63FWw628cQcXXJRZlrbNZ7OgmnEbDx38UmmH7z19GRYEzXFiVOzHAy1OAaAbST7g2bHZHDKQp2qm3w==" saltValue="iRVuL+373yLHv0ZHzS9qog==" spinCount="100000" sqref="AL2016" name="Rango2_88_7_5_2_20"/>
    <protectedRange algorithmName="SHA-512" hashValue="NkG6oHuDGvGBEiLAAq8MEJHEfLQUMyjihfH+DBXhT+eQW0r1yri7tOJEFRM9nbOejjjXiviq9RFo7KB7wF+xJA==" saltValue="bpjB0AAANu2X/PeR3eiFkA==" spinCount="100000" sqref="AM2016:AS2016" name="Rango2_88_65_1_22"/>
    <protectedRange algorithmName="SHA-512" hashValue="RQ91b7oAw60DVtcgB2vRpial2kSdzJx5guGCTYUwXYkKrtrUHfiYnLf9R+SNpYXlJDYpyEJLhcWwP0EqNN86dQ==" saltValue="W3RbH3zrcY9sy39xNwXNxg==" spinCount="100000" sqref="BV2016:BY2016" name="Rango2_88_99_2_22"/>
    <protectedRange algorithmName="SHA-512" hashValue="XZw03RosI/l0z9FxmTtF29EdZ7P+4+ybhqoaAAUmURojSR5XbGfjC4f2i8gMqfY+RI9JvfdCA6PSh9TduXfUxA==" saltValue="5TPtLq2WoiRSae/yaDPnTw==" spinCount="100000" sqref="BZ2016:CB2016 BR2016:BU2016" name="Rango2_99_10_23"/>
    <protectedRange algorithmName="SHA-512" hashValue="XZw03RosI/l0z9FxmTtF29EdZ7P+4+ybhqoaAAUmURojSR5XbGfjC4f2i8gMqfY+RI9JvfdCA6PSh9TduXfUxA==" saltValue="5TPtLq2WoiRSae/yaDPnTw==" spinCount="100000" sqref="CE2016:CF2016" name="Rango2_99_11_21"/>
    <protectedRange algorithmName="SHA-512" hashValue="XZw03RosI/l0z9FxmTtF29EdZ7P+4+ybhqoaAAUmURojSR5XbGfjC4f2i8gMqfY+RI9JvfdCA6PSh9TduXfUxA==" saltValue="5TPtLq2WoiRSae/yaDPnTw==" spinCount="100000" sqref="CJ2016:CK2016" name="Rango2_99_12_24"/>
    <protectedRange algorithmName="SHA-512" hashValue="XZw03RosI/l0z9FxmTtF29EdZ7P+4+ybhqoaAAUmURojSR5XbGfjC4f2i8gMqfY+RI9JvfdCA6PSh9TduXfUxA==" saltValue="5TPtLq2WoiRSae/yaDPnTw==" spinCount="100000" sqref="CP2016:CQ2016" name="Rango2_99_14_26"/>
    <protectedRange algorithmName="SHA-512" hashValue="XZw03RosI/l0z9FxmTtF29EdZ7P+4+ybhqoaAAUmURojSR5XbGfjC4f2i8gMqfY+RI9JvfdCA6PSh9TduXfUxA==" saltValue="5TPtLq2WoiRSae/yaDPnTw==" spinCount="100000" sqref="CS2016:CT2016" name="Rango2_99_15_25"/>
    <protectedRange algorithmName="SHA-512" hashValue="XZw03RosI/l0z9FxmTtF29EdZ7P+4+ybhqoaAAUmURojSR5XbGfjC4f2i8gMqfY+RI9JvfdCA6PSh9TduXfUxA==" saltValue="5TPtLq2WoiRSae/yaDPnTw==" spinCount="100000" sqref="DA2016:DN2016" name="Rango2_99_17_27"/>
    <protectedRange algorithmName="SHA-512" hashValue="XZw03RosI/l0z9FxmTtF29EdZ7P+4+ybhqoaAAUmURojSR5XbGfjC4f2i8gMqfY+RI9JvfdCA6PSh9TduXfUxA==" saltValue="5TPtLq2WoiRSae/yaDPnTw==" spinCount="100000" sqref="O2017" name="Rango2_99_2_26"/>
    <protectedRange algorithmName="SHA-512" hashValue="fPHvtIAf3pQeZUoAI9C2/vdXMHBpqqEq+67P5Ypyu4+9IWqs3yc9TZcMWQ0THLxUwqseQPyVvakuYFtCwJHsxA==" saltValue="QHIogSs2PrwAfdqa9PAOFQ==" spinCount="100000" sqref="AC2017" name="Rango2_88_5_5_1_22"/>
    <protectedRange algorithmName="SHA-512" hashValue="LEEeiU6pKqm7TAP46VGlz0q+evvFwpT/0iLpRuWuQ7MacbP0OGL1/FSmrIEOg2rb6M+Jla2bPbVWiGag27j87w==" saltValue="HEVt+pS5OloNDlqSnzGLLw==" spinCount="100000" sqref="AI2017" name="Rango2_8_7_1_25"/>
    <protectedRange algorithmName="SHA-512" hashValue="q2z5hEFmXS0v2chiPTC/VCoDWNlnhp+Xe6Ybfxe48vIsnB/KTJQxJv+pFUnCXfZ9T6vyJopuqFFNROfQTW/JUw==" saltValue="IctfdGJb5tOTpq+KPi9vww==" spinCount="100000" sqref="AE2017:AF2017" name="Rango2_88_39_1_24"/>
    <protectedRange algorithmName="SHA-512" hashValue="NUll9P9xh7KbSfMYpMxsRZLfDw/y/AzW2LSWlpXVscBDqiAxmzo71xjs+a2lh+jRa7pceOC849slke4+ZKx8LA==" saltValue="8qbkKpQ+CiQuLnqgShNvXA==" spinCount="100000" sqref="T2017" name="Rango2_88_6_1_23"/>
    <protectedRange algorithmName="SHA-512" hashValue="XZw03RosI/l0z9FxmTtF29EdZ7P+4+ybhqoaAAUmURojSR5XbGfjC4f2i8gMqfY+RI9JvfdCA6PSh9TduXfUxA==" saltValue="5TPtLq2WoiRSae/yaDPnTw==" spinCount="100000" sqref="R2017:S2017 U2017:AA2017" name="Rango2_99_4_27"/>
    <protectedRange algorithmName="SHA-512" hashValue="fMbmUM1DQ7FuAPRNvFL5mPdHUYjQnlLFhkuaxvHguaqR7aWyDxcmJs0jLYQfQKY+oyhsMb4Lew4VL6i7um3/ew==" saltValue="ydaTm0CeH8+/cYqoL/AMaQ==" spinCount="100000" sqref="AU2017 AW2017:AZ2017" name="Rango2_88_91_1_26"/>
    <protectedRange algorithmName="SHA-512" hashValue="CHipOQaT63FWw628cQcXXJRZlrbNZ7OgmnEbDx38UmmH7z19GRYEzXFiVOzHAy1OAaAbST7g2bHZHDKQp2qm3w==" saltValue="iRVuL+373yLHv0ZHzS9qog==" spinCount="100000" sqref="AL2017" name="Rango2_88_7_5_2_21"/>
    <protectedRange algorithmName="SHA-512" hashValue="NkG6oHuDGvGBEiLAAq8MEJHEfLQUMyjihfH+DBXhT+eQW0r1yri7tOJEFRM9nbOejjjXiviq9RFo7KB7wF+xJA==" saltValue="bpjB0AAANu2X/PeR3eiFkA==" spinCount="100000" sqref="AM2017:AS2017" name="Rango2_88_65_1_23"/>
    <protectedRange algorithmName="SHA-512" hashValue="RQ91b7oAw60DVtcgB2vRpial2kSdzJx5guGCTYUwXYkKrtrUHfiYnLf9R+SNpYXlJDYpyEJLhcWwP0EqNN86dQ==" saltValue="W3RbH3zrcY9sy39xNwXNxg==" spinCount="100000" sqref="BV2017:BY2017" name="Rango2_88_99_2_23"/>
    <protectedRange algorithmName="SHA-512" hashValue="XZw03RosI/l0z9FxmTtF29EdZ7P+4+ybhqoaAAUmURojSR5XbGfjC4f2i8gMqfY+RI9JvfdCA6PSh9TduXfUxA==" saltValue="5TPtLq2WoiRSae/yaDPnTw==" spinCount="100000" sqref="BZ2017:CB2017 BR2017:BU2017" name="Rango2_99_10_24"/>
    <protectedRange algorithmName="SHA-512" hashValue="XZw03RosI/l0z9FxmTtF29EdZ7P+4+ybhqoaAAUmURojSR5XbGfjC4f2i8gMqfY+RI9JvfdCA6PSh9TduXfUxA==" saltValue="5TPtLq2WoiRSae/yaDPnTw==" spinCount="100000" sqref="CE2017:CF2017" name="Rango2_99_11_22"/>
    <protectedRange algorithmName="SHA-512" hashValue="XZw03RosI/l0z9FxmTtF29EdZ7P+4+ybhqoaAAUmURojSR5XbGfjC4f2i8gMqfY+RI9JvfdCA6PSh9TduXfUxA==" saltValue="5TPtLq2WoiRSae/yaDPnTw==" spinCount="100000" sqref="CJ2017:CK2017" name="Rango2_99_12_25"/>
    <protectedRange algorithmName="SHA-512" hashValue="XZw03RosI/l0z9FxmTtF29EdZ7P+4+ybhqoaAAUmURojSR5XbGfjC4f2i8gMqfY+RI9JvfdCA6PSh9TduXfUxA==" saltValue="5TPtLq2WoiRSae/yaDPnTw==" spinCount="100000" sqref="CP2017:CQ2017" name="Rango2_99_14_27"/>
    <protectedRange algorithmName="SHA-512" hashValue="XZw03RosI/l0z9FxmTtF29EdZ7P+4+ybhqoaAAUmURojSR5XbGfjC4f2i8gMqfY+RI9JvfdCA6PSh9TduXfUxA==" saltValue="5TPtLq2WoiRSae/yaDPnTw==" spinCount="100000" sqref="CS2017:CT2017" name="Rango2_99_15_26"/>
    <protectedRange algorithmName="SHA-512" hashValue="XZw03RosI/l0z9FxmTtF29EdZ7P+4+ybhqoaAAUmURojSR5XbGfjC4f2i8gMqfY+RI9JvfdCA6PSh9TduXfUxA==" saltValue="5TPtLq2WoiRSae/yaDPnTw==" spinCount="100000" sqref="DA2017:DN2017" name="Rango2_99_17_28"/>
    <protectedRange algorithmName="SHA-512" hashValue="XZw03RosI/l0z9FxmTtF29EdZ7P+4+ybhqoaAAUmURojSR5XbGfjC4f2i8gMqfY+RI9JvfdCA6PSh9TduXfUxA==" saltValue="5TPtLq2WoiRSae/yaDPnTw==" spinCount="100000" sqref="O2018" name="Rango2_99_2_27"/>
    <protectedRange algorithmName="SHA-512" hashValue="fPHvtIAf3pQeZUoAI9C2/vdXMHBpqqEq+67P5Ypyu4+9IWqs3yc9TZcMWQ0THLxUwqseQPyVvakuYFtCwJHsxA==" saltValue="QHIogSs2PrwAfdqa9PAOFQ==" spinCount="100000" sqref="AC2018" name="Rango2_88_5_5_1_23"/>
    <protectedRange algorithmName="SHA-512" hashValue="LEEeiU6pKqm7TAP46VGlz0q+evvFwpT/0iLpRuWuQ7MacbP0OGL1/FSmrIEOg2rb6M+Jla2bPbVWiGag27j87w==" saltValue="HEVt+pS5OloNDlqSnzGLLw==" spinCount="100000" sqref="AI2018" name="Rango2_8_7_1_26"/>
    <protectedRange algorithmName="SHA-512" hashValue="q2z5hEFmXS0v2chiPTC/VCoDWNlnhp+Xe6Ybfxe48vIsnB/KTJQxJv+pFUnCXfZ9T6vyJopuqFFNROfQTW/JUw==" saltValue="IctfdGJb5tOTpq+KPi9vww==" spinCount="100000" sqref="AE2018:AF2018" name="Rango2_88_39_1_25"/>
    <protectedRange algorithmName="SHA-512" hashValue="NUll9P9xh7KbSfMYpMxsRZLfDw/y/AzW2LSWlpXVscBDqiAxmzo71xjs+a2lh+jRa7pceOC849slke4+ZKx8LA==" saltValue="8qbkKpQ+CiQuLnqgShNvXA==" spinCount="100000" sqref="T2018" name="Rango2_88_6_1_24"/>
    <protectedRange algorithmName="SHA-512" hashValue="XZw03RosI/l0z9FxmTtF29EdZ7P+4+ybhqoaAAUmURojSR5XbGfjC4f2i8gMqfY+RI9JvfdCA6PSh9TduXfUxA==" saltValue="5TPtLq2WoiRSae/yaDPnTw==" spinCount="100000" sqref="R2018:S2018 U2018:X2018 Z2018:AA2018" name="Rango2_99_4_28"/>
    <protectedRange algorithmName="SHA-512" hashValue="XZw03RosI/l0z9FxmTtF29EdZ7P+4+ybhqoaAAUmURojSR5XbGfjC4f2i8gMqfY+RI9JvfdCA6PSh9TduXfUxA==" saltValue="5TPtLq2WoiRSae/yaDPnTw==" spinCount="100000" sqref="Y2018" name="Rango2_99_3_1_1"/>
    <protectedRange algorithmName="SHA-512" hashValue="fMbmUM1DQ7FuAPRNvFL5mPdHUYjQnlLFhkuaxvHguaqR7aWyDxcmJs0jLYQfQKY+oyhsMb4Lew4VL6i7um3/ew==" saltValue="ydaTm0CeH8+/cYqoL/AMaQ==" spinCount="100000" sqref="AU2018 AW2018:AZ2018" name="Rango2_88_91_1_27"/>
    <protectedRange algorithmName="SHA-512" hashValue="CHipOQaT63FWw628cQcXXJRZlrbNZ7OgmnEbDx38UmmH7z19GRYEzXFiVOzHAy1OAaAbST7g2bHZHDKQp2qm3w==" saltValue="iRVuL+373yLHv0ZHzS9qog==" spinCount="100000" sqref="AL2018" name="Rango2_88_7_5_2_22"/>
    <protectedRange algorithmName="SHA-512" hashValue="NkG6oHuDGvGBEiLAAq8MEJHEfLQUMyjihfH+DBXhT+eQW0r1yri7tOJEFRM9nbOejjjXiviq9RFo7KB7wF+xJA==" saltValue="bpjB0AAANu2X/PeR3eiFkA==" spinCount="100000" sqref="AM2018:AS2018" name="Rango2_88_65_1_24"/>
    <protectedRange algorithmName="SHA-512" hashValue="RQ91b7oAw60DVtcgB2vRpial2kSdzJx5guGCTYUwXYkKrtrUHfiYnLf9R+SNpYXlJDYpyEJLhcWwP0EqNN86dQ==" saltValue="W3RbH3zrcY9sy39xNwXNxg==" spinCount="100000" sqref="BV2018:BY2018" name="Rango2_88_99_2_24"/>
    <protectedRange algorithmName="SHA-512" hashValue="XZw03RosI/l0z9FxmTtF29EdZ7P+4+ybhqoaAAUmURojSR5XbGfjC4f2i8gMqfY+RI9JvfdCA6PSh9TduXfUxA==" saltValue="5TPtLq2WoiRSae/yaDPnTw==" spinCount="100000" sqref="BZ2018:CB2018 BR2018:BU2018" name="Rango2_99_10_25"/>
    <protectedRange algorithmName="SHA-512" hashValue="XZw03RosI/l0z9FxmTtF29EdZ7P+4+ybhqoaAAUmURojSR5XbGfjC4f2i8gMqfY+RI9JvfdCA6PSh9TduXfUxA==" saltValue="5TPtLq2WoiRSae/yaDPnTw==" spinCount="100000" sqref="CE2018:CF2018" name="Rango2_99_11_23"/>
    <protectedRange algorithmName="SHA-512" hashValue="XZw03RosI/l0z9FxmTtF29EdZ7P+4+ybhqoaAAUmURojSR5XbGfjC4f2i8gMqfY+RI9JvfdCA6PSh9TduXfUxA==" saltValue="5TPtLq2WoiRSae/yaDPnTw==" spinCount="100000" sqref="CJ2018:CK2018" name="Rango2_99_12_26"/>
    <protectedRange algorithmName="SHA-512" hashValue="XZw03RosI/l0z9FxmTtF29EdZ7P+4+ybhqoaAAUmURojSR5XbGfjC4f2i8gMqfY+RI9JvfdCA6PSh9TduXfUxA==" saltValue="5TPtLq2WoiRSae/yaDPnTw==" spinCount="100000" sqref="CP2018:CQ2018" name="Rango2_99_14_28"/>
    <protectedRange algorithmName="SHA-512" hashValue="XZw03RosI/l0z9FxmTtF29EdZ7P+4+ybhqoaAAUmURojSR5XbGfjC4f2i8gMqfY+RI9JvfdCA6PSh9TduXfUxA==" saltValue="5TPtLq2WoiRSae/yaDPnTw==" spinCount="100000" sqref="CS2018:CT2018" name="Rango2_99_15_27"/>
    <protectedRange algorithmName="SHA-512" hashValue="XZw03RosI/l0z9FxmTtF29EdZ7P+4+ybhqoaAAUmURojSR5XbGfjC4f2i8gMqfY+RI9JvfdCA6PSh9TduXfUxA==" saltValue="5TPtLq2WoiRSae/yaDPnTw==" spinCount="100000" sqref="DA2018:DN2018" name="Rango2_99_17_29"/>
    <protectedRange algorithmName="SHA-512" hashValue="XZw03RosI/l0z9FxmTtF29EdZ7P+4+ybhqoaAAUmURojSR5XbGfjC4f2i8gMqfY+RI9JvfdCA6PSh9TduXfUxA==" saltValue="5TPtLq2WoiRSae/yaDPnTw==" spinCount="100000" sqref="O2019:O2020" name="Rango2_99_2_28"/>
    <protectedRange algorithmName="SHA-512" hashValue="fPHvtIAf3pQeZUoAI9C2/vdXMHBpqqEq+67P5Ypyu4+9IWqs3yc9TZcMWQ0THLxUwqseQPyVvakuYFtCwJHsxA==" saltValue="QHIogSs2PrwAfdqa9PAOFQ==" spinCount="100000" sqref="AC2019:AC2020" name="Rango2_88_5_5_1_24"/>
    <protectedRange algorithmName="SHA-512" hashValue="LEEeiU6pKqm7TAP46VGlz0q+evvFwpT/0iLpRuWuQ7MacbP0OGL1/FSmrIEOg2rb6M+Jla2bPbVWiGag27j87w==" saltValue="HEVt+pS5OloNDlqSnzGLLw==" spinCount="100000" sqref="AI2019:AI2020" name="Rango2_8_7_1_27"/>
    <protectedRange algorithmName="SHA-512" hashValue="q2z5hEFmXS0v2chiPTC/VCoDWNlnhp+Xe6Ybfxe48vIsnB/KTJQxJv+pFUnCXfZ9T6vyJopuqFFNROfQTW/JUw==" saltValue="IctfdGJb5tOTpq+KPi9vww==" spinCount="100000" sqref="AE2019:AF2020" name="Rango2_88_39_1_26"/>
    <protectedRange algorithmName="SHA-512" hashValue="NUll9P9xh7KbSfMYpMxsRZLfDw/y/AzW2LSWlpXVscBDqiAxmzo71xjs+a2lh+jRa7pceOC849slke4+ZKx8LA==" saltValue="8qbkKpQ+CiQuLnqgShNvXA==" spinCount="100000" sqref="T2019:T2020" name="Rango2_88_6_1_25"/>
    <protectedRange algorithmName="SHA-512" hashValue="XZw03RosI/l0z9FxmTtF29EdZ7P+4+ybhqoaAAUmURojSR5XbGfjC4f2i8gMqfY+RI9JvfdCA6PSh9TduXfUxA==" saltValue="5TPtLq2WoiRSae/yaDPnTw==" spinCount="100000" sqref="R2019:S2020 U2019:X2019 Z2019:AA2019 U2020:AA2020" name="Rango2_99_4_29"/>
    <protectedRange algorithmName="SHA-512" hashValue="XZw03RosI/l0z9FxmTtF29EdZ7P+4+ybhqoaAAUmURojSR5XbGfjC4f2i8gMqfY+RI9JvfdCA6PSh9TduXfUxA==" saltValue="5TPtLq2WoiRSae/yaDPnTw==" spinCount="100000" sqref="Y2019" name="Rango2_99_8_8"/>
    <protectedRange algorithmName="SHA-512" hashValue="fMbmUM1DQ7FuAPRNvFL5mPdHUYjQnlLFhkuaxvHguaqR7aWyDxcmJs0jLYQfQKY+oyhsMb4Lew4VL6i7um3/ew==" saltValue="ydaTm0CeH8+/cYqoL/AMaQ==" spinCount="100000" sqref="AU2019:AU2020 AW2019:AZ2020" name="Rango2_88_91_1_28"/>
    <protectedRange algorithmName="SHA-512" hashValue="CHipOQaT63FWw628cQcXXJRZlrbNZ7OgmnEbDx38UmmH7z19GRYEzXFiVOzHAy1OAaAbST7g2bHZHDKQp2qm3w==" saltValue="iRVuL+373yLHv0ZHzS9qog==" spinCount="100000" sqref="AL2019:AL2020" name="Rango2_88_7_5_2_23"/>
    <protectedRange algorithmName="SHA-512" hashValue="NkG6oHuDGvGBEiLAAq8MEJHEfLQUMyjihfH+DBXhT+eQW0r1yri7tOJEFRM9nbOejjjXiviq9RFo7KB7wF+xJA==" saltValue="bpjB0AAANu2X/PeR3eiFkA==" spinCount="100000" sqref="AM2019:AS2020" name="Rango2_88_65_1_25"/>
    <protectedRange algorithmName="SHA-512" hashValue="RQ91b7oAw60DVtcgB2vRpial2kSdzJx5guGCTYUwXYkKrtrUHfiYnLf9R+SNpYXlJDYpyEJLhcWwP0EqNN86dQ==" saltValue="W3RbH3zrcY9sy39xNwXNxg==" spinCount="100000" sqref="BV2019:BY2020" name="Rango2_88_99_2_25"/>
    <protectedRange algorithmName="SHA-512" hashValue="XZw03RosI/l0z9FxmTtF29EdZ7P+4+ybhqoaAAUmURojSR5XbGfjC4f2i8gMqfY+RI9JvfdCA6PSh9TduXfUxA==" saltValue="5TPtLq2WoiRSae/yaDPnTw==" spinCount="100000" sqref="BZ2019:CB2020 BR2019:BU2020" name="Rango2_99_10_26"/>
    <protectedRange algorithmName="SHA-512" hashValue="XZw03RosI/l0z9FxmTtF29EdZ7P+4+ybhqoaAAUmURojSR5XbGfjC4f2i8gMqfY+RI9JvfdCA6PSh9TduXfUxA==" saltValue="5TPtLq2WoiRSae/yaDPnTw==" spinCount="100000" sqref="CE2019:CF2020" name="Rango2_99_11_24"/>
    <protectedRange algorithmName="SHA-512" hashValue="XZw03RosI/l0z9FxmTtF29EdZ7P+4+ybhqoaAAUmURojSR5XbGfjC4f2i8gMqfY+RI9JvfdCA6PSh9TduXfUxA==" saltValue="5TPtLq2WoiRSae/yaDPnTw==" spinCount="100000" sqref="CJ2019:CK2020" name="Rango2_99_12_27"/>
    <protectedRange algorithmName="SHA-512" hashValue="XZw03RosI/l0z9FxmTtF29EdZ7P+4+ybhqoaAAUmURojSR5XbGfjC4f2i8gMqfY+RI9JvfdCA6PSh9TduXfUxA==" saltValue="5TPtLq2WoiRSae/yaDPnTw==" spinCount="100000" sqref="CP2019:CQ2020" name="Rango2_99_14_29"/>
    <protectedRange algorithmName="SHA-512" hashValue="XZw03RosI/l0z9FxmTtF29EdZ7P+4+ybhqoaAAUmURojSR5XbGfjC4f2i8gMqfY+RI9JvfdCA6PSh9TduXfUxA==" saltValue="5TPtLq2WoiRSae/yaDPnTw==" spinCount="100000" sqref="CS2019:CT2020" name="Rango2_99_15_28"/>
    <protectedRange algorithmName="SHA-512" hashValue="XZw03RosI/l0z9FxmTtF29EdZ7P+4+ybhqoaAAUmURojSR5XbGfjC4f2i8gMqfY+RI9JvfdCA6PSh9TduXfUxA==" saltValue="5TPtLq2WoiRSae/yaDPnTw==" spinCount="100000" sqref="DA2019:DN2020" name="Rango2_99_17_30"/>
    <protectedRange algorithmName="SHA-512" hashValue="XZw03RosI/l0z9FxmTtF29EdZ7P+4+ybhqoaAAUmURojSR5XbGfjC4f2i8gMqfY+RI9JvfdCA6PSh9TduXfUxA==" saltValue="5TPtLq2WoiRSae/yaDPnTw==" spinCount="100000" sqref="O2021:O2029" name="Rango2_99_2_29"/>
    <protectedRange algorithmName="SHA-512" hashValue="fPHvtIAf3pQeZUoAI9C2/vdXMHBpqqEq+67P5Ypyu4+9IWqs3yc9TZcMWQ0THLxUwqseQPyVvakuYFtCwJHsxA==" saltValue="QHIogSs2PrwAfdqa9PAOFQ==" spinCount="100000" sqref="AC2021:AC2029" name="Rango2_88_5_5_1_25"/>
    <protectedRange algorithmName="SHA-512" hashValue="LEEeiU6pKqm7TAP46VGlz0q+evvFwpT/0iLpRuWuQ7MacbP0OGL1/FSmrIEOg2rb6M+Jla2bPbVWiGag27j87w==" saltValue="HEVt+pS5OloNDlqSnzGLLw==" spinCount="100000" sqref="AI2021:AI2029" name="Rango2_8_7_1_28"/>
    <protectedRange algorithmName="SHA-512" hashValue="q2z5hEFmXS0v2chiPTC/VCoDWNlnhp+Xe6Ybfxe48vIsnB/KTJQxJv+pFUnCXfZ9T6vyJopuqFFNROfQTW/JUw==" saltValue="IctfdGJb5tOTpq+KPi9vww==" spinCount="100000" sqref="AE2021:AF2029" name="Rango2_88_39_1_27"/>
    <protectedRange algorithmName="SHA-512" hashValue="NUll9P9xh7KbSfMYpMxsRZLfDw/y/AzW2LSWlpXVscBDqiAxmzo71xjs+a2lh+jRa7pceOC849slke4+ZKx8LA==" saltValue="8qbkKpQ+CiQuLnqgShNvXA==" spinCount="100000" sqref="T2021:T2029" name="Rango2_88_6_1_26"/>
    <protectedRange algorithmName="SHA-512" hashValue="XZw03RosI/l0z9FxmTtF29EdZ7P+4+ybhqoaAAUmURojSR5XbGfjC4f2i8gMqfY+RI9JvfdCA6PSh9TduXfUxA==" saltValue="5TPtLq2WoiRSae/yaDPnTw==" spinCount="100000" sqref="R2021:S2029 U2021:AA2029" name="Rango2_99_4_30"/>
    <protectedRange algorithmName="SHA-512" hashValue="fMbmUM1DQ7FuAPRNvFL5mPdHUYjQnlLFhkuaxvHguaqR7aWyDxcmJs0jLYQfQKY+oyhsMb4Lew4VL6i7um3/ew==" saltValue="ydaTm0CeH8+/cYqoL/AMaQ==" spinCount="100000" sqref="AU2021:AU2029 AW2021:AZ2029" name="Rango2_88_91_1_29"/>
    <protectedRange algorithmName="SHA-512" hashValue="CHipOQaT63FWw628cQcXXJRZlrbNZ7OgmnEbDx38UmmH7z19GRYEzXFiVOzHAy1OAaAbST7g2bHZHDKQp2qm3w==" saltValue="iRVuL+373yLHv0ZHzS9qog==" spinCount="100000" sqref="AL2021:AL2029" name="Rango2_88_7_5_2_24"/>
    <protectedRange algorithmName="SHA-512" hashValue="NkG6oHuDGvGBEiLAAq8MEJHEfLQUMyjihfH+DBXhT+eQW0r1yri7tOJEFRM9nbOejjjXiviq9RFo7KB7wF+xJA==" saltValue="bpjB0AAANu2X/PeR3eiFkA==" spinCount="100000" sqref="AM2021:AS2029" name="Rango2_88_65_1_26"/>
    <protectedRange algorithmName="SHA-512" hashValue="RQ91b7oAw60DVtcgB2vRpial2kSdzJx5guGCTYUwXYkKrtrUHfiYnLf9R+SNpYXlJDYpyEJLhcWwP0EqNN86dQ==" saltValue="W3RbH3zrcY9sy39xNwXNxg==" spinCount="100000" sqref="BV2021:BY2029" name="Rango2_88_99_2_26"/>
    <protectedRange algorithmName="SHA-512" hashValue="XZw03RosI/l0z9FxmTtF29EdZ7P+4+ybhqoaAAUmURojSR5XbGfjC4f2i8gMqfY+RI9JvfdCA6PSh9TduXfUxA==" saltValue="5TPtLq2WoiRSae/yaDPnTw==" spinCount="100000" sqref="BZ2021:CB2029 BR2021:BU2029" name="Rango2_99_10_27"/>
    <protectedRange algorithmName="SHA-512" hashValue="XZw03RosI/l0z9FxmTtF29EdZ7P+4+ybhqoaAAUmURojSR5XbGfjC4f2i8gMqfY+RI9JvfdCA6PSh9TduXfUxA==" saltValue="5TPtLq2WoiRSae/yaDPnTw==" spinCount="100000" sqref="CE2021:CF2029" name="Rango2_99_11_25"/>
    <protectedRange algorithmName="SHA-512" hashValue="XZw03RosI/l0z9FxmTtF29EdZ7P+4+ybhqoaAAUmURojSR5XbGfjC4f2i8gMqfY+RI9JvfdCA6PSh9TduXfUxA==" saltValue="5TPtLq2WoiRSae/yaDPnTw==" spinCount="100000" sqref="CJ2021:CK2029" name="Rango2_99_12_28"/>
    <protectedRange algorithmName="SHA-512" hashValue="XZw03RosI/l0z9FxmTtF29EdZ7P+4+ybhqoaAAUmURojSR5XbGfjC4f2i8gMqfY+RI9JvfdCA6PSh9TduXfUxA==" saltValue="5TPtLq2WoiRSae/yaDPnTw==" spinCount="100000" sqref="CP2021:CQ2029" name="Rango2_99_14_30"/>
    <protectedRange algorithmName="SHA-512" hashValue="XZw03RosI/l0z9FxmTtF29EdZ7P+4+ybhqoaAAUmURojSR5XbGfjC4f2i8gMqfY+RI9JvfdCA6PSh9TduXfUxA==" saltValue="5TPtLq2WoiRSae/yaDPnTw==" spinCount="100000" sqref="CS2021:CT2029" name="Rango2_99_15_29"/>
    <protectedRange algorithmName="SHA-512" hashValue="XZw03RosI/l0z9FxmTtF29EdZ7P+4+ybhqoaAAUmURojSR5XbGfjC4f2i8gMqfY+RI9JvfdCA6PSh9TduXfUxA==" saltValue="5TPtLq2WoiRSae/yaDPnTw==" spinCount="100000" sqref="DA2021:DN2029" name="Rango2_99_17_31"/>
    <protectedRange algorithmName="SHA-512" hashValue="XZw03RosI/l0z9FxmTtF29EdZ7P+4+ybhqoaAAUmURojSR5XbGfjC4f2i8gMqfY+RI9JvfdCA6PSh9TduXfUxA==" saltValue="5TPtLq2WoiRSae/yaDPnTw==" spinCount="100000" sqref="O2030:O2031" name="Rango2_99_2_30"/>
    <protectedRange algorithmName="SHA-512" hashValue="fPHvtIAf3pQeZUoAI9C2/vdXMHBpqqEq+67P5Ypyu4+9IWqs3yc9TZcMWQ0THLxUwqseQPyVvakuYFtCwJHsxA==" saltValue="QHIogSs2PrwAfdqa9PAOFQ==" spinCount="100000" sqref="AC2030:AC2031" name="Rango2_88_5_5_1_26"/>
    <protectedRange algorithmName="SHA-512" hashValue="LEEeiU6pKqm7TAP46VGlz0q+evvFwpT/0iLpRuWuQ7MacbP0OGL1/FSmrIEOg2rb6M+Jla2bPbVWiGag27j87w==" saltValue="HEVt+pS5OloNDlqSnzGLLw==" spinCount="100000" sqref="AI2030:AI2031" name="Rango2_8_7_1_29"/>
    <protectedRange algorithmName="SHA-512" hashValue="q2z5hEFmXS0v2chiPTC/VCoDWNlnhp+Xe6Ybfxe48vIsnB/KTJQxJv+pFUnCXfZ9T6vyJopuqFFNROfQTW/JUw==" saltValue="IctfdGJb5tOTpq+KPi9vww==" spinCount="100000" sqref="AE2030:AF2031" name="Rango2_88_39_1_28"/>
    <protectedRange algorithmName="SHA-512" hashValue="NUll9P9xh7KbSfMYpMxsRZLfDw/y/AzW2LSWlpXVscBDqiAxmzo71xjs+a2lh+jRa7pceOC849slke4+ZKx8LA==" saltValue="8qbkKpQ+CiQuLnqgShNvXA==" spinCount="100000" sqref="T2030:T2031" name="Rango2_88_6_1_27"/>
    <protectedRange algorithmName="SHA-512" hashValue="XZw03RosI/l0z9FxmTtF29EdZ7P+4+ybhqoaAAUmURojSR5XbGfjC4f2i8gMqfY+RI9JvfdCA6PSh9TduXfUxA==" saltValue="5TPtLq2WoiRSae/yaDPnTw==" spinCount="100000" sqref="R2030:S2031 U2030:AA2031" name="Rango2_99_4_31"/>
    <protectedRange algorithmName="SHA-512" hashValue="fMbmUM1DQ7FuAPRNvFL5mPdHUYjQnlLFhkuaxvHguaqR7aWyDxcmJs0jLYQfQKY+oyhsMb4Lew4VL6i7um3/ew==" saltValue="ydaTm0CeH8+/cYqoL/AMaQ==" spinCount="100000" sqref="AU2030:AU2031 AW2030:AZ2031" name="Rango2_88_91_1_30"/>
    <protectedRange algorithmName="SHA-512" hashValue="CHipOQaT63FWw628cQcXXJRZlrbNZ7OgmnEbDx38UmmH7z19GRYEzXFiVOzHAy1OAaAbST7g2bHZHDKQp2qm3w==" saltValue="iRVuL+373yLHv0ZHzS9qog==" spinCount="100000" sqref="AL2030:AL2031" name="Rango2_88_7_5_2_25"/>
    <protectedRange algorithmName="SHA-512" hashValue="NkG6oHuDGvGBEiLAAq8MEJHEfLQUMyjihfH+DBXhT+eQW0r1yri7tOJEFRM9nbOejjjXiviq9RFo7KB7wF+xJA==" saltValue="bpjB0AAANu2X/PeR3eiFkA==" spinCount="100000" sqref="AM2030:AS2031" name="Rango2_88_65_1_27"/>
    <protectedRange algorithmName="SHA-512" hashValue="RQ91b7oAw60DVtcgB2vRpial2kSdzJx5guGCTYUwXYkKrtrUHfiYnLf9R+SNpYXlJDYpyEJLhcWwP0EqNN86dQ==" saltValue="W3RbH3zrcY9sy39xNwXNxg==" spinCount="100000" sqref="BV2030:BY2031" name="Rango2_88_99_2_27"/>
    <protectedRange algorithmName="SHA-512" hashValue="XZw03RosI/l0z9FxmTtF29EdZ7P+4+ybhqoaAAUmURojSR5XbGfjC4f2i8gMqfY+RI9JvfdCA6PSh9TduXfUxA==" saltValue="5TPtLq2WoiRSae/yaDPnTw==" spinCount="100000" sqref="BZ2030:CB2031 BR2030:BU2031" name="Rango2_99_10_28"/>
    <protectedRange algorithmName="SHA-512" hashValue="XZw03RosI/l0z9FxmTtF29EdZ7P+4+ybhqoaAAUmURojSR5XbGfjC4f2i8gMqfY+RI9JvfdCA6PSh9TduXfUxA==" saltValue="5TPtLq2WoiRSae/yaDPnTw==" spinCount="100000" sqref="CE2030:CF2031" name="Rango2_99_11_26"/>
    <protectedRange algorithmName="SHA-512" hashValue="XZw03RosI/l0z9FxmTtF29EdZ7P+4+ybhqoaAAUmURojSR5XbGfjC4f2i8gMqfY+RI9JvfdCA6PSh9TduXfUxA==" saltValue="5TPtLq2WoiRSae/yaDPnTw==" spinCount="100000" sqref="CJ2030:CK2031" name="Rango2_99_12_29"/>
    <protectedRange algorithmName="SHA-512" hashValue="XZw03RosI/l0z9FxmTtF29EdZ7P+4+ybhqoaAAUmURojSR5XbGfjC4f2i8gMqfY+RI9JvfdCA6PSh9TduXfUxA==" saltValue="5TPtLq2WoiRSae/yaDPnTw==" spinCount="100000" sqref="CP2030:CQ2031" name="Rango2_99_14_31"/>
    <protectedRange algorithmName="SHA-512" hashValue="XZw03RosI/l0z9FxmTtF29EdZ7P+4+ybhqoaAAUmURojSR5XbGfjC4f2i8gMqfY+RI9JvfdCA6PSh9TduXfUxA==" saltValue="5TPtLq2WoiRSae/yaDPnTw==" spinCount="100000" sqref="CS2030:CT2031" name="Rango2_99_15_30"/>
    <protectedRange algorithmName="SHA-512" hashValue="XZw03RosI/l0z9FxmTtF29EdZ7P+4+ybhqoaAAUmURojSR5XbGfjC4f2i8gMqfY+RI9JvfdCA6PSh9TduXfUxA==" saltValue="5TPtLq2WoiRSae/yaDPnTw==" spinCount="100000" sqref="DA2030:DN2031" name="Rango2_99_17_32"/>
    <protectedRange algorithmName="SHA-512" hashValue="XZw03RosI/l0z9FxmTtF29EdZ7P+4+ybhqoaAAUmURojSR5XbGfjC4f2i8gMqfY+RI9JvfdCA6PSh9TduXfUxA==" saltValue="5TPtLq2WoiRSae/yaDPnTw==" spinCount="100000" sqref="O2032" name="Rango2_99_2_31"/>
    <protectedRange algorithmName="SHA-512" hashValue="fPHvtIAf3pQeZUoAI9C2/vdXMHBpqqEq+67P5Ypyu4+9IWqs3yc9TZcMWQ0THLxUwqseQPyVvakuYFtCwJHsxA==" saltValue="QHIogSs2PrwAfdqa9PAOFQ==" spinCount="100000" sqref="AC2032" name="Rango2_88_5_5_1_27"/>
    <protectedRange algorithmName="SHA-512" hashValue="LEEeiU6pKqm7TAP46VGlz0q+evvFwpT/0iLpRuWuQ7MacbP0OGL1/FSmrIEOg2rb6M+Jla2bPbVWiGag27j87w==" saltValue="HEVt+pS5OloNDlqSnzGLLw==" spinCount="100000" sqref="AI2032" name="Rango2_8_7_1_30"/>
    <protectedRange algorithmName="SHA-512" hashValue="q2z5hEFmXS0v2chiPTC/VCoDWNlnhp+Xe6Ybfxe48vIsnB/KTJQxJv+pFUnCXfZ9T6vyJopuqFFNROfQTW/JUw==" saltValue="IctfdGJb5tOTpq+KPi9vww==" spinCount="100000" sqref="AE2032:AF2032" name="Rango2_88_39_1_29"/>
    <protectedRange algorithmName="SHA-512" hashValue="NUll9P9xh7KbSfMYpMxsRZLfDw/y/AzW2LSWlpXVscBDqiAxmzo71xjs+a2lh+jRa7pceOC849slke4+ZKx8LA==" saltValue="8qbkKpQ+CiQuLnqgShNvXA==" spinCount="100000" sqref="T2032" name="Rango2_88_6_1_28"/>
    <protectedRange algorithmName="SHA-512" hashValue="KHhv3JU/LRdRrRTxxkgFceEHPZ5UzadmpZRZR3zmQRnPvkUJZuanRafIJ+qde0IWwLZSvFIQDyUAHq6v6k7XIg==" saltValue="2GKG1kCzVNNcn+vbOPuhJA==" spinCount="100000" sqref="Q2032" name="Rango2_2_5_1_29"/>
    <protectedRange algorithmName="SHA-512" hashValue="XZw03RosI/l0z9FxmTtF29EdZ7P+4+ybhqoaAAUmURojSR5XbGfjC4f2i8gMqfY+RI9JvfdCA6PSh9TduXfUxA==" saltValue="5TPtLq2WoiRSae/yaDPnTw==" spinCount="100000" sqref="R2032:S2032 U2032:AA2032" name="Rango2_99_4_32"/>
    <protectedRange algorithmName="SHA-512" hashValue="fMbmUM1DQ7FuAPRNvFL5mPdHUYjQnlLFhkuaxvHguaqR7aWyDxcmJs0jLYQfQKY+oyhsMb4Lew4VL6i7um3/ew==" saltValue="ydaTm0CeH8+/cYqoL/AMaQ==" spinCount="100000" sqref="AU2032 AW2032:AZ2032" name="Rango2_88_91_1_31"/>
    <protectedRange algorithmName="SHA-512" hashValue="CHipOQaT63FWw628cQcXXJRZlrbNZ7OgmnEbDx38UmmH7z19GRYEzXFiVOzHAy1OAaAbST7g2bHZHDKQp2qm3w==" saltValue="iRVuL+373yLHv0ZHzS9qog==" spinCount="100000" sqref="AL2032" name="Rango2_88_7_5_2_26"/>
    <protectedRange algorithmName="SHA-512" hashValue="NkG6oHuDGvGBEiLAAq8MEJHEfLQUMyjihfH+DBXhT+eQW0r1yri7tOJEFRM9nbOejjjXiviq9RFo7KB7wF+xJA==" saltValue="bpjB0AAANu2X/PeR3eiFkA==" spinCount="100000" sqref="AM2032:AS2032" name="Rango2_88_65_1_28"/>
    <protectedRange algorithmName="SHA-512" hashValue="RQ91b7oAw60DVtcgB2vRpial2kSdzJx5guGCTYUwXYkKrtrUHfiYnLf9R+SNpYXlJDYpyEJLhcWwP0EqNN86dQ==" saltValue="W3RbH3zrcY9sy39xNwXNxg==" spinCount="100000" sqref="BV2032:BY2032" name="Rango2_88_99_2_28"/>
    <protectedRange algorithmName="SHA-512" hashValue="XZw03RosI/l0z9FxmTtF29EdZ7P+4+ybhqoaAAUmURojSR5XbGfjC4f2i8gMqfY+RI9JvfdCA6PSh9TduXfUxA==" saltValue="5TPtLq2WoiRSae/yaDPnTw==" spinCount="100000" sqref="BZ2032:CB2032 BR2032:BU2032" name="Rango2_99_10_29"/>
    <protectedRange algorithmName="SHA-512" hashValue="XZw03RosI/l0z9FxmTtF29EdZ7P+4+ybhqoaAAUmURojSR5XbGfjC4f2i8gMqfY+RI9JvfdCA6PSh9TduXfUxA==" saltValue="5TPtLq2WoiRSae/yaDPnTw==" spinCount="100000" sqref="CE2032:CF2032" name="Rango2_99_11_27"/>
    <protectedRange algorithmName="SHA-512" hashValue="XZw03RosI/l0z9FxmTtF29EdZ7P+4+ybhqoaAAUmURojSR5XbGfjC4f2i8gMqfY+RI9JvfdCA6PSh9TduXfUxA==" saltValue="5TPtLq2WoiRSae/yaDPnTw==" spinCount="100000" sqref="CJ2032:CK2032" name="Rango2_99_12_30"/>
    <protectedRange algorithmName="SHA-512" hashValue="XZw03RosI/l0z9FxmTtF29EdZ7P+4+ybhqoaAAUmURojSR5XbGfjC4f2i8gMqfY+RI9JvfdCA6PSh9TduXfUxA==" saltValue="5TPtLq2WoiRSae/yaDPnTw==" spinCount="100000" sqref="CP2032:CQ2032" name="Rango2_99_14_32"/>
    <protectedRange algorithmName="SHA-512" hashValue="XZw03RosI/l0z9FxmTtF29EdZ7P+4+ybhqoaAAUmURojSR5XbGfjC4f2i8gMqfY+RI9JvfdCA6PSh9TduXfUxA==" saltValue="5TPtLq2WoiRSae/yaDPnTw==" spinCount="100000" sqref="CS2032:CT2032" name="Rango2_99_15_31"/>
    <protectedRange algorithmName="SHA-512" hashValue="XZw03RosI/l0z9FxmTtF29EdZ7P+4+ybhqoaAAUmURojSR5XbGfjC4f2i8gMqfY+RI9JvfdCA6PSh9TduXfUxA==" saltValue="5TPtLq2WoiRSae/yaDPnTw==" spinCount="100000" sqref="DA2032:DN2032" name="Rango2_99_17_33"/>
    <protectedRange algorithmName="SHA-512" hashValue="XZw03RosI/l0z9FxmTtF29EdZ7P+4+ybhqoaAAUmURojSR5XbGfjC4f2i8gMqfY+RI9JvfdCA6PSh9TduXfUxA==" saltValue="5TPtLq2WoiRSae/yaDPnTw==" spinCount="100000" sqref="O2033:O2034" name="Rango2_99_2_32"/>
    <protectedRange algorithmName="SHA-512" hashValue="fPHvtIAf3pQeZUoAI9C2/vdXMHBpqqEq+67P5Ypyu4+9IWqs3yc9TZcMWQ0THLxUwqseQPyVvakuYFtCwJHsxA==" saltValue="QHIogSs2PrwAfdqa9PAOFQ==" spinCount="100000" sqref="AC2033:AC2034" name="Rango2_88_5_5_1_28"/>
    <protectedRange algorithmName="SHA-512" hashValue="LEEeiU6pKqm7TAP46VGlz0q+evvFwpT/0iLpRuWuQ7MacbP0OGL1/FSmrIEOg2rb6M+Jla2bPbVWiGag27j87w==" saltValue="HEVt+pS5OloNDlqSnzGLLw==" spinCount="100000" sqref="AI2033:AI2034" name="Rango2_8_7_1_31"/>
    <protectedRange algorithmName="SHA-512" hashValue="q2z5hEFmXS0v2chiPTC/VCoDWNlnhp+Xe6Ybfxe48vIsnB/KTJQxJv+pFUnCXfZ9T6vyJopuqFFNROfQTW/JUw==" saltValue="IctfdGJb5tOTpq+KPi9vww==" spinCount="100000" sqref="AE2033:AF2034" name="Rango2_88_39_1_30"/>
    <protectedRange algorithmName="SHA-512" hashValue="NUll9P9xh7KbSfMYpMxsRZLfDw/y/AzW2LSWlpXVscBDqiAxmzo71xjs+a2lh+jRa7pceOC849slke4+ZKx8LA==" saltValue="8qbkKpQ+CiQuLnqgShNvXA==" spinCount="100000" sqref="T2033:T2034" name="Rango2_88_6_1_29"/>
    <protectedRange algorithmName="SHA-512" hashValue="KHhv3JU/LRdRrRTxxkgFceEHPZ5UzadmpZRZR3zmQRnPvkUJZuanRafIJ+qde0IWwLZSvFIQDyUAHq6v6k7XIg==" saltValue="2GKG1kCzVNNcn+vbOPuhJA==" spinCount="100000" sqref="Q2033" name="Rango2_2_5_1_30"/>
    <protectedRange algorithmName="SHA-512" hashValue="XZw03RosI/l0z9FxmTtF29EdZ7P+4+ybhqoaAAUmURojSR5XbGfjC4f2i8gMqfY+RI9JvfdCA6PSh9TduXfUxA==" saltValue="5TPtLq2WoiRSae/yaDPnTw==" spinCount="100000" sqref="R2033:S2034 U2033:AA2034" name="Rango2_99_4_33"/>
    <protectedRange algorithmName="SHA-512" hashValue="fMbmUM1DQ7FuAPRNvFL5mPdHUYjQnlLFhkuaxvHguaqR7aWyDxcmJs0jLYQfQKY+oyhsMb4Lew4VL6i7um3/ew==" saltValue="ydaTm0CeH8+/cYqoL/AMaQ==" spinCount="100000" sqref="AU2033:AU2034 AW2033:AZ2034" name="Rango2_88_91_1_32"/>
    <protectedRange algorithmName="SHA-512" hashValue="CHipOQaT63FWw628cQcXXJRZlrbNZ7OgmnEbDx38UmmH7z19GRYEzXFiVOzHAy1OAaAbST7g2bHZHDKQp2qm3w==" saltValue="iRVuL+373yLHv0ZHzS9qog==" spinCount="100000" sqref="AL2033:AL2034" name="Rango2_88_7_5_2_27"/>
    <protectedRange algorithmName="SHA-512" hashValue="NkG6oHuDGvGBEiLAAq8MEJHEfLQUMyjihfH+DBXhT+eQW0r1yri7tOJEFRM9nbOejjjXiviq9RFo7KB7wF+xJA==" saltValue="bpjB0AAANu2X/PeR3eiFkA==" spinCount="100000" sqref="AM2033:AS2034" name="Rango2_88_65_1_29"/>
    <protectedRange algorithmName="SHA-512" hashValue="RQ91b7oAw60DVtcgB2vRpial2kSdzJx5guGCTYUwXYkKrtrUHfiYnLf9R+SNpYXlJDYpyEJLhcWwP0EqNN86dQ==" saltValue="W3RbH3zrcY9sy39xNwXNxg==" spinCount="100000" sqref="BV2033:BY2034" name="Rango2_88_99_2_29"/>
    <protectedRange algorithmName="SHA-512" hashValue="XZw03RosI/l0z9FxmTtF29EdZ7P+4+ybhqoaAAUmURojSR5XbGfjC4f2i8gMqfY+RI9JvfdCA6PSh9TduXfUxA==" saltValue="5TPtLq2WoiRSae/yaDPnTw==" spinCount="100000" sqref="BZ2033:CB2034 BR2033:BU2034" name="Rango2_99_10_30"/>
    <protectedRange algorithmName="SHA-512" hashValue="XZw03RosI/l0z9FxmTtF29EdZ7P+4+ybhqoaAAUmURojSR5XbGfjC4f2i8gMqfY+RI9JvfdCA6PSh9TduXfUxA==" saltValue="5TPtLq2WoiRSae/yaDPnTw==" spinCount="100000" sqref="CE2033:CF2034" name="Rango2_99_11_28"/>
    <protectedRange algorithmName="SHA-512" hashValue="XZw03RosI/l0z9FxmTtF29EdZ7P+4+ybhqoaAAUmURojSR5XbGfjC4f2i8gMqfY+RI9JvfdCA6PSh9TduXfUxA==" saltValue="5TPtLq2WoiRSae/yaDPnTw==" spinCount="100000" sqref="CJ2033:CK2034" name="Rango2_99_12_31"/>
    <protectedRange algorithmName="SHA-512" hashValue="XZw03RosI/l0z9FxmTtF29EdZ7P+4+ybhqoaAAUmURojSR5XbGfjC4f2i8gMqfY+RI9JvfdCA6PSh9TduXfUxA==" saltValue="5TPtLq2WoiRSae/yaDPnTw==" spinCount="100000" sqref="CP2033:CQ2034" name="Rango2_99_14_33"/>
    <protectedRange algorithmName="SHA-512" hashValue="XZw03RosI/l0z9FxmTtF29EdZ7P+4+ybhqoaAAUmURojSR5XbGfjC4f2i8gMqfY+RI9JvfdCA6PSh9TduXfUxA==" saltValue="5TPtLq2WoiRSae/yaDPnTw==" spinCount="100000" sqref="CS2033:CT2034" name="Rango2_99_15_32"/>
    <protectedRange algorithmName="SHA-512" hashValue="XZw03RosI/l0z9FxmTtF29EdZ7P+4+ybhqoaAAUmURojSR5XbGfjC4f2i8gMqfY+RI9JvfdCA6PSh9TduXfUxA==" saltValue="5TPtLq2WoiRSae/yaDPnTw==" spinCount="100000" sqref="DA2033:DN2034" name="Rango2_99_17_34"/>
    <protectedRange algorithmName="SHA-512" hashValue="XZw03RosI/l0z9FxmTtF29EdZ7P+4+ybhqoaAAUmURojSR5XbGfjC4f2i8gMqfY+RI9JvfdCA6PSh9TduXfUxA==" saltValue="5TPtLq2WoiRSae/yaDPnTw==" spinCount="100000" sqref="O2035:O2036" name="Rango2_99_2_33"/>
    <protectedRange algorithmName="SHA-512" hashValue="fPHvtIAf3pQeZUoAI9C2/vdXMHBpqqEq+67P5Ypyu4+9IWqs3yc9TZcMWQ0THLxUwqseQPyVvakuYFtCwJHsxA==" saltValue="QHIogSs2PrwAfdqa9PAOFQ==" spinCount="100000" sqref="AC2035:AC2036" name="Rango2_88_5_5_1_29"/>
    <protectedRange algorithmName="SHA-512" hashValue="LEEeiU6pKqm7TAP46VGlz0q+evvFwpT/0iLpRuWuQ7MacbP0OGL1/FSmrIEOg2rb6M+Jla2bPbVWiGag27j87w==" saltValue="HEVt+pS5OloNDlqSnzGLLw==" spinCount="100000" sqref="AI2035:AI2036" name="Rango2_8_7_1_32"/>
    <protectedRange algorithmName="SHA-512" hashValue="q2z5hEFmXS0v2chiPTC/VCoDWNlnhp+Xe6Ybfxe48vIsnB/KTJQxJv+pFUnCXfZ9T6vyJopuqFFNROfQTW/JUw==" saltValue="IctfdGJb5tOTpq+KPi9vww==" spinCount="100000" sqref="AE2035:AF2036" name="Rango2_88_39_1_31"/>
    <protectedRange algorithmName="SHA-512" hashValue="NUll9P9xh7KbSfMYpMxsRZLfDw/y/AzW2LSWlpXVscBDqiAxmzo71xjs+a2lh+jRa7pceOC849slke4+ZKx8LA==" saltValue="8qbkKpQ+CiQuLnqgShNvXA==" spinCount="100000" sqref="T2035:T2036" name="Rango2_88_6_1_30"/>
    <protectedRange algorithmName="SHA-512" hashValue="XZw03RosI/l0z9FxmTtF29EdZ7P+4+ybhqoaAAUmURojSR5XbGfjC4f2i8gMqfY+RI9JvfdCA6PSh9TduXfUxA==" saltValue="5TPtLq2WoiRSae/yaDPnTw==" spinCount="100000" sqref="R2035:S2036 U2035:AA2036" name="Rango2_99_4_34"/>
    <protectedRange algorithmName="SHA-512" hashValue="fMbmUM1DQ7FuAPRNvFL5mPdHUYjQnlLFhkuaxvHguaqR7aWyDxcmJs0jLYQfQKY+oyhsMb4Lew4VL6i7um3/ew==" saltValue="ydaTm0CeH8+/cYqoL/AMaQ==" spinCount="100000" sqref="AU2035:AU2036 AW2035:AZ2036" name="Rango2_88_91_1_33"/>
    <protectedRange algorithmName="SHA-512" hashValue="CHipOQaT63FWw628cQcXXJRZlrbNZ7OgmnEbDx38UmmH7z19GRYEzXFiVOzHAy1OAaAbST7g2bHZHDKQp2qm3w==" saltValue="iRVuL+373yLHv0ZHzS9qog==" spinCount="100000" sqref="AL2035:AL2036" name="Rango2_88_7_5_2_28"/>
    <protectedRange algorithmName="SHA-512" hashValue="NkG6oHuDGvGBEiLAAq8MEJHEfLQUMyjihfH+DBXhT+eQW0r1yri7tOJEFRM9nbOejjjXiviq9RFo7KB7wF+xJA==" saltValue="bpjB0AAANu2X/PeR3eiFkA==" spinCount="100000" sqref="AM2035:AS2036" name="Rango2_88_65_1_30"/>
    <protectedRange algorithmName="SHA-512" hashValue="RQ91b7oAw60DVtcgB2vRpial2kSdzJx5guGCTYUwXYkKrtrUHfiYnLf9R+SNpYXlJDYpyEJLhcWwP0EqNN86dQ==" saltValue="W3RbH3zrcY9sy39xNwXNxg==" spinCount="100000" sqref="BV2035:BY2036" name="Rango2_88_99_2_30"/>
    <protectedRange algorithmName="SHA-512" hashValue="XZw03RosI/l0z9FxmTtF29EdZ7P+4+ybhqoaAAUmURojSR5XbGfjC4f2i8gMqfY+RI9JvfdCA6PSh9TduXfUxA==" saltValue="5TPtLq2WoiRSae/yaDPnTw==" spinCount="100000" sqref="BZ2035:CB2036 BR2035:BU2036" name="Rango2_99_10_31"/>
    <protectedRange algorithmName="SHA-512" hashValue="XZw03RosI/l0z9FxmTtF29EdZ7P+4+ybhqoaAAUmURojSR5XbGfjC4f2i8gMqfY+RI9JvfdCA6PSh9TduXfUxA==" saltValue="5TPtLq2WoiRSae/yaDPnTw==" spinCount="100000" sqref="CE2035:CF2036" name="Rango2_99_11_29"/>
    <protectedRange algorithmName="SHA-512" hashValue="XZw03RosI/l0z9FxmTtF29EdZ7P+4+ybhqoaAAUmURojSR5XbGfjC4f2i8gMqfY+RI9JvfdCA6PSh9TduXfUxA==" saltValue="5TPtLq2WoiRSae/yaDPnTw==" spinCount="100000" sqref="CJ2035:CK2036" name="Rango2_99_12_32"/>
    <protectedRange algorithmName="SHA-512" hashValue="XZw03RosI/l0z9FxmTtF29EdZ7P+4+ybhqoaAAUmURojSR5XbGfjC4f2i8gMqfY+RI9JvfdCA6PSh9TduXfUxA==" saltValue="5TPtLq2WoiRSae/yaDPnTw==" spinCount="100000" sqref="CP2035:CQ2036" name="Rango2_99_14_34"/>
    <protectedRange algorithmName="SHA-512" hashValue="XZw03RosI/l0z9FxmTtF29EdZ7P+4+ybhqoaAAUmURojSR5XbGfjC4f2i8gMqfY+RI9JvfdCA6PSh9TduXfUxA==" saltValue="5TPtLq2WoiRSae/yaDPnTw==" spinCount="100000" sqref="CS2035:CT2036" name="Rango2_99_15_33"/>
    <protectedRange algorithmName="SHA-512" hashValue="XZw03RosI/l0z9FxmTtF29EdZ7P+4+ybhqoaAAUmURojSR5XbGfjC4f2i8gMqfY+RI9JvfdCA6PSh9TduXfUxA==" saltValue="5TPtLq2WoiRSae/yaDPnTw==" spinCount="100000" sqref="DA2035:DN2036" name="Rango2_99_17_35"/>
    <protectedRange algorithmName="SHA-512" hashValue="XZw03RosI/l0z9FxmTtF29EdZ7P+4+ybhqoaAAUmURojSR5XbGfjC4f2i8gMqfY+RI9JvfdCA6PSh9TduXfUxA==" saltValue="5TPtLq2WoiRSae/yaDPnTw==" spinCount="100000" sqref="O2037" name="Rango2_99_2_34"/>
    <protectedRange algorithmName="SHA-512" hashValue="fPHvtIAf3pQeZUoAI9C2/vdXMHBpqqEq+67P5Ypyu4+9IWqs3yc9TZcMWQ0THLxUwqseQPyVvakuYFtCwJHsxA==" saltValue="QHIogSs2PrwAfdqa9PAOFQ==" spinCount="100000" sqref="AC2037" name="Rango2_88_5_5_1_30"/>
    <protectedRange algorithmName="SHA-512" hashValue="LEEeiU6pKqm7TAP46VGlz0q+evvFwpT/0iLpRuWuQ7MacbP0OGL1/FSmrIEOg2rb6M+Jla2bPbVWiGag27j87w==" saltValue="HEVt+pS5OloNDlqSnzGLLw==" spinCount="100000" sqref="AI2037" name="Rango2_8_7_1_33"/>
    <protectedRange algorithmName="SHA-512" hashValue="q2z5hEFmXS0v2chiPTC/VCoDWNlnhp+Xe6Ybfxe48vIsnB/KTJQxJv+pFUnCXfZ9T6vyJopuqFFNROfQTW/JUw==" saltValue="IctfdGJb5tOTpq+KPi9vww==" spinCount="100000" sqref="AE2037:AF2037" name="Rango2_88_39_1_32"/>
    <protectedRange algorithmName="SHA-512" hashValue="NUll9P9xh7KbSfMYpMxsRZLfDw/y/AzW2LSWlpXVscBDqiAxmzo71xjs+a2lh+jRa7pceOC849slke4+ZKx8LA==" saltValue="8qbkKpQ+CiQuLnqgShNvXA==" spinCount="100000" sqref="T2037" name="Rango2_88_6_1_31"/>
    <protectedRange algorithmName="SHA-512" hashValue="XZw03RosI/l0z9FxmTtF29EdZ7P+4+ybhqoaAAUmURojSR5XbGfjC4f2i8gMqfY+RI9JvfdCA6PSh9TduXfUxA==" saltValue="5TPtLq2WoiRSae/yaDPnTw==" spinCount="100000" sqref="R2037:S2037 U2037:AA2037" name="Rango2_99_4_35"/>
    <protectedRange algorithmName="SHA-512" hashValue="fMbmUM1DQ7FuAPRNvFL5mPdHUYjQnlLFhkuaxvHguaqR7aWyDxcmJs0jLYQfQKY+oyhsMb4Lew4VL6i7um3/ew==" saltValue="ydaTm0CeH8+/cYqoL/AMaQ==" spinCount="100000" sqref="AU2037 AW2037:AZ2037" name="Rango2_88_91_1_34"/>
    <protectedRange algorithmName="SHA-512" hashValue="CHipOQaT63FWw628cQcXXJRZlrbNZ7OgmnEbDx38UmmH7z19GRYEzXFiVOzHAy1OAaAbST7g2bHZHDKQp2qm3w==" saltValue="iRVuL+373yLHv0ZHzS9qog==" spinCount="100000" sqref="AL2037" name="Rango2_88_7_5_2_29"/>
    <protectedRange algorithmName="SHA-512" hashValue="NkG6oHuDGvGBEiLAAq8MEJHEfLQUMyjihfH+DBXhT+eQW0r1yri7tOJEFRM9nbOejjjXiviq9RFo7KB7wF+xJA==" saltValue="bpjB0AAANu2X/PeR3eiFkA==" spinCount="100000" sqref="AM2037:AS2037" name="Rango2_88_65_1_31"/>
    <protectedRange algorithmName="SHA-512" hashValue="RQ91b7oAw60DVtcgB2vRpial2kSdzJx5guGCTYUwXYkKrtrUHfiYnLf9R+SNpYXlJDYpyEJLhcWwP0EqNN86dQ==" saltValue="W3RbH3zrcY9sy39xNwXNxg==" spinCount="100000" sqref="BV2037:BY2037" name="Rango2_88_99_2_31"/>
    <protectedRange algorithmName="SHA-512" hashValue="XZw03RosI/l0z9FxmTtF29EdZ7P+4+ybhqoaAAUmURojSR5XbGfjC4f2i8gMqfY+RI9JvfdCA6PSh9TduXfUxA==" saltValue="5TPtLq2WoiRSae/yaDPnTw==" spinCount="100000" sqref="BZ2037:CB2037 BR2037:BU2037" name="Rango2_99_10_32"/>
    <protectedRange algorithmName="SHA-512" hashValue="XZw03RosI/l0z9FxmTtF29EdZ7P+4+ybhqoaAAUmURojSR5XbGfjC4f2i8gMqfY+RI9JvfdCA6PSh9TduXfUxA==" saltValue="5TPtLq2WoiRSae/yaDPnTw==" spinCount="100000" sqref="CE2037:CF2037" name="Rango2_99_11_30"/>
    <protectedRange algorithmName="SHA-512" hashValue="XZw03RosI/l0z9FxmTtF29EdZ7P+4+ybhqoaAAUmURojSR5XbGfjC4f2i8gMqfY+RI9JvfdCA6PSh9TduXfUxA==" saltValue="5TPtLq2WoiRSae/yaDPnTw==" spinCount="100000" sqref="CJ2037:CK2037" name="Rango2_99_12_33"/>
    <protectedRange algorithmName="SHA-512" hashValue="XZw03RosI/l0z9FxmTtF29EdZ7P+4+ybhqoaAAUmURojSR5XbGfjC4f2i8gMqfY+RI9JvfdCA6PSh9TduXfUxA==" saltValue="5TPtLq2WoiRSae/yaDPnTw==" spinCount="100000" sqref="CP2037:CQ2037" name="Rango2_99_14_35"/>
    <protectedRange algorithmName="SHA-512" hashValue="XZw03RosI/l0z9FxmTtF29EdZ7P+4+ybhqoaAAUmURojSR5XbGfjC4f2i8gMqfY+RI9JvfdCA6PSh9TduXfUxA==" saltValue="5TPtLq2WoiRSae/yaDPnTw==" spinCount="100000" sqref="CS2037:CT2037" name="Rango2_99_15_34"/>
    <protectedRange algorithmName="SHA-512" hashValue="XZw03RosI/l0z9FxmTtF29EdZ7P+4+ybhqoaAAUmURojSR5XbGfjC4f2i8gMqfY+RI9JvfdCA6PSh9TduXfUxA==" saltValue="5TPtLq2WoiRSae/yaDPnTw==" spinCount="100000" sqref="DA2037:DN2037" name="Rango2_99_17_36"/>
    <protectedRange algorithmName="SHA-512" hashValue="XZw03RosI/l0z9FxmTtF29EdZ7P+4+ybhqoaAAUmURojSR5XbGfjC4f2i8gMqfY+RI9JvfdCA6PSh9TduXfUxA==" saltValue="5TPtLq2WoiRSae/yaDPnTw==" spinCount="100000" sqref="O2038" name="Rango2_99_2_35"/>
    <protectedRange algorithmName="SHA-512" hashValue="fPHvtIAf3pQeZUoAI9C2/vdXMHBpqqEq+67P5Ypyu4+9IWqs3yc9TZcMWQ0THLxUwqseQPyVvakuYFtCwJHsxA==" saltValue="QHIogSs2PrwAfdqa9PAOFQ==" spinCount="100000" sqref="AC2038" name="Rango2_88_5_5_1_31"/>
    <protectedRange algorithmName="SHA-512" hashValue="LEEeiU6pKqm7TAP46VGlz0q+evvFwpT/0iLpRuWuQ7MacbP0OGL1/FSmrIEOg2rb6M+Jla2bPbVWiGag27j87w==" saltValue="HEVt+pS5OloNDlqSnzGLLw==" spinCount="100000" sqref="AI2038" name="Rango2_8_7_1_34"/>
    <protectedRange algorithmName="SHA-512" hashValue="q2z5hEFmXS0v2chiPTC/VCoDWNlnhp+Xe6Ybfxe48vIsnB/KTJQxJv+pFUnCXfZ9T6vyJopuqFFNROfQTW/JUw==" saltValue="IctfdGJb5tOTpq+KPi9vww==" spinCount="100000" sqref="AE2038:AF2038" name="Rango2_88_39_1_33"/>
    <protectedRange algorithmName="SHA-512" hashValue="NUll9P9xh7KbSfMYpMxsRZLfDw/y/AzW2LSWlpXVscBDqiAxmzo71xjs+a2lh+jRa7pceOC849slke4+ZKx8LA==" saltValue="8qbkKpQ+CiQuLnqgShNvXA==" spinCount="100000" sqref="T2038" name="Rango2_88_6_1_32"/>
    <protectedRange algorithmName="SHA-512" hashValue="XZw03RosI/l0z9FxmTtF29EdZ7P+4+ybhqoaAAUmURojSR5XbGfjC4f2i8gMqfY+RI9JvfdCA6PSh9TduXfUxA==" saltValue="5TPtLq2WoiRSae/yaDPnTw==" spinCount="100000" sqref="R2038:S2038 U2038:AA2038" name="Rango2_99_4_36"/>
    <protectedRange algorithmName="SHA-512" hashValue="fMbmUM1DQ7FuAPRNvFL5mPdHUYjQnlLFhkuaxvHguaqR7aWyDxcmJs0jLYQfQKY+oyhsMb4Lew4VL6i7um3/ew==" saltValue="ydaTm0CeH8+/cYqoL/AMaQ==" spinCount="100000" sqref="AU2038 AW2038:AZ2038" name="Rango2_88_91_1_35"/>
    <protectedRange algorithmName="SHA-512" hashValue="CHipOQaT63FWw628cQcXXJRZlrbNZ7OgmnEbDx38UmmH7z19GRYEzXFiVOzHAy1OAaAbST7g2bHZHDKQp2qm3w==" saltValue="iRVuL+373yLHv0ZHzS9qog==" spinCount="100000" sqref="AL2038" name="Rango2_88_7_5_2_30"/>
    <protectedRange algorithmName="SHA-512" hashValue="NkG6oHuDGvGBEiLAAq8MEJHEfLQUMyjihfH+DBXhT+eQW0r1yri7tOJEFRM9nbOejjjXiviq9RFo7KB7wF+xJA==" saltValue="bpjB0AAANu2X/PeR3eiFkA==" spinCount="100000" sqref="AM2038:AS2038" name="Rango2_88_65_1_32"/>
    <protectedRange algorithmName="SHA-512" hashValue="RQ91b7oAw60DVtcgB2vRpial2kSdzJx5guGCTYUwXYkKrtrUHfiYnLf9R+SNpYXlJDYpyEJLhcWwP0EqNN86dQ==" saltValue="W3RbH3zrcY9sy39xNwXNxg==" spinCount="100000" sqref="BV2038:BY2038" name="Rango2_88_99_2_32"/>
    <protectedRange algorithmName="SHA-512" hashValue="XZw03RosI/l0z9FxmTtF29EdZ7P+4+ybhqoaAAUmURojSR5XbGfjC4f2i8gMqfY+RI9JvfdCA6PSh9TduXfUxA==" saltValue="5TPtLq2WoiRSae/yaDPnTw==" spinCount="100000" sqref="BZ2038:CB2038 BR2038:BU2038" name="Rango2_99_10_33"/>
    <protectedRange algorithmName="SHA-512" hashValue="XZw03RosI/l0z9FxmTtF29EdZ7P+4+ybhqoaAAUmURojSR5XbGfjC4f2i8gMqfY+RI9JvfdCA6PSh9TduXfUxA==" saltValue="5TPtLq2WoiRSae/yaDPnTw==" spinCount="100000" sqref="CE2038:CF2038" name="Rango2_99_11_31"/>
    <protectedRange algorithmName="SHA-512" hashValue="XZw03RosI/l0z9FxmTtF29EdZ7P+4+ybhqoaAAUmURojSR5XbGfjC4f2i8gMqfY+RI9JvfdCA6PSh9TduXfUxA==" saltValue="5TPtLq2WoiRSae/yaDPnTw==" spinCount="100000" sqref="CJ2038:CK2038" name="Rango2_99_12_34"/>
    <protectedRange algorithmName="SHA-512" hashValue="XZw03RosI/l0z9FxmTtF29EdZ7P+4+ybhqoaAAUmURojSR5XbGfjC4f2i8gMqfY+RI9JvfdCA6PSh9TduXfUxA==" saltValue="5TPtLq2WoiRSae/yaDPnTw==" spinCount="100000" sqref="CP2038:CQ2038" name="Rango2_99_14_36"/>
    <protectedRange algorithmName="SHA-512" hashValue="XZw03RosI/l0z9FxmTtF29EdZ7P+4+ybhqoaAAUmURojSR5XbGfjC4f2i8gMqfY+RI9JvfdCA6PSh9TduXfUxA==" saltValue="5TPtLq2WoiRSae/yaDPnTw==" spinCount="100000" sqref="CS2038:CT2038" name="Rango2_99_15_35"/>
    <protectedRange algorithmName="SHA-512" hashValue="XZw03RosI/l0z9FxmTtF29EdZ7P+4+ybhqoaAAUmURojSR5XbGfjC4f2i8gMqfY+RI9JvfdCA6PSh9TduXfUxA==" saltValue="5TPtLq2WoiRSae/yaDPnTw==" spinCount="100000" sqref="DA2038:DN2038" name="Rango2_99_17_37"/>
    <protectedRange algorithmName="SHA-512" hashValue="XZw03RosI/l0z9FxmTtF29EdZ7P+4+ybhqoaAAUmURojSR5XbGfjC4f2i8gMqfY+RI9JvfdCA6PSh9TduXfUxA==" saltValue="5TPtLq2WoiRSae/yaDPnTw==" spinCount="100000" sqref="O2039" name="Rango2_99_2_36"/>
    <protectedRange algorithmName="SHA-512" hashValue="fPHvtIAf3pQeZUoAI9C2/vdXMHBpqqEq+67P5Ypyu4+9IWqs3yc9TZcMWQ0THLxUwqseQPyVvakuYFtCwJHsxA==" saltValue="QHIogSs2PrwAfdqa9PAOFQ==" spinCount="100000" sqref="AC2039" name="Rango2_88_5_5_1_32"/>
    <protectedRange algorithmName="SHA-512" hashValue="LEEeiU6pKqm7TAP46VGlz0q+evvFwpT/0iLpRuWuQ7MacbP0OGL1/FSmrIEOg2rb6M+Jla2bPbVWiGag27j87w==" saltValue="HEVt+pS5OloNDlqSnzGLLw==" spinCount="100000" sqref="AI2039" name="Rango2_8_7_1_35"/>
    <protectedRange algorithmName="SHA-512" hashValue="q2z5hEFmXS0v2chiPTC/VCoDWNlnhp+Xe6Ybfxe48vIsnB/KTJQxJv+pFUnCXfZ9T6vyJopuqFFNROfQTW/JUw==" saltValue="IctfdGJb5tOTpq+KPi9vww==" spinCount="100000" sqref="AE2039:AF2039" name="Rango2_88_39_1_34"/>
    <protectedRange algorithmName="SHA-512" hashValue="NUll9P9xh7KbSfMYpMxsRZLfDw/y/AzW2LSWlpXVscBDqiAxmzo71xjs+a2lh+jRa7pceOC849slke4+ZKx8LA==" saltValue="8qbkKpQ+CiQuLnqgShNvXA==" spinCount="100000" sqref="T2039" name="Rango2_88_6_1_33"/>
    <protectedRange algorithmName="SHA-512" hashValue="XZw03RosI/l0z9FxmTtF29EdZ7P+4+ybhqoaAAUmURojSR5XbGfjC4f2i8gMqfY+RI9JvfdCA6PSh9TduXfUxA==" saltValue="5TPtLq2WoiRSae/yaDPnTw==" spinCount="100000" sqref="R2039:S2039 U2039:AA2039" name="Rango2_99_4_37"/>
    <protectedRange algorithmName="SHA-512" hashValue="fMbmUM1DQ7FuAPRNvFL5mPdHUYjQnlLFhkuaxvHguaqR7aWyDxcmJs0jLYQfQKY+oyhsMb4Lew4VL6i7um3/ew==" saltValue="ydaTm0CeH8+/cYqoL/AMaQ==" spinCount="100000" sqref="AU2039 AW2039:AZ2039" name="Rango2_88_91_1_36"/>
    <protectedRange algorithmName="SHA-512" hashValue="CHipOQaT63FWw628cQcXXJRZlrbNZ7OgmnEbDx38UmmH7z19GRYEzXFiVOzHAy1OAaAbST7g2bHZHDKQp2qm3w==" saltValue="iRVuL+373yLHv0ZHzS9qog==" spinCount="100000" sqref="AL2039" name="Rango2_88_7_5_2_31"/>
    <protectedRange algorithmName="SHA-512" hashValue="NkG6oHuDGvGBEiLAAq8MEJHEfLQUMyjihfH+DBXhT+eQW0r1yri7tOJEFRM9nbOejjjXiviq9RFo7KB7wF+xJA==" saltValue="bpjB0AAANu2X/PeR3eiFkA==" spinCount="100000" sqref="AM2039:AS2039" name="Rango2_88_65_1_33"/>
    <protectedRange algorithmName="SHA-512" hashValue="RQ91b7oAw60DVtcgB2vRpial2kSdzJx5guGCTYUwXYkKrtrUHfiYnLf9R+SNpYXlJDYpyEJLhcWwP0EqNN86dQ==" saltValue="W3RbH3zrcY9sy39xNwXNxg==" spinCount="100000" sqref="BV2039:BY2039" name="Rango2_88_99_2_33"/>
    <protectedRange algorithmName="SHA-512" hashValue="XZw03RosI/l0z9FxmTtF29EdZ7P+4+ybhqoaAAUmURojSR5XbGfjC4f2i8gMqfY+RI9JvfdCA6PSh9TduXfUxA==" saltValue="5TPtLq2WoiRSae/yaDPnTw==" spinCount="100000" sqref="BZ2039:CB2039 BR2039:BU2039" name="Rango2_99_10_34"/>
    <protectedRange algorithmName="SHA-512" hashValue="XZw03RosI/l0z9FxmTtF29EdZ7P+4+ybhqoaAAUmURojSR5XbGfjC4f2i8gMqfY+RI9JvfdCA6PSh9TduXfUxA==" saltValue="5TPtLq2WoiRSae/yaDPnTw==" spinCount="100000" sqref="CE2039:CF2039" name="Rango2_99_11_32"/>
    <protectedRange algorithmName="SHA-512" hashValue="XZw03RosI/l0z9FxmTtF29EdZ7P+4+ybhqoaAAUmURojSR5XbGfjC4f2i8gMqfY+RI9JvfdCA6PSh9TduXfUxA==" saltValue="5TPtLq2WoiRSae/yaDPnTw==" spinCount="100000" sqref="CJ2039:CK2039" name="Rango2_99_12_35"/>
    <protectedRange algorithmName="SHA-512" hashValue="XZw03RosI/l0z9FxmTtF29EdZ7P+4+ybhqoaAAUmURojSR5XbGfjC4f2i8gMqfY+RI9JvfdCA6PSh9TduXfUxA==" saltValue="5TPtLq2WoiRSae/yaDPnTw==" spinCount="100000" sqref="CP2039:CQ2039" name="Rango2_99_14_37"/>
    <protectedRange algorithmName="SHA-512" hashValue="XZw03RosI/l0z9FxmTtF29EdZ7P+4+ybhqoaAAUmURojSR5XbGfjC4f2i8gMqfY+RI9JvfdCA6PSh9TduXfUxA==" saltValue="5TPtLq2WoiRSae/yaDPnTw==" spinCount="100000" sqref="CS2039:CT2039" name="Rango2_99_15_36"/>
    <protectedRange algorithmName="SHA-512" hashValue="XZw03RosI/l0z9FxmTtF29EdZ7P+4+ybhqoaAAUmURojSR5XbGfjC4f2i8gMqfY+RI9JvfdCA6PSh9TduXfUxA==" saltValue="5TPtLq2WoiRSae/yaDPnTw==" spinCount="100000" sqref="DA2039:DG2039 DI2039:DN2039" name="Rango2_99_17_38"/>
    <protectedRange algorithmName="SHA-512" hashValue="XZw03RosI/l0z9FxmTtF29EdZ7P+4+ybhqoaAAUmURojSR5XbGfjC4f2i8gMqfY+RI9JvfdCA6PSh9TduXfUxA==" saltValue="5TPtLq2WoiRSae/yaDPnTw==" spinCount="100000" sqref="O2040" name="Rango2_99_2_37"/>
    <protectedRange algorithmName="SHA-512" hashValue="fPHvtIAf3pQeZUoAI9C2/vdXMHBpqqEq+67P5Ypyu4+9IWqs3yc9TZcMWQ0THLxUwqseQPyVvakuYFtCwJHsxA==" saltValue="QHIogSs2PrwAfdqa9PAOFQ==" spinCount="100000" sqref="AC2040" name="Rango2_88_5_5_1_33"/>
    <protectedRange algorithmName="SHA-512" hashValue="LEEeiU6pKqm7TAP46VGlz0q+evvFwpT/0iLpRuWuQ7MacbP0OGL1/FSmrIEOg2rb6M+Jla2bPbVWiGag27j87w==" saltValue="HEVt+pS5OloNDlqSnzGLLw==" spinCount="100000" sqref="AI2040" name="Rango2_8_7_1_36"/>
    <protectedRange algorithmName="SHA-512" hashValue="q2z5hEFmXS0v2chiPTC/VCoDWNlnhp+Xe6Ybfxe48vIsnB/KTJQxJv+pFUnCXfZ9T6vyJopuqFFNROfQTW/JUw==" saltValue="IctfdGJb5tOTpq+KPi9vww==" spinCount="100000" sqref="AE2040:AF2040" name="Rango2_88_39_1_35"/>
    <protectedRange algorithmName="SHA-512" hashValue="NUll9P9xh7KbSfMYpMxsRZLfDw/y/AzW2LSWlpXVscBDqiAxmzo71xjs+a2lh+jRa7pceOC849slke4+ZKx8LA==" saltValue="8qbkKpQ+CiQuLnqgShNvXA==" spinCount="100000" sqref="T2040" name="Rango2_88_6_1_34"/>
    <protectedRange algorithmName="SHA-512" hashValue="XZw03RosI/l0z9FxmTtF29EdZ7P+4+ybhqoaAAUmURojSR5XbGfjC4f2i8gMqfY+RI9JvfdCA6PSh9TduXfUxA==" saltValue="5TPtLq2WoiRSae/yaDPnTw==" spinCount="100000" sqref="R2040:S2040 U2040:AA2040" name="Rango2_99_4_38"/>
    <protectedRange algorithmName="SHA-512" hashValue="fMbmUM1DQ7FuAPRNvFL5mPdHUYjQnlLFhkuaxvHguaqR7aWyDxcmJs0jLYQfQKY+oyhsMb4Lew4VL6i7um3/ew==" saltValue="ydaTm0CeH8+/cYqoL/AMaQ==" spinCount="100000" sqref="AU2040 AW2040:AZ2040" name="Rango2_88_91_1_37"/>
    <protectedRange algorithmName="SHA-512" hashValue="CHipOQaT63FWw628cQcXXJRZlrbNZ7OgmnEbDx38UmmH7z19GRYEzXFiVOzHAy1OAaAbST7g2bHZHDKQp2qm3w==" saltValue="iRVuL+373yLHv0ZHzS9qog==" spinCount="100000" sqref="AL2040" name="Rango2_88_7_5_2_32"/>
    <protectedRange algorithmName="SHA-512" hashValue="NkG6oHuDGvGBEiLAAq8MEJHEfLQUMyjihfH+DBXhT+eQW0r1yri7tOJEFRM9nbOejjjXiviq9RFo7KB7wF+xJA==" saltValue="bpjB0AAANu2X/PeR3eiFkA==" spinCount="100000" sqref="AM2040:AS2040" name="Rango2_88_65_1_34"/>
    <protectedRange algorithmName="SHA-512" hashValue="RQ91b7oAw60DVtcgB2vRpial2kSdzJx5guGCTYUwXYkKrtrUHfiYnLf9R+SNpYXlJDYpyEJLhcWwP0EqNN86dQ==" saltValue="W3RbH3zrcY9sy39xNwXNxg==" spinCount="100000" sqref="BV2040:BY2040" name="Rango2_88_99_2_34"/>
    <protectedRange algorithmName="SHA-512" hashValue="XZw03RosI/l0z9FxmTtF29EdZ7P+4+ybhqoaAAUmURojSR5XbGfjC4f2i8gMqfY+RI9JvfdCA6PSh9TduXfUxA==" saltValue="5TPtLq2WoiRSae/yaDPnTw==" spinCount="100000" sqref="BZ2040:CB2040 BR2040:BU2040" name="Rango2_99_10_35"/>
    <protectedRange algorithmName="SHA-512" hashValue="XZw03RosI/l0z9FxmTtF29EdZ7P+4+ybhqoaAAUmURojSR5XbGfjC4f2i8gMqfY+RI9JvfdCA6PSh9TduXfUxA==" saltValue="5TPtLq2WoiRSae/yaDPnTw==" spinCount="100000" sqref="CE2040:CF2040" name="Rango2_99_11_33"/>
    <protectedRange algorithmName="SHA-512" hashValue="XZw03RosI/l0z9FxmTtF29EdZ7P+4+ybhqoaAAUmURojSR5XbGfjC4f2i8gMqfY+RI9JvfdCA6PSh9TduXfUxA==" saltValue="5TPtLq2WoiRSae/yaDPnTw==" spinCount="100000" sqref="CJ2040:CK2040" name="Rango2_99_12_36"/>
    <protectedRange algorithmName="SHA-512" hashValue="XZw03RosI/l0z9FxmTtF29EdZ7P+4+ybhqoaAAUmURojSR5XbGfjC4f2i8gMqfY+RI9JvfdCA6PSh9TduXfUxA==" saltValue="5TPtLq2WoiRSae/yaDPnTw==" spinCount="100000" sqref="CP2040:CQ2040" name="Rango2_99_14_38"/>
    <protectedRange algorithmName="SHA-512" hashValue="XZw03RosI/l0z9FxmTtF29EdZ7P+4+ybhqoaAAUmURojSR5XbGfjC4f2i8gMqfY+RI9JvfdCA6PSh9TduXfUxA==" saltValue="5TPtLq2WoiRSae/yaDPnTw==" spinCount="100000" sqref="CS2040:CT2040" name="Rango2_99_15_37"/>
    <protectedRange algorithmName="SHA-512" hashValue="XZw03RosI/l0z9FxmTtF29EdZ7P+4+ybhqoaAAUmURojSR5XbGfjC4f2i8gMqfY+RI9JvfdCA6PSh9TduXfUxA==" saltValue="5TPtLq2WoiRSae/yaDPnTw==" spinCount="100000" sqref="DA2040:DN2040" name="Rango2_99_17_39"/>
    <protectedRange algorithmName="SHA-512" hashValue="XZw03RosI/l0z9FxmTtF29EdZ7P+4+ybhqoaAAUmURojSR5XbGfjC4f2i8gMqfY+RI9JvfdCA6PSh9TduXfUxA==" saltValue="5TPtLq2WoiRSae/yaDPnTw==" spinCount="100000" sqref="O2041:O2042" name="Rango2_99_2_38"/>
    <protectedRange algorithmName="SHA-512" hashValue="fPHvtIAf3pQeZUoAI9C2/vdXMHBpqqEq+67P5Ypyu4+9IWqs3yc9TZcMWQ0THLxUwqseQPyVvakuYFtCwJHsxA==" saltValue="QHIogSs2PrwAfdqa9PAOFQ==" spinCount="100000" sqref="AC2041:AC2042" name="Rango2_88_5_5_1_34"/>
    <protectedRange algorithmName="SHA-512" hashValue="LEEeiU6pKqm7TAP46VGlz0q+evvFwpT/0iLpRuWuQ7MacbP0OGL1/FSmrIEOg2rb6M+Jla2bPbVWiGag27j87w==" saltValue="HEVt+pS5OloNDlqSnzGLLw==" spinCount="100000" sqref="AI2041:AI2042" name="Rango2_8_7_1_37"/>
    <protectedRange algorithmName="SHA-512" hashValue="q2z5hEFmXS0v2chiPTC/VCoDWNlnhp+Xe6Ybfxe48vIsnB/KTJQxJv+pFUnCXfZ9T6vyJopuqFFNROfQTW/JUw==" saltValue="IctfdGJb5tOTpq+KPi9vww==" spinCount="100000" sqref="AE2041:AF2042" name="Rango2_88_39_1_36"/>
    <protectedRange algorithmName="SHA-512" hashValue="NUll9P9xh7KbSfMYpMxsRZLfDw/y/AzW2LSWlpXVscBDqiAxmzo71xjs+a2lh+jRa7pceOC849slke4+ZKx8LA==" saltValue="8qbkKpQ+CiQuLnqgShNvXA==" spinCount="100000" sqref="T2041:T2042" name="Rango2_88_6_1_35"/>
    <protectedRange algorithmName="SHA-512" hashValue="XZw03RosI/l0z9FxmTtF29EdZ7P+4+ybhqoaAAUmURojSR5XbGfjC4f2i8gMqfY+RI9JvfdCA6PSh9TduXfUxA==" saltValue="5TPtLq2WoiRSae/yaDPnTw==" spinCount="100000" sqref="R2041:S2042 U2041:AA2042" name="Rango2_99_4_39"/>
    <protectedRange algorithmName="SHA-512" hashValue="fMbmUM1DQ7FuAPRNvFL5mPdHUYjQnlLFhkuaxvHguaqR7aWyDxcmJs0jLYQfQKY+oyhsMb4Lew4VL6i7um3/ew==" saltValue="ydaTm0CeH8+/cYqoL/AMaQ==" spinCount="100000" sqref="AU2041:AU2042 AW2041:AZ2042" name="Rango2_88_91_1_38"/>
    <protectedRange algorithmName="SHA-512" hashValue="CHipOQaT63FWw628cQcXXJRZlrbNZ7OgmnEbDx38UmmH7z19GRYEzXFiVOzHAy1OAaAbST7g2bHZHDKQp2qm3w==" saltValue="iRVuL+373yLHv0ZHzS9qog==" spinCount="100000" sqref="AL2041:AL2042" name="Rango2_88_7_5_2_33"/>
    <protectedRange algorithmName="SHA-512" hashValue="NkG6oHuDGvGBEiLAAq8MEJHEfLQUMyjihfH+DBXhT+eQW0r1yri7tOJEFRM9nbOejjjXiviq9RFo7KB7wF+xJA==" saltValue="bpjB0AAANu2X/PeR3eiFkA==" spinCount="100000" sqref="AM2041:AS2042" name="Rango2_88_65_1_35"/>
    <protectedRange algorithmName="SHA-512" hashValue="RQ91b7oAw60DVtcgB2vRpial2kSdzJx5guGCTYUwXYkKrtrUHfiYnLf9R+SNpYXlJDYpyEJLhcWwP0EqNN86dQ==" saltValue="W3RbH3zrcY9sy39xNwXNxg==" spinCount="100000" sqref="BV2041:BY2042" name="Rango2_88_99_2_35"/>
    <protectedRange algorithmName="SHA-512" hashValue="XZw03RosI/l0z9FxmTtF29EdZ7P+4+ybhqoaAAUmURojSR5XbGfjC4f2i8gMqfY+RI9JvfdCA6PSh9TduXfUxA==" saltValue="5TPtLq2WoiRSae/yaDPnTw==" spinCount="100000" sqref="BZ2041:CB2042 BR2041:BU2042" name="Rango2_99_10_36"/>
    <protectedRange algorithmName="SHA-512" hashValue="XZw03RosI/l0z9FxmTtF29EdZ7P+4+ybhqoaAAUmURojSR5XbGfjC4f2i8gMqfY+RI9JvfdCA6PSh9TduXfUxA==" saltValue="5TPtLq2WoiRSae/yaDPnTw==" spinCount="100000" sqref="CE2041:CF2042" name="Rango2_99_11_34"/>
    <protectedRange algorithmName="SHA-512" hashValue="XZw03RosI/l0z9FxmTtF29EdZ7P+4+ybhqoaAAUmURojSR5XbGfjC4f2i8gMqfY+RI9JvfdCA6PSh9TduXfUxA==" saltValue="5TPtLq2WoiRSae/yaDPnTw==" spinCount="100000" sqref="CJ2041:CK2042" name="Rango2_99_12_37"/>
    <protectedRange algorithmName="SHA-512" hashValue="XZw03RosI/l0z9FxmTtF29EdZ7P+4+ybhqoaAAUmURojSR5XbGfjC4f2i8gMqfY+RI9JvfdCA6PSh9TduXfUxA==" saltValue="5TPtLq2WoiRSae/yaDPnTw==" spinCount="100000" sqref="CP2041:CQ2042" name="Rango2_99_14_39"/>
    <protectedRange algorithmName="SHA-512" hashValue="XZw03RosI/l0z9FxmTtF29EdZ7P+4+ybhqoaAAUmURojSR5XbGfjC4f2i8gMqfY+RI9JvfdCA6PSh9TduXfUxA==" saltValue="5TPtLq2WoiRSae/yaDPnTw==" spinCount="100000" sqref="CS2041:CT2042" name="Rango2_99_15_38"/>
    <protectedRange algorithmName="SHA-512" hashValue="XZw03RosI/l0z9FxmTtF29EdZ7P+4+ybhqoaAAUmURojSR5XbGfjC4f2i8gMqfY+RI9JvfdCA6PSh9TduXfUxA==" saltValue="5TPtLq2WoiRSae/yaDPnTw==" spinCount="100000" sqref="DA2041:DN2042" name="Rango2_99_17_40"/>
    <protectedRange algorithmName="SHA-512" hashValue="XZw03RosI/l0z9FxmTtF29EdZ7P+4+ybhqoaAAUmURojSR5XbGfjC4f2i8gMqfY+RI9JvfdCA6PSh9TduXfUxA==" saltValue="5TPtLq2WoiRSae/yaDPnTw==" spinCount="100000" sqref="O2043:O2044" name="Rango2_99_2_39"/>
    <protectedRange algorithmName="SHA-512" hashValue="fPHvtIAf3pQeZUoAI9C2/vdXMHBpqqEq+67P5Ypyu4+9IWqs3yc9TZcMWQ0THLxUwqseQPyVvakuYFtCwJHsxA==" saltValue="QHIogSs2PrwAfdqa9PAOFQ==" spinCount="100000" sqref="AC2043:AC2044" name="Rango2_88_5_5_1_35"/>
    <protectedRange algorithmName="SHA-512" hashValue="LEEeiU6pKqm7TAP46VGlz0q+evvFwpT/0iLpRuWuQ7MacbP0OGL1/FSmrIEOg2rb6M+Jla2bPbVWiGag27j87w==" saltValue="HEVt+pS5OloNDlqSnzGLLw==" spinCount="100000" sqref="AI2043:AI2044" name="Rango2_8_7_1_38"/>
    <protectedRange algorithmName="SHA-512" hashValue="q2z5hEFmXS0v2chiPTC/VCoDWNlnhp+Xe6Ybfxe48vIsnB/KTJQxJv+pFUnCXfZ9T6vyJopuqFFNROfQTW/JUw==" saltValue="IctfdGJb5tOTpq+KPi9vww==" spinCount="100000" sqref="AE2043:AF2044" name="Rango2_88_39_1_37"/>
    <protectedRange algorithmName="SHA-512" hashValue="NUll9P9xh7KbSfMYpMxsRZLfDw/y/AzW2LSWlpXVscBDqiAxmzo71xjs+a2lh+jRa7pceOC849slke4+ZKx8LA==" saltValue="8qbkKpQ+CiQuLnqgShNvXA==" spinCount="100000" sqref="T2043:T2044" name="Rango2_88_6_1_36"/>
    <protectedRange algorithmName="SHA-512" hashValue="XZw03RosI/l0z9FxmTtF29EdZ7P+4+ybhqoaAAUmURojSR5XbGfjC4f2i8gMqfY+RI9JvfdCA6PSh9TduXfUxA==" saltValue="5TPtLq2WoiRSae/yaDPnTw==" spinCount="100000" sqref="R2043:S2044 U2043:AA2044" name="Rango2_99_4_40"/>
    <protectedRange algorithmName="SHA-512" hashValue="fMbmUM1DQ7FuAPRNvFL5mPdHUYjQnlLFhkuaxvHguaqR7aWyDxcmJs0jLYQfQKY+oyhsMb4Lew4VL6i7um3/ew==" saltValue="ydaTm0CeH8+/cYqoL/AMaQ==" spinCount="100000" sqref="AU2043:AU2044 AW2043:AZ2044" name="Rango2_88_91_1_39"/>
    <protectedRange algorithmName="SHA-512" hashValue="CHipOQaT63FWw628cQcXXJRZlrbNZ7OgmnEbDx38UmmH7z19GRYEzXFiVOzHAy1OAaAbST7g2bHZHDKQp2qm3w==" saltValue="iRVuL+373yLHv0ZHzS9qog==" spinCount="100000" sqref="AL2043:AL2044" name="Rango2_88_7_5_2_34"/>
    <protectedRange algorithmName="SHA-512" hashValue="NkG6oHuDGvGBEiLAAq8MEJHEfLQUMyjihfH+DBXhT+eQW0r1yri7tOJEFRM9nbOejjjXiviq9RFo7KB7wF+xJA==" saltValue="bpjB0AAANu2X/PeR3eiFkA==" spinCount="100000" sqref="AM2043:AS2044" name="Rango2_88_65_1_36"/>
    <protectedRange algorithmName="SHA-512" hashValue="RQ91b7oAw60DVtcgB2vRpial2kSdzJx5guGCTYUwXYkKrtrUHfiYnLf9R+SNpYXlJDYpyEJLhcWwP0EqNN86dQ==" saltValue="W3RbH3zrcY9sy39xNwXNxg==" spinCount="100000" sqref="BV2043:BY2044" name="Rango2_88_99_2_36"/>
    <protectedRange algorithmName="SHA-512" hashValue="XZw03RosI/l0z9FxmTtF29EdZ7P+4+ybhqoaAAUmURojSR5XbGfjC4f2i8gMqfY+RI9JvfdCA6PSh9TduXfUxA==" saltValue="5TPtLq2WoiRSae/yaDPnTw==" spinCount="100000" sqref="BZ2043:CB2044 BR2043:BU2044" name="Rango2_99_10_37"/>
    <protectedRange algorithmName="SHA-512" hashValue="XZw03RosI/l0z9FxmTtF29EdZ7P+4+ybhqoaAAUmURojSR5XbGfjC4f2i8gMqfY+RI9JvfdCA6PSh9TduXfUxA==" saltValue="5TPtLq2WoiRSae/yaDPnTw==" spinCount="100000" sqref="CE2043:CF2044" name="Rango2_99_11_35"/>
    <protectedRange algorithmName="SHA-512" hashValue="XZw03RosI/l0z9FxmTtF29EdZ7P+4+ybhqoaAAUmURojSR5XbGfjC4f2i8gMqfY+RI9JvfdCA6PSh9TduXfUxA==" saltValue="5TPtLq2WoiRSae/yaDPnTw==" spinCount="100000" sqref="CJ2043:CK2044" name="Rango2_99_12_38"/>
    <protectedRange algorithmName="SHA-512" hashValue="XZw03RosI/l0z9FxmTtF29EdZ7P+4+ybhqoaAAUmURojSR5XbGfjC4f2i8gMqfY+RI9JvfdCA6PSh9TduXfUxA==" saltValue="5TPtLq2WoiRSae/yaDPnTw==" spinCount="100000" sqref="CP2043:CQ2044" name="Rango2_99_14_40"/>
    <protectedRange algorithmName="SHA-512" hashValue="XZw03RosI/l0z9FxmTtF29EdZ7P+4+ybhqoaAAUmURojSR5XbGfjC4f2i8gMqfY+RI9JvfdCA6PSh9TduXfUxA==" saltValue="5TPtLq2WoiRSae/yaDPnTw==" spinCount="100000" sqref="CS2043:CT2044" name="Rango2_99_15_39"/>
    <protectedRange algorithmName="SHA-512" hashValue="XZw03RosI/l0z9FxmTtF29EdZ7P+4+ybhqoaAAUmURojSR5XbGfjC4f2i8gMqfY+RI9JvfdCA6PSh9TduXfUxA==" saltValue="5TPtLq2WoiRSae/yaDPnTw==" spinCount="100000" sqref="DA2043:DN2044" name="Rango2_99_17_41"/>
    <protectedRange algorithmName="SHA-512" hashValue="XZw03RosI/l0z9FxmTtF29EdZ7P+4+ybhqoaAAUmURojSR5XbGfjC4f2i8gMqfY+RI9JvfdCA6PSh9TduXfUxA==" saltValue="5TPtLq2WoiRSae/yaDPnTw==" spinCount="100000" sqref="O2045:O2046" name="Rango2_99_2_40"/>
    <protectedRange algorithmName="SHA-512" hashValue="fPHvtIAf3pQeZUoAI9C2/vdXMHBpqqEq+67P5Ypyu4+9IWqs3yc9TZcMWQ0THLxUwqseQPyVvakuYFtCwJHsxA==" saltValue="QHIogSs2PrwAfdqa9PAOFQ==" spinCount="100000" sqref="AC2045:AC2046" name="Rango2_88_5_5_1_36"/>
    <protectedRange algorithmName="SHA-512" hashValue="LEEeiU6pKqm7TAP46VGlz0q+evvFwpT/0iLpRuWuQ7MacbP0OGL1/FSmrIEOg2rb6M+Jla2bPbVWiGag27j87w==" saltValue="HEVt+pS5OloNDlqSnzGLLw==" spinCount="100000" sqref="AI2045:AI2046" name="Rango2_8_7_1_39"/>
    <protectedRange algorithmName="SHA-512" hashValue="q2z5hEFmXS0v2chiPTC/VCoDWNlnhp+Xe6Ybfxe48vIsnB/KTJQxJv+pFUnCXfZ9T6vyJopuqFFNROfQTW/JUw==" saltValue="IctfdGJb5tOTpq+KPi9vww==" spinCount="100000" sqref="AE2045:AF2046" name="Rango2_88_39_1_38"/>
    <protectedRange algorithmName="SHA-512" hashValue="NUll9P9xh7KbSfMYpMxsRZLfDw/y/AzW2LSWlpXVscBDqiAxmzo71xjs+a2lh+jRa7pceOC849slke4+ZKx8LA==" saltValue="8qbkKpQ+CiQuLnqgShNvXA==" spinCount="100000" sqref="T2045:T2046" name="Rango2_88_6_1_37"/>
    <protectedRange algorithmName="SHA-512" hashValue="XZw03RosI/l0z9FxmTtF29EdZ7P+4+ybhqoaAAUmURojSR5XbGfjC4f2i8gMqfY+RI9JvfdCA6PSh9TduXfUxA==" saltValue="5TPtLq2WoiRSae/yaDPnTw==" spinCount="100000" sqref="R2045:S2046 U2045:AA2046" name="Rango2_99_4_41"/>
    <protectedRange algorithmName="SHA-512" hashValue="fMbmUM1DQ7FuAPRNvFL5mPdHUYjQnlLFhkuaxvHguaqR7aWyDxcmJs0jLYQfQKY+oyhsMb4Lew4VL6i7um3/ew==" saltValue="ydaTm0CeH8+/cYqoL/AMaQ==" spinCount="100000" sqref="AU2045:AU2046 AW2045:AZ2046" name="Rango2_88_91_1_40"/>
    <protectedRange algorithmName="SHA-512" hashValue="CHipOQaT63FWw628cQcXXJRZlrbNZ7OgmnEbDx38UmmH7z19GRYEzXFiVOzHAy1OAaAbST7g2bHZHDKQp2qm3w==" saltValue="iRVuL+373yLHv0ZHzS9qog==" spinCount="100000" sqref="AL2045:AL2046" name="Rango2_88_7_5_2_35"/>
    <protectedRange algorithmName="SHA-512" hashValue="NkG6oHuDGvGBEiLAAq8MEJHEfLQUMyjihfH+DBXhT+eQW0r1yri7tOJEFRM9nbOejjjXiviq9RFo7KB7wF+xJA==" saltValue="bpjB0AAANu2X/PeR3eiFkA==" spinCount="100000" sqref="AM2045:AS2046" name="Rango2_88_65_1_37"/>
    <protectedRange algorithmName="SHA-512" hashValue="RQ91b7oAw60DVtcgB2vRpial2kSdzJx5guGCTYUwXYkKrtrUHfiYnLf9R+SNpYXlJDYpyEJLhcWwP0EqNN86dQ==" saltValue="W3RbH3zrcY9sy39xNwXNxg==" spinCount="100000" sqref="BV2045:BY2046" name="Rango2_88_99_2_37"/>
    <protectedRange algorithmName="SHA-512" hashValue="XZw03RosI/l0z9FxmTtF29EdZ7P+4+ybhqoaAAUmURojSR5XbGfjC4f2i8gMqfY+RI9JvfdCA6PSh9TduXfUxA==" saltValue="5TPtLq2WoiRSae/yaDPnTw==" spinCount="100000" sqref="BZ2045:CB2046 BR2045:BU2046" name="Rango2_99_10_38"/>
    <protectedRange algorithmName="SHA-512" hashValue="XZw03RosI/l0z9FxmTtF29EdZ7P+4+ybhqoaAAUmURojSR5XbGfjC4f2i8gMqfY+RI9JvfdCA6PSh9TduXfUxA==" saltValue="5TPtLq2WoiRSae/yaDPnTw==" spinCount="100000" sqref="CE2045:CF2046" name="Rango2_99_11_36"/>
    <protectedRange algorithmName="SHA-512" hashValue="XZw03RosI/l0z9FxmTtF29EdZ7P+4+ybhqoaAAUmURojSR5XbGfjC4f2i8gMqfY+RI9JvfdCA6PSh9TduXfUxA==" saltValue="5TPtLq2WoiRSae/yaDPnTw==" spinCount="100000" sqref="CJ2045:CK2046" name="Rango2_99_12_39"/>
    <protectedRange algorithmName="SHA-512" hashValue="XZw03RosI/l0z9FxmTtF29EdZ7P+4+ybhqoaAAUmURojSR5XbGfjC4f2i8gMqfY+RI9JvfdCA6PSh9TduXfUxA==" saltValue="5TPtLq2WoiRSae/yaDPnTw==" spinCount="100000" sqref="CP2045:CQ2046" name="Rango2_99_14_41"/>
    <protectedRange algorithmName="SHA-512" hashValue="XZw03RosI/l0z9FxmTtF29EdZ7P+4+ybhqoaAAUmURojSR5XbGfjC4f2i8gMqfY+RI9JvfdCA6PSh9TduXfUxA==" saltValue="5TPtLq2WoiRSae/yaDPnTw==" spinCount="100000" sqref="CS2045:CT2046" name="Rango2_99_15_40"/>
    <protectedRange algorithmName="SHA-512" hashValue="XZw03RosI/l0z9FxmTtF29EdZ7P+4+ybhqoaAAUmURojSR5XbGfjC4f2i8gMqfY+RI9JvfdCA6PSh9TduXfUxA==" saltValue="5TPtLq2WoiRSae/yaDPnTw==" spinCount="100000" sqref="DA2045:DN2046" name="Rango2_99_17_42"/>
    <protectedRange algorithmName="SHA-512" hashValue="XZw03RosI/l0z9FxmTtF29EdZ7P+4+ybhqoaAAUmURojSR5XbGfjC4f2i8gMqfY+RI9JvfdCA6PSh9TduXfUxA==" saltValue="5TPtLq2WoiRSae/yaDPnTw==" spinCount="100000" sqref="O2047" name="Rango2_99_2_41"/>
    <protectedRange algorithmName="SHA-512" hashValue="fPHvtIAf3pQeZUoAI9C2/vdXMHBpqqEq+67P5Ypyu4+9IWqs3yc9TZcMWQ0THLxUwqseQPyVvakuYFtCwJHsxA==" saltValue="QHIogSs2PrwAfdqa9PAOFQ==" spinCount="100000" sqref="AC2047" name="Rango2_88_5_5_1_37"/>
    <protectedRange algorithmName="SHA-512" hashValue="LEEeiU6pKqm7TAP46VGlz0q+evvFwpT/0iLpRuWuQ7MacbP0OGL1/FSmrIEOg2rb6M+Jla2bPbVWiGag27j87w==" saltValue="HEVt+pS5OloNDlqSnzGLLw==" spinCount="100000" sqref="AI2047" name="Rango2_8_7_1_40"/>
    <protectedRange algorithmName="SHA-512" hashValue="q2z5hEFmXS0v2chiPTC/VCoDWNlnhp+Xe6Ybfxe48vIsnB/KTJQxJv+pFUnCXfZ9T6vyJopuqFFNROfQTW/JUw==" saltValue="IctfdGJb5tOTpq+KPi9vww==" spinCount="100000" sqref="AE2047:AF2047" name="Rango2_88_39_1_39"/>
    <protectedRange algorithmName="SHA-512" hashValue="NUll9P9xh7KbSfMYpMxsRZLfDw/y/AzW2LSWlpXVscBDqiAxmzo71xjs+a2lh+jRa7pceOC849slke4+ZKx8LA==" saltValue="8qbkKpQ+CiQuLnqgShNvXA==" spinCount="100000" sqref="T2047" name="Rango2_88_6_1_38"/>
    <protectedRange algorithmName="SHA-512" hashValue="XZw03RosI/l0z9FxmTtF29EdZ7P+4+ybhqoaAAUmURojSR5XbGfjC4f2i8gMqfY+RI9JvfdCA6PSh9TduXfUxA==" saltValue="5TPtLq2WoiRSae/yaDPnTw==" spinCount="100000" sqref="R2047:S2047 U2047:AA2047" name="Rango2_99_4_42"/>
    <protectedRange algorithmName="SHA-512" hashValue="fMbmUM1DQ7FuAPRNvFL5mPdHUYjQnlLFhkuaxvHguaqR7aWyDxcmJs0jLYQfQKY+oyhsMb4Lew4VL6i7um3/ew==" saltValue="ydaTm0CeH8+/cYqoL/AMaQ==" spinCount="100000" sqref="AU2047 AW2047:AZ2047" name="Rango2_88_91_1_41"/>
    <protectedRange algorithmName="SHA-512" hashValue="CHipOQaT63FWw628cQcXXJRZlrbNZ7OgmnEbDx38UmmH7z19GRYEzXFiVOzHAy1OAaAbST7g2bHZHDKQp2qm3w==" saltValue="iRVuL+373yLHv0ZHzS9qog==" spinCount="100000" sqref="AL2047" name="Rango2_88_7_5_2_36"/>
    <protectedRange algorithmName="SHA-512" hashValue="NkG6oHuDGvGBEiLAAq8MEJHEfLQUMyjihfH+DBXhT+eQW0r1yri7tOJEFRM9nbOejjjXiviq9RFo7KB7wF+xJA==" saltValue="bpjB0AAANu2X/PeR3eiFkA==" spinCount="100000" sqref="AM2047:AS2047" name="Rango2_88_65_1_38"/>
    <protectedRange algorithmName="SHA-512" hashValue="RQ91b7oAw60DVtcgB2vRpial2kSdzJx5guGCTYUwXYkKrtrUHfiYnLf9R+SNpYXlJDYpyEJLhcWwP0EqNN86dQ==" saltValue="W3RbH3zrcY9sy39xNwXNxg==" spinCount="100000" sqref="BV2047:BY2047" name="Rango2_88_99_2_38"/>
    <protectedRange algorithmName="SHA-512" hashValue="XZw03RosI/l0z9FxmTtF29EdZ7P+4+ybhqoaAAUmURojSR5XbGfjC4f2i8gMqfY+RI9JvfdCA6PSh9TduXfUxA==" saltValue="5TPtLq2WoiRSae/yaDPnTw==" spinCount="100000" sqref="BZ2047:CB2047 BR2047:BU2047" name="Rango2_99_10_39"/>
    <protectedRange algorithmName="SHA-512" hashValue="XZw03RosI/l0z9FxmTtF29EdZ7P+4+ybhqoaAAUmURojSR5XbGfjC4f2i8gMqfY+RI9JvfdCA6PSh9TduXfUxA==" saltValue="5TPtLq2WoiRSae/yaDPnTw==" spinCount="100000" sqref="CE2047:CF2047" name="Rango2_99_11_37"/>
    <protectedRange algorithmName="SHA-512" hashValue="XZw03RosI/l0z9FxmTtF29EdZ7P+4+ybhqoaAAUmURojSR5XbGfjC4f2i8gMqfY+RI9JvfdCA6PSh9TduXfUxA==" saltValue="5TPtLq2WoiRSae/yaDPnTw==" spinCount="100000" sqref="CJ2047:CK2047" name="Rango2_99_12_40"/>
    <protectedRange algorithmName="SHA-512" hashValue="XZw03RosI/l0z9FxmTtF29EdZ7P+4+ybhqoaAAUmURojSR5XbGfjC4f2i8gMqfY+RI9JvfdCA6PSh9TduXfUxA==" saltValue="5TPtLq2WoiRSae/yaDPnTw==" spinCount="100000" sqref="CP2047:CQ2047" name="Rango2_99_14_42"/>
    <protectedRange algorithmName="SHA-512" hashValue="XZw03RosI/l0z9FxmTtF29EdZ7P+4+ybhqoaAAUmURojSR5XbGfjC4f2i8gMqfY+RI9JvfdCA6PSh9TduXfUxA==" saltValue="5TPtLq2WoiRSae/yaDPnTw==" spinCount="100000" sqref="CS2047:CT2047" name="Rango2_99_15_41"/>
    <protectedRange algorithmName="SHA-512" hashValue="XZw03RosI/l0z9FxmTtF29EdZ7P+4+ybhqoaAAUmURojSR5XbGfjC4f2i8gMqfY+RI9JvfdCA6PSh9TduXfUxA==" saltValue="5TPtLq2WoiRSae/yaDPnTw==" spinCount="100000" sqref="DA2047:DN2047" name="Rango2_99_17_43"/>
    <protectedRange algorithmName="SHA-512" hashValue="XZw03RosI/l0z9FxmTtF29EdZ7P+4+ybhqoaAAUmURojSR5XbGfjC4f2i8gMqfY+RI9JvfdCA6PSh9TduXfUxA==" saltValue="5TPtLq2WoiRSae/yaDPnTw==" spinCount="100000" sqref="O2048:O2053" name="Rango2_99_2_42"/>
    <protectedRange algorithmName="SHA-512" hashValue="fPHvtIAf3pQeZUoAI9C2/vdXMHBpqqEq+67P5Ypyu4+9IWqs3yc9TZcMWQ0THLxUwqseQPyVvakuYFtCwJHsxA==" saltValue="QHIogSs2PrwAfdqa9PAOFQ==" spinCount="100000" sqref="AC2048:AC2053" name="Rango2_88_5_5_1_38"/>
    <protectedRange algorithmName="SHA-512" hashValue="LEEeiU6pKqm7TAP46VGlz0q+evvFwpT/0iLpRuWuQ7MacbP0OGL1/FSmrIEOg2rb6M+Jla2bPbVWiGag27j87w==" saltValue="HEVt+pS5OloNDlqSnzGLLw==" spinCount="100000" sqref="AI2048:AI2053" name="Rango2_8_7_1_41"/>
    <protectedRange algorithmName="SHA-512" hashValue="q2z5hEFmXS0v2chiPTC/VCoDWNlnhp+Xe6Ybfxe48vIsnB/KTJQxJv+pFUnCXfZ9T6vyJopuqFFNROfQTW/JUw==" saltValue="IctfdGJb5tOTpq+KPi9vww==" spinCount="100000" sqref="AE2048:AF2053" name="Rango2_88_39_1_40"/>
    <protectedRange algorithmName="SHA-512" hashValue="NUll9P9xh7KbSfMYpMxsRZLfDw/y/AzW2LSWlpXVscBDqiAxmzo71xjs+a2lh+jRa7pceOC849slke4+ZKx8LA==" saltValue="8qbkKpQ+CiQuLnqgShNvXA==" spinCount="100000" sqref="T2048:T2053" name="Rango2_88_6_1_39"/>
    <protectedRange algorithmName="SHA-512" hashValue="XZw03RosI/l0z9FxmTtF29EdZ7P+4+ybhqoaAAUmURojSR5XbGfjC4f2i8gMqfY+RI9JvfdCA6PSh9TduXfUxA==" saltValue="5TPtLq2WoiRSae/yaDPnTw==" spinCount="100000" sqref="R2048:S2053 U2048:AA2053" name="Rango2_99_4_43"/>
    <protectedRange algorithmName="SHA-512" hashValue="fMbmUM1DQ7FuAPRNvFL5mPdHUYjQnlLFhkuaxvHguaqR7aWyDxcmJs0jLYQfQKY+oyhsMb4Lew4VL6i7um3/ew==" saltValue="ydaTm0CeH8+/cYqoL/AMaQ==" spinCount="100000" sqref="AU2048:AU2053 AW2048:AZ2053" name="Rango2_88_91_1_42"/>
    <protectedRange algorithmName="SHA-512" hashValue="CHipOQaT63FWw628cQcXXJRZlrbNZ7OgmnEbDx38UmmH7z19GRYEzXFiVOzHAy1OAaAbST7g2bHZHDKQp2qm3w==" saltValue="iRVuL+373yLHv0ZHzS9qog==" spinCount="100000" sqref="AL2048:AL2053" name="Rango2_88_7_5_2_37"/>
    <protectedRange algorithmName="SHA-512" hashValue="NkG6oHuDGvGBEiLAAq8MEJHEfLQUMyjihfH+DBXhT+eQW0r1yri7tOJEFRM9nbOejjjXiviq9RFo7KB7wF+xJA==" saltValue="bpjB0AAANu2X/PeR3eiFkA==" spinCount="100000" sqref="AM2048:AS2053" name="Rango2_88_65_1_39"/>
    <protectedRange algorithmName="SHA-512" hashValue="RQ91b7oAw60DVtcgB2vRpial2kSdzJx5guGCTYUwXYkKrtrUHfiYnLf9R+SNpYXlJDYpyEJLhcWwP0EqNN86dQ==" saltValue="W3RbH3zrcY9sy39xNwXNxg==" spinCount="100000" sqref="BV2048:BY2053" name="Rango2_88_99_2_39"/>
    <protectedRange algorithmName="SHA-512" hashValue="XZw03RosI/l0z9FxmTtF29EdZ7P+4+ybhqoaAAUmURojSR5XbGfjC4f2i8gMqfY+RI9JvfdCA6PSh9TduXfUxA==" saltValue="5TPtLq2WoiRSae/yaDPnTw==" spinCount="100000" sqref="BZ2048:CB2053 BR2048:BU2053" name="Rango2_99_10_40"/>
    <protectedRange algorithmName="SHA-512" hashValue="XZw03RosI/l0z9FxmTtF29EdZ7P+4+ybhqoaAAUmURojSR5XbGfjC4f2i8gMqfY+RI9JvfdCA6PSh9TduXfUxA==" saltValue="5TPtLq2WoiRSae/yaDPnTw==" spinCount="100000" sqref="CE2048:CF2053" name="Rango2_99_11_38"/>
    <protectedRange algorithmName="SHA-512" hashValue="XZw03RosI/l0z9FxmTtF29EdZ7P+4+ybhqoaAAUmURojSR5XbGfjC4f2i8gMqfY+RI9JvfdCA6PSh9TduXfUxA==" saltValue="5TPtLq2WoiRSae/yaDPnTw==" spinCount="100000" sqref="CJ2048:CK2053" name="Rango2_99_12_41"/>
    <protectedRange algorithmName="SHA-512" hashValue="XZw03RosI/l0z9FxmTtF29EdZ7P+4+ybhqoaAAUmURojSR5XbGfjC4f2i8gMqfY+RI9JvfdCA6PSh9TduXfUxA==" saltValue="5TPtLq2WoiRSae/yaDPnTw==" spinCount="100000" sqref="CP2048:CQ2053" name="Rango2_99_14_43"/>
    <protectedRange algorithmName="SHA-512" hashValue="XZw03RosI/l0z9FxmTtF29EdZ7P+4+ybhqoaAAUmURojSR5XbGfjC4f2i8gMqfY+RI9JvfdCA6PSh9TduXfUxA==" saltValue="5TPtLq2WoiRSae/yaDPnTw==" spinCount="100000" sqref="CS2048:CT2053" name="Rango2_99_15_42"/>
    <protectedRange algorithmName="SHA-512" hashValue="XZw03RosI/l0z9FxmTtF29EdZ7P+4+ybhqoaAAUmURojSR5XbGfjC4f2i8gMqfY+RI9JvfdCA6PSh9TduXfUxA==" saltValue="5TPtLq2WoiRSae/yaDPnTw==" spinCount="100000" sqref="DA2048:DN2053" name="Rango2_99_17_44"/>
    <protectedRange algorithmName="SHA-512" hashValue="XZw03RosI/l0z9FxmTtF29EdZ7P+4+ybhqoaAAUmURojSR5XbGfjC4f2i8gMqfY+RI9JvfdCA6PSh9TduXfUxA==" saltValue="5TPtLq2WoiRSae/yaDPnTw==" spinCount="100000" sqref="O2054:O2095" name="Rango2_99_2_43"/>
    <protectedRange algorithmName="SHA-512" hashValue="fPHvtIAf3pQeZUoAI9C2/vdXMHBpqqEq+67P5Ypyu4+9IWqs3yc9TZcMWQ0THLxUwqseQPyVvakuYFtCwJHsxA==" saltValue="QHIogSs2PrwAfdqa9PAOFQ==" spinCount="100000" sqref="AC2054:AC2095" name="Rango2_88_5_5_1_39"/>
    <protectedRange algorithmName="SHA-512" hashValue="LEEeiU6pKqm7TAP46VGlz0q+evvFwpT/0iLpRuWuQ7MacbP0OGL1/FSmrIEOg2rb6M+Jla2bPbVWiGag27j87w==" saltValue="HEVt+pS5OloNDlqSnzGLLw==" spinCount="100000" sqref="AI2054:AI2095" name="Rango2_8_7_1_42"/>
    <protectedRange algorithmName="SHA-512" hashValue="q2z5hEFmXS0v2chiPTC/VCoDWNlnhp+Xe6Ybfxe48vIsnB/KTJQxJv+pFUnCXfZ9T6vyJopuqFFNROfQTW/JUw==" saltValue="IctfdGJb5tOTpq+KPi9vww==" spinCount="100000" sqref="AE2054:AF2095" name="Rango2_88_39_1_41"/>
    <protectedRange algorithmName="SHA-512" hashValue="NUll9P9xh7KbSfMYpMxsRZLfDw/y/AzW2LSWlpXVscBDqiAxmzo71xjs+a2lh+jRa7pceOC849slke4+ZKx8LA==" saltValue="8qbkKpQ+CiQuLnqgShNvXA==" spinCount="100000" sqref="T2054:T2095" name="Rango2_88_6_1_40"/>
    <protectedRange algorithmName="SHA-512" hashValue="KHhv3JU/LRdRrRTxxkgFceEHPZ5UzadmpZRZR3zmQRnPvkUJZuanRafIJ+qde0IWwLZSvFIQDyUAHq6v6k7XIg==" saltValue="2GKG1kCzVNNcn+vbOPuhJA==" spinCount="100000" sqref="Q2064 Q2080 Q2082" name="Rango2_2_5_1_41"/>
    <protectedRange algorithmName="SHA-512" hashValue="XZw03RosI/l0z9FxmTtF29EdZ7P+4+ybhqoaAAUmURojSR5XbGfjC4f2i8gMqfY+RI9JvfdCA6PSh9TduXfUxA==" saltValue="5TPtLq2WoiRSae/yaDPnTw==" spinCount="100000" sqref="R2054:S2095 U2054:AA2095" name="Rango2_99_4_44"/>
    <protectedRange algorithmName="SHA-512" hashValue="fMbmUM1DQ7FuAPRNvFL5mPdHUYjQnlLFhkuaxvHguaqR7aWyDxcmJs0jLYQfQKY+oyhsMb4Lew4VL6i7um3/ew==" saltValue="ydaTm0CeH8+/cYqoL/AMaQ==" spinCount="100000" sqref="AU2054:AU2095 AW2054:AZ2095" name="Rango2_88_91_1_43"/>
    <protectedRange algorithmName="SHA-512" hashValue="CHipOQaT63FWw628cQcXXJRZlrbNZ7OgmnEbDx38UmmH7z19GRYEzXFiVOzHAy1OAaAbST7g2bHZHDKQp2qm3w==" saltValue="iRVuL+373yLHv0ZHzS9qog==" spinCount="100000" sqref="AL2054:AL2095" name="Rango2_88_7_5_2_38"/>
    <protectedRange algorithmName="SHA-512" hashValue="NkG6oHuDGvGBEiLAAq8MEJHEfLQUMyjihfH+DBXhT+eQW0r1yri7tOJEFRM9nbOejjjXiviq9RFo7KB7wF+xJA==" saltValue="bpjB0AAANu2X/PeR3eiFkA==" spinCount="100000" sqref="AM2054:AS2095" name="Rango2_88_65_1_40"/>
    <protectedRange algorithmName="SHA-512" hashValue="RQ91b7oAw60DVtcgB2vRpial2kSdzJx5guGCTYUwXYkKrtrUHfiYnLf9R+SNpYXlJDYpyEJLhcWwP0EqNN86dQ==" saltValue="W3RbH3zrcY9sy39xNwXNxg==" spinCount="100000" sqref="BV2054:BY2095" name="Rango2_88_99_2_40"/>
    <protectedRange algorithmName="SHA-512" hashValue="XZw03RosI/l0z9FxmTtF29EdZ7P+4+ybhqoaAAUmURojSR5XbGfjC4f2i8gMqfY+RI9JvfdCA6PSh9TduXfUxA==" saltValue="5TPtLq2WoiRSae/yaDPnTw==" spinCount="100000" sqref="BZ2054:CB2095 BR2054:BU2095" name="Rango2_99_10_41"/>
    <protectedRange algorithmName="SHA-512" hashValue="XZw03RosI/l0z9FxmTtF29EdZ7P+4+ybhqoaAAUmURojSR5XbGfjC4f2i8gMqfY+RI9JvfdCA6PSh9TduXfUxA==" saltValue="5TPtLq2WoiRSae/yaDPnTw==" spinCount="100000" sqref="CE2054:CF2095" name="Rango2_99_11_39"/>
    <protectedRange algorithmName="SHA-512" hashValue="XZw03RosI/l0z9FxmTtF29EdZ7P+4+ybhqoaAAUmURojSR5XbGfjC4f2i8gMqfY+RI9JvfdCA6PSh9TduXfUxA==" saltValue="5TPtLq2WoiRSae/yaDPnTw==" spinCount="100000" sqref="CJ2054:CK2095" name="Rango2_99_12_42"/>
    <protectedRange algorithmName="SHA-512" hashValue="XZw03RosI/l0z9FxmTtF29EdZ7P+4+ybhqoaAAUmURojSR5XbGfjC4f2i8gMqfY+RI9JvfdCA6PSh9TduXfUxA==" saltValue="5TPtLq2WoiRSae/yaDPnTw==" spinCount="100000" sqref="CP2054:CQ2095" name="Rango2_99_14_44"/>
    <protectedRange algorithmName="SHA-512" hashValue="XZw03RosI/l0z9FxmTtF29EdZ7P+4+ybhqoaAAUmURojSR5XbGfjC4f2i8gMqfY+RI9JvfdCA6PSh9TduXfUxA==" saltValue="5TPtLq2WoiRSae/yaDPnTw==" spinCount="100000" sqref="CS2054:CT2095" name="Rango2_99_15_43"/>
    <protectedRange algorithmName="SHA-512" hashValue="XZw03RosI/l0z9FxmTtF29EdZ7P+4+ybhqoaAAUmURojSR5XbGfjC4f2i8gMqfY+RI9JvfdCA6PSh9TduXfUxA==" saltValue="5TPtLq2WoiRSae/yaDPnTw==" spinCount="100000" sqref="DA2054:DN2095" name="Rango2_99_17_45"/>
    <protectedRange algorithmName="SHA-512" hashValue="XZw03RosI/l0z9FxmTtF29EdZ7P+4+ybhqoaAAUmURojSR5XbGfjC4f2i8gMqfY+RI9JvfdCA6PSh9TduXfUxA==" saltValue="5TPtLq2WoiRSae/yaDPnTw==" spinCount="100000" sqref="O2096:O2106" name="Rango2_99_2_44"/>
    <protectedRange algorithmName="SHA-512" hashValue="fPHvtIAf3pQeZUoAI9C2/vdXMHBpqqEq+67P5Ypyu4+9IWqs3yc9TZcMWQ0THLxUwqseQPyVvakuYFtCwJHsxA==" saltValue="QHIogSs2PrwAfdqa9PAOFQ==" spinCount="100000" sqref="AC2096:AC2106" name="Rango2_88_5_5_1_40"/>
    <protectedRange algorithmName="SHA-512" hashValue="LEEeiU6pKqm7TAP46VGlz0q+evvFwpT/0iLpRuWuQ7MacbP0OGL1/FSmrIEOg2rb6M+Jla2bPbVWiGag27j87w==" saltValue="HEVt+pS5OloNDlqSnzGLLw==" spinCount="100000" sqref="AI2096:AI2106" name="Rango2_8_7_1_43"/>
    <protectedRange algorithmName="SHA-512" hashValue="q2z5hEFmXS0v2chiPTC/VCoDWNlnhp+Xe6Ybfxe48vIsnB/KTJQxJv+pFUnCXfZ9T6vyJopuqFFNROfQTW/JUw==" saltValue="IctfdGJb5tOTpq+KPi9vww==" spinCount="100000" sqref="AE2096:AF2106" name="Rango2_88_39_1_42"/>
    <protectedRange algorithmName="SHA-512" hashValue="NUll9P9xh7KbSfMYpMxsRZLfDw/y/AzW2LSWlpXVscBDqiAxmzo71xjs+a2lh+jRa7pceOC849slke4+ZKx8LA==" saltValue="8qbkKpQ+CiQuLnqgShNvXA==" spinCount="100000" sqref="T2096:T2106" name="Rango2_88_6_1_41"/>
    <protectedRange algorithmName="SHA-512" hashValue="KHhv3JU/LRdRrRTxxkgFceEHPZ5UzadmpZRZR3zmQRnPvkUJZuanRafIJ+qde0IWwLZSvFIQDyUAHq6v6k7XIg==" saltValue="2GKG1kCzVNNcn+vbOPuhJA==" spinCount="100000" sqref="Q2100 Q2103" name="Rango2_2_5_1_42"/>
    <protectedRange algorithmName="SHA-512" hashValue="XZw03RosI/l0z9FxmTtF29EdZ7P+4+ybhqoaAAUmURojSR5XbGfjC4f2i8gMqfY+RI9JvfdCA6PSh9TduXfUxA==" saltValue="5TPtLq2WoiRSae/yaDPnTw==" spinCount="100000" sqref="R2096:S2106 U2096:AA2106" name="Rango2_99_4_45"/>
    <protectedRange algorithmName="SHA-512" hashValue="fMbmUM1DQ7FuAPRNvFL5mPdHUYjQnlLFhkuaxvHguaqR7aWyDxcmJs0jLYQfQKY+oyhsMb4Lew4VL6i7um3/ew==" saltValue="ydaTm0CeH8+/cYqoL/AMaQ==" spinCount="100000" sqref="AU2096:AU2106 AW2096:AZ2106" name="Rango2_88_91_1_44"/>
    <protectedRange algorithmName="SHA-512" hashValue="CHipOQaT63FWw628cQcXXJRZlrbNZ7OgmnEbDx38UmmH7z19GRYEzXFiVOzHAy1OAaAbST7g2bHZHDKQp2qm3w==" saltValue="iRVuL+373yLHv0ZHzS9qog==" spinCount="100000" sqref="AL2096:AL2106" name="Rango2_88_7_5_2_39"/>
    <protectedRange algorithmName="SHA-512" hashValue="NkG6oHuDGvGBEiLAAq8MEJHEfLQUMyjihfH+DBXhT+eQW0r1yri7tOJEFRM9nbOejjjXiviq9RFo7KB7wF+xJA==" saltValue="bpjB0AAANu2X/PeR3eiFkA==" spinCount="100000" sqref="AM2096:AS2106" name="Rango2_88_65_1_41"/>
    <protectedRange algorithmName="SHA-512" hashValue="RQ91b7oAw60DVtcgB2vRpial2kSdzJx5guGCTYUwXYkKrtrUHfiYnLf9R+SNpYXlJDYpyEJLhcWwP0EqNN86dQ==" saltValue="W3RbH3zrcY9sy39xNwXNxg==" spinCount="100000" sqref="BV2096:BY2106" name="Rango2_88_99_2_41"/>
    <protectedRange algorithmName="SHA-512" hashValue="XZw03RosI/l0z9FxmTtF29EdZ7P+4+ybhqoaAAUmURojSR5XbGfjC4f2i8gMqfY+RI9JvfdCA6PSh9TduXfUxA==" saltValue="5TPtLq2WoiRSae/yaDPnTw==" spinCount="100000" sqref="BZ2096:CB2106 BR2096:BU2106" name="Rango2_99_10_42"/>
    <protectedRange algorithmName="SHA-512" hashValue="XZw03RosI/l0z9FxmTtF29EdZ7P+4+ybhqoaAAUmURojSR5XbGfjC4f2i8gMqfY+RI9JvfdCA6PSh9TduXfUxA==" saltValue="5TPtLq2WoiRSae/yaDPnTw==" spinCount="100000" sqref="CE2096:CF2106" name="Rango2_99_11_40"/>
    <protectedRange algorithmName="SHA-512" hashValue="XZw03RosI/l0z9FxmTtF29EdZ7P+4+ybhqoaAAUmURojSR5XbGfjC4f2i8gMqfY+RI9JvfdCA6PSh9TduXfUxA==" saltValue="5TPtLq2WoiRSae/yaDPnTw==" spinCount="100000" sqref="CJ2096:CK2106" name="Rango2_99_12_43"/>
    <protectedRange algorithmName="SHA-512" hashValue="XZw03RosI/l0z9FxmTtF29EdZ7P+4+ybhqoaAAUmURojSR5XbGfjC4f2i8gMqfY+RI9JvfdCA6PSh9TduXfUxA==" saltValue="5TPtLq2WoiRSae/yaDPnTw==" spinCount="100000" sqref="CP2096:CQ2106" name="Rango2_99_14_45"/>
    <protectedRange algorithmName="SHA-512" hashValue="XZw03RosI/l0z9FxmTtF29EdZ7P+4+ybhqoaAAUmURojSR5XbGfjC4f2i8gMqfY+RI9JvfdCA6PSh9TduXfUxA==" saltValue="5TPtLq2WoiRSae/yaDPnTw==" spinCount="100000" sqref="CS2096:CT2106" name="Rango2_99_15_44"/>
    <protectedRange algorithmName="SHA-512" hashValue="XZw03RosI/l0z9FxmTtF29EdZ7P+4+ybhqoaAAUmURojSR5XbGfjC4f2i8gMqfY+RI9JvfdCA6PSh9TduXfUxA==" saltValue="5TPtLq2WoiRSae/yaDPnTw==" spinCount="100000" sqref="DA2096:DN2106" name="Rango2_99_17_46"/>
    <protectedRange algorithmName="SHA-512" hashValue="XZw03RosI/l0z9FxmTtF29EdZ7P+4+ybhqoaAAUmURojSR5XbGfjC4f2i8gMqfY+RI9JvfdCA6PSh9TduXfUxA==" saltValue="5TPtLq2WoiRSae/yaDPnTw==" spinCount="100000" sqref="EA1996:EJ1996" name="Rango2_99_18_8"/>
    <protectedRange algorithmName="SHA-512" hashValue="9+DNppQbWrLYYUMoJ+lyQctV2bX3Vq9kZnegLbpjTLP49It2ovUbcartuoQTeXgP+TGpY//7mDH/UQlFCKDGiA==" saltValue="KUnni6YEm00anzSSvyLqQA==" spinCount="100000" sqref="EN1996" name="Rango2_22_3"/>
    <protectedRange algorithmName="SHA-512" hashValue="XZw03RosI/l0z9FxmTtF29EdZ7P+4+ybhqoaAAUmURojSR5XbGfjC4f2i8gMqfY+RI9JvfdCA6PSh9TduXfUxA==" saltValue="5TPtLq2WoiRSae/yaDPnTw==" spinCount="100000" sqref="ER1996:ES1996" name="Rango2_99_20_5"/>
    <protectedRange algorithmName="SHA-512" hashValue="XZw03RosI/l0z9FxmTtF29EdZ7P+4+ybhqoaAAUmURojSR5XbGfjC4f2i8gMqfY+RI9JvfdCA6PSh9TduXfUxA==" saltValue="5TPtLq2WoiRSae/yaDPnTw==" spinCount="100000" sqref="EV1996:EW1996" name="Rango2_99_22_5"/>
    <protectedRange algorithmName="SHA-512" hashValue="9+DNppQbWrLYYUMoJ+lyQctV2bX3Vq9kZnegLbpjTLP49It2ovUbcartuoQTeXgP+TGpY//7mDH/UQlFCKDGiA==" saltValue="KUnni6YEm00anzSSvyLqQA==" spinCount="100000" sqref="FC1996" name="Rango2_26_4"/>
    <protectedRange algorithmName="SHA-512" hashValue="XZw03RosI/l0z9FxmTtF29EdZ7P+4+ybhqoaAAUmURojSR5XbGfjC4f2i8gMqfY+RI9JvfdCA6PSh9TduXfUxA==" saltValue="5TPtLq2WoiRSae/yaDPnTw==" spinCount="100000" sqref="FF1996" name="Rango2_99_23_8"/>
    <protectedRange algorithmName="SHA-512" hashValue="9+DNppQbWrLYYUMoJ+lyQctV2bX3Vq9kZnegLbpjTLP49It2ovUbcartuoQTeXgP+TGpY//7mDH/UQlFCKDGiA==" saltValue="KUnni6YEm00anzSSvyLqQA==" spinCount="100000" sqref="FH1996" name="Rango2_35_5"/>
    <protectedRange algorithmName="SHA-512" hashValue="XZw03RosI/l0z9FxmTtF29EdZ7P+4+ybhqoaAAUmURojSR5XbGfjC4f2i8gMqfY+RI9JvfdCA6PSh9TduXfUxA==" saltValue="5TPtLq2WoiRSae/yaDPnTw==" spinCount="100000" sqref="FQ1996:FR1996" name="Rango2_99_27_7"/>
    <protectedRange algorithmName="SHA-512" hashValue="XZw03RosI/l0z9FxmTtF29EdZ7P+4+ybhqoaAAUmURojSR5XbGfjC4f2i8gMqfY+RI9JvfdCA6PSh9TduXfUxA==" saltValue="5TPtLq2WoiRSae/yaDPnTw==" spinCount="100000" sqref="FU1996" name="Rango2_99_29_3"/>
    <protectedRange algorithmName="SHA-512" hashValue="XZw03RosI/l0z9FxmTtF29EdZ7P+4+ybhqoaAAUmURojSR5XbGfjC4f2i8gMqfY+RI9JvfdCA6PSh9TduXfUxA==" saltValue="5TPtLq2WoiRSae/yaDPnTw==" spinCount="100000" sqref="FW1996:FX1996" name="Rango2_99_31_4"/>
    <protectedRange algorithmName="SHA-512" hashValue="Umj9+5Ys20VQPxBFtc6qE5LtKKSgPKwit+B8dd4XnEUaLfBM2ozpkEC4YxwK0SbBiAHDDex+pY+LomQ0lyuamQ==" saltValue="N2/MCRws+mmA+NXw0axolg==" spinCount="100000" sqref="FY1996" name="Rango2_31_2_2_5"/>
    <protectedRange algorithmName="SHA-512" hashValue="Rgskw+AQdeJ5qbJdarzTa3SCkJfDGziy0Uan5N0F3IWn/H3Z/e+VcB56R7Nes7MPxNHewNP1sSSucVjz3iTLeA==" saltValue="qKZH3DnwaZHBzy3cBZo1qQ==" spinCount="100000" sqref="GF1996" name="Rango2_31_28_1_5"/>
    <protectedRange algorithmName="SHA-512" hashValue="Umj9+5Ys20VQPxBFtc6qE5LtKKSgPKwit+B8dd4XnEUaLfBM2ozpkEC4YxwK0SbBiAHDDex+pY+LomQ0lyuamQ==" saltValue="N2/MCRws+mmA+NXw0axolg==" spinCount="100000" sqref="GE1996" name="Rango2_31_2_5_2"/>
    <protectedRange algorithmName="SHA-512" hashValue="Umj9+5Ys20VQPxBFtc6qE5LtKKSgPKwit+B8dd4XnEUaLfBM2ozpkEC4YxwK0SbBiAHDDex+pY+LomQ0lyuamQ==" saltValue="N2/MCRws+mmA+NXw0axolg==" spinCount="100000" sqref="GJ1996 GH1996 GL1996" name="Rango2_31_2_6_2"/>
    <protectedRange algorithmName="SHA-512" hashValue="XZw03RosI/l0z9FxmTtF29EdZ7P+4+ybhqoaAAUmURojSR5XbGfjC4f2i8gMqfY+RI9JvfdCA6PSh9TduXfUxA==" saltValue="5TPtLq2WoiRSae/yaDPnTw==" spinCount="100000" sqref="GO1996 GM1996 GK1996" name="Rango2_99_36_6"/>
    <protectedRange algorithmName="SHA-512" hashValue="EEHzbvEYwO1eufllBljOz0uf9BJ2ENtvOScQ7IsS321QhYbwKn7qhHKKP8cKj02rTDvVRMWvwQ1ZP0mZWsBprQ==" saltValue="CjXqBRFbKezlWOFV37MnDQ==" spinCount="100000" sqref="GQ1996:GR1996" name="Rango2_30_2_2_6"/>
    <protectedRange algorithmName="SHA-512" hashValue="EEHzbvEYwO1eufllBljOz0uf9BJ2ENtvOScQ7IsS321QhYbwKn7qhHKKP8cKj02rTDvVRMWvwQ1ZP0mZWsBprQ==" saltValue="CjXqBRFbKezlWOFV37MnDQ==" spinCount="100000" sqref="GW1996" name="Rango2_30_2_3_4"/>
    <protectedRange algorithmName="SHA-512" hashValue="XZw03RosI/l0z9FxmTtF29EdZ7P+4+ybhqoaAAUmURojSR5XbGfjC4f2i8gMqfY+RI9JvfdCA6PSh9TduXfUxA==" saltValue="5TPtLq2WoiRSae/yaDPnTw==" spinCount="100000" sqref="GY1996:GZ1996" name="Rango2_99_39_2"/>
    <protectedRange algorithmName="SHA-512" hashValue="XZw03RosI/l0z9FxmTtF29EdZ7P+4+ybhqoaAAUmURojSR5XbGfjC4f2i8gMqfY+RI9JvfdCA6PSh9TduXfUxA==" saltValue="5TPtLq2WoiRSae/yaDPnTw==" spinCount="100000" sqref="HJ1996" name="Rango2_99_40_6"/>
    <protectedRange algorithmName="SHA-512" hashValue="9+DNppQbWrLYYUMoJ+lyQctV2bX3Vq9kZnegLbpjTLP49It2ovUbcartuoQTeXgP+TGpY//7mDH/UQlFCKDGiA==" saltValue="KUnni6YEm00anzSSvyLqQA==" spinCount="100000" sqref="HD1996:HI1996" name="Rango2_39_8"/>
    <protectedRange algorithmName="SHA-512" hashValue="XZw03RosI/l0z9FxmTtF29EdZ7P+4+ybhqoaAAUmURojSR5XbGfjC4f2i8gMqfY+RI9JvfdCA6PSh9TduXfUxA==" saltValue="5TPtLq2WoiRSae/yaDPnTw==" spinCount="100000" sqref="IB1996 HU1996:HZ1996" name="Rango2_99_41_2"/>
    <protectedRange algorithmName="SHA-512" hashValue="9+DNppQbWrLYYUMoJ+lyQctV2bX3Vq9kZnegLbpjTLP49It2ovUbcartuoQTeXgP+TGpY//7mDH/UQlFCKDGiA==" saltValue="KUnni6YEm00anzSSvyLqQA==" spinCount="100000" sqref="HS1996:HT1996" name="Rango2_40_6"/>
    <protectedRange algorithmName="SHA-512" hashValue="XZw03RosI/l0z9FxmTtF29EdZ7P+4+ybhqoaAAUmURojSR5XbGfjC4f2i8gMqfY+RI9JvfdCA6PSh9TduXfUxA==" saltValue="5TPtLq2WoiRSae/yaDPnTw==" spinCount="100000" sqref="IL1996:IM1996" name="Rango2_99_77_1_1"/>
    <protectedRange algorithmName="SHA-512" hashValue="XZw03RosI/l0z9FxmTtF29EdZ7P+4+ybhqoaAAUmURojSR5XbGfjC4f2i8gMqfY+RI9JvfdCA6PSh9TduXfUxA==" saltValue="5TPtLq2WoiRSae/yaDPnTw==" spinCount="100000" sqref="IO1996" name="Rango2_99_77_2"/>
    <protectedRange algorithmName="SHA-512" hashValue="XZw03RosI/l0z9FxmTtF29EdZ7P+4+ybhqoaAAUmURojSR5XbGfjC4f2i8gMqfY+RI9JvfdCA6PSh9TduXfUxA==" saltValue="5TPtLq2WoiRSae/yaDPnTw==" spinCount="100000" sqref="EA1997:EJ1997" name="Rango2_99_18_9"/>
    <protectedRange algorithmName="SHA-512" hashValue="9+DNppQbWrLYYUMoJ+lyQctV2bX3Vq9kZnegLbpjTLP49It2ovUbcartuoQTeXgP+TGpY//7mDH/UQlFCKDGiA==" saltValue="KUnni6YEm00anzSSvyLqQA==" spinCount="100000" sqref="EN1997" name="Rango2_22_4"/>
    <protectedRange algorithmName="SHA-512" hashValue="XZw03RosI/l0z9FxmTtF29EdZ7P+4+ybhqoaAAUmURojSR5XbGfjC4f2i8gMqfY+RI9JvfdCA6PSh9TduXfUxA==" saltValue="5TPtLq2WoiRSae/yaDPnTw==" spinCount="100000" sqref="ER1997:ES1997" name="Rango2_99_20_6"/>
    <protectedRange algorithmName="SHA-512" hashValue="XZw03RosI/l0z9FxmTtF29EdZ7P+4+ybhqoaAAUmURojSR5XbGfjC4f2i8gMqfY+RI9JvfdCA6PSh9TduXfUxA==" saltValue="5TPtLq2WoiRSae/yaDPnTw==" spinCount="100000" sqref="EV1997:EW1997" name="Rango2_99_22_6"/>
    <protectedRange algorithmName="SHA-512" hashValue="9+DNppQbWrLYYUMoJ+lyQctV2bX3Vq9kZnegLbpjTLP49It2ovUbcartuoQTeXgP+TGpY//7mDH/UQlFCKDGiA==" saltValue="KUnni6YEm00anzSSvyLqQA==" spinCount="100000" sqref="FC1997" name="Rango2_26_5"/>
    <protectedRange algorithmName="SHA-512" hashValue="XZw03RosI/l0z9FxmTtF29EdZ7P+4+ybhqoaAAUmURojSR5XbGfjC4f2i8gMqfY+RI9JvfdCA6PSh9TduXfUxA==" saltValue="5TPtLq2WoiRSae/yaDPnTw==" spinCount="100000" sqref="FF1997" name="Rango2_99_23_9"/>
    <protectedRange algorithmName="SHA-512" hashValue="9+DNppQbWrLYYUMoJ+lyQctV2bX3Vq9kZnegLbpjTLP49It2ovUbcartuoQTeXgP+TGpY//7mDH/UQlFCKDGiA==" saltValue="KUnni6YEm00anzSSvyLqQA==" spinCount="100000" sqref="FH1997" name="Rango2_35_6"/>
    <protectedRange algorithmName="SHA-512" hashValue="XZw03RosI/l0z9FxmTtF29EdZ7P+4+ybhqoaAAUmURojSR5XbGfjC4f2i8gMqfY+RI9JvfdCA6PSh9TduXfUxA==" saltValue="5TPtLq2WoiRSae/yaDPnTw==" spinCount="100000" sqref="FQ1997:FR1997" name="Rango2_99_27_8"/>
    <protectedRange algorithmName="SHA-512" hashValue="XZw03RosI/l0z9FxmTtF29EdZ7P+4+ybhqoaAAUmURojSR5XbGfjC4f2i8gMqfY+RI9JvfdCA6PSh9TduXfUxA==" saltValue="5TPtLq2WoiRSae/yaDPnTw==" spinCount="100000" sqref="FU1997" name="Rango2_99_29_5"/>
    <protectedRange algorithmName="SHA-512" hashValue="XZw03RosI/l0z9FxmTtF29EdZ7P+4+ybhqoaAAUmURojSR5XbGfjC4f2i8gMqfY+RI9JvfdCA6PSh9TduXfUxA==" saltValue="5TPtLq2WoiRSae/yaDPnTw==" spinCount="100000" sqref="FW1997:FX1997" name="Rango2_99_31_5"/>
    <protectedRange algorithmName="SHA-512" hashValue="Umj9+5Ys20VQPxBFtc6qE5LtKKSgPKwit+B8dd4XnEUaLfBM2ozpkEC4YxwK0SbBiAHDDex+pY+LomQ0lyuamQ==" saltValue="N2/MCRws+mmA+NXw0axolg==" spinCount="100000" sqref="FY1997" name="Rango2_31_2_2_6"/>
    <protectedRange algorithmName="SHA-512" hashValue="Rgskw+AQdeJ5qbJdarzTa3SCkJfDGziy0Uan5N0F3IWn/H3Z/e+VcB56R7Nes7MPxNHewNP1sSSucVjz3iTLeA==" saltValue="qKZH3DnwaZHBzy3cBZo1qQ==" spinCount="100000" sqref="GF1997" name="Rango2_31_28_1_6"/>
    <protectedRange algorithmName="SHA-512" hashValue="Umj9+5Ys20VQPxBFtc6qE5LtKKSgPKwit+B8dd4XnEUaLfBM2ozpkEC4YxwK0SbBiAHDDex+pY+LomQ0lyuamQ==" saltValue="N2/MCRws+mmA+NXw0axolg==" spinCount="100000" sqref="GE1997" name="Rango2_31_2_5_3"/>
    <protectedRange algorithmName="SHA-512" hashValue="Umj9+5Ys20VQPxBFtc6qE5LtKKSgPKwit+B8dd4XnEUaLfBM2ozpkEC4YxwK0SbBiAHDDex+pY+LomQ0lyuamQ==" saltValue="N2/MCRws+mmA+NXw0axolg==" spinCount="100000" sqref="GJ1997 GH1997 GL1997" name="Rango2_31_2_6_3"/>
    <protectedRange algorithmName="SHA-512" hashValue="XZw03RosI/l0z9FxmTtF29EdZ7P+4+ybhqoaAAUmURojSR5XbGfjC4f2i8gMqfY+RI9JvfdCA6PSh9TduXfUxA==" saltValue="5TPtLq2WoiRSae/yaDPnTw==" spinCount="100000" sqref="GO1997 GM1997 GK1997" name="Rango2_99_36_7"/>
    <protectedRange algorithmName="SHA-512" hashValue="EEHzbvEYwO1eufllBljOz0uf9BJ2ENtvOScQ7IsS321QhYbwKn7qhHKKP8cKj02rTDvVRMWvwQ1ZP0mZWsBprQ==" saltValue="CjXqBRFbKezlWOFV37MnDQ==" spinCount="100000" sqref="GQ1997:GR1997" name="Rango2_30_2_2_7"/>
    <protectedRange algorithmName="SHA-512" hashValue="EEHzbvEYwO1eufllBljOz0uf9BJ2ENtvOScQ7IsS321QhYbwKn7qhHKKP8cKj02rTDvVRMWvwQ1ZP0mZWsBprQ==" saltValue="CjXqBRFbKezlWOFV37MnDQ==" spinCount="100000" sqref="GW1997" name="Rango2_30_2_3_5"/>
    <protectedRange algorithmName="SHA-512" hashValue="XZw03RosI/l0z9FxmTtF29EdZ7P+4+ybhqoaAAUmURojSR5XbGfjC4f2i8gMqfY+RI9JvfdCA6PSh9TduXfUxA==" saltValue="5TPtLq2WoiRSae/yaDPnTw==" spinCount="100000" sqref="GY1997:GZ1997" name="Rango2_99_39_3"/>
    <protectedRange algorithmName="SHA-512" hashValue="XZw03RosI/l0z9FxmTtF29EdZ7P+4+ybhqoaAAUmURojSR5XbGfjC4f2i8gMqfY+RI9JvfdCA6PSh9TduXfUxA==" saltValue="5TPtLq2WoiRSae/yaDPnTw==" spinCount="100000" sqref="HJ1997" name="Rango2_99_40_7"/>
    <protectedRange algorithmName="SHA-512" hashValue="9+DNppQbWrLYYUMoJ+lyQctV2bX3Vq9kZnegLbpjTLP49It2ovUbcartuoQTeXgP+TGpY//7mDH/UQlFCKDGiA==" saltValue="KUnni6YEm00anzSSvyLqQA==" spinCount="100000" sqref="HD1997:HI1997" name="Rango2_39_9"/>
    <protectedRange algorithmName="SHA-512" hashValue="XZw03RosI/l0z9FxmTtF29EdZ7P+4+ybhqoaAAUmURojSR5XbGfjC4f2i8gMqfY+RI9JvfdCA6PSh9TduXfUxA==" saltValue="5TPtLq2WoiRSae/yaDPnTw==" spinCount="100000" sqref="IB1997 HU1997:HZ1997" name="Rango2_99_41_3"/>
    <protectedRange algorithmName="SHA-512" hashValue="9+DNppQbWrLYYUMoJ+lyQctV2bX3Vq9kZnegLbpjTLP49It2ovUbcartuoQTeXgP+TGpY//7mDH/UQlFCKDGiA==" saltValue="KUnni6YEm00anzSSvyLqQA==" spinCount="100000" sqref="HS1997:HT1997" name="Rango2_40_7"/>
    <protectedRange algorithmName="SHA-512" hashValue="XZw03RosI/l0z9FxmTtF29EdZ7P+4+ybhqoaAAUmURojSR5XbGfjC4f2i8gMqfY+RI9JvfdCA6PSh9TduXfUxA==" saltValue="5TPtLq2WoiRSae/yaDPnTw==" spinCount="100000" sqref="IL1997:IM1997" name="Rango2_99_78_1_1"/>
    <protectedRange algorithmName="SHA-512" hashValue="XZw03RosI/l0z9FxmTtF29EdZ7P+4+ybhqoaAAUmURojSR5XbGfjC4f2i8gMqfY+RI9JvfdCA6PSh9TduXfUxA==" saltValue="5TPtLq2WoiRSae/yaDPnTw==" spinCount="100000" sqref="IO1997" name="Rango2_99_78_2_1"/>
    <protectedRange algorithmName="SHA-512" hashValue="XZw03RosI/l0z9FxmTtF29EdZ7P+4+ybhqoaAAUmURojSR5XbGfjC4f2i8gMqfY+RI9JvfdCA6PSh9TduXfUxA==" saltValue="5TPtLq2WoiRSae/yaDPnTw==" spinCount="100000" sqref="EA1998:EJ1998" name="Rango2_99_18_10"/>
    <protectedRange algorithmName="SHA-512" hashValue="9+DNppQbWrLYYUMoJ+lyQctV2bX3Vq9kZnegLbpjTLP49It2ovUbcartuoQTeXgP+TGpY//7mDH/UQlFCKDGiA==" saltValue="KUnni6YEm00anzSSvyLqQA==" spinCount="100000" sqref="EN1998" name="Rango2_22_5"/>
    <protectedRange algorithmName="SHA-512" hashValue="XZw03RosI/l0z9FxmTtF29EdZ7P+4+ybhqoaAAUmURojSR5XbGfjC4f2i8gMqfY+RI9JvfdCA6PSh9TduXfUxA==" saltValue="5TPtLq2WoiRSae/yaDPnTw==" spinCount="100000" sqref="ER1998:ES1998" name="Rango2_99_20_7"/>
    <protectedRange algorithmName="SHA-512" hashValue="XZw03RosI/l0z9FxmTtF29EdZ7P+4+ybhqoaAAUmURojSR5XbGfjC4f2i8gMqfY+RI9JvfdCA6PSh9TduXfUxA==" saltValue="5TPtLq2WoiRSae/yaDPnTw==" spinCount="100000" sqref="EV1998:EW1998" name="Rango2_99_22_7"/>
    <protectedRange algorithmName="SHA-512" hashValue="9+DNppQbWrLYYUMoJ+lyQctV2bX3Vq9kZnegLbpjTLP49It2ovUbcartuoQTeXgP+TGpY//7mDH/UQlFCKDGiA==" saltValue="KUnni6YEm00anzSSvyLqQA==" spinCount="100000" sqref="FC1998" name="Rango2_26_6"/>
    <protectedRange algorithmName="SHA-512" hashValue="XZw03RosI/l0z9FxmTtF29EdZ7P+4+ybhqoaAAUmURojSR5XbGfjC4f2i8gMqfY+RI9JvfdCA6PSh9TduXfUxA==" saltValue="5TPtLq2WoiRSae/yaDPnTw==" spinCount="100000" sqref="FF1998" name="Rango2_99_23_10"/>
    <protectedRange algorithmName="SHA-512" hashValue="9+DNppQbWrLYYUMoJ+lyQctV2bX3Vq9kZnegLbpjTLP49It2ovUbcartuoQTeXgP+TGpY//7mDH/UQlFCKDGiA==" saltValue="KUnni6YEm00anzSSvyLqQA==" spinCount="100000" sqref="FH1998" name="Rango2_35_7"/>
    <protectedRange algorithmName="SHA-512" hashValue="XZw03RosI/l0z9FxmTtF29EdZ7P+4+ybhqoaAAUmURojSR5XbGfjC4f2i8gMqfY+RI9JvfdCA6PSh9TduXfUxA==" saltValue="5TPtLq2WoiRSae/yaDPnTw==" spinCount="100000" sqref="FQ1998:FR1998" name="Rango2_99_27_9"/>
    <protectedRange algorithmName="SHA-512" hashValue="XZw03RosI/l0z9FxmTtF29EdZ7P+4+ybhqoaAAUmURojSR5XbGfjC4f2i8gMqfY+RI9JvfdCA6PSh9TduXfUxA==" saltValue="5TPtLq2WoiRSae/yaDPnTw==" spinCount="100000" sqref="FU1998" name="Rango2_99_29_6"/>
    <protectedRange algorithmName="SHA-512" hashValue="XZw03RosI/l0z9FxmTtF29EdZ7P+4+ybhqoaAAUmURojSR5XbGfjC4f2i8gMqfY+RI9JvfdCA6PSh9TduXfUxA==" saltValue="5TPtLq2WoiRSae/yaDPnTw==" spinCount="100000" sqref="FW1998:FX1998" name="Rango2_99_31_6"/>
    <protectedRange algorithmName="SHA-512" hashValue="Umj9+5Ys20VQPxBFtc6qE5LtKKSgPKwit+B8dd4XnEUaLfBM2ozpkEC4YxwK0SbBiAHDDex+pY+LomQ0lyuamQ==" saltValue="N2/MCRws+mmA+NXw0axolg==" spinCount="100000" sqref="FY1998" name="Rango2_31_2_2_7"/>
    <protectedRange algorithmName="SHA-512" hashValue="Rgskw+AQdeJ5qbJdarzTa3SCkJfDGziy0Uan5N0F3IWn/H3Z/e+VcB56R7Nes7MPxNHewNP1sSSucVjz3iTLeA==" saltValue="qKZH3DnwaZHBzy3cBZo1qQ==" spinCount="100000" sqref="GF1998" name="Rango2_31_28_1_7"/>
    <protectedRange algorithmName="SHA-512" hashValue="Umj9+5Ys20VQPxBFtc6qE5LtKKSgPKwit+B8dd4XnEUaLfBM2ozpkEC4YxwK0SbBiAHDDex+pY+LomQ0lyuamQ==" saltValue="N2/MCRws+mmA+NXw0axolg==" spinCount="100000" sqref="GE1998" name="Rango2_31_2_5_4"/>
    <protectedRange algorithmName="SHA-512" hashValue="Umj9+5Ys20VQPxBFtc6qE5LtKKSgPKwit+B8dd4XnEUaLfBM2ozpkEC4YxwK0SbBiAHDDex+pY+LomQ0lyuamQ==" saltValue="N2/MCRws+mmA+NXw0axolg==" spinCount="100000" sqref="GJ1998 GH1998 GL1998" name="Rango2_31_2_6_4"/>
    <protectedRange algorithmName="SHA-512" hashValue="XZw03RosI/l0z9FxmTtF29EdZ7P+4+ybhqoaAAUmURojSR5XbGfjC4f2i8gMqfY+RI9JvfdCA6PSh9TduXfUxA==" saltValue="5TPtLq2WoiRSae/yaDPnTw==" spinCount="100000" sqref="GO1998 GM1998 GK1998" name="Rango2_99_36_9"/>
    <protectedRange algorithmName="SHA-512" hashValue="EEHzbvEYwO1eufllBljOz0uf9BJ2ENtvOScQ7IsS321QhYbwKn7qhHKKP8cKj02rTDvVRMWvwQ1ZP0mZWsBprQ==" saltValue="CjXqBRFbKezlWOFV37MnDQ==" spinCount="100000" sqref="GQ1998:GR1998" name="Rango2_30_2_2_8"/>
    <protectedRange algorithmName="SHA-512" hashValue="EEHzbvEYwO1eufllBljOz0uf9BJ2ENtvOScQ7IsS321QhYbwKn7qhHKKP8cKj02rTDvVRMWvwQ1ZP0mZWsBprQ==" saltValue="CjXqBRFbKezlWOFV37MnDQ==" spinCount="100000" sqref="GW1998" name="Rango2_30_2_3_6"/>
    <protectedRange algorithmName="SHA-512" hashValue="XZw03RosI/l0z9FxmTtF29EdZ7P+4+ybhqoaAAUmURojSR5XbGfjC4f2i8gMqfY+RI9JvfdCA6PSh9TduXfUxA==" saltValue="5TPtLq2WoiRSae/yaDPnTw==" spinCount="100000" sqref="GY1998:GZ1998" name="Rango2_99_39_4"/>
    <protectedRange algorithmName="SHA-512" hashValue="XZw03RosI/l0z9FxmTtF29EdZ7P+4+ybhqoaAAUmURojSR5XbGfjC4f2i8gMqfY+RI9JvfdCA6PSh9TduXfUxA==" saltValue="5TPtLq2WoiRSae/yaDPnTw==" spinCount="100000" sqref="HJ1998" name="Rango2_99_40_8"/>
    <protectedRange algorithmName="SHA-512" hashValue="9+DNppQbWrLYYUMoJ+lyQctV2bX3Vq9kZnegLbpjTLP49It2ovUbcartuoQTeXgP+TGpY//7mDH/UQlFCKDGiA==" saltValue="KUnni6YEm00anzSSvyLqQA==" spinCount="100000" sqref="HD1998:HI1998" name="Rango2_39_10"/>
    <protectedRange algorithmName="SHA-512" hashValue="XZw03RosI/l0z9FxmTtF29EdZ7P+4+ybhqoaAAUmURojSR5XbGfjC4f2i8gMqfY+RI9JvfdCA6PSh9TduXfUxA==" saltValue="5TPtLq2WoiRSae/yaDPnTw==" spinCount="100000" sqref="IB1998 HU1998:HZ1998" name="Rango2_99_41_4"/>
    <protectedRange algorithmName="SHA-512" hashValue="9+DNppQbWrLYYUMoJ+lyQctV2bX3Vq9kZnegLbpjTLP49It2ovUbcartuoQTeXgP+TGpY//7mDH/UQlFCKDGiA==" saltValue="KUnni6YEm00anzSSvyLqQA==" spinCount="100000" sqref="HS1998:HT1998" name="Rango2_40_8"/>
    <protectedRange algorithmName="SHA-512" hashValue="XZw03RosI/l0z9FxmTtF29EdZ7P+4+ybhqoaAAUmURojSR5XbGfjC4f2i8gMqfY+RI9JvfdCA6PSh9TduXfUxA==" saltValue="5TPtLq2WoiRSae/yaDPnTw==" spinCount="100000" sqref="IL1998:IM1998" name="Rango2_99_78_1_2"/>
    <protectedRange algorithmName="SHA-512" hashValue="XZw03RosI/l0z9FxmTtF29EdZ7P+4+ybhqoaAAUmURojSR5XbGfjC4f2i8gMqfY+RI9JvfdCA6PSh9TduXfUxA==" saltValue="5TPtLq2WoiRSae/yaDPnTw==" spinCount="100000" sqref="IO1998" name="Rango2_99_78_2_2"/>
    <protectedRange algorithmName="SHA-512" hashValue="XZw03RosI/l0z9FxmTtF29EdZ7P+4+ybhqoaAAUmURojSR5XbGfjC4f2i8gMqfY+RI9JvfdCA6PSh9TduXfUxA==" saltValue="5TPtLq2WoiRSae/yaDPnTw==" spinCount="100000" sqref="EA1999:EJ1999" name="Rango2_99_18_11"/>
    <protectedRange algorithmName="SHA-512" hashValue="9+DNppQbWrLYYUMoJ+lyQctV2bX3Vq9kZnegLbpjTLP49It2ovUbcartuoQTeXgP+TGpY//7mDH/UQlFCKDGiA==" saltValue="KUnni6YEm00anzSSvyLqQA==" spinCount="100000" sqref="EN1999" name="Rango2_22_6"/>
    <protectedRange algorithmName="SHA-512" hashValue="XZw03RosI/l0z9FxmTtF29EdZ7P+4+ybhqoaAAUmURojSR5XbGfjC4f2i8gMqfY+RI9JvfdCA6PSh9TduXfUxA==" saltValue="5TPtLq2WoiRSae/yaDPnTw==" spinCount="100000" sqref="ER1999:ES1999" name="Rango2_99_20_8"/>
    <protectedRange algorithmName="SHA-512" hashValue="XZw03RosI/l0z9FxmTtF29EdZ7P+4+ybhqoaAAUmURojSR5XbGfjC4f2i8gMqfY+RI9JvfdCA6PSh9TduXfUxA==" saltValue="5TPtLq2WoiRSae/yaDPnTw==" spinCount="100000" sqref="EV1999:EW1999" name="Rango2_99_22_8"/>
    <protectedRange algorithmName="SHA-512" hashValue="9+DNppQbWrLYYUMoJ+lyQctV2bX3Vq9kZnegLbpjTLP49It2ovUbcartuoQTeXgP+TGpY//7mDH/UQlFCKDGiA==" saltValue="KUnni6YEm00anzSSvyLqQA==" spinCount="100000" sqref="FC1999" name="Rango2_26_7"/>
    <protectedRange algorithmName="SHA-512" hashValue="XZw03RosI/l0z9FxmTtF29EdZ7P+4+ybhqoaAAUmURojSR5XbGfjC4f2i8gMqfY+RI9JvfdCA6PSh9TduXfUxA==" saltValue="5TPtLq2WoiRSae/yaDPnTw==" spinCount="100000" sqref="FF1999" name="Rango2_99_23_11"/>
    <protectedRange algorithmName="SHA-512" hashValue="9+DNppQbWrLYYUMoJ+lyQctV2bX3Vq9kZnegLbpjTLP49It2ovUbcartuoQTeXgP+TGpY//7mDH/UQlFCKDGiA==" saltValue="KUnni6YEm00anzSSvyLqQA==" spinCount="100000" sqref="FH1999" name="Rango2_35_8"/>
    <protectedRange algorithmName="SHA-512" hashValue="XZw03RosI/l0z9FxmTtF29EdZ7P+4+ybhqoaAAUmURojSR5XbGfjC4f2i8gMqfY+RI9JvfdCA6PSh9TduXfUxA==" saltValue="5TPtLq2WoiRSae/yaDPnTw==" spinCount="100000" sqref="FQ1999:FR1999" name="Rango2_99_27_10"/>
    <protectedRange algorithmName="SHA-512" hashValue="XZw03RosI/l0z9FxmTtF29EdZ7P+4+ybhqoaAAUmURojSR5XbGfjC4f2i8gMqfY+RI9JvfdCA6PSh9TduXfUxA==" saltValue="5TPtLq2WoiRSae/yaDPnTw==" spinCount="100000" sqref="FU1999" name="Rango2_99_29_7"/>
    <protectedRange algorithmName="SHA-512" hashValue="XZw03RosI/l0z9FxmTtF29EdZ7P+4+ybhqoaAAUmURojSR5XbGfjC4f2i8gMqfY+RI9JvfdCA6PSh9TduXfUxA==" saltValue="5TPtLq2WoiRSae/yaDPnTw==" spinCount="100000" sqref="FW1999:FX1999" name="Rango2_99_31_7"/>
    <protectedRange algorithmName="SHA-512" hashValue="Umj9+5Ys20VQPxBFtc6qE5LtKKSgPKwit+B8dd4XnEUaLfBM2ozpkEC4YxwK0SbBiAHDDex+pY+LomQ0lyuamQ==" saltValue="N2/MCRws+mmA+NXw0axolg==" spinCount="100000" sqref="FY1999" name="Rango2_31_2_2_8"/>
    <protectedRange algorithmName="SHA-512" hashValue="Umj9+5Ys20VQPxBFtc6qE5LtKKSgPKwit+B8dd4XnEUaLfBM2ozpkEC4YxwK0SbBiAHDDex+pY+LomQ0lyuamQ==" saltValue="N2/MCRws+mmA+NXw0axolg==" spinCount="100000" sqref="GB1999" name="Rango2_31_2_4_6"/>
    <protectedRange algorithmName="SHA-512" hashValue="Rgskw+AQdeJ5qbJdarzTa3SCkJfDGziy0Uan5N0F3IWn/H3Z/e+VcB56R7Nes7MPxNHewNP1sSSucVjz3iTLeA==" saltValue="qKZH3DnwaZHBzy3cBZo1qQ==" spinCount="100000" sqref="GF1999" name="Rango2_31_28_1_8"/>
    <protectedRange algorithmName="SHA-512" hashValue="Umj9+5Ys20VQPxBFtc6qE5LtKKSgPKwit+B8dd4XnEUaLfBM2ozpkEC4YxwK0SbBiAHDDex+pY+LomQ0lyuamQ==" saltValue="N2/MCRws+mmA+NXw0axolg==" spinCount="100000" sqref="GE1999" name="Rango2_31_2_5_5"/>
    <protectedRange algorithmName="SHA-512" hashValue="Umj9+5Ys20VQPxBFtc6qE5LtKKSgPKwit+B8dd4XnEUaLfBM2ozpkEC4YxwK0SbBiAHDDex+pY+LomQ0lyuamQ==" saltValue="N2/MCRws+mmA+NXw0axolg==" spinCount="100000" sqref="GJ1999 GH1999 GL1999" name="Rango2_31_2_6_5"/>
    <protectedRange algorithmName="SHA-512" hashValue="XZw03RosI/l0z9FxmTtF29EdZ7P+4+ybhqoaAAUmURojSR5XbGfjC4f2i8gMqfY+RI9JvfdCA6PSh9TduXfUxA==" saltValue="5TPtLq2WoiRSae/yaDPnTw==" spinCount="100000" sqref="GO1999 GM1999 GK1999" name="Rango2_99_36_10"/>
    <protectedRange algorithmName="SHA-512" hashValue="EEHzbvEYwO1eufllBljOz0uf9BJ2ENtvOScQ7IsS321QhYbwKn7qhHKKP8cKj02rTDvVRMWvwQ1ZP0mZWsBprQ==" saltValue="CjXqBRFbKezlWOFV37MnDQ==" spinCount="100000" sqref="GQ1999:GR1999" name="Rango2_30_2_2_9"/>
    <protectedRange algorithmName="SHA-512" hashValue="EEHzbvEYwO1eufllBljOz0uf9BJ2ENtvOScQ7IsS321QhYbwKn7qhHKKP8cKj02rTDvVRMWvwQ1ZP0mZWsBprQ==" saltValue="CjXqBRFbKezlWOFV37MnDQ==" spinCount="100000" sqref="GW1999" name="Rango2_30_2_3_7"/>
    <protectedRange algorithmName="SHA-512" hashValue="XZw03RosI/l0z9FxmTtF29EdZ7P+4+ybhqoaAAUmURojSR5XbGfjC4f2i8gMqfY+RI9JvfdCA6PSh9TduXfUxA==" saltValue="5TPtLq2WoiRSae/yaDPnTw==" spinCount="100000" sqref="GY1999:GZ1999" name="Rango2_99_39_5"/>
    <protectedRange algorithmName="SHA-512" hashValue="XZw03RosI/l0z9FxmTtF29EdZ7P+4+ybhqoaAAUmURojSR5XbGfjC4f2i8gMqfY+RI9JvfdCA6PSh9TduXfUxA==" saltValue="5TPtLq2WoiRSae/yaDPnTw==" spinCount="100000" sqref="HJ1999" name="Rango2_99_40_9"/>
    <protectedRange algorithmName="SHA-512" hashValue="9+DNppQbWrLYYUMoJ+lyQctV2bX3Vq9kZnegLbpjTLP49It2ovUbcartuoQTeXgP+TGpY//7mDH/UQlFCKDGiA==" saltValue="KUnni6YEm00anzSSvyLqQA==" spinCount="100000" sqref="HD1999:HI1999" name="Rango2_39_11"/>
    <protectedRange algorithmName="SHA-512" hashValue="XZw03RosI/l0z9FxmTtF29EdZ7P+4+ybhqoaAAUmURojSR5XbGfjC4f2i8gMqfY+RI9JvfdCA6PSh9TduXfUxA==" saltValue="5TPtLq2WoiRSae/yaDPnTw==" spinCount="100000" sqref="IB1999 HU1999:HZ1999" name="Rango2_99_41_5"/>
    <protectedRange algorithmName="SHA-512" hashValue="9+DNppQbWrLYYUMoJ+lyQctV2bX3Vq9kZnegLbpjTLP49It2ovUbcartuoQTeXgP+TGpY//7mDH/UQlFCKDGiA==" saltValue="KUnni6YEm00anzSSvyLqQA==" spinCount="100000" sqref="HS1999:HT1999" name="Rango2_40_9"/>
    <protectedRange algorithmName="SHA-512" hashValue="XZw03RosI/l0z9FxmTtF29EdZ7P+4+ybhqoaAAUmURojSR5XbGfjC4f2i8gMqfY+RI9JvfdCA6PSh9TduXfUxA==" saltValue="5TPtLq2WoiRSae/yaDPnTw==" spinCount="100000" sqref="IL1999:IM1999" name="Rango2_99_78_1_3"/>
    <protectedRange algorithmName="SHA-512" hashValue="XZw03RosI/l0z9FxmTtF29EdZ7P+4+ybhqoaAAUmURojSR5XbGfjC4f2i8gMqfY+RI9JvfdCA6PSh9TduXfUxA==" saltValue="5TPtLq2WoiRSae/yaDPnTw==" spinCount="100000" sqref="IO1999" name="Rango2_99_78_2_3"/>
    <protectedRange algorithmName="SHA-512" hashValue="XZw03RosI/l0z9FxmTtF29EdZ7P+4+ybhqoaAAUmURojSR5XbGfjC4f2i8gMqfY+RI9JvfdCA6PSh9TduXfUxA==" saltValue="5TPtLq2WoiRSae/yaDPnTw==" spinCount="100000" sqref="EA2000:EJ2000" name="Rango2_99_18_12"/>
    <protectedRange algorithmName="SHA-512" hashValue="9+DNppQbWrLYYUMoJ+lyQctV2bX3Vq9kZnegLbpjTLP49It2ovUbcartuoQTeXgP+TGpY//7mDH/UQlFCKDGiA==" saltValue="KUnni6YEm00anzSSvyLqQA==" spinCount="100000" sqref="EN2000" name="Rango2_22_7"/>
    <protectedRange algorithmName="SHA-512" hashValue="XZw03RosI/l0z9FxmTtF29EdZ7P+4+ybhqoaAAUmURojSR5XbGfjC4f2i8gMqfY+RI9JvfdCA6PSh9TduXfUxA==" saltValue="5TPtLq2WoiRSae/yaDPnTw==" spinCount="100000" sqref="ER2000:ES2000" name="Rango2_99_20_9"/>
    <protectedRange algorithmName="SHA-512" hashValue="XZw03RosI/l0z9FxmTtF29EdZ7P+4+ybhqoaAAUmURojSR5XbGfjC4f2i8gMqfY+RI9JvfdCA6PSh9TduXfUxA==" saltValue="5TPtLq2WoiRSae/yaDPnTw==" spinCount="100000" sqref="EV2000:EW2000" name="Rango2_99_22_9"/>
    <protectedRange algorithmName="SHA-512" hashValue="9+DNppQbWrLYYUMoJ+lyQctV2bX3Vq9kZnegLbpjTLP49It2ovUbcartuoQTeXgP+TGpY//7mDH/UQlFCKDGiA==" saltValue="KUnni6YEm00anzSSvyLqQA==" spinCount="100000" sqref="FC2000" name="Rango2_26_8"/>
    <protectedRange algorithmName="SHA-512" hashValue="XZw03RosI/l0z9FxmTtF29EdZ7P+4+ybhqoaAAUmURojSR5XbGfjC4f2i8gMqfY+RI9JvfdCA6PSh9TduXfUxA==" saltValue="5TPtLq2WoiRSae/yaDPnTw==" spinCount="100000" sqref="FF2000" name="Rango2_99_23_12"/>
    <protectedRange algorithmName="SHA-512" hashValue="9+DNppQbWrLYYUMoJ+lyQctV2bX3Vq9kZnegLbpjTLP49It2ovUbcartuoQTeXgP+TGpY//7mDH/UQlFCKDGiA==" saltValue="KUnni6YEm00anzSSvyLqQA==" spinCount="100000" sqref="FH2000" name="Rango2_35_9"/>
    <protectedRange algorithmName="SHA-512" hashValue="XZw03RosI/l0z9FxmTtF29EdZ7P+4+ybhqoaAAUmURojSR5XbGfjC4f2i8gMqfY+RI9JvfdCA6PSh9TduXfUxA==" saltValue="5TPtLq2WoiRSae/yaDPnTw==" spinCount="100000" sqref="FQ2000:FR2000" name="Rango2_99_27_11"/>
    <protectedRange algorithmName="SHA-512" hashValue="XZw03RosI/l0z9FxmTtF29EdZ7P+4+ybhqoaAAUmURojSR5XbGfjC4f2i8gMqfY+RI9JvfdCA6PSh9TduXfUxA==" saltValue="5TPtLq2WoiRSae/yaDPnTw==" spinCount="100000" sqref="FU2000" name="Rango2_99_29_8"/>
    <protectedRange algorithmName="SHA-512" hashValue="XZw03RosI/l0z9FxmTtF29EdZ7P+4+ybhqoaAAUmURojSR5XbGfjC4f2i8gMqfY+RI9JvfdCA6PSh9TduXfUxA==" saltValue="5TPtLq2WoiRSae/yaDPnTw==" spinCount="100000" sqref="FW2000:FX2000" name="Rango2_99_31_8"/>
    <protectedRange algorithmName="SHA-512" hashValue="Umj9+5Ys20VQPxBFtc6qE5LtKKSgPKwit+B8dd4XnEUaLfBM2ozpkEC4YxwK0SbBiAHDDex+pY+LomQ0lyuamQ==" saltValue="N2/MCRws+mmA+NXw0axolg==" spinCount="100000" sqref="FY2000" name="Rango2_31_2_2_9"/>
    <protectedRange algorithmName="SHA-512" hashValue="Rgskw+AQdeJ5qbJdarzTa3SCkJfDGziy0Uan5N0F3IWn/H3Z/e+VcB56R7Nes7MPxNHewNP1sSSucVjz3iTLeA==" saltValue="qKZH3DnwaZHBzy3cBZo1qQ==" spinCount="100000" sqref="GF2000" name="Rango2_31_28_1_9"/>
    <protectedRange algorithmName="SHA-512" hashValue="Umj9+5Ys20VQPxBFtc6qE5LtKKSgPKwit+B8dd4XnEUaLfBM2ozpkEC4YxwK0SbBiAHDDex+pY+LomQ0lyuamQ==" saltValue="N2/MCRws+mmA+NXw0axolg==" spinCount="100000" sqref="GE2000" name="Rango2_31_2_5_6"/>
    <protectedRange algorithmName="SHA-512" hashValue="Umj9+5Ys20VQPxBFtc6qE5LtKKSgPKwit+B8dd4XnEUaLfBM2ozpkEC4YxwK0SbBiAHDDex+pY+LomQ0lyuamQ==" saltValue="N2/MCRws+mmA+NXw0axolg==" spinCount="100000" sqref="GJ2000 GH2000 GL2000" name="Rango2_31_2_6_6"/>
    <protectedRange algorithmName="SHA-512" hashValue="XZw03RosI/l0z9FxmTtF29EdZ7P+4+ybhqoaAAUmURojSR5XbGfjC4f2i8gMqfY+RI9JvfdCA6PSh9TduXfUxA==" saltValue="5TPtLq2WoiRSae/yaDPnTw==" spinCount="100000" sqref="GO2000 GM2000 GK2000" name="Rango2_99_36_11"/>
    <protectedRange algorithmName="SHA-512" hashValue="EEHzbvEYwO1eufllBljOz0uf9BJ2ENtvOScQ7IsS321QhYbwKn7qhHKKP8cKj02rTDvVRMWvwQ1ZP0mZWsBprQ==" saltValue="CjXqBRFbKezlWOFV37MnDQ==" spinCount="100000" sqref="GQ2000:GR2000" name="Rango2_30_2_2_10"/>
    <protectedRange algorithmName="SHA-512" hashValue="EEHzbvEYwO1eufllBljOz0uf9BJ2ENtvOScQ7IsS321QhYbwKn7qhHKKP8cKj02rTDvVRMWvwQ1ZP0mZWsBprQ==" saltValue="CjXqBRFbKezlWOFV37MnDQ==" spinCount="100000" sqref="GW2000" name="Rango2_30_2_3_8"/>
    <protectedRange algorithmName="SHA-512" hashValue="XZw03RosI/l0z9FxmTtF29EdZ7P+4+ybhqoaAAUmURojSR5XbGfjC4f2i8gMqfY+RI9JvfdCA6PSh9TduXfUxA==" saltValue="5TPtLq2WoiRSae/yaDPnTw==" spinCount="100000" sqref="GY2000:GZ2000" name="Rango2_99_39_6"/>
    <protectedRange algorithmName="SHA-512" hashValue="XZw03RosI/l0z9FxmTtF29EdZ7P+4+ybhqoaAAUmURojSR5XbGfjC4f2i8gMqfY+RI9JvfdCA6PSh9TduXfUxA==" saltValue="5TPtLq2WoiRSae/yaDPnTw==" spinCount="100000" sqref="HJ2000" name="Rango2_99_40_10"/>
    <protectedRange algorithmName="SHA-512" hashValue="9+DNppQbWrLYYUMoJ+lyQctV2bX3Vq9kZnegLbpjTLP49It2ovUbcartuoQTeXgP+TGpY//7mDH/UQlFCKDGiA==" saltValue="KUnni6YEm00anzSSvyLqQA==" spinCount="100000" sqref="HD2000:HI2000" name="Rango2_39_12"/>
    <protectedRange algorithmName="SHA-512" hashValue="XZw03RosI/l0z9FxmTtF29EdZ7P+4+ybhqoaAAUmURojSR5XbGfjC4f2i8gMqfY+RI9JvfdCA6PSh9TduXfUxA==" saltValue="5TPtLq2WoiRSae/yaDPnTw==" spinCount="100000" sqref="IB2000 HU2000:HZ2000" name="Rango2_99_41_6"/>
    <protectedRange algorithmName="SHA-512" hashValue="9+DNppQbWrLYYUMoJ+lyQctV2bX3Vq9kZnegLbpjTLP49It2ovUbcartuoQTeXgP+TGpY//7mDH/UQlFCKDGiA==" saltValue="KUnni6YEm00anzSSvyLqQA==" spinCount="100000" sqref="HS2000:HT2000" name="Rango2_40_10"/>
    <protectedRange algorithmName="SHA-512" hashValue="XZw03RosI/l0z9FxmTtF29EdZ7P+4+ybhqoaAAUmURojSR5XbGfjC4f2i8gMqfY+RI9JvfdCA6PSh9TduXfUxA==" saltValue="5TPtLq2WoiRSae/yaDPnTw==" spinCount="100000" sqref="IL2000:IM2000" name="Rango2_99_78_1_4"/>
    <protectedRange algorithmName="SHA-512" hashValue="XZw03RosI/l0z9FxmTtF29EdZ7P+4+ybhqoaAAUmURojSR5XbGfjC4f2i8gMqfY+RI9JvfdCA6PSh9TduXfUxA==" saltValue="5TPtLq2WoiRSae/yaDPnTw==" spinCount="100000" sqref="IO2000" name="Rango2_99_78_2_4"/>
    <protectedRange algorithmName="SHA-512" hashValue="XZw03RosI/l0z9FxmTtF29EdZ7P+4+ybhqoaAAUmURojSR5XbGfjC4f2i8gMqfY+RI9JvfdCA6PSh9TduXfUxA==" saltValue="5TPtLq2WoiRSae/yaDPnTw==" spinCount="100000" sqref="EA2001:EJ2001" name="Rango2_99_18_13"/>
    <protectedRange algorithmName="SHA-512" hashValue="9+DNppQbWrLYYUMoJ+lyQctV2bX3Vq9kZnegLbpjTLP49It2ovUbcartuoQTeXgP+TGpY//7mDH/UQlFCKDGiA==" saltValue="KUnni6YEm00anzSSvyLqQA==" spinCount="100000" sqref="EN2001" name="Rango2_22_8"/>
    <protectedRange algorithmName="SHA-512" hashValue="XZw03RosI/l0z9FxmTtF29EdZ7P+4+ybhqoaAAUmURojSR5XbGfjC4f2i8gMqfY+RI9JvfdCA6PSh9TduXfUxA==" saltValue="5TPtLq2WoiRSae/yaDPnTw==" spinCount="100000" sqref="ER2001:ES2001" name="Rango2_99_20_10"/>
    <protectedRange algorithmName="SHA-512" hashValue="XZw03RosI/l0z9FxmTtF29EdZ7P+4+ybhqoaAAUmURojSR5XbGfjC4f2i8gMqfY+RI9JvfdCA6PSh9TduXfUxA==" saltValue="5TPtLq2WoiRSae/yaDPnTw==" spinCount="100000" sqref="EV2001:EW2001" name="Rango2_99_22_10"/>
    <protectedRange algorithmName="SHA-512" hashValue="9+DNppQbWrLYYUMoJ+lyQctV2bX3Vq9kZnegLbpjTLP49It2ovUbcartuoQTeXgP+TGpY//7mDH/UQlFCKDGiA==" saltValue="KUnni6YEm00anzSSvyLqQA==" spinCount="100000" sqref="FC2001" name="Rango2_26_9"/>
    <protectedRange algorithmName="SHA-512" hashValue="XZw03RosI/l0z9FxmTtF29EdZ7P+4+ybhqoaAAUmURojSR5XbGfjC4f2i8gMqfY+RI9JvfdCA6PSh9TduXfUxA==" saltValue="5TPtLq2WoiRSae/yaDPnTw==" spinCount="100000" sqref="FF2001" name="Rango2_99_23_13"/>
    <protectedRange algorithmName="SHA-512" hashValue="9+DNppQbWrLYYUMoJ+lyQctV2bX3Vq9kZnegLbpjTLP49It2ovUbcartuoQTeXgP+TGpY//7mDH/UQlFCKDGiA==" saltValue="KUnni6YEm00anzSSvyLqQA==" spinCount="100000" sqref="FH2001" name="Rango2_35_10"/>
    <protectedRange algorithmName="SHA-512" hashValue="XZw03RosI/l0z9FxmTtF29EdZ7P+4+ybhqoaAAUmURojSR5XbGfjC4f2i8gMqfY+RI9JvfdCA6PSh9TduXfUxA==" saltValue="5TPtLq2WoiRSae/yaDPnTw==" spinCount="100000" sqref="FQ2001:FR2001" name="Rango2_99_27_12"/>
    <protectedRange algorithmName="SHA-512" hashValue="XZw03RosI/l0z9FxmTtF29EdZ7P+4+ybhqoaAAUmURojSR5XbGfjC4f2i8gMqfY+RI9JvfdCA6PSh9TduXfUxA==" saltValue="5TPtLq2WoiRSae/yaDPnTw==" spinCount="100000" sqref="FU2001" name="Rango2_99_29_9"/>
    <protectedRange algorithmName="SHA-512" hashValue="XZw03RosI/l0z9FxmTtF29EdZ7P+4+ybhqoaAAUmURojSR5XbGfjC4f2i8gMqfY+RI9JvfdCA6PSh9TduXfUxA==" saltValue="5TPtLq2WoiRSae/yaDPnTw==" spinCount="100000" sqref="FW2001:FX2001" name="Rango2_99_31_9"/>
    <protectedRange algorithmName="SHA-512" hashValue="Umj9+5Ys20VQPxBFtc6qE5LtKKSgPKwit+B8dd4XnEUaLfBM2ozpkEC4YxwK0SbBiAHDDex+pY+LomQ0lyuamQ==" saltValue="N2/MCRws+mmA+NXw0axolg==" spinCount="100000" sqref="FY2001" name="Rango2_31_2_2_10"/>
    <protectedRange algorithmName="SHA-512" hashValue="Umj9+5Ys20VQPxBFtc6qE5LtKKSgPKwit+B8dd4XnEUaLfBM2ozpkEC4YxwK0SbBiAHDDex+pY+LomQ0lyuamQ==" saltValue="N2/MCRws+mmA+NXw0axolg==" spinCount="100000" sqref="GB2001" name="Rango2_31_2_4_8"/>
    <protectedRange algorithmName="SHA-512" hashValue="Rgskw+AQdeJ5qbJdarzTa3SCkJfDGziy0Uan5N0F3IWn/H3Z/e+VcB56R7Nes7MPxNHewNP1sSSucVjz3iTLeA==" saltValue="qKZH3DnwaZHBzy3cBZo1qQ==" spinCount="100000" sqref="GF2001" name="Rango2_31_28_1_10"/>
    <protectedRange algorithmName="SHA-512" hashValue="Umj9+5Ys20VQPxBFtc6qE5LtKKSgPKwit+B8dd4XnEUaLfBM2ozpkEC4YxwK0SbBiAHDDex+pY+LomQ0lyuamQ==" saltValue="N2/MCRws+mmA+NXw0axolg==" spinCount="100000" sqref="GE2001" name="Rango2_31_2_5_7"/>
    <protectedRange algorithmName="SHA-512" hashValue="Umj9+5Ys20VQPxBFtc6qE5LtKKSgPKwit+B8dd4XnEUaLfBM2ozpkEC4YxwK0SbBiAHDDex+pY+LomQ0lyuamQ==" saltValue="N2/MCRws+mmA+NXw0axolg==" spinCount="100000" sqref="GJ2001 GH2001 GL2001" name="Rango2_31_2_6_7"/>
    <protectedRange algorithmName="SHA-512" hashValue="XZw03RosI/l0z9FxmTtF29EdZ7P+4+ybhqoaAAUmURojSR5XbGfjC4f2i8gMqfY+RI9JvfdCA6PSh9TduXfUxA==" saltValue="5TPtLq2WoiRSae/yaDPnTw==" spinCount="100000" sqref="GO2001 GM2001 GK2001" name="Rango2_99_36_12"/>
    <protectedRange algorithmName="SHA-512" hashValue="EEHzbvEYwO1eufllBljOz0uf9BJ2ENtvOScQ7IsS321QhYbwKn7qhHKKP8cKj02rTDvVRMWvwQ1ZP0mZWsBprQ==" saltValue="CjXqBRFbKezlWOFV37MnDQ==" spinCount="100000" sqref="GQ2001:GR2001" name="Rango2_30_2_2_11"/>
    <protectedRange algorithmName="SHA-512" hashValue="EEHzbvEYwO1eufllBljOz0uf9BJ2ENtvOScQ7IsS321QhYbwKn7qhHKKP8cKj02rTDvVRMWvwQ1ZP0mZWsBprQ==" saltValue="CjXqBRFbKezlWOFV37MnDQ==" spinCount="100000" sqref="GW2001" name="Rango2_30_2_3_9"/>
    <protectedRange algorithmName="SHA-512" hashValue="XZw03RosI/l0z9FxmTtF29EdZ7P+4+ybhqoaAAUmURojSR5XbGfjC4f2i8gMqfY+RI9JvfdCA6PSh9TduXfUxA==" saltValue="5TPtLq2WoiRSae/yaDPnTw==" spinCount="100000" sqref="GY2001:GZ2001" name="Rango2_99_39_7"/>
    <protectedRange algorithmName="SHA-512" hashValue="XZw03RosI/l0z9FxmTtF29EdZ7P+4+ybhqoaAAUmURojSR5XbGfjC4f2i8gMqfY+RI9JvfdCA6PSh9TduXfUxA==" saltValue="5TPtLq2WoiRSae/yaDPnTw==" spinCount="100000" sqref="HJ2001" name="Rango2_99_40_11"/>
    <protectedRange algorithmName="SHA-512" hashValue="9+DNppQbWrLYYUMoJ+lyQctV2bX3Vq9kZnegLbpjTLP49It2ovUbcartuoQTeXgP+TGpY//7mDH/UQlFCKDGiA==" saltValue="KUnni6YEm00anzSSvyLqQA==" spinCount="100000" sqref="HD2001:HI2001" name="Rango2_39_13"/>
    <protectedRange algorithmName="SHA-512" hashValue="XZw03RosI/l0z9FxmTtF29EdZ7P+4+ybhqoaAAUmURojSR5XbGfjC4f2i8gMqfY+RI9JvfdCA6PSh9TduXfUxA==" saltValue="5TPtLq2WoiRSae/yaDPnTw==" spinCount="100000" sqref="IB2001 HU2001:HZ2001" name="Rango2_99_41_8"/>
    <protectedRange algorithmName="SHA-512" hashValue="9+DNppQbWrLYYUMoJ+lyQctV2bX3Vq9kZnegLbpjTLP49It2ovUbcartuoQTeXgP+TGpY//7mDH/UQlFCKDGiA==" saltValue="KUnni6YEm00anzSSvyLqQA==" spinCount="100000" sqref="HS2001:HT2001" name="Rango2_40_11"/>
    <protectedRange algorithmName="SHA-512" hashValue="XZw03RosI/l0z9FxmTtF29EdZ7P+4+ybhqoaAAUmURojSR5XbGfjC4f2i8gMqfY+RI9JvfdCA6PSh9TduXfUxA==" saltValue="5TPtLq2WoiRSae/yaDPnTw==" spinCount="100000" sqref="IL2001:IM2001" name="Rango2_99_78_1_5"/>
    <protectedRange algorithmName="SHA-512" hashValue="XZw03RosI/l0z9FxmTtF29EdZ7P+4+ybhqoaAAUmURojSR5XbGfjC4f2i8gMqfY+RI9JvfdCA6PSh9TduXfUxA==" saltValue="5TPtLq2WoiRSae/yaDPnTw==" spinCount="100000" sqref="IO2001" name="Rango2_99_78_2_5"/>
    <protectedRange algorithmName="SHA-512" hashValue="XZw03RosI/l0z9FxmTtF29EdZ7P+4+ybhqoaAAUmURojSR5XbGfjC4f2i8gMqfY+RI9JvfdCA6PSh9TduXfUxA==" saltValue="5TPtLq2WoiRSae/yaDPnTw==" spinCount="100000" sqref="EA2002:EJ2002" name="Rango2_99_18_14"/>
    <protectedRange algorithmName="SHA-512" hashValue="9+DNppQbWrLYYUMoJ+lyQctV2bX3Vq9kZnegLbpjTLP49It2ovUbcartuoQTeXgP+TGpY//7mDH/UQlFCKDGiA==" saltValue="KUnni6YEm00anzSSvyLqQA==" spinCount="100000" sqref="EN2002" name="Rango2_22_9"/>
    <protectedRange algorithmName="SHA-512" hashValue="XZw03RosI/l0z9FxmTtF29EdZ7P+4+ybhqoaAAUmURojSR5XbGfjC4f2i8gMqfY+RI9JvfdCA6PSh9TduXfUxA==" saltValue="5TPtLq2WoiRSae/yaDPnTw==" spinCount="100000" sqref="ER2002:ES2002" name="Rango2_99_20_11"/>
    <protectedRange algorithmName="SHA-512" hashValue="XZw03RosI/l0z9FxmTtF29EdZ7P+4+ybhqoaAAUmURojSR5XbGfjC4f2i8gMqfY+RI9JvfdCA6PSh9TduXfUxA==" saltValue="5TPtLq2WoiRSae/yaDPnTw==" spinCount="100000" sqref="EV2002:EW2002" name="Rango2_99_22_11"/>
    <protectedRange algorithmName="SHA-512" hashValue="9+DNppQbWrLYYUMoJ+lyQctV2bX3Vq9kZnegLbpjTLP49It2ovUbcartuoQTeXgP+TGpY//7mDH/UQlFCKDGiA==" saltValue="KUnni6YEm00anzSSvyLqQA==" spinCount="100000" sqref="FC2002" name="Rango2_26_10"/>
    <protectedRange algorithmName="SHA-512" hashValue="XZw03RosI/l0z9FxmTtF29EdZ7P+4+ybhqoaAAUmURojSR5XbGfjC4f2i8gMqfY+RI9JvfdCA6PSh9TduXfUxA==" saltValue="5TPtLq2WoiRSae/yaDPnTw==" spinCount="100000" sqref="FF2002" name="Rango2_99_23_14"/>
    <protectedRange algorithmName="SHA-512" hashValue="9+DNppQbWrLYYUMoJ+lyQctV2bX3Vq9kZnegLbpjTLP49It2ovUbcartuoQTeXgP+TGpY//7mDH/UQlFCKDGiA==" saltValue="KUnni6YEm00anzSSvyLqQA==" spinCount="100000" sqref="FH2002" name="Rango2_35_11"/>
    <protectedRange algorithmName="SHA-512" hashValue="XZw03RosI/l0z9FxmTtF29EdZ7P+4+ybhqoaAAUmURojSR5XbGfjC4f2i8gMqfY+RI9JvfdCA6PSh9TduXfUxA==" saltValue="5TPtLq2WoiRSae/yaDPnTw==" spinCount="100000" sqref="FQ2002:FR2002" name="Rango2_99_27_13"/>
    <protectedRange algorithmName="SHA-512" hashValue="XZw03RosI/l0z9FxmTtF29EdZ7P+4+ybhqoaAAUmURojSR5XbGfjC4f2i8gMqfY+RI9JvfdCA6PSh9TduXfUxA==" saltValue="5TPtLq2WoiRSae/yaDPnTw==" spinCount="100000" sqref="FU2002" name="Rango2_99_29_10"/>
    <protectedRange algorithmName="SHA-512" hashValue="XZw03RosI/l0z9FxmTtF29EdZ7P+4+ybhqoaAAUmURojSR5XbGfjC4f2i8gMqfY+RI9JvfdCA6PSh9TduXfUxA==" saltValue="5TPtLq2WoiRSae/yaDPnTw==" spinCount="100000" sqref="FW2002:FX2002" name="Rango2_99_31_10"/>
    <protectedRange algorithmName="SHA-512" hashValue="Umj9+5Ys20VQPxBFtc6qE5LtKKSgPKwit+B8dd4XnEUaLfBM2ozpkEC4YxwK0SbBiAHDDex+pY+LomQ0lyuamQ==" saltValue="N2/MCRws+mmA+NXw0axolg==" spinCount="100000" sqref="FY2002" name="Rango2_31_2_2_11"/>
    <protectedRange algorithmName="SHA-512" hashValue="Umj9+5Ys20VQPxBFtc6qE5LtKKSgPKwit+B8dd4XnEUaLfBM2ozpkEC4YxwK0SbBiAHDDex+pY+LomQ0lyuamQ==" saltValue="N2/MCRws+mmA+NXw0axolg==" spinCount="100000" sqref="GB2002" name="Rango2_31_2_4_9"/>
    <protectedRange algorithmName="SHA-512" hashValue="Rgskw+AQdeJ5qbJdarzTa3SCkJfDGziy0Uan5N0F3IWn/H3Z/e+VcB56R7Nes7MPxNHewNP1sSSucVjz3iTLeA==" saltValue="qKZH3DnwaZHBzy3cBZo1qQ==" spinCount="100000" sqref="GF2002" name="Rango2_31_28_1_11"/>
    <protectedRange algorithmName="SHA-512" hashValue="Umj9+5Ys20VQPxBFtc6qE5LtKKSgPKwit+B8dd4XnEUaLfBM2ozpkEC4YxwK0SbBiAHDDex+pY+LomQ0lyuamQ==" saltValue="N2/MCRws+mmA+NXw0axolg==" spinCount="100000" sqref="GE2002" name="Rango2_31_2_5_8"/>
    <protectedRange algorithmName="SHA-512" hashValue="Umj9+5Ys20VQPxBFtc6qE5LtKKSgPKwit+B8dd4XnEUaLfBM2ozpkEC4YxwK0SbBiAHDDex+pY+LomQ0lyuamQ==" saltValue="N2/MCRws+mmA+NXw0axolg==" spinCount="100000" sqref="GJ2002 GH2002 GL2002" name="Rango2_31_2_6_8"/>
    <protectedRange algorithmName="SHA-512" hashValue="XZw03RosI/l0z9FxmTtF29EdZ7P+4+ybhqoaAAUmURojSR5XbGfjC4f2i8gMqfY+RI9JvfdCA6PSh9TduXfUxA==" saltValue="5TPtLq2WoiRSae/yaDPnTw==" spinCount="100000" sqref="GO2002 GM2002 GK2002" name="Rango2_99_36_13"/>
    <protectedRange algorithmName="SHA-512" hashValue="EEHzbvEYwO1eufllBljOz0uf9BJ2ENtvOScQ7IsS321QhYbwKn7qhHKKP8cKj02rTDvVRMWvwQ1ZP0mZWsBprQ==" saltValue="CjXqBRFbKezlWOFV37MnDQ==" spinCount="100000" sqref="GQ2002:GR2002" name="Rango2_30_2_2_12"/>
    <protectedRange algorithmName="SHA-512" hashValue="EEHzbvEYwO1eufllBljOz0uf9BJ2ENtvOScQ7IsS321QhYbwKn7qhHKKP8cKj02rTDvVRMWvwQ1ZP0mZWsBprQ==" saltValue="CjXqBRFbKezlWOFV37MnDQ==" spinCount="100000" sqref="GW2002" name="Rango2_30_2_3_10"/>
    <protectedRange algorithmName="SHA-512" hashValue="XZw03RosI/l0z9FxmTtF29EdZ7P+4+ybhqoaAAUmURojSR5XbGfjC4f2i8gMqfY+RI9JvfdCA6PSh9TduXfUxA==" saltValue="5TPtLq2WoiRSae/yaDPnTw==" spinCount="100000" sqref="GY2002:GZ2002" name="Rango2_99_39_8"/>
    <protectedRange algorithmName="SHA-512" hashValue="XZw03RosI/l0z9FxmTtF29EdZ7P+4+ybhqoaAAUmURojSR5XbGfjC4f2i8gMqfY+RI9JvfdCA6PSh9TduXfUxA==" saltValue="5TPtLq2WoiRSae/yaDPnTw==" spinCount="100000" sqref="HJ2002" name="Rango2_99_40_12"/>
    <protectedRange algorithmName="SHA-512" hashValue="9+DNppQbWrLYYUMoJ+lyQctV2bX3Vq9kZnegLbpjTLP49It2ovUbcartuoQTeXgP+TGpY//7mDH/UQlFCKDGiA==" saltValue="KUnni6YEm00anzSSvyLqQA==" spinCount="100000" sqref="HD2002:HI2002" name="Rango2_39_14"/>
    <protectedRange algorithmName="SHA-512" hashValue="XZw03RosI/l0z9FxmTtF29EdZ7P+4+ybhqoaAAUmURojSR5XbGfjC4f2i8gMqfY+RI9JvfdCA6PSh9TduXfUxA==" saltValue="5TPtLq2WoiRSae/yaDPnTw==" spinCount="100000" sqref="IB2002 HU2002:HZ2002" name="Rango2_99_41_9"/>
    <protectedRange algorithmName="SHA-512" hashValue="9+DNppQbWrLYYUMoJ+lyQctV2bX3Vq9kZnegLbpjTLP49It2ovUbcartuoQTeXgP+TGpY//7mDH/UQlFCKDGiA==" saltValue="KUnni6YEm00anzSSvyLqQA==" spinCount="100000" sqref="HS2002:HT2002" name="Rango2_40_12"/>
    <protectedRange algorithmName="SHA-512" hashValue="XZw03RosI/l0z9FxmTtF29EdZ7P+4+ybhqoaAAUmURojSR5XbGfjC4f2i8gMqfY+RI9JvfdCA6PSh9TduXfUxA==" saltValue="5TPtLq2WoiRSae/yaDPnTw==" spinCount="100000" sqref="IL2002:IM2002" name="Rango2_99_78_1_6"/>
    <protectedRange algorithmName="SHA-512" hashValue="XZw03RosI/l0z9FxmTtF29EdZ7P+4+ybhqoaAAUmURojSR5XbGfjC4f2i8gMqfY+RI9JvfdCA6PSh9TduXfUxA==" saltValue="5TPtLq2WoiRSae/yaDPnTw==" spinCount="100000" sqref="IO2002" name="Rango2_99_78_2_6"/>
    <protectedRange algorithmName="SHA-512" hashValue="XZw03RosI/l0z9FxmTtF29EdZ7P+4+ybhqoaAAUmURojSR5XbGfjC4f2i8gMqfY+RI9JvfdCA6PSh9TduXfUxA==" saltValue="5TPtLq2WoiRSae/yaDPnTw==" spinCount="100000" sqref="EA2003:EJ2003" name="Rango2_99_18_15"/>
    <protectedRange algorithmName="SHA-512" hashValue="9+DNppQbWrLYYUMoJ+lyQctV2bX3Vq9kZnegLbpjTLP49It2ovUbcartuoQTeXgP+TGpY//7mDH/UQlFCKDGiA==" saltValue="KUnni6YEm00anzSSvyLqQA==" spinCount="100000" sqref="EN2003" name="Rango2_22_10"/>
    <protectedRange algorithmName="SHA-512" hashValue="XZw03RosI/l0z9FxmTtF29EdZ7P+4+ybhqoaAAUmURojSR5XbGfjC4f2i8gMqfY+RI9JvfdCA6PSh9TduXfUxA==" saltValue="5TPtLq2WoiRSae/yaDPnTw==" spinCount="100000" sqref="ER2003:ES2003" name="Rango2_99_20_12"/>
    <protectedRange algorithmName="SHA-512" hashValue="XZw03RosI/l0z9FxmTtF29EdZ7P+4+ybhqoaAAUmURojSR5XbGfjC4f2i8gMqfY+RI9JvfdCA6PSh9TduXfUxA==" saltValue="5TPtLq2WoiRSae/yaDPnTw==" spinCount="100000" sqref="EV2003:EW2003" name="Rango2_99_22_12"/>
    <protectedRange algorithmName="SHA-512" hashValue="9+DNppQbWrLYYUMoJ+lyQctV2bX3Vq9kZnegLbpjTLP49It2ovUbcartuoQTeXgP+TGpY//7mDH/UQlFCKDGiA==" saltValue="KUnni6YEm00anzSSvyLqQA==" spinCount="100000" sqref="FC2003" name="Rango2_26_11"/>
    <protectedRange algorithmName="SHA-512" hashValue="XZw03RosI/l0z9FxmTtF29EdZ7P+4+ybhqoaAAUmURojSR5XbGfjC4f2i8gMqfY+RI9JvfdCA6PSh9TduXfUxA==" saltValue="5TPtLq2WoiRSae/yaDPnTw==" spinCount="100000" sqref="FF2003" name="Rango2_99_23_15"/>
    <protectedRange algorithmName="SHA-512" hashValue="9+DNppQbWrLYYUMoJ+lyQctV2bX3Vq9kZnegLbpjTLP49It2ovUbcartuoQTeXgP+TGpY//7mDH/UQlFCKDGiA==" saltValue="KUnni6YEm00anzSSvyLqQA==" spinCount="100000" sqref="FH2003" name="Rango2_35_12"/>
    <protectedRange algorithmName="SHA-512" hashValue="XZw03RosI/l0z9FxmTtF29EdZ7P+4+ybhqoaAAUmURojSR5XbGfjC4f2i8gMqfY+RI9JvfdCA6PSh9TduXfUxA==" saltValue="5TPtLq2WoiRSae/yaDPnTw==" spinCount="100000" sqref="FQ2003:FR2003" name="Rango2_99_27_14"/>
    <protectedRange algorithmName="SHA-512" hashValue="XZw03RosI/l0z9FxmTtF29EdZ7P+4+ybhqoaAAUmURojSR5XbGfjC4f2i8gMqfY+RI9JvfdCA6PSh9TduXfUxA==" saltValue="5TPtLq2WoiRSae/yaDPnTw==" spinCount="100000" sqref="FU2003" name="Rango2_99_29_11"/>
    <protectedRange algorithmName="SHA-512" hashValue="XZw03RosI/l0z9FxmTtF29EdZ7P+4+ybhqoaAAUmURojSR5XbGfjC4f2i8gMqfY+RI9JvfdCA6PSh9TduXfUxA==" saltValue="5TPtLq2WoiRSae/yaDPnTw==" spinCount="100000" sqref="FW2003:FX2003" name="Rango2_99_31_11"/>
    <protectedRange algorithmName="SHA-512" hashValue="Umj9+5Ys20VQPxBFtc6qE5LtKKSgPKwit+B8dd4XnEUaLfBM2ozpkEC4YxwK0SbBiAHDDex+pY+LomQ0lyuamQ==" saltValue="N2/MCRws+mmA+NXw0axolg==" spinCount="100000" sqref="FY2003" name="Rango2_31_2_2_12"/>
    <protectedRange algorithmName="SHA-512" hashValue="Rgskw+AQdeJ5qbJdarzTa3SCkJfDGziy0Uan5N0F3IWn/H3Z/e+VcB56R7Nes7MPxNHewNP1sSSucVjz3iTLeA==" saltValue="qKZH3DnwaZHBzy3cBZo1qQ==" spinCount="100000" sqref="GF2003" name="Rango2_31_28_1_12"/>
    <protectedRange algorithmName="SHA-512" hashValue="Umj9+5Ys20VQPxBFtc6qE5LtKKSgPKwit+B8dd4XnEUaLfBM2ozpkEC4YxwK0SbBiAHDDex+pY+LomQ0lyuamQ==" saltValue="N2/MCRws+mmA+NXw0axolg==" spinCount="100000" sqref="GE2003" name="Rango2_31_2_5_9"/>
    <protectedRange algorithmName="SHA-512" hashValue="Umj9+5Ys20VQPxBFtc6qE5LtKKSgPKwit+B8dd4XnEUaLfBM2ozpkEC4YxwK0SbBiAHDDex+pY+LomQ0lyuamQ==" saltValue="N2/MCRws+mmA+NXw0axolg==" spinCount="100000" sqref="GJ2003 GH2003 GL2003" name="Rango2_31_2_6_9"/>
    <protectedRange algorithmName="SHA-512" hashValue="XZw03RosI/l0z9FxmTtF29EdZ7P+4+ybhqoaAAUmURojSR5XbGfjC4f2i8gMqfY+RI9JvfdCA6PSh9TduXfUxA==" saltValue="5TPtLq2WoiRSae/yaDPnTw==" spinCount="100000" sqref="GO2003 GM2003 GK2003" name="Rango2_99_36_14"/>
    <protectedRange algorithmName="SHA-512" hashValue="EEHzbvEYwO1eufllBljOz0uf9BJ2ENtvOScQ7IsS321QhYbwKn7qhHKKP8cKj02rTDvVRMWvwQ1ZP0mZWsBprQ==" saltValue="CjXqBRFbKezlWOFV37MnDQ==" spinCount="100000" sqref="GQ2003:GR2003" name="Rango2_30_2_2_13"/>
    <protectedRange algorithmName="SHA-512" hashValue="EEHzbvEYwO1eufllBljOz0uf9BJ2ENtvOScQ7IsS321QhYbwKn7qhHKKP8cKj02rTDvVRMWvwQ1ZP0mZWsBprQ==" saltValue="CjXqBRFbKezlWOFV37MnDQ==" spinCount="100000" sqref="GW2003" name="Rango2_30_2_3_11"/>
    <protectedRange algorithmName="SHA-512" hashValue="XZw03RosI/l0z9FxmTtF29EdZ7P+4+ybhqoaAAUmURojSR5XbGfjC4f2i8gMqfY+RI9JvfdCA6PSh9TduXfUxA==" saltValue="5TPtLq2WoiRSae/yaDPnTw==" spinCount="100000" sqref="GY2003:GZ2003" name="Rango2_99_39_9"/>
    <protectedRange algorithmName="SHA-512" hashValue="XZw03RosI/l0z9FxmTtF29EdZ7P+4+ybhqoaAAUmURojSR5XbGfjC4f2i8gMqfY+RI9JvfdCA6PSh9TduXfUxA==" saltValue="5TPtLq2WoiRSae/yaDPnTw==" spinCount="100000" sqref="HJ2003" name="Rango2_99_40_13"/>
    <protectedRange algorithmName="SHA-512" hashValue="9+DNppQbWrLYYUMoJ+lyQctV2bX3Vq9kZnegLbpjTLP49It2ovUbcartuoQTeXgP+TGpY//7mDH/UQlFCKDGiA==" saltValue="KUnni6YEm00anzSSvyLqQA==" spinCount="100000" sqref="HD2003:HI2003" name="Rango2_39_15"/>
    <protectedRange algorithmName="SHA-512" hashValue="XZw03RosI/l0z9FxmTtF29EdZ7P+4+ybhqoaAAUmURojSR5XbGfjC4f2i8gMqfY+RI9JvfdCA6PSh9TduXfUxA==" saltValue="5TPtLq2WoiRSae/yaDPnTw==" spinCount="100000" sqref="IB2003 HU2003:HZ2003" name="Rango2_99_41_10"/>
    <protectedRange algorithmName="SHA-512" hashValue="9+DNppQbWrLYYUMoJ+lyQctV2bX3Vq9kZnegLbpjTLP49It2ovUbcartuoQTeXgP+TGpY//7mDH/UQlFCKDGiA==" saltValue="KUnni6YEm00anzSSvyLqQA==" spinCount="100000" sqref="HS2003:HT2003" name="Rango2_40_13"/>
    <protectedRange algorithmName="SHA-512" hashValue="XZw03RosI/l0z9FxmTtF29EdZ7P+4+ybhqoaAAUmURojSR5XbGfjC4f2i8gMqfY+RI9JvfdCA6PSh9TduXfUxA==" saltValue="5TPtLq2WoiRSae/yaDPnTw==" spinCount="100000" sqref="IL2003:IM2003" name="Rango2_99_79_2"/>
    <protectedRange algorithmName="SHA-512" hashValue="XZw03RosI/l0z9FxmTtF29EdZ7P+4+ybhqoaAAUmURojSR5XbGfjC4f2i8gMqfY+RI9JvfdCA6PSh9TduXfUxA==" saltValue="5TPtLq2WoiRSae/yaDPnTw==" spinCount="100000" sqref="IO2003" name="Rango2_99_80_20"/>
    <protectedRange algorithmName="SHA-512" hashValue="XZw03RosI/l0z9FxmTtF29EdZ7P+4+ybhqoaAAUmURojSR5XbGfjC4f2i8gMqfY+RI9JvfdCA6PSh9TduXfUxA==" saltValue="5TPtLq2WoiRSae/yaDPnTw==" spinCount="100000" sqref="EA2004:EJ2004" name="Rango2_99_18_16"/>
    <protectedRange algorithmName="SHA-512" hashValue="9+DNppQbWrLYYUMoJ+lyQctV2bX3Vq9kZnegLbpjTLP49It2ovUbcartuoQTeXgP+TGpY//7mDH/UQlFCKDGiA==" saltValue="KUnni6YEm00anzSSvyLqQA==" spinCount="100000" sqref="EN2004" name="Rango2_22_11"/>
    <protectedRange algorithmName="SHA-512" hashValue="XZw03RosI/l0z9FxmTtF29EdZ7P+4+ybhqoaAAUmURojSR5XbGfjC4f2i8gMqfY+RI9JvfdCA6PSh9TduXfUxA==" saltValue="5TPtLq2WoiRSae/yaDPnTw==" spinCount="100000" sqref="ER2004:ES2004" name="Rango2_99_20_13"/>
    <protectedRange algorithmName="SHA-512" hashValue="XZw03RosI/l0z9FxmTtF29EdZ7P+4+ybhqoaAAUmURojSR5XbGfjC4f2i8gMqfY+RI9JvfdCA6PSh9TduXfUxA==" saltValue="5TPtLq2WoiRSae/yaDPnTw==" spinCount="100000" sqref="EV2004:EW2004" name="Rango2_99_22_13"/>
    <protectedRange algorithmName="SHA-512" hashValue="9+DNppQbWrLYYUMoJ+lyQctV2bX3Vq9kZnegLbpjTLP49It2ovUbcartuoQTeXgP+TGpY//7mDH/UQlFCKDGiA==" saltValue="KUnni6YEm00anzSSvyLqQA==" spinCount="100000" sqref="FC2004" name="Rango2_26_12"/>
    <protectedRange algorithmName="SHA-512" hashValue="XZw03RosI/l0z9FxmTtF29EdZ7P+4+ybhqoaAAUmURojSR5XbGfjC4f2i8gMqfY+RI9JvfdCA6PSh9TduXfUxA==" saltValue="5TPtLq2WoiRSae/yaDPnTw==" spinCount="100000" sqref="FF2004" name="Rango2_99_23_16"/>
    <protectedRange algorithmName="SHA-512" hashValue="9+DNppQbWrLYYUMoJ+lyQctV2bX3Vq9kZnegLbpjTLP49It2ovUbcartuoQTeXgP+TGpY//7mDH/UQlFCKDGiA==" saltValue="KUnni6YEm00anzSSvyLqQA==" spinCount="100000" sqref="FH2004" name="Rango2_35_13"/>
    <protectedRange algorithmName="SHA-512" hashValue="XZw03RosI/l0z9FxmTtF29EdZ7P+4+ybhqoaAAUmURojSR5XbGfjC4f2i8gMqfY+RI9JvfdCA6PSh9TduXfUxA==" saltValue="5TPtLq2WoiRSae/yaDPnTw==" spinCount="100000" sqref="FQ2004:FR2004" name="Rango2_99_27_15"/>
    <protectedRange algorithmName="SHA-512" hashValue="XZw03RosI/l0z9FxmTtF29EdZ7P+4+ybhqoaAAUmURojSR5XbGfjC4f2i8gMqfY+RI9JvfdCA6PSh9TduXfUxA==" saltValue="5TPtLq2WoiRSae/yaDPnTw==" spinCount="100000" sqref="FU2004" name="Rango2_99_29_12"/>
    <protectedRange algorithmName="SHA-512" hashValue="XZw03RosI/l0z9FxmTtF29EdZ7P+4+ybhqoaAAUmURojSR5XbGfjC4f2i8gMqfY+RI9JvfdCA6PSh9TduXfUxA==" saltValue="5TPtLq2WoiRSae/yaDPnTw==" spinCount="100000" sqref="FX2004" name="Rango2_99_31_12"/>
    <protectedRange algorithmName="SHA-512" hashValue="Umj9+5Ys20VQPxBFtc6qE5LtKKSgPKwit+B8dd4XnEUaLfBM2ozpkEC4YxwK0SbBiAHDDex+pY+LomQ0lyuamQ==" saltValue="N2/MCRws+mmA+NXw0axolg==" spinCount="100000" sqref="FY2004" name="Rango2_31_2_2_13"/>
    <protectedRange algorithmName="SHA-512" hashValue="Rgskw+AQdeJ5qbJdarzTa3SCkJfDGziy0Uan5N0F3IWn/H3Z/e+VcB56R7Nes7MPxNHewNP1sSSucVjz3iTLeA==" saltValue="qKZH3DnwaZHBzy3cBZo1qQ==" spinCount="100000" sqref="GF2004" name="Rango2_31_28_1_13"/>
    <protectedRange algorithmName="SHA-512" hashValue="Umj9+5Ys20VQPxBFtc6qE5LtKKSgPKwit+B8dd4XnEUaLfBM2ozpkEC4YxwK0SbBiAHDDex+pY+LomQ0lyuamQ==" saltValue="N2/MCRws+mmA+NXw0axolg==" spinCount="100000" sqref="GE2004" name="Rango2_31_2_5_10"/>
    <protectedRange algorithmName="SHA-512" hashValue="Umj9+5Ys20VQPxBFtc6qE5LtKKSgPKwit+B8dd4XnEUaLfBM2ozpkEC4YxwK0SbBiAHDDex+pY+LomQ0lyuamQ==" saltValue="N2/MCRws+mmA+NXw0axolg==" spinCount="100000" sqref="GJ2004 GH2004 GL2004" name="Rango2_31_2_6_10"/>
    <protectedRange algorithmName="SHA-512" hashValue="XZw03RosI/l0z9FxmTtF29EdZ7P+4+ybhqoaAAUmURojSR5XbGfjC4f2i8gMqfY+RI9JvfdCA6PSh9TduXfUxA==" saltValue="5TPtLq2WoiRSae/yaDPnTw==" spinCount="100000" sqref="GO2004 GM2004 GK2004" name="Rango2_99_36_15"/>
    <protectedRange algorithmName="SHA-512" hashValue="EEHzbvEYwO1eufllBljOz0uf9BJ2ENtvOScQ7IsS321QhYbwKn7qhHKKP8cKj02rTDvVRMWvwQ1ZP0mZWsBprQ==" saltValue="CjXqBRFbKezlWOFV37MnDQ==" spinCount="100000" sqref="GQ2004:GR2004" name="Rango2_30_2_2_14"/>
    <protectedRange algorithmName="SHA-512" hashValue="EEHzbvEYwO1eufllBljOz0uf9BJ2ENtvOScQ7IsS321QhYbwKn7qhHKKP8cKj02rTDvVRMWvwQ1ZP0mZWsBprQ==" saltValue="CjXqBRFbKezlWOFV37MnDQ==" spinCount="100000" sqref="GW2004" name="Rango2_30_2_3_12"/>
    <protectedRange algorithmName="SHA-512" hashValue="XZw03RosI/l0z9FxmTtF29EdZ7P+4+ybhqoaAAUmURojSR5XbGfjC4f2i8gMqfY+RI9JvfdCA6PSh9TduXfUxA==" saltValue="5TPtLq2WoiRSae/yaDPnTw==" spinCount="100000" sqref="GY2004:GZ2004" name="Rango2_99_39_10"/>
    <protectedRange algorithmName="SHA-512" hashValue="XZw03RosI/l0z9FxmTtF29EdZ7P+4+ybhqoaAAUmURojSR5XbGfjC4f2i8gMqfY+RI9JvfdCA6PSh9TduXfUxA==" saltValue="5TPtLq2WoiRSae/yaDPnTw==" spinCount="100000" sqref="HJ2004" name="Rango2_99_40_14"/>
    <protectedRange algorithmName="SHA-512" hashValue="9+DNppQbWrLYYUMoJ+lyQctV2bX3Vq9kZnegLbpjTLP49It2ovUbcartuoQTeXgP+TGpY//7mDH/UQlFCKDGiA==" saltValue="KUnni6YEm00anzSSvyLqQA==" spinCount="100000" sqref="HD2004:HI2004" name="Rango2_39_16"/>
    <protectedRange algorithmName="SHA-512" hashValue="XZw03RosI/l0z9FxmTtF29EdZ7P+4+ybhqoaAAUmURojSR5XbGfjC4f2i8gMqfY+RI9JvfdCA6PSh9TduXfUxA==" saltValue="5TPtLq2WoiRSae/yaDPnTw==" spinCount="100000" sqref="IB2004 HU2004:HZ2004" name="Rango2_99_41_11"/>
    <protectedRange algorithmName="SHA-512" hashValue="9+DNppQbWrLYYUMoJ+lyQctV2bX3Vq9kZnegLbpjTLP49It2ovUbcartuoQTeXgP+TGpY//7mDH/UQlFCKDGiA==" saltValue="KUnni6YEm00anzSSvyLqQA==" spinCount="100000" sqref="HS2004:HT2004" name="Rango2_40_14"/>
    <protectedRange algorithmName="SHA-512" hashValue="XZw03RosI/l0z9FxmTtF29EdZ7P+4+ybhqoaAAUmURojSR5XbGfjC4f2i8gMqfY+RI9JvfdCA6PSh9TduXfUxA==" saltValue="5TPtLq2WoiRSae/yaDPnTw==" spinCount="100000" sqref="IL2004:IM2004" name="Rango2_99_79_3"/>
    <protectedRange algorithmName="SHA-512" hashValue="XZw03RosI/l0z9FxmTtF29EdZ7P+4+ybhqoaAAUmURojSR5XbGfjC4f2i8gMqfY+RI9JvfdCA6PSh9TduXfUxA==" saltValue="5TPtLq2WoiRSae/yaDPnTw==" spinCount="100000" sqref="IO2004" name="Rango2_99_80_21"/>
    <protectedRange algorithmName="SHA-512" hashValue="XZw03RosI/l0z9FxmTtF29EdZ7P+4+ybhqoaAAUmURojSR5XbGfjC4f2i8gMqfY+RI9JvfdCA6PSh9TduXfUxA==" saltValue="5TPtLq2WoiRSae/yaDPnTw==" spinCount="100000" sqref="EA2005:EJ2005" name="Rango2_99_18_17"/>
    <protectedRange algorithmName="SHA-512" hashValue="9+DNppQbWrLYYUMoJ+lyQctV2bX3Vq9kZnegLbpjTLP49It2ovUbcartuoQTeXgP+TGpY//7mDH/UQlFCKDGiA==" saltValue="KUnni6YEm00anzSSvyLqQA==" spinCount="100000" sqref="EN2005" name="Rango2_22_12"/>
    <protectedRange algorithmName="SHA-512" hashValue="XZw03RosI/l0z9FxmTtF29EdZ7P+4+ybhqoaAAUmURojSR5XbGfjC4f2i8gMqfY+RI9JvfdCA6PSh9TduXfUxA==" saltValue="5TPtLq2WoiRSae/yaDPnTw==" spinCount="100000" sqref="ER2005:ES2005" name="Rango2_99_20_14"/>
    <protectedRange algorithmName="SHA-512" hashValue="XZw03RosI/l0z9FxmTtF29EdZ7P+4+ybhqoaAAUmURojSR5XbGfjC4f2i8gMqfY+RI9JvfdCA6PSh9TduXfUxA==" saltValue="5TPtLq2WoiRSae/yaDPnTw==" spinCount="100000" sqref="EV2005:EW2005" name="Rango2_99_22_14"/>
    <protectedRange algorithmName="SHA-512" hashValue="9+DNppQbWrLYYUMoJ+lyQctV2bX3Vq9kZnegLbpjTLP49It2ovUbcartuoQTeXgP+TGpY//7mDH/UQlFCKDGiA==" saltValue="KUnni6YEm00anzSSvyLqQA==" spinCount="100000" sqref="FC2005" name="Rango2_26_13"/>
    <protectedRange algorithmName="SHA-512" hashValue="XZw03RosI/l0z9FxmTtF29EdZ7P+4+ybhqoaAAUmURojSR5XbGfjC4f2i8gMqfY+RI9JvfdCA6PSh9TduXfUxA==" saltValue="5TPtLq2WoiRSae/yaDPnTw==" spinCount="100000" sqref="FF2005" name="Rango2_99_23_17"/>
    <protectedRange algorithmName="SHA-512" hashValue="9+DNppQbWrLYYUMoJ+lyQctV2bX3Vq9kZnegLbpjTLP49It2ovUbcartuoQTeXgP+TGpY//7mDH/UQlFCKDGiA==" saltValue="KUnni6YEm00anzSSvyLqQA==" spinCount="100000" sqref="FH2005" name="Rango2_35_14"/>
    <protectedRange algorithmName="SHA-512" hashValue="XZw03RosI/l0z9FxmTtF29EdZ7P+4+ybhqoaAAUmURojSR5XbGfjC4f2i8gMqfY+RI9JvfdCA6PSh9TduXfUxA==" saltValue="5TPtLq2WoiRSae/yaDPnTw==" spinCount="100000" sqref="FQ2005:FR2005" name="Rango2_99_27_16"/>
    <protectedRange algorithmName="SHA-512" hashValue="XZw03RosI/l0z9FxmTtF29EdZ7P+4+ybhqoaAAUmURojSR5XbGfjC4f2i8gMqfY+RI9JvfdCA6PSh9TduXfUxA==" saltValue="5TPtLq2WoiRSae/yaDPnTw==" spinCount="100000" sqref="FU2005" name="Rango2_99_29_13"/>
    <protectedRange algorithmName="SHA-512" hashValue="XZw03RosI/l0z9FxmTtF29EdZ7P+4+ybhqoaAAUmURojSR5XbGfjC4f2i8gMqfY+RI9JvfdCA6PSh9TduXfUxA==" saltValue="5TPtLq2WoiRSae/yaDPnTw==" spinCount="100000" sqref="FW2005:FX2005" name="Rango2_99_31_13"/>
    <protectedRange algorithmName="SHA-512" hashValue="Umj9+5Ys20VQPxBFtc6qE5LtKKSgPKwit+B8dd4XnEUaLfBM2ozpkEC4YxwK0SbBiAHDDex+pY+LomQ0lyuamQ==" saltValue="N2/MCRws+mmA+NXw0axolg==" spinCount="100000" sqref="FY2005" name="Rango2_31_2_2_14"/>
    <protectedRange algorithmName="SHA-512" hashValue="Rgskw+AQdeJ5qbJdarzTa3SCkJfDGziy0Uan5N0F3IWn/H3Z/e+VcB56R7Nes7MPxNHewNP1sSSucVjz3iTLeA==" saltValue="qKZH3DnwaZHBzy3cBZo1qQ==" spinCount="100000" sqref="GF2005" name="Rango2_31_28_1_14"/>
    <protectedRange algorithmName="SHA-512" hashValue="Umj9+5Ys20VQPxBFtc6qE5LtKKSgPKwit+B8dd4XnEUaLfBM2ozpkEC4YxwK0SbBiAHDDex+pY+LomQ0lyuamQ==" saltValue="N2/MCRws+mmA+NXw0axolg==" spinCount="100000" sqref="GE2005" name="Rango2_31_2_5_11"/>
    <protectedRange algorithmName="SHA-512" hashValue="Umj9+5Ys20VQPxBFtc6qE5LtKKSgPKwit+B8dd4XnEUaLfBM2ozpkEC4YxwK0SbBiAHDDex+pY+LomQ0lyuamQ==" saltValue="N2/MCRws+mmA+NXw0axolg==" spinCount="100000" sqref="GJ2005 GH2005 GL2005" name="Rango2_31_2_6_11"/>
    <protectedRange algorithmName="SHA-512" hashValue="XZw03RosI/l0z9FxmTtF29EdZ7P+4+ybhqoaAAUmURojSR5XbGfjC4f2i8gMqfY+RI9JvfdCA6PSh9TduXfUxA==" saltValue="5TPtLq2WoiRSae/yaDPnTw==" spinCount="100000" sqref="GO2005 GM2005 GK2005" name="Rango2_99_36_16"/>
    <protectedRange algorithmName="SHA-512" hashValue="EEHzbvEYwO1eufllBljOz0uf9BJ2ENtvOScQ7IsS321QhYbwKn7qhHKKP8cKj02rTDvVRMWvwQ1ZP0mZWsBprQ==" saltValue="CjXqBRFbKezlWOFV37MnDQ==" spinCount="100000" sqref="GQ2005:GR2005" name="Rango2_30_2_2_15"/>
    <protectedRange algorithmName="SHA-512" hashValue="EEHzbvEYwO1eufllBljOz0uf9BJ2ENtvOScQ7IsS321QhYbwKn7qhHKKP8cKj02rTDvVRMWvwQ1ZP0mZWsBprQ==" saltValue="CjXqBRFbKezlWOFV37MnDQ==" spinCount="100000" sqref="GW2005" name="Rango2_30_2_3_13"/>
    <protectedRange algorithmName="SHA-512" hashValue="XZw03RosI/l0z9FxmTtF29EdZ7P+4+ybhqoaAAUmURojSR5XbGfjC4f2i8gMqfY+RI9JvfdCA6PSh9TduXfUxA==" saltValue="5TPtLq2WoiRSae/yaDPnTw==" spinCount="100000" sqref="GY2005:GZ2005" name="Rango2_99_39_11"/>
    <protectedRange algorithmName="SHA-512" hashValue="XZw03RosI/l0z9FxmTtF29EdZ7P+4+ybhqoaAAUmURojSR5XbGfjC4f2i8gMqfY+RI9JvfdCA6PSh9TduXfUxA==" saltValue="5TPtLq2WoiRSae/yaDPnTw==" spinCount="100000" sqref="HJ2005" name="Rango2_99_40_15"/>
    <protectedRange algorithmName="SHA-512" hashValue="9+DNppQbWrLYYUMoJ+lyQctV2bX3Vq9kZnegLbpjTLP49It2ovUbcartuoQTeXgP+TGpY//7mDH/UQlFCKDGiA==" saltValue="KUnni6YEm00anzSSvyLqQA==" spinCount="100000" sqref="HD2005:HI2005" name="Rango2_39_17"/>
    <protectedRange algorithmName="SHA-512" hashValue="XZw03RosI/l0z9FxmTtF29EdZ7P+4+ybhqoaAAUmURojSR5XbGfjC4f2i8gMqfY+RI9JvfdCA6PSh9TduXfUxA==" saltValue="5TPtLq2WoiRSae/yaDPnTw==" spinCount="100000" sqref="IB2005 HU2005:HZ2005" name="Rango2_99_41_12"/>
    <protectedRange algorithmName="SHA-512" hashValue="9+DNppQbWrLYYUMoJ+lyQctV2bX3Vq9kZnegLbpjTLP49It2ovUbcartuoQTeXgP+TGpY//7mDH/UQlFCKDGiA==" saltValue="KUnni6YEm00anzSSvyLqQA==" spinCount="100000" sqref="HS2005:HT2005" name="Rango2_40_15"/>
    <protectedRange algorithmName="SHA-512" hashValue="XZw03RosI/l0z9FxmTtF29EdZ7P+4+ybhqoaAAUmURojSR5XbGfjC4f2i8gMqfY+RI9JvfdCA6PSh9TduXfUxA==" saltValue="5TPtLq2WoiRSae/yaDPnTw==" spinCount="100000" sqref="IL2005:IM2005" name="Rango2_99_79_4"/>
    <protectedRange algorithmName="SHA-512" hashValue="XZw03RosI/l0z9FxmTtF29EdZ7P+4+ybhqoaAAUmURojSR5XbGfjC4f2i8gMqfY+RI9JvfdCA6PSh9TduXfUxA==" saltValue="5TPtLq2WoiRSae/yaDPnTw==" spinCount="100000" sqref="IO2005" name="Rango2_99_80_22"/>
    <protectedRange algorithmName="SHA-512" hashValue="XZw03RosI/l0z9FxmTtF29EdZ7P+4+ybhqoaAAUmURojSR5XbGfjC4f2i8gMqfY+RI9JvfdCA6PSh9TduXfUxA==" saltValue="5TPtLq2WoiRSae/yaDPnTw==" spinCount="100000" sqref="EA2006:EJ2006" name="Rango2_99_18_18"/>
    <protectedRange algorithmName="SHA-512" hashValue="9+DNppQbWrLYYUMoJ+lyQctV2bX3Vq9kZnegLbpjTLP49It2ovUbcartuoQTeXgP+TGpY//7mDH/UQlFCKDGiA==" saltValue="KUnni6YEm00anzSSvyLqQA==" spinCount="100000" sqref="EN2006" name="Rango2_22_13"/>
    <protectedRange algorithmName="SHA-512" hashValue="XZw03RosI/l0z9FxmTtF29EdZ7P+4+ybhqoaAAUmURojSR5XbGfjC4f2i8gMqfY+RI9JvfdCA6PSh9TduXfUxA==" saltValue="5TPtLq2WoiRSae/yaDPnTw==" spinCount="100000" sqref="ER2006:ES2006" name="Rango2_99_20_15"/>
    <protectedRange algorithmName="SHA-512" hashValue="XZw03RosI/l0z9FxmTtF29EdZ7P+4+ybhqoaAAUmURojSR5XbGfjC4f2i8gMqfY+RI9JvfdCA6PSh9TduXfUxA==" saltValue="5TPtLq2WoiRSae/yaDPnTw==" spinCount="100000" sqref="EV2006:EW2006" name="Rango2_99_22_15"/>
    <protectedRange algorithmName="SHA-512" hashValue="9+DNppQbWrLYYUMoJ+lyQctV2bX3Vq9kZnegLbpjTLP49It2ovUbcartuoQTeXgP+TGpY//7mDH/UQlFCKDGiA==" saltValue="KUnni6YEm00anzSSvyLqQA==" spinCount="100000" sqref="FC2006" name="Rango2_26_14"/>
    <protectedRange algorithmName="SHA-512" hashValue="XZw03RosI/l0z9FxmTtF29EdZ7P+4+ybhqoaAAUmURojSR5XbGfjC4f2i8gMqfY+RI9JvfdCA6PSh9TduXfUxA==" saltValue="5TPtLq2WoiRSae/yaDPnTw==" spinCount="100000" sqref="FF2006" name="Rango2_99_23_18"/>
    <protectedRange algorithmName="SHA-512" hashValue="9+DNppQbWrLYYUMoJ+lyQctV2bX3Vq9kZnegLbpjTLP49It2ovUbcartuoQTeXgP+TGpY//7mDH/UQlFCKDGiA==" saltValue="KUnni6YEm00anzSSvyLqQA==" spinCount="100000" sqref="FH2006" name="Rango2_35_15"/>
    <protectedRange algorithmName="SHA-512" hashValue="XZw03RosI/l0z9FxmTtF29EdZ7P+4+ybhqoaAAUmURojSR5XbGfjC4f2i8gMqfY+RI9JvfdCA6PSh9TduXfUxA==" saltValue="5TPtLq2WoiRSae/yaDPnTw==" spinCount="100000" sqref="FQ2006:FR2006" name="Rango2_99_27_17"/>
    <protectedRange algorithmName="SHA-512" hashValue="XZw03RosI/l0z9FxmTtF29EdZ7P+4+ybhqoaAAUmURojSR5XbGfjC4f2i8gMqfY+RI9JvfdCA6PSh9TduXfUxA==" saltValue="5TPtLq2WoiRSae/yaDPnTw==" spinCount="100000" sqref="FU2006" name="Rango2_99_29_14"/>
    <protectedRange algorithmName="SHA-512" hashValue="XZw03RosI/l0z9FxmTtF29EdZ7P+4+ybhqoaAAUmURojSR5XbGfjC4f2i8gMqfY+RI9JvfdCA6PSh9TduXfUxA==" saltValue="5TPtLq2WoiRSae/yaDPnTw==" spinCount="100000" sqref="FW2006:FX2006" name="Rango2_99_31_14"/>
    <protectedRange algorithmName="SHA-512" hashValue="Umj9+5Ys20VQPxBFtc6qE5LtKKSgPKwit+B8dd4XnEUaLfBM2ozpkEC4YxwK0SbBiAHDDex+pY+LomQ0lyuamQ==" saltValue="N2/MCRws+mmA+NXw0axolg==" spinCount="100000" sqref="FY2006" name="Rango2_31_2_2_15"/>
    <protectedRange algorithmName="SHA-512" hashValue="Rgskw+AQdeJ5qbJdarzTa3SCkJfDGziy0Uan5N0F3IWn/H3Z/e+VcB56R7Nes7MPxNHewNP1sSSucVjz3iTLeA==" saltValue="qKZH3DnwaZHBzy3cBZo1qQ==" spinCount="100000" sqref="GF2006" name="Rango2_31_28_1_15"/>
    <protectedRange algorithmName="SHA-512" hashValue="Umj9+5Ys20VQPxBFtc6qE5LtKKSgPKwit+B8dd4XnEUaLfBM2ozpkEC4YxwK0SbBiAHDDex+pY+LomQ0lyuamQ==" saltValue="N2/MCRws+mmA+NXw0axolg==" spinCount="100000" sqref="GE2006" name="Rango2_31_2_5_12"/>
    <protectedRange algorithmName="SHA-512" hashValue="Umj9+5Ys20VQPxBFtc6qE5LtKKSgPKwit+B8dd4XnEUaLfBM2ozpkEC4YxwK0SbBiAHDDex+pY+LomQ0lyuamQ==" saltValue="N2/MCRws+mmA+NXw0axolg==" spinCount="100000" sqref="GJ2006 GH2006 GL2006" name="Rango2_31_2_6_12"/>
    <protectedRange algorithmName="SHA-512" hashValue="XZw03RosI/l0z9FxmTtF29EdZ7P+4+ybhqoaAAUmURojSR5XbGfjC4f2i8gMqfY+RI9JvfdCA6PSh9TduXfUxA==" saltValue="5TPtLq2WoiRSae/yaDPnTw==" spinCount="100000" sqref="GO2006 GM2006 GK2006" name="Rango2_99_36_17"/>
    <protectedRange algorithmName="SHA-512" hashValue="EEHzbvEYwO1eufllBljOz0uf9BJ2ENtvOScQ7IsS321QhYbwKn7qhHKKP8cKj02rTDvVRMWvwQ1ZP0mZWsBprQ==" saltValue="CjXqBRFbKezlWOFV37MnDQ==" spinCount="100000" sqref="GQ2006:GR2006" name="Rango2_30_2_2_16"/>
    <protectedRange algorithmName="SHA-512" hashValue="EEHzbvEYwO1eufllBljOz0uf9BJ2ENtvOScQ7IsS321QhYbwKn7qhHKKP8cKj02rTDvVRMWvwQ1ZP0mZWsBprQ==" saltValue="CjXqBRFbKezlWOFV37MnDQ==" spinCount="100000" sqref="GW2006" name="Rango2_30_2_3_14"/>
    <protectedRange algorithmName="SHA-512" hashValue="XZw03RosI/l0z9FxmTtF29EdZ7P+4+ybhqoaAAUmURojSR5XbGfjC4f2i8gMqfY+RI9JvfdCA6PSh9TduXfUxA==" saltValue="5TPtLq2WoiRSae/yaDPnTw==" spinCount="100000" sqref="GY2006:GZ2006" name="Rango2_99_39_12"/>
    <protectedRange algorithmName="SHA-512" hashValue="XZw03RosI/l0z9FxmTtF29EdZ7P+4+ybhqoaAAUmURojSR5XbGfjC4f2i8gMqfY+RI9JvfdCA6PSh9TduXfUxA==" saltValue="5TPtLq2WoiRSae/yaDPnTw==" spinCount="100000" sqref="HJ2006" name="Rango2_99_40_16"/>
    <protectedRange algorithmName="SHA-512" hashValue="9+DNppQbWrLYYUMoJ+lyQctV2bX3Vq9kZnegLbpjTLP49It2ovUbcartuoQTeXgP+TGpY//7mDH/UQlFCKDGiA==" saltValue="KUnni6YEm00anzSSvyLqQA==" spinCount="100000" sqref="HD2006:HI2006" name="Rango2_39_18"/>
    <protectedRange algorithmName="SHA-512" hashValue="XZw03RosI/l0z9FxmTtF29EdZ7P+4+ybhqoaAAUmURojSR5XbGfjC4f2i8gMqfY+RI9JvfdCA6PSh9TduXfUxA==" saltValue="5TPtLq2WoiRSae/yaDPnTw==" spinCount="100000" sqref="IB2006 HU2006:HZ2006" name="Rango2_99_41_13"/>
    <protectedRange algorithmName="SHA-512" hashValue="9+DNppQbWrLYYUMoJ+lyQctV2bX3Vq9kZnegLbpjTLP49It2ovUbcartuoQTeXgP+TGpY//7mDH/UQlFCKDGiA==" saltValue="KUnni6YEm00anzSSvyLqQA==" spinCount="100000" sqref="HS2006:HT2006" name="Rango2_40_16"/>
    <protectedRange algorithmName="SHA-512" hashValue="XZw03RosI/l0z9FxmTtF29EdZ7P+4+ybhqoaAAUmURojSR5XbGfjC4f2i8gMqfY+RI9JvfdCA6PSh9TduXfUxA==" saltValue="5TPtLq2WoiRSae/yaDPnTw==" spinCount="100000" sqref="IL2006:IM2006" name="Rango2_99_79_5"/>
    <protectedRange algorithmName="SHA-512" hashValue="XZw03RosI/l0z9FxmTtF29EdZ7P+4+ybhqoaAAUmURojSR5XbGfjC4f2i8gMqfY+RI9JvfdCA6PSh9TduXfUxA==" saltValue="5TPtLq2WoiRSae/yaDPnTw==" spinCount="100000" sqref="IO2006" name="Rango2_99_80_23"/>
    <protectedRange algorithmName="SHA-512" hashValue="XZw03RosI/l0z9FxmTtF29EdZ7P+4+ybhqoaAAUmURojSR5XbGfjC4f2i8gMqfY+RI9JvfdCA6PSh9TduXfUxA==" saltValue="5TPtLq2WoiRSae/yaDPnTw==" spinCount="100000" sqref="EA2007:EJ2009" name="Rango2_99_18_19"/>
    <protectedRange algorithmName="SHA-512" hashValue="9+DNppQbWrLYYUMoJ+lyQctV2bX3Vq9kZnegLbpjTLP49It2ovUbcartuoQTeXgP+TGpY//7mDH/UQlFCKDGiA==" saltValue="KUnni6YEm00anzSSvyLqQA==" spinCount="100000" sqref="EN2007:EN2009" name="Rango2_22_14"/>
    <protectedRange algorithmName="SHA-512" hashValue="XZw03RosI/l0z9FxmTtF29EdZ7P+4+ybhqoaAAUmURojSR5XbGfjC4f2i8gMqfY+RI9JvfdCA6PSh9TduXfUxA==" saltValue="5TPtLq2WoiRSae/yaDPnTw==" spinCount="100000" sqref="ER2007:ES2009" name="Rango2_99_20_16"/>
    <protectedRange algorithmName="SHA-512" hashValue="XZw03RosI/l0z9FxmTtF29EdZ7P+4+ybhqoaAAUmURojSR5XbGfjC4f2i8gMqfY+RI9JvfdCA6PSh9TduXfUxA==" saltValue="5TPtLq2WoiRSae/yaDPnTw==" spinCount="100000" sqref="EV2007:EW2009" name="Rango2_99_22_16"/>
    <protectedRange algorithmName="SHA-512" hashValue="9+DNppQbWrLYYUMoJ+lyQctV2bX3Vq9kZnegLbpjTLP49It2ovUbcartuoQTeXgP+TGpY//7mDH/UQlFCKDGiA==" saltValue="KUnni6YEm00anzSSvyLqQA==" spinCount="100000" sqref="FC2007:FC2009" name="Rango2_26_15"/>
    <protectedRange algorithmName="SHA-512" hashValue="XZw03RosI/l0z9FxmTtF29EdZ7P+4+ybhqoaAAUmURojSR5XbGfjC4f2i8gMqfY+RI9JvfdCA6PSh9TduXfUxA==" saltValue="5TPtLq2WoiRSae/yaDPnTw==" spinCount="100000" sqref="FF2007:FF2009" name="Rango2_99_23_19"/>
    <protectedRange algorithmName="SHA-512" hashValue="9+DNppQbWrLYYUMoJ+lyQctV2bX3Vq9kZnegLbpjTLP49It2ovUbcartuoQTeXgP+TGpY//7mDH/UQlFCKDGiA==" saltValue="KUnni6YEm00anzSSvyLqQA==" spinCount="100000" sqref="FH2007:FH2009" name="Rango2_35_16"/>
    <protectedRange algorithmName="SHA-512" hashValue="XZw03RosI/l0z9FxmTtF29EdZ7P+4+ybhqoaAAUmURojSR5XbGfjC4f2i8gMqfY+RI9JvfdCA6PSh9TduXfUxA==" saltValue="5TPtLq2WoiRSae/yaDPnTw==" spinCount="100000" sqref="FQ2007:FR2009" name="Rango2_99_27_18"/>
    <protectedRange algorithmName="SHA-512" hashValue="XZw03RosI/l0z9FxmTtF29EdZ7P+4+ybhqoaAAUmURojSR5XbGfjC4f2i8gMqfY+RI9JvfdCA6PSh9TduXfUxA==" saltValue="5TPtLq2WoiRSae/yaDPnTw==" spinCount="100000" sqref="FU2007:FU2009" name="Rango2_99_29_15"/>
    <protectedRange algorithmName="SHA-512" hashValue="XZw03RosI/l0z9FxmTtF29EdZ7P+4+ybhqoaAAUmURojSR5XbGfjC4f2i8gMqfY+RI9JvfdCA6PSh9TduXfUxA==" saltValue="5TPtLq2WoiRSae/yaDPnTw==" spinCount="100000" sqref="FW2007:FX2009" name="Rango2_99_31_15"/>
    <protectedRange algorithmName="SHA-512" hashValue="Umj9+5Ys20VQPxBFtc6qE5LtKKSgPKwit+B8dd4XnEUaLfBM2ozpkEC4YxwK0SbBiAHDDex+pY+LomQ0lyuamQ==" saltValue="N2/MCRws+mmA+NXw0axolg==" spinCount="100000" sqref="FY2007:FY2009" name="Rango2_31_2_2_16"/>
    <protectedRange algorithmName="SHA-512" hashValue="Umj9+5Ys20VQPxBFtc6qE5LtKKSgPKwit+B8dd4XnEUaLfBM2ozpkEC4YxwK0SbBiAHDDex+pY+LomQ0lyuamQ==" saltValue="N2/MCRws+mmA+NXw0axolg==" spinCount="100000" sqref="GB2007 GB2009" name="Rango2_31_2_4_14"/>
    <protectedRange algorithmName="SHA-512" hashValue="Rgskw+AQdeJ5qbJdarzTa3SCkJfDGziy0Uan5N0F3IWn/H3Z/e+VcB56R7Nes7MPxNHewNP1sSSucVjz3iTLeA==" saltValue="qKZH3DnwaZHBzy3cBZo1qQ==" spinCount="100000" sqref="GF2007:GF2009" name="Rango2_31_28_1_16"/>
    <protectedRange algorithmName="SHA-512" hashValue="Umj9+5Ys20VQPxBFtc6qE5LtKKSgPKwit+B8dd4XnEUaLfBM2ozpkEC4YxwK0SbBiAHDDex+pY+LomQ0lyuamQ==" saltValue="N2/MCRws+mmA+NXw0axolg==" spinCount="100000" sqref="GE2007:GE2009" name="Rango2_31_2_5_13"/>
    <protectedRange algorithmName="SHA-512" hashValue="Umj9+5Ys20VQPxBFtc6qE5LtKKSgPKwit+B8dd4XnEUaLfBM2ozpkEC4YxwK0SbBiAHDDex+pY+LomQ0lyuamQ==" saltValue="N2/MCRws+mmA+NXw0axolg==" spinCount="100000" sqref="GJ2007:GJ2009 GH2007:GH2009 GL2007:GL2009" name="Rango2_31_2_6_13"/>
    <protectedRange algorithmName="SHA-512" hashValue="XZw03RosI/l0z9FxmTtF29EdZ7P+4+ybhqoaAAUmURojSR5XbGfjC4f2i8gMqfY+RI9JvfdCA6PSh9TduXfUxA==" saltValue="5TPtLq2WoiRSae/yaDPnTw==" spinCount="100000" sqref="GO2007:GO2009 GM2007:GM2009 GK2007:GK2009" name="Rango2_99_36_18"/>
    <protectedRange algorithmName="SHA-512" hashValue="EEHzbvEYwO1eufllBljOz0uf9BJ2ENtvOScQ7IsS321QhYbwKn7qhHKKP8cKj02rTDvVRMWvwQ1ZP0mZWsBprQ==" saltValue="CjXqBRFbKezlWOFV37MnDQ==" spinCount="100000" sqref="GQ2007:GR2009" name="Rango2_30_2_2_17"/>
    <protectedRange algorithmName="SHA-512" hashValue="EEHzbvEYwO1eufllBljOz0uf9BJ2ENtvOScQ7IsS321QhYbwKn7qhHKKP8cKj02rTDvVRMWvwQ1ZP0mZWsBprQ==" saltValue="CjXqBRFbKezlWOFV37MnDQ==" spinCount="100000" sqref="GW2007:GW2009" name="Rango2_30_2_3_15"/>
    <protectedRange algorithmName="SHA-512" hashValue="XZw03RosI/l0z9FxmTtF29EdZ7P+4+ybhqoaAAUmURojSR5XbGfjC4f2i8gMqfY+RI9JvfdCA6PSh9TduXfUxA==" saltValue="5TPtLq2WoiRSae/yaDPnTw==" spinCount="100000" sqref="GY2007:GZ2009" name="Rango2_99_39_13"/>
    <protectedRange algorithmName="SHA-512" hashValue="XZw03RosI/l0z9FxmTtF29EdZ7P+4+ybhqoaAAUmURojSR5XbGfjC4f2i8gMqfY+RI9JvfdCA6PSh9TduXfUxA==" saltValue="5TPtLq2WoiRSae/yaDPnTw==" spinCount="100000" sqref="HJ2007:HJ2009" name="Rango2_99_40_17"/>
    <protectedRange algorithmName="SHA-512" hashValue="9+DNppQbWrLYYUMoJ+lyQctV2bX3Vq9kZnegLbpjTLP49It2ovUbcartuoQTeXgP+TGpY//7mDH/UQlFCKDGiA==" saltValue="KUnni6YEm00anzSSvyLqQA==" spinCount="100000" sqref="HD2007:HI2009" name="Rango2_39_19"/>
    <protectedRange algorithmName="SHA-512" hashValue="XZw03RosI/l0z9FxmTtF29EdZ7P+4+ybhqoaAAUmURojSR5XbGfjC4f2i8gMqfY+RI9JvfdCA6PSh9TduXfUxA==" saltValue="5TPtLq2WoiRSae/yaDPnTw==" spinCount="100000" sqref="IB2007:IB2009 HU2007:HZ2009" name="Rango2_99_41_14"/>
    <protectedRange algorithmName="SHA-512" hashValue="9+DNppQbWrLYYUMoJ+lyQctV2bX3Vq9kZnegLbpjTLP49It2ovUbcartuoQTeXgP+TGpY//7mDH/UQlFCKDGiA==" saltValue="KUnni6YEm00anzSSvyLqQA==" spinCount="100000" sqref="HS2007:HT2009" name="Rango2_40_17"/>
    <protectedRange algorithmName="SHA-512" hashValue="XZw03RosI/l0z9FxmTtF29EdZ7P+4+ybhqoaAAUmURojSR5XbGfjC4f2i8gMqfY+RI9JvfdCA6PSh9TduXfUxA==" saltValue="5TPtLq2WoiRSae/yaDPnTw==" spinCount="100000" sqref="IL2007:IM2009" name="Rango2_99_79_6"/>
    <protectedRange algorithmName="SHA-512" hashValue="XZw03RosI/l0z9FxmTtF29EdZ7P+4+ybhqoaAAUmURojSR5XbGfjC4f2i8gMqfY+RI9JvfdCA6PSh9TduXfUxA==" saltValue="5TPtLq2WoiRSae/yaDPnTw==" spinCount="100000" sqref="IO2007:IO2009" name="Rango2_99_80_24"/>
    <protectedRange algorithmName="SHA-512" hashValue="XZw03RosI/l0z9FxmTtF29EdZ7P+4+ybhqoaAAUmURojSR5XbGfjC4f2i8gMqfY+RI9JvfdCA6PSh9TduXfUxA==" saltValue="5TPtLq2WoiRSae/yaDPnTw==" spinCount="100000" sqref="EA2010:EJ2010" name="Rango2_99_18_20"/>
    <protectedRange algorithmName="SHA-512" hashValue="9+DNppQbWrLYYUMoJ+lyQctV2bX3Vq9kZnegLbpjTLP49It2ovUbcartuoQTeXgP+TGpY//7mDH/UQlFCKDGiA==" saltValue="KUnni6YEm00anzSSvyLqQA==" spinCount="100000" sqref="EN2010" name="Rango2_22_15"/>
    <protectedRange algorithmName="SHA-512" hashValue="XZw03RosI/l0z9FxmTtF29EdZ7P+4+ybhqoaAAUmURojSR5XbGfjC4f2i8gMqfY+RI9JvfdCA6PSh9TduXfUxA==" saltValue="5TPtLq2WoiRSae/yaDPnTw==" spinCount="100000" sqref="ER2010:ES2010" name="Rango2_99_20_17"/>
    <protectedRange algorithmName="SHA-512" hashValue="XZw03RosI/l0z9FxmTtF29EdZ7P+4+ybhqoaAAUmURojSR5XbGfjC4f2i8gMqfY+RI9JvfdCA6PSh9TduXfUxA==" saltValue="5TPtLq2WoiRSae/yaDPnTw==" spinCount="100000" sqref="EV2010:EW2010" name="Rango2_99_22_17"/>
    <protectedRange algorithmName="SHA-512" hashValue="9+DNppQbWrLYYUMoJ+lyQctV2bX3Vq9kZnegLbpjTLP49It2ovUbcartuoQTeXgP+TGpY//7mDH/UQlFCKDGiA==" saltValue="KUnni6YEm00anzSSvyLqQA==" spinCount="100000" sqref="FC2010" name="Rango2_26_16"/>
    <protectedRange algorithmName="SHA-512" hashValue="XZw03RosI/l0z9FxmTtF29EdZ7P+4+ybhqoaAAUmURojSR5XbGfjC4f2i8gMqfY+RI9JvfdCA6PSh9TduXfUxA==" saltValue="5TPtLq2WoiRSae/yaDPnTw==" spinCount="100000" sqref="FF2010" name="Rango2_99_23_20"/>
    <protectedRange algorithmName="SHA-512" hashValue="9+DNppQbWrLYYUMoJ+lyQctV2bX3Vq9kZnegLbpjTLP49It2ovUbcartuoQTeXgP+TGpY//7mDH/UQlFCKDGiA==" saltValue="KUnni6YEm00anzSSvyLqQA==" spinCount="100000" sqref="FH2010" name="Rango2_35_17"/>
    <protectedRange algorithmName="SHA-512" hashValue="XZw03RosI/l0z9FxmTtF29EdZ7P+4+ybhqoaAAUmURojSR5XbGfjC4f2i8gMqfY+RI9JvfdCA6PSh9TduXfUxA==" saltValue="5TPtLq2WoiRSae/yaDPnTw==" spinCount="100000" sqref="FQ2010:FR2010" name="Rango2_99_27_19"/>
    <protectedRange algorithmName="SHA-512" hashValue="XZw03RosI/l0z9FxmTtF29EdZ7P+4+ybhqoaAAUmURojSR5XbGfjC4f2i8gMqfY+RI9JvfdCA6PSh9TduXfUxA==" saltValue="5TPtLq2WoiRSae/yaDPnTw==" spinCount="100000" sqref="FU2010" name="Rango2_99_29_16"/>
    <protectedRange algorithmName="SHA-512" hashValue="XZw03RosI/l0z9FxmTtF29EdZ7P+4+ybhqoaAAUmURojSR5XbGfjC4f2i8gMqfY+RI9JvfdCA6PSh9TduXfUxA==" saltValue="5TPtLq2WoiRSae/yaDPnTw==" spinCount="100000" sqref="FW2010:FX2010" name="Rango2_99_31_16"/>
    <protectedRange algorithmName="SHA-512" hashValue="Umj9+5Ys20VQPxBFtc6qE5LtKKSgPKwit+B8dd4XnEUaLfBM2ozpkEC4YxwK0SbBiAHDDex+pY+LomQ0lyuamQ==" saltValue="N2/MCRws+mmA+NXw0axolg==" spinCount="100000" sqref="FY2010" name="Rango2_31_2_2_17"/>
    <protectedRange algorithmName="SHA-512" hashValue="Umj9+5Ys20VQPxBFtc6qE5LtKKSgPKwit+B8dd4XnEUaLfBM2ozpkEC4YxwK0SbBiAHDDex+pY+LomQ0lyuamQ==" saltValue="N2/MCRws+mmA+NXw0axolg==" spinCount="100000" sqref="GB2010" name="Rango2_31_2_4_15"/>
    <protectedRange algorithmName="SHA-512" hashValue="Rgskw+AQdeJ5qbJdarzTa3SCkJfDGziy0Uan5N0F3IWn/H3Z/e+VcB56R7Nes7MPxNHewNP1sSSucVjz3iTLeA==" saltValue="qKZH3DnwaZHBzy3cBZo1qQ==" spinCount="100000" sqref="GF2010" name="Rango2_31_28_1_17"/>
    <protectedRange algorithmName="SHA-512" hashValue="Umj9+5Ys20VQPxBFtc6qE5LtKKSgPKwit+B8dd4XnEUaLfBM2ozpkEC4YxwK0SbBiAHDDex+pY+LomQ0lyuamQ==" saltValue="N2/MCRws+mmA+NXw0axolg==" spinCount="100000" sqref="GE2010" name="Rango2_31_2_5_14"/>
    <protectedRange algorithmName="SHA-512" hashValue="Umj9+5Ys20VQPxBFtc6qE5LtKKSgPKwit+B8dd4XnEUaLfBM2ozpkEC4YxwK0SbBiAHDDex+pY+LomQ0lyuamQ==" saltValue="N2/MCRws+mmA+NXw0axolg==" spinCount="100000" sqref="GJ2010 GH2010 GL2010" name="Rango2_31_2_6_14"/>
    <protectedRange algorithmName="SHA-512" hashValue="XZw03RosI/l0z9FxmTtF29EdZ7P+4+ybhqoaAAUmURojSR5XbGfjC4f2i8gMqfY+RI9JvfdCA6PSh9TduXfUxA==" saltValue="5TPtLq2WoiRSae/yaDPnTw==" spinCount="100000" sqref="GO2010 GM2010 GK2010" name="Rango2_99_36_19"/>
    <protectedRange algorithmName="SHA-512" hashValue="EEHzbvEYwO1eufllBljOz0uf9BJ2ENtvOScQ7IsS321QhYbwKn7qhHKKP8cKj02rTDvVRMWvwQ1ZP0mZWsBprQ==" saltValue="CjXqBRFbKezlWOFV37MnDQ==" spinCount="100000" sqref="GQ2010:GR2010" name="Rango2_30_2_2_18"/>
    <protectedRange algorithmName="SHA-512" hashValue="EEHzbvEYwO1eufllBljOz0uf9BJ2ENtvOScQ7IsS321QhYbwKn7qhHKKP8cKj02rTDvVRMWvwQ1ZP0mZWsBprQ==" saltValue="CjXqBRFbKezlWOFV37MnDQ==" spinCount="100000" sqref="GW2010" name="Rango2_30_2_3_16"/>
    <protectedRange algorithmName="SHA-512" hashValue="XZw03RosI/l0z9FxmTtF29EdZ7P+4+ybhqoaAAUmURojSR5XbGfjC4f2i8gMqfY+RI9JvfdCA6PSh9TduXfUxA==" saltValue="5TPtLq2WoiRSae/yaDPnTw==" spinCount="100000" sqref="GY2010:GZ2010" name="Rango2_99_39_14"/>
    <protectedRange algorithmName="SHA-512" hashValue="XZw03RosI/l0z9FxmTtF29EdZ7P+4+ybhqoaAAUmURojSR5XbGfjC4f2i8gMqfY+RI9JvfdCA6PSh9TduXfUxA==" saltValue="5TPtLq2WoiRSae/yaDPnTw==" spinCount="100000" sqref="HJ2010" name="Rango2_99_40_18"/>
    <protectedRange algorithmName="SHA-512" hashValue="9+DNppQbWrLYYUMoJ+lyQctV2bX3Vq9kZnegLbpjTLP49It2ovUbcartuoQTeXgP+TGpY//7mDH/UQlFCKDGiA==" saltValue="KUnni6YEm00anzSSvyLqQA==" spinCount="100000" sqref="HD2010:HI2010" name="Rango2_39_20"/>
    <protectedRange algorithmName="SHA-512" hashValue="XZw03RosI/l0z9FxmTtF29EdZ7P+4+ybhqoaAAUmURojSR5XbGfjC4f2i8gMqfY+RI9JvfdCA6PSh9TduXfUxA==" saltValue="5TPtLq2WoiRSae/yaDPnTw==" spinCount="100000" sqref="IB2010 HU2010:HZ2010" name="Rango2_99_41_15"/>
    <protectedRange algorithmName="SHA-512" hashValue="9+DNppQbWrLYYUMoJ+lyQctV2bX3Vq9kZnegLbpjTLP49It2ovUbcartuoQTeXgP+TGpY//7mDH/UQlFCKDGiA==" saltValue="KUnni6YEm00anzSSvyLqQA==" spinCount="100000" sqref="HS2010:HT2010" name="Rango2_40_18"/>
    <protectedRange algorithmName="SHA-512" hashValue="XZw03RosI/l0z9FxmTtF29EdZ7P+4+ybhqoaAAUmURojSR5XbGfjC4f2i8gMqfY+RI9JvfdCA6PSh9TduXfUxA==" saltValue="5TPtLq2WoiRSae/yaDPnTw==" spinCount="100000" sqref="IL2010:IM2010" name="Rango2_99_79_7"/>
    <protectedRange algorithmName="SHA-512" hashValue="XZw03RosI/l0z9FxmTtF29EdZ7P+4+ybhqoaAAUmURojSR5XbGfjC4f2i8gMqfY+RI9JvfdCA6PSh9TduXfUxA==" saltValue="5TPtLq2WoiRSae/yaDPnTw==" spinCount="100000" sqref="IO2010" name="Rango2_99_80_25"/>
    <protectedRange algorithmName="SHA-512" hashValue="XZw03RosI/l0z9FxmTtF29EdZ7P+4+ybhqoaAAUmURojSR5XbGfjC4f2i8gMqfY+RI9JvfdCA6PSh9TduXfUxA==" saltValue="5TPtLq2WoiRSae/yaDPnTw==" spinCount="100000" sqref="EA2011:EJ2012" name="Rango2_99_18_21"/>
    <protectedRange algorithmName="SHA-512" hashValue="9+DNppQbWrLYYUMoJ+lyQctV2bX3Vq9kZnegLbpjTLP49It2ovUbcartuoQTeXgP+TGpY//7mDH/UQlFCKDGiA==" saltValue="KUnni6YEm00anzSSvyLqQA==" spinCount="100000" sqref="EN2011:EN2012" name="Rango2_22_16"/>
    <protectedRange algorithmName="SHA-512" hashValue="XZw03RosI/l0z9FxmTtF29EdZ7P+4+ybhqoaAAUmURojSR5XbGfjC4f2i8gMqfY+RI9JvfdCA6PSh9TduXfUxA==" saltValue="5TPtLq2WoiRSae/yaDPnTw==" spinCount="100000" sqref="ER2011:ES2012" name="Rango2_99_20_18"/>
    <protectedRange algorithmName="SHA-512" hashValue="XZw03RosI/l0z9FxmTtF29EdZ7P+4+ybhqoaAAUmURojSR5XbGfjC4f2i8gMqfY+RI9JvfdCA6PSh9TduXfUxA==" saltValue="5TPtLq2WoiRSae/yaDPnTw==" spinCount="100000" sqref="EV2011:EW2012" name="Rango2_99_22_18"/>
    <protectedRange algorithmName="SHA-512" hashValue="9+DNppQbWrLYYUMoJ+lyQctV2bX3Vq9kZnegLbpjTLP49It2ovUbcartuoQTeXgP+TGpY//7mDH/UQlFCKDGiA==" saltValue="KUnni6YEm00anzSSvyLqQA==" spinCount="100000" sqref="FC2011:FC2012" name="Rango2_26_17"/>
    <protectedRange algorithmName="SHA-512" hashValue="XZw03RosI/l0z9FxmTtF29EdZ7P+4+ybhqoaAAUmURojSR5XbGfjC4f2i8gMqfY+RI9JvfdCA6PSh9TduXfUxA==" saltValue="5TPtLq2WoiRSae/yaDPnTw==" spinCount="100000" sqref="FF2011:FF2012" name="Rango2_99_23_21"/>
    <protectedRange algorithmName="SHA-512" hashValue="9+DNppQbWrLYYUMoJ+lyQctV2bX3Vq9kZnegLbpjTLP49It2ovUbcartuoQTeXgP+TGpY//7mDH/UQlFCKDGiA==" saltValue="KUnni6YEm00anzSSvyLqQA==" spinCount="100000" sqref="FH2011:FH2012" name="Rango2_35_18"/>
    <protectedRange algorithmName="SHA-512" hashValue="XZw03RosI/l0z9FxmTtF29EdZ7P+4+ybhqoaAAUmURojSR5XbGfjC4f2i8gMqfY+RI9JvfdCA6PSh9TduXfUxA==" saltValue="5TPtLq2WoiRSae/yaDPnTw==" spinCount="100000" sqref="FQ2011:FR2012" name="Rango2_99_27_20"/>
    <protectedRange algorithmName="SHA-512" hashValue="XZw03RosI/l0z9FxmTtF29EdZ7P+4+ybhqoaAAUmURojSR5XbGfjC4f2i8gMqfY+RI9JvfdCA6PSh9TduXfUxA==" saltValue="5TPtLq2WoiRSae/yaDPnTw==" spinCount="100000" sqref="FU2011:FU2012" name="Rango2_99_29_17"/>
    <protectedRange algorithmName="SHA-512" hashValue="XZw03RosI/l0z9FxmTtF29EdZ7P+4+ybhqoaAAUmURojSR5XbGfjC4f2i8gMqfY+RI9JvfdCA6PSh9TduXfUxA==" saltValue="5TPtLq2WoiRSae/yaDPnTw==" spinCount="100000" sqref="FW2011:FX2012" name="Rango2_99_31_17"/>
    <protectedRange algorithmName="SHA-512" hashValue="Umj9+5Ys20VQPxBFtc6qE5LtKKSgPKwit+B8dd4XnEUaLfBM2ozpkEC4YxwK0SbBiAHDDex+pY+LomQ0lyuamQ==" saltValue="N2/MCRws+mmA+NXw0axolg==" spinCount="100000" sqref="FY2011:FY2012" name="Rango2_31_2_2_18"/>
    <protectedRange algorithmName="SHA-512" hashValue="Rgskw+AQdeJ5qbJdarzTa3SCkJfDGziy0Uan5N0F3IWn/H3Z/e+VcB56R7Nes7MPxNHewNP1sSSucVjz3iTLeA==" saltValue="qKZH3DnwaZHBzy3cBZo1qQ==" spinCount="100000" sqref="GF2011:GF2012" name="Rango2_31_28_1_18"/>
    <protectedRange algorithmName="SHA-512" hashValue="Umj9+5Ys20VQPxBFtc6qE5LtKKSgPKwit+B8dd4XnEUaLfBM2ozpkEC4YxwK0SbBiAHDDex+pY+LomQ0lyuamQ==" saltValue="N2/MCRws+mmA+NXw0axolg==" spinCount="100000" sqref="GE2011:GE2012" name="Rango2_31_2_5_15"/>
    <protectedRange algorithmName="SHA-512" hashValue="Umj9+5Ys20VQPxBFtc6qE5LtKKSgPKwit+B8dd4XnEUaLfBM2ozpkEC4YxwK0SbBiAHDDex+pY+LomQ0lyuamQ==" saltValue="N2/MCRws+mmA+NXw0axolg==" spinCount="100000" sqref="GJ2011:GJ2012 GH2011:GH2012 GL2011:GL2012" name="Rango2_31_2_6_15"/>
    <protectedRange algorithmName="SHA-512" hashValue="XZw03RosI/l0z9FxmTtF29EdZ7P+4+ybhqoaAAUmURojSR5XbGfjC4f2i8gMqfY+RI9JvfdCA6PSh9TduXfUxA==" saltValue="5TPtLq2WoiRSae/yaDPnTw==" spinCount="100000" sqref="GO2011:GO2012 GM2011:GM2012 GK2011:GK2012" name="Rango2_99_36_20"/>
    <protectedRange algorithmName="SHA-512" hashValue="EEHzbvEYwO1eufllBljOz0uf9BJ2ENtvOScQ7IsS321QhYbwKn7qhHKKP8cKj02rTDvVRMWvwQ1ZP0mZWsBprQ==" saltValue="CjXqBRFbKezlWOFV37MnDQ==" spinCount="100000" sqref="GQ2011:GR2012" name="Rango2_30_2_2_19"/>
    <protectedRange algorithmName="SHA-512" hashValue="EEHzbvEYwO1eufllBljOz0uf9BJ2ENtvOScQ7IsS321QhYbwKn7qhHKKP8cKj02rTDvVRMWvwQ1ZP0mZWsBprQ==" saltValue="CjXqBRFbKezlWOFV37MnDQ==" spinCount="100000" sqref="GW2011:GW2012" name="Rango2_30_2_3_17"/>
    <protectedRange algorithmName="SHA-512" hashValue="XZw03RosI/l0z9FxmTtF29EdZ7P+4+ybhqoaAAUmURojSR5XbGfjC4f2i8gMqfY+RI9JvfdCA6PSh9TduXfUxA==" saltValue="5TPtLq2WoiRSae/yaDPnTw==" spinCount="100000" sqref="GY2011:GZ2012" name="Rango2_99_39_15"/>
    <protectedRange algorithmName="SHA-512" hashValue="XZw03RosI/l0z9FxmTtF29EdZ7P+4+ybhqoaAAUmURojSR5XbGfjC4f2i8gMqfY+RI9JvfdCA6PSh9TduXfUxA==" saltValue="5TPtLq2WoiRSae/yaDPnTw==" spinCount="100000" sqref="HJ2011:HJ2012" name="Rango2_99_40_19"/>
    <protectedRange algorithmName="SHA-512" hashValue="9+DNppQbWrLYYUMoJ+lyQctV2bX3Vq9kZnegLbpjTLP49It2ovUbcartuoQTeXgP+TGpY//7mDH/UQlFCKDGiA==" saltValue="KUnni6YEm00anzSSvyLqQA==" spinCount="100000" sqref="HD2011:HI2012" name="Rango2_39_21"/>
    <protectedRange algorithmName="SHA-512" hashValue="XZw03RosI/l0z9FxmTtF29EdZ7P+4+ybhqoaAAUmURojSR5XbGfjC4f2i8gMqfY+RI9JvfdCA6PSh9TduXfUxA==" saltValue="5TPtLq2WoiRSae/yaDPnTw==" spinCount="100000" sqref="IB2011:IB2012 HU2011:HZ2012" name="Rango2_99_41_16"/>
    <protectedRange algorithmName="SHA-512" hashValue="9+DNppQbWrLYYUMoJ+lyQctV2bX3Vq9kZnegLbpjTLP49It2ovUbcartuoQTeXgP+TGpY//7mDH/UQlFCKDGiA==" saltValue="KUnni6YEm00anzSSvyLqQA==" spinCount="100000" sqref="HS2011:HT2012" name="Rango2_40_19"/>
    <protectedRange algorithmName="SHA-512" hashValue="XZw03RosI/l0z9FxmTtF29EdZ7P+4+ybhqoaAAUmURojSR5XbGfjC4f2i8gMqfY+RI9JvfdCA6PSh9TduXfUxA==" saltValue="5TPtLq2WoiRSae/yaDPnTw==" spinCount="100000" sqref="IL2011:IM2012" name="Rango2_99_79_8"/>
    <protectedRange algorithmName="SHA-512" hashValue="XZw03RosI/l0z9FxmTtF29EdZ7P+4+ybhqoaAAUmURojSR5XbGfjC4f2i8gMqfY+RI9JvfdCA6PSh9TduXfUxA==" saltValue="5TPtLq2WoiRSae/yaDPnTw==" spinCount="100000" sqref="IO2011:IO2012" name="Rango2_99_80_26"/>
    <protectedRange algorithmName="SHA-512" hashValue="XZw03RosI/l0z9FxmTtF29EdZ7P+4+ybhqoaAAUmURojSR5XbGfjC4f2i8gMqfY+RI9JvfdCA6PSh9TduXfUxA==" saltValue="5TPtLq2WoiRSae/yaDPnTw==" spinCount="100000" sqref="EA2013:EJ2013" name="Rango2_99_18_22"/>
    <protectedRange algorithmName="SHA-512" hashValue="9+DNppQbWrLYYUMoJ+lyQctV2bX3Vq9kZnegLbpjTLP49It2ovUbcartuoQTeXgP+TGpY//7mDH/UQlFCKDGiA==" saltValue="KUnni6YEm00anzSSvyLqQA==" spinCount="100000" sqref="EN2013" name="Rango2_22_17"/>
    <protectedRange algorithmName="SHA-512" hashValue="XZw03RosI/l0z9FxmTtF29EdZ7P+4+ybhqoaAAUmURojSR5XbGfjC4f2i8gMqfY+RI9JvfdCA6PSh9TduXfUxA==" saltValue="5TPtLq2WoiRSae/yaDPnTw==" spinCount="100000" sqref="ER2013:ES2013" name="Rango2_99_20_19"/>
    <protectedRange algorithmName="SHA-512" hashValue="XZw03RosI/l0z9FxmTtF29EdZ7P+4+ybhqoaAAUmURojSR5XbGfjC4f2i8gMqfY+RI9JvfdCA6PSh9TduXfUxA==" saltValue="5TPtLq2WoiRSae/yaDPnTw==" spinCount="100000" sqref="EV2013:EW2013" name="Rango2_99_22_19"/>
    <protectedRange algorithmName="SHA-512" hashValue="9+DNppQbWrLYYUMoJ+lyQctV2bX3Vq9kZnegLbpjTLP49It2ovUbcartuoQTeXgP+TGpY//7mDH/UQlFCKDGiA==" saltValue="KUnni6YEm00anzSSvyLqQA==" spinCount="100000" sqref="FC2013" name="Rango2_26_18"/>
    <protectedRange algorithmName="SHA-512" hashValue="XZw03RosI/l0z9FxmTtF29EdZ7P+4+ybhqoaAAUmURojSR5XbGfjC4f2i8gMqfY+RI9JvfdCA6PSh9TduXfUxA==" saltValue="5TPtLq2WoiRSae/yaDPnTw==" spinCount="100000" sqref="FF2013" name="Rango2_99_23_22"/>
    <protectedRange algorithmName="SHA-512" hashValue="9+DNppQbWrLYYUMoJ+lyQctV2bX3Vq9kZnegLbpjTLP49It2ovUbcartuoQTeXgP+TGpY//7mDH/UQlFCKDGiA==" saltValue="KUnni6YEm00anzSSvyLqQA==" spinCount="100000" sqref="FH2013" name="Rango2_35_19"/>
    <protectedRange algorithmName="SHA-512" hashValue="XZw03RosI/l0z9FxmTtF29EdZ7P+4+ybhqoaAAUmURojSR5XbGfjC4f2i8gMqfY+RI9JvfdCA6PSh9TduXfUxA==" saltValue="5TPtLq2WoiRSae/yaDPnTw==" spinCount="100000" sqref="FQ2013:FR2013" name="Rango2_99_27_21"/>
    <protectedRange algorithmName="SHA-512" hashValue="XZw03RosI/l0z9FxmTtF29EdZ7P+4+ybhqoaAAUmURojSR5XbGfjC4f2i8gMqfY+RI9JvfdCA6PSh9TduXfUxA==" saltValue="5TPtLq2WoiRSae/yaDPnTw==" spinCount="100000" sqref="FU2013" name="Rango2_99_29_18"/>
    <protectedRange algorithmName="SHA-512" hashValue="XZw03RosI/l0z9FxmTtF29EdZ7P+4+ybhqoaAAUmURojSR5XbGfjC4f2i8gMqfY+RI9JvfdCA6PSh9TduXfUxA==" saltValue="5TPtLq2WoiRSae/yaDPnTw==" spinCount="100000" sqref="FW2013:FX2013" name="Rango2_99_31_18"/>
    <protectedRange algorithmName="SHA-512" hashValue="Umj9+5Ys20VQPxBFtc6qE5LtKKSgPKwit+B8dd4XnEUaLfBM2ozpkEC4YxwK0SbBiAHDDex+pY+LomQ0lyuamQ==" saltValue="N2/MCRws+mmA+NXw0axolg==" spinCount="100000" sqref="FY2013" name="Rango2_31_2_2_19"/>
    <protectedRange algorithmName="SHA-512" hashValue="Rgskw+AQdeJ5qbJdarzTa3SCkJfDGziy0Uan5N0F3IWn/H3Z/e+VcB56R7Nes7MPxNHewNP1sSSucVjz3iTLeA==" saltValue="qKZH3DnwaZHBzy3cBZo1qQ==" spinCount="100000" sqref="GF2013" name="Rango2_31_28_1_19"/>
    <protectedRange algorithmName="SHA-512" hashValue="Umj9+5Ys20VQPxBFtc6qE5LtKKSgPKwit+B8dd4XnEUaLfBM2ozpkEC4YxwK0SbBiAHDDex+pY+LomQ0lyuamQ==" saltValue="N2/MCRws+mmA+NXw0axolg==" spinCount="100000" sqref="GE2013" name="Rango2_31_2_5_16"/>
    <protectedRange algorithmName="SHA-512" hashValue="Umj9+5Ys20VQPxBFtc6qE5LtKKSgPKwit+B8dd4XnEUaLfBM2ozpkEC4YxwK0SbBiAHDDex+pY+LomQ0lyuamQ==" saltValue="N2/MCRws+mmA+NXw0axolg==" spinCount="100000" sqref="GJ2013 GH2013 GL2013" name="Rango2_31_2_6_16"/>
    <protectedRange algorithmName="SHA-512" hashValue="XZw03RosI/l0z9FxmTtF29EdZ7P+4+ybhqoaAAUmURojSR5XbGfjC4f2i8gMqfY+RI9JvfdCA6PSh9TduXfUxA==" saltValue="5TPtLq2WoiRSae/yaDPnTw==" spinCount="100000" sqref="GO2013 GM2013 GK2013" name="Rango2_99_36_21"/>
    <protectedRange algorithmName="SHA-512" hashValue="EEHzbvEYwO1eufllBljOz0uf9BJ2ENtvOScQ7IsS321QhYbwKn7qhHKKP8cKj02rTDvVRMWvwQ1ZP0mZWsBprQ==" saltValue="CjXqBRFbKezlWOFV37MnDQ==" spinCount="100000" sqref="GQ2013:GR2013" name="Rango2_30_2_2_20"/>
    <protectedRange algorithmName="SHA-512" hashValue="EEHzbvEYwO1eufllBljOz0uf9BJ2ENtvOScQ7IsS321QhYbwKn7qhHKKP8cKj02rTDvVRMWvwQ1ZP0mZWsBprQ==" saltValue="CjXqBRFbKezlWOFV37MnDQ==" spinCount="100000" sqref="GW2013" name="Rango2_30_2_3_18"/>
    <protectedRange algorithmName="SHA-512" hashValue="XZw03RosI/l0z9FxmTtF29EdZ7P+4+ybhqoaAAUmURojSR5XbGfjC4f2i8gMqfY+RI9JvfdCA6PSh9TduXfUxA==" saltValue="5TPtLq2WoiRSae/yaDPnTw==" spinCount="100000" sqref="GY2013:GZ2013" name="Rango2_99_39_16"/>
    <protectedRange algorithmName="SHA-512" hashValue="XZw03RosI/l0z9FxmTtF29EdZ7P+4+ybhqoaAAUmURojSR5XbGfjC4f2i8gMqfY+RI9JvfdCA6PSh9TduXfUxA==" saltValue="5TPtLq2WoiRSae/yaDPnTw==" spinCount="100000" sqref="HJ2013" name="Rango2_99_40_20"/>
    <protectedRange algorithmName="SHA-512" hashValue="9+DNppQbWrLYYUMoJ+lyQctV2bX3Vq9kZnegLbpjTLP49It2ovUbcartuoQTeXgP+TGpY//7mDH/UQlFCKDGiA==" saltValue="KUnni6YEm00anzSSvyLqQA==" spinCount="100000" sqref="HD2013:HI2013" name="Rango2_39_22"/>
    <protectedRange algorithmName="SHA-512" hashValue="XZw03RosI/l0z9FxmTtF29EdZ7P+4+ybhqoaAAUmURojSR5XbGfjC4f2i8gMqfY+RI9JvfdCA6PSh9TduXfUxA==" saltValue="5TPtLq2WoiRSae/yaDPnTw==" spinCount="100000" sqref="IB2013 HU2013:HZ2013" name="Rango2_99_41_17"/>
    <protectedRange algorithmName="SHA-512" hashValue="9+DNppQbWrLYYUMoJ+lyQctV2bX3Vq9kZnegLbpjTLP49It2ovUbcartuoQTeXgP+TGpY//7mDH/UQlFCKDGiA==" saltValue="KUnni6YEm00anzSSvyLqQA==" spinCount="100000" sqref="HS2013:HT2013" name="Rango2_40_20"/>
    <protectedRange algorithmName="SHA-512" hashValue="XZw03RosI/l0z9FxmTtF29EdZ7P+4+ybhqoaAAUmURojSR5XbGfjC4f2i8gMqfY+RI9JvfdCA6PSh9TduXfUxA==" saltValue="5TPtLq2WoiRSae/yaDPnTw==" spinCount="100000" sqref="IL2013:IM2013" name="Rango2_99_79_9"/>
    <protectedRange algorithmName="SHA-512" hashValue="XZw03RosI/l0z9FxmTtF29EdZ7P+4+ybhqoaAAUmURojSR5XbGfjC4f2i8gMqfY+RI9JvfdCA6PSh9TduXfUxA==" saltValue="5TPtLq2WoiRSae/yaDPnTw==" spinCount="100000" sqref="IO2013" name="Rango2_99_80_27"/>
    <protectedRange algorithmName="SHA-512" hashValue="XZw03RosI/l0z9FxmTtF29EdZ7P+4+ybhqoaAAUmURojSR5XbGfjC4f2i8gMqfY+RI9JvfdCA6PSh9TduXfUxA==" saltValue="5TPtLq2WoiRSae/yaDPnTw==" spinCount="100000" sqref="EA2014:EJ2014" name="Rango2_99_18_23"/>
    <protectedRange algorithmName="SHA-512" hashValue="9+DNppQbWrLYYUMoJ+lyQctV2bX3Vq9kZnegLbpjTLP49It2ovUbcartuoQTeXgP+TGpY//7mDH/UQlFCKDGiA==" saltValue="KUnni6YEm00anzSSvyLqQA==" spinCount="100000" sqref="EN2014" name="Rango2_22_18"/>
    <protectedRange algorithmName="SHA-512" hashValue="XZw03RosI/l0z9FxmTtF29EdZ7P+4+ybhqoaAAUmURojSR5XbGfjC4f2i8gMqfY+RI9JvfdCA6PSh9TduXfUxA==" saltValue="5TPtLq2WoiRSae/yaDPnTw==" spinCount="100000" sqref="ER2014:ES2014" name="Rango2_99_20_20"/>
    <protectedRange algorithmName="SHA-512" hashValue="XZw03RosI/l0z9FxmTtF29EdZ7P+4+ybhqoaAAUmURojSR5XbGfjC4f2i8gMqfY+RI9JvfdCA6PSh9TduXfUxA==" saltValue="5TPtLq2WoiRSae/yaDPnTw==" spinCount="100000" sqref="EV2014:EW2014" name="Rango2_99_22_20"/>
    <protectedRange algorithmName="SHA-512" hashValue="9+DNppQbWrLYYUMoJ+lyQctV2bX3Vq9kZnegLbpjTLP49It2ovUbcartuoQTeXgP+TGpY//7mDH/UQlFCKDGiA==" saltValue="KUnni6YEm00anzSSvyLqQA==" spinCount="100000" sqref="FC2014" name="Rango2_26_19"/>
    <protectedRange algorithmName="SHA-512" hashValue="XZw03RosI/l0z9FxmTtF29EdZ7P+4+ybhqoaAAUmURojSR5XbGfjC4f2i8gMqfY+RI9JvfdCA6PSh9TduXfUxA==" saltValue="5TPtLq2WoiRSae/yaDPnTw==" spinCount="100000" sqref="FF2014" name="Rango2_99_23_23"/>
    <protectedRange algorithmName="SHA-512" hashValue="9+DNppQbWrLYYUMoJ+lyQctV2bX3Vq9kZnegLbpjTLP49It2ovUbcartuoQTeXgP+TGpY//7mDH/UQlFCKDGiA==" saltValue="KUnni6YEm00anzSSvyLqQA==" spinCount="100000" sqref="FH2014" name="Rango2_35_20"/>
    <protectedRange algorithmName="SHA-512" hashValue="XZw03RosI/l0z9FxmTtF29EdZ7P+4+ybhqoaAAUmURojSR5XbGfjC4f2i8gMqfY+RI9JvfdCA6PSh9TduXfUxA==" saltValue="5TPtLq2WoiRSae/yaDPnTw==" spinCount="100000" sqref="FQ2014:FR2014" name="Rango2_99_27_22"/>
    <protectedRange algorithmName="SHA-512" hashValue="XZw03RosI/l0z9FxmTtF29EdZ7P+4+ybhqoaAAUmURojSR5XbGfjC4f2i8gMqfY+RI9JvfdCA6PSh9TduXfUxA==" saltValue="5TPtLq2WoiRSae/yaDPnTw==" spinCount="100000" sqref="FU2014" name="Rango2_99_29_19"/>
    <protectedRange algorithmName="SHA-512" hashValue="XZw03RosI/l0z9FxmTtF29EdZ7P+4+ybhqoaAAUmURojSR5XbGfjC4f2i8gMqfY+RI9JvfdCA6PSh9TduXfUxA==" saltValue="5TPtLq2WoiRSae/yaDPnTw==" spinCount="100000" sqref="FW2014:FX2014" name="Rango2_99_31_19"/>
    <protectedRange algorithmName="SHA-512" hashValue="Umj9+5Ys20VQPxBFtc6qE5LtKKSgPKwit+B8dd4XnEUaLfBM2ozpkEC4YxwK0SbBiAHDDex+pY+LomQ0lyuamQ==" saltValue="N2/MCRws+mmA+NXw0axolg==" spinCount="100000" sqref="FY2014" name="Rango2_31_2_2_20"/>
    <protectedRange algorithmName="SHA-512" hashValue="Rgskw+AQdeJ5qbJdarzTa3SCkJfDGziy0Uan5N0F3IWn/H3Z/e+VcB56R7Nes7MPxNHewNP1sSSucVjz3iTLeA==" saltValue="qKZH3DnwaZHBzy3cBZo1qQ==" spinCount="100000" sqref="GF2014" name="Rango2_31_28_1_20"/>
    <protectedRange algorithmName="SHA-512" hashValue="Umj9+5Ys20VQPxBFtc6qE5LtKKSgPKwit+B8dd4XnEUaLfBM2ozpkEC4YxwK0SbBiAHDDex+pY+LomQ0lyuamQ==" saltValue="N2/MCRws+mmA+NXw0axolg==" spinCount="100000" sqref="GE2014" name="Rango2_31_2_5_17"/>
    <protectedRange algorithmName="SHA-512" hashValue="Umj9+5Ys20VQPxBFtc6qE5LtKKSgPKwit+B8dd4XnEUaLfBM2ozpkEC4YxwK0SbBiAHDDex+pY+LomQ0lyuamQ==" saltValue="N2/MCRws+mmA+NXw0axolg==" spinCount="100000" sqref="GJ2014 GH2014 GL2014" name="Rango2_31_2_6_17"/>
    <protectedRange algorithmName="SHA-512" hashValue="XZw03RosI/l0z9FxmTtF29EdZ7P+4+ybhqoaAAUmURojSR5XbGfjC4f2i8gMqfY+RI9JvfdCA6PSh9TduXfUxA==" saltValue="5TPtLq2WoiRSae/yaDPnTw==" spinCount="100000" sqref="GO2014 GM2014 GK2014" name="Rango2_99_36_22"/>
    <protectedRange algorithmName="SHA-512" hashValue="EEHzbvEYwO1eufllBljOz0uf9BJ2ENtvOScQ7IsS321QhYbwKn7qhHKKP8cKj02rTDvVRMWvwQ1ZP0mZWsBprQ==" saltValue="CjXqBRFbKezlWOFV37MnDQ==" spinCount="100000" sqref="GQ2014:GR2014" name="Rango2_30_2_2_21"/>
    <protectedRange algorithmName="SHA-512" hashValue="EEHzbvEYwO1eufllBljOz0uf9BJ2ENtvOScQ7IsS321QhYbwKn7qhHKKP8cKj02rTDvVRMWvwQ1ZP0mZWsBprQ==" saltValue="CjXqBRFbKezlWOFV37MnDQ==" spinCount="100000" sqref="GW2014" name="Rango2_30_2_3_19"/>
    <protectedRange algorithmName="SHA-512" hashValue="XZw03RosI/l0z9FxmTtF29EdZ7P+4+ybhqoaAAUmURojSR5XbGfjC4f2i8gMqfY+RI9JvfdCA6PSh9TduXfUxA==" saltValue="5TPtLq2WoiRSae/yaDPnTw==" spinCount="100000" sqref="GY2014:GZ2014" name="Rango2_99_39_17"/>
    <protectedRange algorithmName="SHA-512" hashValue="XZw03RosI/l0z9FxmTtF29EdZ7P+4+ybhqoaAAUmURojSR5XbGfjC4f2i8gMqfY+RI9JvfdCA6PSh9TduXfUxA==" saltValue="5TPtLq2WoiRSae/yaDPnTw==" spinCount="100000" sqref="HJ2014" name="Rango2_99_40_21"/>
    <protectedRange algorithmName="SHA-512" hashValue="9+DNppQbWrLYYUMoJ+lyQctV2bX3Vq9kZnegLbpjTLP49It2ovUbcartuoQTeXgP+TGpY//7mDH/UQlFCKDGiA==" saltValue="KUnni6YEm00anzSSvyLqQA==" spinCount="100000" sqref="HD2014:HI2014" name="Rango2_39_23"/>
    <protectedRange algorithmName="SHA-512" hashValue="XZw03RosI/l0z9FxmTtF29EdZ7P+4+ybhqoaAAUmURojSR5XbGfjC4f2i8gMqfY+RI9JvfdCA6PSh9TduXfUxA==" saltValue="5TPtLq2WoiRSae/yaDPnTw==" spinCount="100000" sqref="IB2014 HU2014:HZ2014" name="Rango2_99_41_18"/>
    <protectedRange algorithmName="SHA-512" hashValue="9+DNppQbWrLYYUMoJ+lyQctV2bX3Vq9kZnegLbpjTLP49It2ovUbcartuoQTeXgP+TGpY//7mDH/UQlFCKDGiA==" saltValue="KUnni6YEm00anzSSvyLqQA==" spinCount="100000" sqref="HS2014:HT2014" name="Rango2_40_21"/>
    <protectedRange algorithmName="SHA-512" hashValue="XZw03RosI/l0z9FxmTtF29EdZ7P+4+ybhqoaAAUmURojSR5XbGfjC4f2i8gMqfY+RI9JvfdCA6PSh9TduXfUxA==" saltValue="5TPtLq2WoiRSae/yaDPnTw==" spinCount="100000" sqref="IL2014:IM2014" name="Rango2_99_79_10"/>
    <protectedRange algorithmName="SHA-512" hashValue="XZw03RosI/l0z9FxmTtF29EdZ7P+4+ybhqoaAAUmURojSR5XbGfjC4f2i8gMqfY+RI9JvfdCA6PSh9TduXfUxA==" saltValue="5TPtLq2WoiRSae/yaDPnTw==" spinCount="100000" sqref="IO2014" name="Rango2_99_80_28"/>
    <protectedRange algorithmName="SHA-512" hashValue="XZw03RosI/l0z9FxmTtF29EdZ7P+4+ybhqoaAAUmURojSR5XbGfjC4f2i8gMqfY+RI9JvfdCA6PSh9TduXfUxA==" saltValue="5TPtLq2WoiRSae/yaDPnTw==" spinCount="100000" sqref="EA2015:EJ2015" name="Rango2_99_18_24"/>
    <protectedRange algorithmName="SHA-512" hashValue="9+DNppQbWrLYYUMoJ+lyQctV2bX3Vq9kZnegLbpjTLP49It2ovUbcartuoQTeXgP+TGpY//7mDH/UQlFCKDGiA==" saltValue="KUnni6YEm00anzSSvyLqQA==" spinCount="100000" sqref="EN2015" name="Rango2_22_19"/>
    <protectedRange algorithmName="SHA-512" hashValue="XZw03RosI/l0z9FxmTtF29EdZ7P+4+ybhqoaAAUmURojSR5XbGfjC4f2i8gMqfY+RI9JvfdCA6PSh9TduXfUxA==" saltValue="5TPtLq2WoiRSae/yaDPnTw==" spinCount="100000" sqref="ER2015:ES2015" name="Rango2_99_20_21"/>
    <protectedRange algorithmName="SHA-512" hashValue="XZw03RosI/l0z9FxmTtF29EdZ7P+4+ybhqoaAAUmURojSR5XbGfjC4f2i8gMqfY+RI9JvfdCA6PSh9TduXfUxA==" saltValue="5TPtLq2WoiRSae/yaDPnTw==" spinCount="100000" sqref="EV2015:EW2015" name="Rango2_99_22_21"/>
    <protectedRange algorithmName="SHA-512" hashValue="9+DNppQbWrLYYUMoJ+lyQctV2bX3Vq9kZnegLbpjTLP49It2ovUbcartuoQTeXgP+TGpY//7mDH/UQlFCKDGiA==" saltValue="KUnni6YEm00anzSSvyLqQA==" spinCount="100000" sqref="FC2015" name="Rango2_26_20"/>
    <protectedRange algorithmName="SHA-512" hashValue="XZw03RosI/l0z9FxmTtF29EdZ7P+4+ybhqoaAAUmURojSR5XbGfjC4f2i8gMqfY+RI9JvfdCA6PSh9TduXfUxA==" saltValue="5TPtLq2WoiRSae/yaDPnTw==" spinCount="100000" sqref="FF2015" name="Rango2_99_23_24"/>
    <protectedRange algorithmName="SHA-512" hashValue="9+DNppQbWrLYYUMoJ+lyQctV2bX3Vq9kZnegLbpjTLP49It2ovUbcartuoQTeXgP+TGpY//7mDH/UQlFCKDGiA==" saltValue="KUnni6YEm00anzSSvyLqQA==" spinCount="100000" sqref="FH2015" name="Rango2_35_21"/>
    <protectedRange algorithmName="SHA-512" hashValue="XZw03RosI/l0z9FxmTtF29EdZ7P+4+ybhqoaAAUmURojSR5XbGfjC4f2i8gMqfY+RI9JvfdCA6PSh9TduXfUxA==" saltValue="5TPtLq2WoiRSae/yaDPnTw==" spinCount="100000" sqref="FQ2015:FR2015" name="Rango2_99_27_23"/>
    <protectedRange algorithmName="SHA-512" hashValue="XZw03RosI/l0z9FxmTtF29EdZ7P+4+ybhqoaAAUmURojSR5XbGfjC4f2i8gMqfY+RI9JvfdCA6PSh9TduXfUxA==" saltValue="5TPtLq2WoiRSae/yaDPnTw==" spinCount="100000" sqref="FU2015" name="Rango2_99_29_20"/>
    <protectedRange algorithmName="SHA-512" hashValue="XZw03RosI/l0z9FxmTtF29EdZ7P+4+ybhqoaAAUmURojSR5XbGfjC4f2i8gMqfY+RI9JvfdCA6PSh9TduXfUxA==" saltValue="5TPtLq2WoiRSae/yaDPnTw==" spinCount="100000" sqref="FW2015:FX2015" name="Rango2_99_31_20"/>
    <protectedRange algorithmName="SHA-512" hashValue="Umj9+5Ys20VQPxBFtc6qE5LtKKSgPKwit+B8dd4XnEUaLfBM2ozpkEC4YxwK0SbBiAHDDex+pY+LomQ0lyuamQ==" saltValue="N2/MCRws+mmA+NXw0axolg==" spinCount="100000" sqref="FY2015" name="Rango2_31_2_2_21"/>
    <protectedRange algorithmName="SHA-512" hashValue="Rgskw+AQdeJ5qbJdarzTa3SCkJfDGziy0Uan5N0F3IWn/H3Z/e+VcB56R7Nes7MPxNHewNP1sSSucVjz3iTLeA==" saltValue="qKZH3DnwaZHBzy3cBZo1qQ==" spinCount="100000" sqref="GF2015" name="Rango2_31_28_1_21"/>
    <protectedRange algorithmName="SHA-512" hashValue="Umj9+5Ys20VQPxBFtc6qE5LtKKSgPKwit+B8dd4XnEUaLfBM2ozpkEC4YxwK0SbBiAHDDex+pY+LomQ0lyuamQ==" saltValue="N2/MCRws+mmA+NXw0axolg==" spinCount="100000" sqref="GE2015" name="Rango2_31_2_5_18"/>
    <protectedRange algorithmName="SHA-512" hashValue="Umj9+5Ys20VQPxBFtc6qE5LtKKSgPKwit+B8dd4XnEUaLfBM2ozpkEC4YxwK0SbBiAHDDex+pY+LomQ0lyuamQ==" saltValue="N2/MCRws+mmA+NXw0axolg==" spinCount="100000" sqref="GJ2015 GH2015 GL2015" name="Rango2_31_2_6_18"/>
    <protectedRange algorithmName="SHA-512" hashValue="XZw03RosI/l0z9FxmTtF29EdZ7P+4+ybhqoaAAUmURojSR5XbGfjC4f2i8gMqfY+RI9JvfdCA6PSh9TduXfUxA==" saltValue="5TPtLq2WoiRSae/yaDPnTw==" spinCount="100000" sqref="GO2015 GM2015 GK2015" name="Rango2_99_36_23"/>
    <protectedRange algorithmName="SHA-512" hashValue="EEHzbvEYwO1eufllBljOz0uf9BJ2ENtvOScQ7IsS321QhYbwKn7qhHKKP8cKj02rTDvVRMWvwQ1ZP0mZWsBprQ==" saltValue="CjXqBRFbKezlWOFV37MnDQ==" spinCount="100000" sqref="GQ2015:GR2015" name="Rango2_30_2_2_22"/>
    <protectedRange algorithmName="SHA-512" hashValue="EEHzbvEYwO1eufllBljOz0uf9BJ2ENtvOScQ7IsS321QhYbwKn7qhHKKP8cKj02rTDvVRMWvwQ1ZP0mZWsBprQ==" saltValue="CjXqBRFbKezlWOFV37MnDQ==" spinCount="100000" sqref="GW2015" name="Rango2_30_2_3_20"/>
    <protectedRange algorithmName="SHA-512" hashValue="XZw03RosI/l0z9FxmTtF29EdZ7P+4+ybhqoaAAUmURojSR5XbGfjC4f2i8gMqfY+RI9JvfdCA6PSh9TduXfUxA==" saltValue="5TPtLq2WoiRSae/yaDPnTw==" spinCount="100000" sqref="GY2015:GZ2015" name="Rango2_99_39_18"/>
    <protectedRange algorithmName="SHA-512" hashValue="XZw03RosI/l0z9FxmTtF29EdZ7P+4+ybhqoaAAUmURojSR5XbGfjC4f2i8gMqfY+RI9JvfdCA6PSh9TduXfUxA==" saltValue="5TPtLq2WoiRSae/yaDPnTw==" spinCount="100000" sqref="HJ2015" name="Rango2_99_40_22"/>
    <protectedRange algorithmName="SHA-512" hashValue="9+DNppQbWrLYYUMoJ+lyQctV2bX3Vq9kZnegLbpjTLP49It2ovUbcartuoQTeXgP+TGpY//7mDH/UQlFCKDGiA==" saltValue="KUnni6YEm00anzSSvyLqQA==" spinCount="100000" sqref="HD2015:HI2015" name="Rango2_39_24"/>
    <protectedRange algorithmName="SHA-512" hashValue="XZw03RosI/l0z9FxmTtF29EdZ7P+4+ybhqoaAAUmURojSR5XbGfjC4f2i8gMqfY+RI9JvfdCA6PSh9TduXfUxA==" saltValue="5TPtLq2WoiRSae/yaDPnTw==" spinCount="100000" sqref="IB2015 HU2015:HZ2015" name="Rango2_99_41_19"/>
    <protectedRange algorithmName="SHA-512" hashValue="9+DNppQbWrLYYUMoJ+lyQctV2bX3Vq9kZnegLbpjTLP49It2ovUbcartuoQTeXgP+TGpY//7mDH/UQlFCKDGiA==" saltValue="KUnni6YEm00anzSSvyLqQA==" spinCount="100000" sqref="HS2015:HT2015" name="Rango2_40_22"/>
    <protectedRange algorithmName="SHA-512" hashValue="XZw03RosI/l0z9FxmTtF29EdZ7P+4+ybhqoaAAUmURojSR5XbGfjC4f2i8gMqfY+RI9JvfdCA6PSh9TduXfUxA==" saltValue="5TPtLq2WoiRSae/yaDPnTw==" spinCount="100000" sqref="IL2015:IM2015" name="Rango2_99_79_11"/>
    <protectedRange algorithmName="SHA-512" hashValue="XZw03RosI/l0z9FxmTtF29EdZ7P+4+ybhqoaAAUmURojSR5XbGfjC4f2i8gMqfY+RI9JvfdCA6PSh9TduXfUxA==" saltValue="5TPtLq2WoiRSae/yaDPnTw==" spinCount="100000" sqref="IO2015" name="Rango2_99_80_29"/>
    <protectedRange algorithmName="SHA-512" hashValue="XZw03RosI/l0z9FxmTtF29EdZ7P+4+ybhqoaAAUmURojSR5XbGfjC4f2i8gMqfY+RI9JvfdCA6PSh9TduXfUxA==" saltValue="5TPtLq2WoiRSae/yaDPnTw==" spinCount="100000" sqref="EA2016:EJ2016" name="Rango2_99_18_25"/>
    <protectedRange algorithmName="SHA-512" hashValue="9+DNppQbWrLYYUMoJ+lyQctV2bX3Vq9kZnegLbpjTLP49It2ovUbcartuoQTeXgP+TGpY//7mDH/UQlFCKDGiA==" saltValue="KUnni6YEm00anzSSvyLqQA==" spinCount="100000" sqref="EN2016" name="Rango2_22_20"/>
    <protectedRange algorithmName="SHA-512" hashValue="XZw03RosI/l0z9FxmTtF29EdZ7P+4+ybhqoaAAUmURojSR5XbGfjC4f2i8gMqfY+RI9JvfdCA6PSh9TduXfUxA==" saltValue="5TPtLq2WoiRSae/yaDPnTw==" spinCount="100000" sqref="ER2016:ES2016" name="Rango2_99_20_22"/>
    <protectedRange algorithmName="SHA-512" hashValue="XZw03RosI/l0z9FxmTtF29EdZ7P+4+ybhqoaAAUmURojSR5XbGfjC4f2i8gMqfY+RI9JvfdCA6PSh9TduXfUxA==" saltValue="5TPtLq2WoiRSae/yaDPnTw==" spinCount="100000" sqref="EV2016:EW2016" name="Rango2_99_22_22"/>
    <protectedRange algorithmName="SHA-512" hashValue="9+DNppQbWrLYYUMoJ+lyQctV2bX3Vq9kZnegLbpjTLP49It2ovUbcartuoQTeXgP+TGpY//7mDH/UQlFCKDGiA==" saltValue="KUnni6YEm00anzSSvyLqQA==" spinCount="100000" sqref="FC2016" name="Rango2_26_21"/>
    <protectedRange algorithmName="SHA-512" hashValue="XZw03RosI/l0z9FxmTtF29EdZ7P+4+ybhqoaAAUmURojSR5XbGfjC4f2i8gMqfY+RI9JvfdCA6PSh9TduXfUxA==" saltValue="5TPtLq2WoiRSae/yaDPnTw==" spinCount="100000" sqref="FF2016" name="Rango2_99_23_25"/>
    <protectedRange algorithmName="SHA-512" hashValue="9+DNppQbWrLYYUMoJ+lyQctV2bX3Vq9kZnegLbpjTLP49It2ovUbcartuoQTeXgP+TGpY//7mDH/UQlFCKDGiA==" saltValue="KUnni6YEm00anzSSvyLqQA==" spinCount="100000" sqref="FH2016" name="Rango2_35_22"/>
    <protectedRange algorithmName="SHA-512" hashValue="XZw03RosI/l0z9FxmTtF29EdZ7P+4+ybhqoaAAUmURojSR5XbGfjC4f2i8gMqfY+RI9JvfdCA6PSh9TduXfUxA==" saltValue="5TPtLq2WoiRSae/yaDPnTw==" spinCount="100000" sqref="FQ2016:FR2016" name="Rango2_99_27_24"/>
    <protectedRange algorithmName="SHA-512" hashValue="XZw03RosI/l0z9FxmTtF29EdZ7P+4+ybhqoaAAUmURojSR5XbGfjC4f2i8gMqfY+RI9JvfdCA6PSh9TduXfUxA==" saltValue="5TPtLq2WoiRSae/yaDPnTw==" spinCount="100000" sqref="FU2016" name="Rango2_99_29_21"/>
    <protectedRange algorithmName="SHA-512" hashValue="XZw03RosI/l0z9FxmTtF29EdZ7P+4+ybhqoaAAUmURojSR5XbGfjC4f2i8gMqfY+RI9JvfdCA6PSh9TduXfUxA==" saltValue="5TPtLq2WoiRSae/yaDPnTw==" spinCount="100000" sqref="FW2016:FX2016" name="Rango2_99_31_21"/>
    <protectedRange algorithmName="SHA-512" hashValue="Umj9+5Ys20VQPxBFtc6qE5LtKKSgPKwit+B8dd4XnEUaLfBM2ozpkEC4YxwK0SbBiAHDDex+pY+LomQ0lyuamQ==" saltValue="N2/MCRws+mmA+NXw0axolg==" spinCount="100000" sqref="FY2016" name="Rango2_31_2_2_22"/>
    <protectedRange algorithmName="SHA-512" hashValue="Rgskw+AQdeJ5qbJdarzTa3SCkJfDGziy0Uan5N0F3IWn/H3Z/e+VcB56R7Nes7MPxNHewNP1sSSucVjz3iTLeA==" saltValue="qKZH3DnwaZHBzy3cBZo1qQ==" spinCount="100000" sqref="GF2016" name="Rango2_31_28_1_22"/>
    <protectedRange algorithmName="SHA-512" hashValue="Umj9+5Ys20VQPxBFtc6qE5LtKKSgPKwit+B8dd4XnEUaLfBM2ozpkEC4YxwK0SbBiAHDDex+pY+LomQ0lyuamQ==" saltValue="N2/MCRws+mmA+NXw0axolg==" spinCount="100000" sqref="GE2016" name="Rango2_31_2_5_19"/>
    <protectedRange algorithmName="SHA-512" hashValue="Umj9+5Ys20VQPxBFtc6qE5LtKKSgPKwit+B8dd4XnEUaLfBM2ozpkEC4YxwK0SbBiAHDDex+pY+LomQ0lyuamQ==" saltValue="N2/MCRws+mmA+NXw0axolg==" spinCount="100000" sqref="GJ2016 GH2016 GL2016" name="Rango2_31_2_6_19"/>
    <protectedRange algorithmName="SHA-512" hashValue="XZw03RosI/l0z9FxmTtF29EdZ7P+4+ybhqoaAAUmURojSR5XbGfjC4f2i8gMqfY+RI9JvfdCA6PSh9TduXfUxA==" saltValue="5TPtLq2WoiRSae/yaDPnTw==" spinCount="100000" sqref="GO2016 GM2016 GK2016" name="Rango2_99_36_24"/>
    <protectedRange algorithmName="SHA-512" hashValue="EEHzbvEYwO1eufllBljOz0uf9BJ2ENtvOScQ7IsS321QhYbwKn7qhHKKP8cKj02rTDvVRMWvwQ1ZP0mZWsBprQ==" saltValue="CjXqBRFbKezlWOFV37MnDQ==" spinCount="100000" sqref="GQ2016:GR2016" name="Rango2_30_2_2_23"/>
    <protectedRange algorithmName="SHA-512" hashValue="EEHzbvEYwO1eufllBljOz0uf9BJ2ENtvOScQ7IsS321QhYbwKn7qhHKKP8cKj02rTDvVRMWvwQ1ZP0mZWsBprQ==" saltValue="CjXqBRFbKezlWOFV37MnDQ==" spinCount="100000" sqref="GW2016" name="Rango2_30_2_3_21"/>
    <protectedRange algorithmName="SHA-512" hashValue="XZw03RosI/l0z9FxmTtF29EdZ7P+4+ybhqoaAAUmURojSR5XbGfjC4f2i8gMqfY+RI9JvfdCA6PSh9TduXfUxA==" saltValue="5TPtLq2WoiRSae/yaDPnTw==" spinCount="100000" sqref="GY2016:GZ2016" name="Rango2_99_39_19"/>
    <protectedRange algorithmName="SHA-512" hashValue="XZw03RosI/l0z9FxmTtF29EdZ7P+4+ybhqoaAAUmURojSR5XbGfjC4f2i8gMqfY+RI9JvfdCA6PSh9TduXfUxA==" saltValue="5TPtLq2WoiRSae/yaDPnTw==" spinCount="100000" sqref="HJ2016" name="Rango2_99_40_23"/>
    <protectedRange algorithmName="SHA-512" hashValue="9+DNppQbWrLYYUMoJ+lyQctV2bX3Vq9kZnegLbpjTLP49It2ovUbcartuoQTeXgP+TGpY//7mDH/UQlFCKDGiA==" saltValue="KUnni6YEm00anzSSvyLqQA==" spinCount="100000" sqref="HD2016:HI2016" name="Rango2_39_25"/>
    <protectedRange algorithmName="SHA-512" hashValue="XZw03RosI/l0z9FxmTtF29EdZ7P+4+ybhqoaAAUmURojSR5XbGfjC4f2i8gMqfY+RI9JvfdCA6PSh9TduXfUxA==" saltValue="5TPtLq2WoiRSae/yaDPnTw==" spinCount="100000" sqref="IB2016 HU2016:HZ2016" name="Rango2_99_41_20"/>
    <protectedRange algorithmName="SHA-512" hashValue="9+DNppQbWrLYYUMoJ+lyQctV2bX3Vq9kZnegLbpjTLP49It2ovUbcartuoQTeXgP+TGpY//7mDH/UQlFCKDGiA==" saltValue="KUnni6YEm00anzSSvyLqQA==" spinCount="100000" sqref="HS2016:HT2016" name="Rango2_40_23"/>
    <protectedRange algorithmName="SHA-512" hashValue="XZw03RosI/l0z9FxmTtF29EdZ7P+4+ybhqoaAAUmURojSR5XbGfjC4f2i8gMqfY+RI9JvfdCA6PSh9TduXfUxA==" saltValue="5TPtLq2WoiRSae/yaDPnTw==" spinCount="100000" sqref="IL2016:IM2016" name="Rango2_99_79_12"/>
    <protectedRange algorithmName="SHA-512" hashValue="XZw03RosI/l0z9FxmTtF29EdZ7P+4+ybhqoaAAUmURojSR5XbGfjC4f2i8gMqfY+RI9JvfdCA6PSh9TduXfUxA==" saltValue="5TPtLq2WoiRSae/yaDPnTw==" spinCount="100000" sqref="IO2016" name="Rango2_99_80_30"/>
    <protectedRange algorithmName="SHA-512" hashValue="XZw03RosI/l0z9FxmTtF29EdZ7P+4+ybhqoaAAUmURojSR5XbGfjC4f2i8gMqfY+RI9JvfdCA6PSh9TduXfUxA==" saltValue="5TPtLq2WoiRSae/yaDPnTw==" spinCount="100000" sqref="EA2017:EJ2017" name="Rango2_99_18_26"/>
    <protectedRange algorithmName="SHA-512" hashValue="9+DNppQbWrLYYUMoJ+lyQctV2bX3Vq9kZnegLbpjTLP49It2ovUbcartuoQTeXgP+TGpY//7mDH/UQlFCKDGiA==" saltValue="KUnni6YEm00anzSSvyLqQA==" spinCount="100000" sqref="EN2017" name="Rango2_22_21"/>
    <protectedRange algorithmName="SHA-512" hashValue="XZw03RosI/l0z9FxmTtF29EdZ7P+4+ybhqoaAAUmURojSR5XbGfjC4f2i8gMqfY+RI9JvfdCA6PSh9TduXfUxA==" saltValue="5TPtLq2WoiRSae/yaDPnTw==" spinCount="100000" sqref="ER2017:ES2017" name="Rango2_99_20_23"/>
    <protectedRange algorithmName="SHA-512" hashValue="XZw03RosI/l0z9FxmTtF29EdZ7P+4+ybhqoaAAUmURojSR5XbGfjC4f2i8gMqfY+RI9JvfdCA6PSh9TduXfUxA==" saltValue="5TPtLq2WoiRSae/yaDPnTw==" spinCount="100000" sqref="EV2017:EW2017" name="Rango2_99_22_23"/>
    <protectedRange algorithmName="SHA-512" hashValue="9+DNppQbWrLYYUMoJ+lyQctV2bX3Vq9kZnegLbpjTLP49It2ovUbcartuoQTeXgP+TGpY//7mDH/UQlFCKDGiA==" saltValue="KUnni6YEm00anzSSvyLqQA==" spinCount="100000" sqref="FC2017" name="Rango2_26_22"/>
    <protectedRange algorithmName="SHA-512" hashValue="XZw03RosI/l0z9FxmTtF29EdZ7P+4+ybhqoaAAUmURojSR5XbGfjC4f2i8gMqfY+RI9JvfdCA6PSh9TduXfUxA==" saltValue="5TPtLq2WoiRSae/yaDPnTw==" spinCount="100000" sqref="FF2017" name="Rango2_99_23_26"/>
    <protectedRange algorithmName="SHA-512" hashValue="9+DNppQbWrLYYUMoJ+lyQctV2bX3Vq9kZnegLbpjTLP49It2ovUbcartuoQTeXgP+TGpY//7mDH/UQlFCKDGiA==" saltValue="KUnni6YEm00anzSSvyLqQA==" spinCount="100000" sqref="FH2017" name="Rango2_35_23"/>
    <protectedRange algorithmName="SHA-512" hashValue="XZw03RosI/l0z9FxmTtF29EdZ7P+4+ybhqoaAAUmURojSR5XbGfjC4f2i8gMqfY+RI9JvfdCA6PSh9TduXfUxA==" saltValue="5TPtLq2WoiRSae/yaDPnTw==" spinCount="100000" sqref="FQ2017:FR2017" name="Rango2_99_27_25"/>
    <protectedRange algorithmName="SHA-512" hashValue="XZw03RosI/l0z9FxmTtF29EdZ7P+4+ybhqoaAAUmURojSR5XbGfjC4f2i8gMqfY+RI9JvfdCA6PSh9TduXfUxA==" saltValue="5TPtLq2WoiRSae/yaDPnTw==" spinCount="100000" sqref="FU2017" name="Rango2_99_29_22"/>
    <protectedRange algorithmName="SHA-512" hashValue="XZw03RosI/l0z9FxmTtF29EdZ7P+4+ybhqoaAAUmURojSR5XbGfjC4f2i8gMqfY+RI9JvfdCA6PSh9TduXfUxA==" saltValue="5TPtLq2WoiRSae/yaDPnTw==" spinCount="100000" sqref="FW2017:FX2017" name="Rango2_99_31_22"/>
    <protectedRange algorithmName="SHA-512" hashValue="Umj9+5Ys20VQPxBFtc6qE5LtKKSgPKwit+B8dd4XnEUaLfBM2ozpkEC4YxwK0SbBiAHDDex+pY+LomQ0lyuamQ==" saltValue="N2/MCRws+mmA+NXw0axolg==" spinCount="100000" sqref="FY2017" name="Rango2_31_2_2_23"/>
    <protectedRange algorithmName="SHA-512" hashValue="Umj9+5Ys20VQPxBFtc6qE5LtKKSgPKwit+B8dd4XnEUaLfBM2ozpkEC4YxwK0SbBiAHDDex+pY+LomQ0lyuamQ==" saltValue="N2/MCRws+mmA+NXw0axolg==" spinCount="100000" sqref="GB2017" name="Rango2_31_2_4_21"/>
    <protectedRange algorithmName="SHA-512" hashValue="Rgskw+AQdeJ5qbJdarzTa3SCkJfDGziy0Uan5N0F3IWn/H3Z/e+VcB56R7Nes7MPxNHewNP1sSSucVjz3iTLeA==" saltValue="qKZH3DnwaZHBzy3cBZo1qQ==" spinCount="100000" sqref="GF2017" name="Rango2_31_28_1_23"/>
    <protectedRange algorithmName="SHA-512" hashValue="Umj9+5Ys20VQPxBFtc6qE5LtKKSgPKwit+B8dd4XnEUaLfBM2ozpkEC4YxwK0SbBiAHDDex+pY+LomQ0lyuamQ==" saltValue="N2/MCRws+mmA+NXw0axolg==" spinCount="100000" sqref="GE2017" name="Rango2_31_2_5_20"/>
    <protectedRange algorithmName="SHA-512" hashValue="Umj9+5Ys20VQPxBFtc6qE5LtKKSgPKwit+B8dd4XnEUaLfBM2ozpkEC4YxwK0SbBiAHDDex+pY+LomQ0lyuamQ==" saltValue="N2/MCRws+mmA+NXw0axolg==" spinCount="100000" sqref="GJ2017 GH2017 GL2017" name="Rango2_31_2_6_20"/>
    <protectedRange algorithmName="SHA-512" hashValue="XZw03RosI/l0z9FxmTtF29EdZ7P+4+ybhqoaAAUmURojSR5XbGfjC4f2i8gMqfY+RI9JvfdCA6PSh9TduXfUxA==" saltValue="5TPtLq2WoiRSae/yaDPnTw==" spinCount="100000" sqref="GO2017 GM2017 GK2017" name="Rango2_99_36_25"/>
    <protectedRange algorithmName="SHA-512" hashValue="EEHzbvEYwO1eufllBljOz0uf9BJ2ENtvOScQ7IsS321QhYbwKn7qhHKKP8cKj02rTDvVRMWvwQ1ZP0mZWsBprQ==" saltValue="CjXqBRFbKezlWOFV37MnDQ==" spinCount="100000" sqref="GQ2017:GR2017" name="Rango2_30_2_2_24"/>
    <protectedRange algorithmName="SHA-512" hashValue="EEHzbvEYwO1eufllBljOz0uf9BJ2ENtvOScQ7IsS321QhYbwKn7qhHKKP8cKj02rTDvVRMWvwQ1ZP0mZWsBprQ==" saltValue="CjXqBRFbKezlWOFV37MnDQ==" spinCount="100000" sqref="GW2017" name="Rango2_30_2_3_22"/>
    <protectedRange algorithmName="SHA-512" hashValue="XZw03RosI/l0z9FxmTtF29EdZ7P+4+ybhqoaAAUmURojSR5XbGfjC4f2i8gMqfY+RI9JvfdCA6PSh9TduXfUxA==" saltValue="5TPtLq2WoiRSae/yaDPnTw==" spinCount="100000" sqref="GY2017:GZ2017" name="Rango2_99_39_20"/>
    <protectedRange algorithmName="SHA-512" hashValue="XZw03RosI/l0z9FxmTtF29EdZ7P+4+ybhqoaAAUmURojSR5XbGfjC4f2i8gMqfY+RI9JvfdCA6PSh9TduXfUxA==" saltValue="5TPtLq2WoiRSae/yaDPnTw==" spinCount="100000" sqref="HJ2017" name="Rango2_99_40_24"/>
    <protectedRange algorithmName="SHA-512" hashValue="9+DNppQbWrLYYUMoJ+lyQctV2bX3Vq9kZnegLbpjTLP49It2ovUbcartuoQTeXgP+TGpY//7mDH/UQlFCKDGiA==" saltValue="KUnni6YEm00anzSSvyLqQA==" spinCount="100000" sqref="HD2017:HI2017" name="Rango2_39_26"/>
    <protectedRange algorithmName="SHA-512" hashValue="XZw03RosI/l0z9FxmTtF29EdZ7P+4+ybhqoaAAUmURojSR5XbGfjC4f2i8gMqfY+RI9JvfdCA6PSh9TduXfUxA==" saltValue="5TPtLq2WoiRSae/yaDPnTw==" spinCount="100000" sqref="IB2017 HU2017:HZ2017" name="Rango2_99_41_21"/>
    <protectedRange algorithmName="SHA-512" hashValue="9+DNppQbWrLYYUMoJ+lyQctV2bX3Vq9kZnegLbpjTLP49It2ovUbcartuoQTeXgP+TGpY//7mDH/UQlFCKDGiA==" saltValue="KUnni6YEm00anzSSvyLqQA==" spinCount="100000" sqref="HS2017:HT2017" name="Rango2_40_24"/>
    <protectedRange algorithmName="SHA-512" hashValue="XZw03RosI/l0z9FxmTtF29EdZ7P+4+ybhqoaAAUmURojSR5XbGfjC4f2i8gMqfY+RI9JvfdCA6PSh9TduXfUxA==" saltValue="5TPtLq2WoiRSae/yaDPnTw==" spinCount="100000" sqref="IL2017:IM2017" name="Rango2_99_79_13"/>
    <protectedRange algorithmName="SHA-512" hashValue="XZw03RosI/l0z9FxmTtF29EdZ7P+4+ybhqoaAAUmURojSR5XbGfjC4f2i8gMqfY+RI9JvfdCA6PSh9TduXfUxA==" saltValue="5TPtLq2WoiRSae/yaDPnTw==" spinCount="100000" sqref="IO2017" name="Rango2_99_80_31"/>
    <protectedRange algorithmName="SHA-512" hashValue="XZw03RosI/l0z9FxmTtF29EdZ7P+4+ybhqoaAAUmURojSR5XbGfjC4f2i8gMqfY+RI9JvfdCA6PSh9TduXfUxA==" saltValue="5TPtLq2WoiRSae/yaDPnTw==" spinCount="100000" sqref="EA2018:EJ2018" name="Rango2_99_18_27"/>
    <protectedRange algorithmName="SHA-512" hashValue="9+DNppQbWrLYYUMoJ+lyQctV2bX3Vq9kZnegLbpjTLP49It2ovUbcartuoQTeXgP+TGpY//7mDH/UQlFCKDGiA==" saltValue="KUnni6YEm00anzSSvyLqQA==" spinCount="100000" sqref="EN2018" name="Rango2_22_22"/>
    <protectedRange algorithmName="SHA-512" hashValue="XZw03RosI/l0z9FxmTtF29EdZ7P+4+ybhqoaAAUmURojSR5XbGfjC4f2i8gMqfY+RI9JvfdCA6PSh9TduXfUxA==" saltValue="5TPtLq2WoiRSae/yaDPnTw==" spinCount="100000" sqref="ER2018:ES2018" name="Rango2_99_20_24"/>
    <protectedRange algorithmName="SHA-512" hashValue="XZw03RosI/l0z9FxmTtF29EdZ7P+4+ybhqoaAAUmURojSR5XbGfjC4f2i8gMqfY+RI9JvfdCA6PSh9TduXfUxA==" saltValue="5TPtLq2WoiRSae/yaDPnTw==" spinCount="100000" sqref="EV2018:EW2018" name="Rango2_99_22_24"/>
    <protectedRange algorithmName="SHA-512" hashValue="9+DNppQbWrLYYUMoJ+lyQctV2bX3Vq9kZnegLbpjTLP49It2ovUbcartuoQTeXgP+TGpY//7mDH/UQlFCKDGiA==" saltValue="KUnni6YEm00anzSSvyLqQA==" spinCount="100000" sqref="FC2018" name="Rango2_26_23"/>
    <protectedRange algorithmName="SHA-512" hashValue="XZw03RosI/l0z9FxmTtF29EdZ7P+4+ybhqoaAAUmURojSR5XbGfjC4f2i8gMqfY+RI9JvfdCA6PSh9TduXfUxA==" saltValue="5TPtLq2WoiRSae/yaDPnTw==" spinCount="100000" sqref="FF2018" name="Rango2_99_23_27"/>
    <protectedRange algorithmName="SHA-512" hashValue="9+DNppQbWrLYYUMoJ+lyQctV2bX3Vq9kZnegLbpjTLP49It2ovUbcartuoQTeXgP+TGpY//7mDH/UQlFCKDGiA==" saltValue="KUnni6YEm00anzSSvyLqQA==" spinCount="100000" sqref="FH2018" name="Rango2_35_24"/>
    <protectedRange algorithmName="SHA-512" hashValue="XZw03RosI/l0z9FxmTtF29EdZ7P+4+ybhqoaAAUmURojSR5XbGfjC4f2i8gMqfY+RI9JvfdCA6PSh9TduXfUxA==" saltValue="5TPtLq2WoiRSae/yaDPnTw==" spinCount="100000" sqref="FQ2018:FR2018" name="Rango2_99_27_26"/>
    <protectedRange algorithmName="SHA-512" hashValue="XZw03RosI/l0z9FxmTtF29EdZ7P+4+ybhqoaAAUmURojSR5XbGfjC4f2i8gMqfY+RI9JvfdCA6PSh9TduXfUxA==" saltValue="5TPtLq2WoiRSae/yaDPnTw==" spinCount="100000" sqref="FU2018" name="Rango2_99_29_23"/>
    <protectedRange algorithmName="SHA-512" hashValue="XZw03RosI/l0z9FxmTtF29EdZ7P+4+ybhqoaAAUmURojSR5XbGfjC4f2i8gMqfY+RI9JvfdCA6PSh9TduXfUxA==" saltValue="5TPtLq2WoiRSae/yaDPnTw==" spinCount="100000" sqref="FW2018:FX2018" name="Rango2_99_31_23"/>
    <protectedRange algorithmName="SHA-512" hashValue="Umj9+5Ys20VQPxBFtc6qE5LtKKSgPKwit+B8dd4XnEUaLfBM2ozpkEC4YxwK0SbBiAHDDex+pY+LomQ0lyuamQ==" saltValue="N2/MCRws+mmA+NXw0axolg==" spinCount="100000" sqref="FY2018" name="Rango2_31_2_2_24"/>
    <protectedRange algorithmName="SHA-512" hashValue="Umj9+5Ys20VQPxBFtc6qE5LtKKSgPKwit+B8dd4XnEUaLfBM2ozpkEC4YxwK0SbBiAHDDex+pY+LomQ0lyuamQ==" saltValue="N2/MCRws+mmA+NXw0axolg==" spinCount="100000" sqref="GB2018" name="Rango2_31_2_4_22"/>
    <protectedRange algorithmName="SHA-512" hashValue="Rgskw+AQdeJ5qbJdarzTa3SCkJfDGziy0Uan5N0F3IWn/H3Z/e+VcB56R7Nes7MPxNHewNP1sSSucVjz3iTLeA==" saltValue="qKZH3DnwaZHBzy3cBZo1qQ==" spinCount="100000" sqref="GF2018" name="Rango2_31_28_1_24"/>
    <protectedRange algorithmName="SHA-512" hashValue="Umj9+5Ys20VQPxBFtc6qE5LtKKSgPKwit+B8dd4XnEUaLfBM2ozpkEC4YxwK0SbBiAHDDex+pY+LomQ0lyuamQ==" saltValue="N2/MCRws+mmA+NXw0axolg==" spinCount="100000" sqref="GE2018" name="Rango2_31_2_5_21"/>
    <protectedRange algorithmName="SHA-512" hashValue="Umj9+5Ys20VQPxBFtc6qE5LtKKSgPKwit+B8dd4XnEUaLfBM2ozpkEC4YxwK0SbBiAHDDex+pY+LomQ0lyuamQ==" saltValue="N2/MCRws+mmA+NXw0axolg==" spinCount="100000" sqref="GJ2018 GH2018 GL2018" name="Rango2_31_2_6_21"/>
    <protectedRange algorithmName="SHA-512" hashValue="XZw03RosI/l0z9FxmTtF29EdZ7P+4+ybhqoaAAUmURojSR5XbGfjC4f2i8gMqfY+RI9JvfdCA6PSh9TduXfUxA==" saltValue="5TPtLq2WoiRSae/yaDPnTw==" spinCount="100000" sqref="GO2018 GM2018 GK2018" name="Rango2_99_36_26"/>
    <protectedRange algorithmName="SHA-512" hashValue="EEHzbvEYwO1eufllBljOz0uf9BJ2ENtvOScQ7IsS321QhYbwKn7qhHKKP8cKj02rTDvVRMWvwQ1ZP0mZWsBprQ==" saltValue="CjXqBRFbKezlWOFV37MnDQ==" spinCount="100000" sqref="GQ2018:GR2018" name="Rango2_30_2_2_25"/>
    <protectedRange algorithmName="SHA-512" hashValue="EEHzbvEYwO1eufllBljOz0uf9BJ2ENtvOScQ7IsS321QhYbwKn7qhHKKP8cKj02rTDvVRMWvwQ1ZP0mZWsBprQ==" saltValue="CjXqBRFbKezlWOFV37MnDQ==" spinCount="100000" sqref="GW2018" name="Rango2_30_2_3_23"/>
    <protectedRange algorithmName="SHA-512" hashValue="XZw03RosI/l0z9FxmTtF29EdZ7P+4+ybhqoaAAUmURojSR5XbGfjC4f2i8gMqfY+RI9JvfdCA6PSh9TduXfUxA==" saltValue="5TPtLq2WoiRSae/yaDPnTw==" spinCount="100000" sqref="GY2018:GZ2018" name="Rango2_99_39_21"/>
    <protectedRange algorithmName="SHA-512" hashValue="XZw03RosI/l0z9FxmTtF29EdZ7P+4+ybhqoaAAUmURojSR5XbGfjC4f2i8gMqfY+RI9JvfdCA6PSh9TduXfUxA==" saltValue="5TPtLq2WoiRSae/yaDPnTw==" spinCount="100000" sqref="HJ2018" name="Rango2_99_40_25"/>
    <protectedRange algorithmName="SHA-512" hashValue="9+DNppQbWrLYYUMoJ+lyQctV2bX3Vq9kZnegLbpjTLP49It2ovUbcartuoQTeXgP+TGpY//7mDH/UQlFCKDGiA==" saltValue="KUnni6YEm00anzSSvyLqQA==" spinCount="100000" sqref="HD2018:HI2018" name="Rango2_39_27"/>
    <protectedRange algorithmName="SHA-512" hashValue="XZw03RosI/l0z9FxmTtF29EdZ7P+4+ybhqoaAAUmURojSR5XbGfjC4f2i8gMqfY+RI9JvfdCA6PSh9TduXfUxA==" saltValue="5TPtLq2WoiRSae/yaDPnTw==" spinCount="100000" sqref="IB2018 HU2018:HZ2018" name="Rango2_99_41_22"/>
    <protectedRange algorithmName="SHA-512" hashValue="9+DNppQbWrLYYUMoJ+lyQctV2bX3Vq9kZnegLbpjTLP49It2ovUbcartuoQTeXgP+TGpY//7mDH/UQlFCKDGiA==" saltValue="KUnni6YEm00anzSSvyLqQA==" spinCount="100000" sqref="HS2018:HT2018" name="Rango2_40_25"/>
    <protectedRange algorithmName="SHA-512" hashValue="XZw03RosI/l0z9FxmTtF29EdZ7P+4+ybhqoaAAUmURojSR5XbGfjC4f2i8gMqfY+RI9JvfdCA6PSh9TduXfUxA==" saltValue="5TPtLq2WoiRSae/yaDPnTw==" spinCount="100000" sqref="IL2018:IM2018" name="Rango2_99_79_14"/>
    <protectedRange algorithmName="SHA-512" hashValue="XZw03RosI/l0z9FxmTtF29EdZ7P+4+ybhqoaAAUmURojSR5XbGfjC4f2i8gMqfY+RI9JvfdCA6PSh9TduXfUxA==" saltValue="5TPtLq2WoiRSae/yaDPnTw==" spinCount="100000" sqref="IO2018" name="Rango2_99_80_32"/>
    <protectedRange algorithmName="SHA-512" hashValue="XZw03RosI/l0z9FxmTtF29EdZ7P+4+ybhqoaAAUmURojSR5XbGfjC4f2i8gMqfY+RI9JvfdCA6PSh9TduXfUxA==" saltValue="5TPtLq2WoiRSae/yaDPnTw==" spinCount="100000" sqref="EA2019:EJ2020" name="Rango2_99_18_28"/>
    <protectedRange algorithmName="SHA-512" hashValue="9+DNppQbWrLYYUMoJ+lyQctV2bX3Vq9kZnegLbpjTLP49It2ovUbcartuoQTeXgP+TGpY//7mDH/UQlFCKDGiA==" saltValue="KUnni6YEm00anzSSvyLqQA==" spinCount="100000" sqref="EN2019:EN2020" name="Rango2_22_23"/>
    <protectedRange algorithmName="SHA-512" hashValue="XZw03RosI/l0z9FxmTtF29EdZ7P+4+ybhqoaAAUmURojSR5XbGfjC4f2i8gMqfY+RI9JvfdCA6PSh9TduXfUxA==" saltValue="5TPtLq2WoiRSae/yaDPnTw==" spinCount="100000" sqref="ER2019:ES2020" name="Rango2_99_20_25"/>
    <protectedRange algorithmName="SHA-512" hashValue="XZw03RosI/l0z9FxmTtF29EdZ7P+4+ybhqoaAAUmURojSR5XbGfjC4f2i8gMqfY+RI9JvfdCA6PSh9TduXfUxA==" saltValue="5TPtLq2WoiRSae/yaDPnTw==" spinCount="100000" sqref="EV2019:EW2020" name="Rango2_99_22_25"/>
    <protectedRange algorithmName="SHA-512" hashValue="9+DNppQbWrLYYUMoJ+lyQctV2bX3Vq9kZnegLbpjTLP49It2ovUbcartuoQTeXgP+TGpY//7mDH/UQlFCKDGiA==" saltValue="KUnni6YEm00anzSSvyLqQA==" spinCount="100000" sqref="FC2019:FC2020" name="Rango2_26_24"/>
    <protectedRange algorithmName="SHA-512" hashValue="XZw03RosI/l0z9FxmTtF29EdZ7P+4+ybhqoaAAUmURojSR5XbGfjC4f2i8gMqfY+RI9JvfdCA6PSh9TduXfUxA==" saltValue="5TPtLq2WoiRSae/yaDPnTw==" spinCount="100000" sqref="FF2019:FF2020" name="Rango2_99_23_28"/>
    <protectedRange algorithmName="SHA-512" hashValue="9+DNppQbWrLYYUMoJ+lyQctV2bX3Vq9kZnegLbpjTLP49It2ovUbcartuoQTeXgP+TGpY//7mDH/UQlFCKDGiA==" saltValue="KUnni6YEm00anzSSvyLqQA==" spinCount="100000" sqref="FH2019:FH2020" name="Rango2_35_25"/>
    <protectedRange algorithmName="SHA-512" hashValue="XZw03RosI/l0z9FxmTtF29EdZ7P+4+ybhqoaAAUmURojSR5XbGfjC4f2i8gMqfY+RI9JvfdCA6PSh9TduXfUxA==" saltValue="5TPtLq2WoiRSae/yaDPnTw==" spinCount="100000" sqref="FQ2019:FR2020" name="Rango2_99_27_27"/>
    <protectedRange algorithmName="SHA-512" hashValue="XZw03RosI/l0z9FxmTtF29EdZ7P+4+ybhqoaAAUmURojSR5XbGfjC4f2i8gMqfY+RI9JvfdCA6PSh9TduXfUxA==" saltValue="5TPtLq2WoiRSae/yaDPnTw==" spinCount="100000" sqref="FU2019:FU2020" name="Rango2_99_29_24"/>
    <protectedRange algorithmName="SHA-512" hashValue="XZw03RosI/l0z9FxmTtF29EdZ7P+4+ybhqoaAAUmURojSR5XbGfjC4f2i8gMqfY+RI9JvfdCA6PSh9TduXfUxA==" saltValue="5TPtLq2WoiRSae/yaDPnTw==" spinCount="100000" sqref="FW2019:FX2019 FX2020" name="Rango2_99_31_24"/>
    <protectedRange algorithmName="SHA-512" hashValue="Umj9+5Ys20VQPxBFtc6qE5LtKKSgPKwit+B8dd4XnEUaLfBM2ozpkEC4YxwK0SbBiAHDDex+pY+LomQ0lyuamQ==" saltValue="N2/MCRws+mmA+NXw0axolg==" spinCount="100000" sqref="FY2019:FY2020" name="Rango2_31_2_2_25"/>
    <protectedRange algorithmName="SHA-512" hashValue="Umj9+5Ys20VQPxBFtc6qE5LtKKSgPKwit+B8dd4XnEUaLfBM2ozpkEC4YxwK0SbBiAHDDex+pY+LomQ0lyuamQ==" saltValue="N2/MCRws+mmA+NXw0axolg==" spinCount="100000" sqref="GB2019" name="Rango2_31_2_4_23"/>
    <protectedRange algorithmName="SHA-512" hashValue="Rgskw+AQdeJ5qbJdarzTa3SCkJfDGziy0Uan5N0F3IWn/H3Z/e+VcB56R7Nes7MPxNHewNP1sSSucVjz3iTLeA==" saltValue="qKZH3DnwaZHBzy3cBZo1qQ==" spinCount="100000" sqref="GF2019:GF2020" name="Rango2_31_28_1_25"/>
    <protectedRange algorithmName="SHA-512" hashValue="Umj9+5Ys20VQPxBFtc6qE5LtKKSgPKwit+B8dd4XnEUaLfBM2ozpkEC4YxwK0SbBiAHDDex+pY+LomQ0lyuamQ==" saltValue="N2/MCRws+mmA+NXw0axolg==" spinCount="100000" sqref="GE2019:GE2020" name="Rango2_31_2_5_22"/>
    <protectedRange algorithmName="SHA-512" hashValue="Umj9+5Ys20VQPxBFtc6qE5LtKKSgPKwit+B8dd4XnEUaLfBM2ozpkEC4YxwK0SbBiAHDDex+pY+LomQ0lyuamQ==" saltValue="N2/MCRws+mmA+NXw0axolg==" spinCount="100000" sqref="GJ2019:GJ2020 GH2019:GH2020 GL2019:GL2020" name="Rango2_31_2_6_22"/>
    <protectedRange algorithmName="SHA-512" hashValue="XZw03RosI/l0z9FxmTtF29EdZ7P+4+ybhqoaAAUmURojSR5XbGfjC4f2i8gMqfY+RI9JvfdCA6PSh9TduXfUxA==" saltValue="5TPtLq2WoiRSae/yaDPnTw==" spinCount="100000" sqref="GO2019:GO2020 GM2019:GM2020 GK2019:GK2020" name="Rango2_99_36_27"/>
    <protectedRange algorithmName="SHA-512" hashValue="EEHzbvEYwO1eufllBljOz0uf9BJ2ENtvOScQ7IsS321QhYbwKn7qhHKKP8cKj02rTDvVRMWvwQ1ZP0mZWsBprQ==" saltValue="CjXqBRFbKezlWOFV37MnDQ==" spinCount="100000" sqref="GQ2019:GR2020" name="Rango2_30_2_2_26"/>
    <protectedRange algorithmName="SHA-512" hashValue="EEHzbvEYwO1eufllBljOz0uf9BJ2ENtvOScQ7IsS321QhYbwKn7qhHKKP8cKj02rTDvVRMWvwQ1ZP0mZWsBprQ==" saltValue="CjXqBRFbKezlWOFV37MnDQ==" spinCount="100000" sqref="GW2019:GW2020" name="Rango2_30_2_3_24"/>
    <protectedRange algorithmName="SHA-512" hashValue="XZw03RosI/l0z9FxmTtF29EdZ7P+4+ybhqoaAAUmURojSR5XbGfjC4f2i8gMqfY+RI9JvfdCA6PSh9TduXfUxA==" saltValue="5TPtLq2WoiRSae/yaDPnTw==" spinCount="100000" sqref="GY2019:GZ2020" name="Rango2_99_39_22"/>
    <protectedRange algorithmName="SHA-512" hashValue="XZw03RosI/l0z9FxmTtF29EdZ7P+4+ybhqoaAAUmURojSR5XbGfjC4f2i8gMqfY+RI9JvfdCA6PSh9TduXfUxA==" saltValue="5TPtLq2WoiRSae/yaDPnTw==" spinCount="100000" sqref="HJ2019:HJ2020" name="Rango2_99_40_26"/>
    <protectedRange algorithmName="SHA-512" hashValue="9+DNppQbWrLYYUMoJ+lyQctV2bX3Vq9kZnegLbpjTLP49It2ovUbcartuoQTeXgP+TGpY//7mDH/UQlFCKDGiA==" saltValue="KUnni6YEm00anzSSvyLqQA==" spinCount="100000" sqref="HD2019:HI2020" name="Rango2_39_28"/>
    <protectedRange algorithmName="SHA-512" hashValue="XZw03RosI/l0z9FxmTtF29EdZ7P+4+ybhqoaAAUmURojSR5XbGfjC4f2i8gMqfY+RI9JvfdCA6PSh9TduXfUxA==" saltValue="5TPtLq2WoiRSae/yaDPnTw==" spinCount="100000" sqref="IB2019:IB2020 HU2019:HZ2020" name="Rango2_99_41_23"/>
    <protectedRange algorithmName="SHA-512" hashValue="9+DNppQbWrLYYUMoJ+lyQctV2bX3Vq9kZnegLbpjTLP49It2ovUbcartuoQTeXgP+TGpY//7mDH/UQlFCKDGiA==" saltValue="KUnni6YEm00anzSSvyLqQA==" spinCount="100000" sqref="HS2019:HT2020" name="Rango2_40_26"/>
    <protectedRange algorithmName="SHA-512" hashValue="XZw03RosI/l0z9FxmTtF29EdZ7P+4+ybhqoaAAUmURojSR5XbGfjC4f2i8gMqfY+RI9JvfdCA6PSh9TduXfUxA==" saltValue="5TPtLq2WoiRSae/yaDPnTw==" spinCount="100000" sqref="IL2019:IM2020" name="Rango2_99_79_15"/>
    <protectedRange algorithmName="SHA-512" hashValue="XZw03RosI/l0z9FxmTtF29EdZ7P+4+ybhqoaAAUmURojSR5XbGfjC4f2i8gMqfY+RI9JvfdCA6PSh9TduXfUxA==" saltValue="5TPtLq2WoiRSae/yaDPnTw==" spinCount="100000" sqref="IO2019:IO2020" name="Rango2_99_80_33"/>
    <protectedRange algorithmName="SHA-512" hashValue="XZw03RosI/l0z9FxmTtF29EdZ7P+4+ybhqoaAAUmURojSR5XbGfjC4f2i8gMqfY+RI9JvfdCA6PSh9TduXfUxA==" saltValue="5TPtLq2WoiRSae/yaDPnTw==" spinCount="100000" sqref="EA2021:EJ2029" name="Rango2_99_18_29"/>
    <protectedRange algorithmName="SHA-512" hashValue="9+DNppQbWrLYYUMoJ+lyQctV2bX3Vq9kZnegLbpjTLP49It2ovUbcartuoQTeXgP+TGpY//7mDH/UQlFCKDGiA==" saltValue="KUnni6YEm00anzSSvyLqQA==" spinCount="100000" sqref="EN2021:EN2029" name="Rango2_22_24"/>
    <protectedRange algorithmName="SHA-512" hashValue="XZw03RosI/l0z9FxmTtF29EdZ7P+4+ybhqoaAAUmURojSR5XbGfjC4f2i8gMqfY+RI9JvfdCA6PSh9TduXfUxA==" saltValue="5TPtLq2WoiRSae/yaDPnTw==" spinCount="100000" sqref="ER2021:ES2029" name="Rango2_99_20_26"/>
    <protectedRange algorithmName="SHA-512" hashValue="XZw03RosI/l0z9FxmTtF29EdZ7P+4+ybhqoaAAUmURojSR5XbGfjC4f2i8gMqfY+RI9JvfdCA6PSh9TduXfUxA==" saltValue="5TPtLq2WoiRSae/yaDPnTw==" spinCount="100000" sqref="EV2021:EW2029" name="Rango2_99_22_26"/>
    <protectedRange algorithmName="SHA-512" hashValue="9+DNppQbWrLYYUMoJ+lyQctV2bX3Vq9kZnegLbpjTLP49It2ovUbcartuoQTeXgP+TGpY//7mDH/UQlFCKDGiA==" saltValue="KUnni6YEm00anzSSvyLqQA==" spinCount="100000" sqref="FC2021:FC2029" name="Rango2_26_25"/>
    <protectedRange algorithmName="SHA-512" hashValue="XZw03RosI/l0z9FxmTtF29EdZ7P+4+ybhqoaAAUmURojSR5XbGfjC4f2i8gMqfY+RI9JvfdCA6PSh9TduXfUxA==" saltValue="5TPtLq2WoiRSae/yaDPnTw==" spinCount="100000" sqref="FF2021:FF2029" name="Rango2_99_23_29"/>
    <protectedRange algorithmName="SHA-512" hashValue="9+DNppQbWrLYYUMoJ+lyQctV2bX3Vq9kZnegLbpjTLP49It2ovUbcartuoQTeXgP+TGpY//7mDH/UQlFCKDGiA==" saltValue="KUnni6YEm00anzSSvyLqQA==" spinCount="100000" sqref="FH2021:FH2029" name="Rango2_35_26"/>
    <protectedRange algorithmName="SHA-512" hashValue="XZw03RosI/l0z9FxmTtF29EdZ7P+4+ybhqoaAAUmURojSR5XbGfjC4f2i8gMqfY+RI9JvfdCA6PSh9TduXfUxA==" saltValue="5TPtLq2WoiRSae/yaDPnTw==" spinCount="100000" sqref="FQ2021:FR2029" name="Rango2_99_27_28"/>
    <protectedRange algorithmName="SHA-512" hashValue="XZw03RosI/l0z9FxmTtF29EdZ7P+4+ybhqoaAAUmURojSR5XbGfjC4f2i8gMqfY+RI9JvfdCA6PSh9TduXfUxA==" saltValue="5TPtLq2WoiRSae/yaDPnTw==" spinCount="100000" sqref="FU2021:FU2029" name="Rango2_99_29_25"/>
    <protectedRange algorithmName="SHA-512" hashValue="XZw03RosI/l0z9FxmTtF29EdZ7P+4+ybhqoaAAUmURojSR5XbGfjC4f2i8gMqfY+RI9JvfdCA6PSh9TduXfUxA==" saltValue="5TPtLq2WoiRSae/yaDPnTw==" spinCount="100000" sqref="FW2021:FX2029" name="Rango2_99_31_25"/>
    <protectedRange algorithmName="SHA-512" hashValue="Umj9+5Ys20VQPxBFtc6qE5LtKKSgPKwit+B8dd4XnEUaLfBM2ozpkEC4YxwK0SbBiAHDDex+pY+LomQ0lyuamQ==" saltValue="N2/MCRws+mmA+NXw0axolg==" spinCount="100000" sqref="FY2021:FY2029" name="Rango2_31_2_2_26"/>
    <protectedRange algorithmName="SHA-512" hashValue="Umj9+5Ys20VQPxBFtc6qE5LtKKSgPKwit+B8dd4XnEUaLfBM2ozpkEC4YxwK0SbBiAHDDex+pY+LomQ0lyuamQ==" saltValue="N2/MCRws+mmA+NXw0axolg==" spinCount="100000" sqref="GB2024 GB2026:GB2027" name="Rango2_31_2_4_24"/>
    <protectedRange algorithmName="SHA-512" hashValue="Rgskw+AQdeJ5qbJdarzTa3SCkJfDGziy0Uan5N0F3IWn/H3Z/e+VcB56R7Nes7MPxNHewNP1sSSucVjz3iTLeA==" saltValue="qKZH3DnwaZHBzy3cBZo1qQ==" spinCount="100000" sqref="GF2021:GF2029" name="Rango2_31_28_1_26"/>
    <protectedRange algorithmName="SHA-512" hashValue="Umj9+5Ys20VQPxBFtc6qE5LtKKSgPKwit+B8dd4XnEUaLfBM2ozpkEC4YxwK0SbBiAHDDex+pY+LomQ0lyuamQ==" saltValue="N2/MCRws+mmA+NXw0axolg==" spinCount="100000" sqref="GE2021:GE2029" name="Rango2_31_2_5_23"/>
    <protectedRange algorithmName="SHA-512" hashValue="Umj9+5Ys20VQPxBFtc6qE5LtKKSgPKwit+B8dd4XnEUaLfBM2ozpkEC4YxwK0SbBiAHDDex+pY+LomQ0lyuamQ==" saltValue="N2/MCRws+mmA+NXw0axolg==" spinCount="100000" sqref="GJ2021:GJ2029 GH2021:GH2029 GL2021:GL2029" name="Rango2_31_2_6_23"/>
    <protectedRange algorithmName="SHA-512" hashValue="XZw03RosI/l0z9FxmTtF29EdZ7P+4+ybhqoaAAUmURojSR5XbGfjC4f2i8gMqfY+RI9JvfdCA6PSh9TduXfUxA==" saltValue="5TPtLq2WoiRSae/yaDPnTw==" spinCount="100000" sqref="GO2021:GO2029 GM2021:GM2029 GK2021:GK2029" name="Rango2_99_36_28"/>
    <protectedRange algorithmName="SHA-512" hashValue="EEHzbvEYwO1eufllBljOz0uf9BJ2ENtvOScQ7IsS321QhYbwKn7qhHKKP8cKj02rTDvVRMWvwQ1ZP0mZWsBprQ==" saltValue="CjXqBRFbKezlWOFV37MnDQ==" spinCount="100000" sqref="GQ2021:GR2029" name="Rango2_30_2_2_27"/>
    <protectedRange algorithmName="SHA-512" hashValue="EEHzbvEYwO1eufllBljOz0uf9BJ2ENtvOScQ7IsS321QhYbwKn7qhHKKP8cKj02rTDvVRMWvwQ1ZP0mZWsBprQ==" saltValue="CjXqBRFbKezlWOFV37MnDQ==" spinCount="100000" sqref="GW2021:GW2029" name="Rango2_30_2_3_25"/>
    <protectedRange algorithmName="SHA-512" hashValue="XZw03RosI/l0z9FxmTtF29EdZ7P+4+ybhqoaAAUmURojSR5XbGfjC4f2i8gMqfY+RI9JvfdCA6PSh9TduXfUxA==" saltValue="5TPtLq2WoiRSae/yaDPnTw==" spinCount="100000" sqref="GY2021:GZ2029" name="Rango2_99_39_23"/>
    <protectedRange algorithmName="SHA-512" hashValue="XZw03RosI/l0z9FxmTtF29EdZ7P+4+ybhqoaAAUmURojSR5XbGfjC4f2i8gMqfY+RI9JvfdCA6PSh9TduXfUxA==" saltValue="5TPtLq2WoiRSae/yaDPnTw==" spinCount="100000" sqref="HJ2021:HJ2029" name="Rango2_99_40_27"/>
    <protectedRange algorithmName="SHA-512" hashValue="9+DNppQbWrLYYUMoJ+lyQctV2bX3Vq9kZnegLbpjTLP49It2ovUbcartuoQTeXgP+TGpY//7mDH/UQlFCKDGiA==" saltValue="KUnni6YEm00anzSSvyLqQA==" spinCount="100000" sqref="HD2021:HI2029" name="Rango2_39_29"/>
    <protectedRange algorithmName="SHA-512" hashValue="XZw03RosI/l0z9FxmTtF29EdZ7P+4+ybhqoaAAUmURojSR5XbGfjC4f2i8gMqfY+RI9JvfdCA6PSh9TduXfUxA==" saltValue="5TPtLq2WoiRSae/yaDPnTw==" spinCount="100000" sqref="IB2021:IB2029 HU2021:HZ2029" name="Rango2_99_41_24"/>
    <protectedRange algorithmName="SHA-512" hashValue="9+DNppQbWrLYYUMoJ+lyQctV2bX3Vq9kZnegLbpjTLP49It2ovUbcartuoQTeXgP+TGpY//7mDH/UQlFCKDGiA==" saltValue="KUnni6YEm00anzSSvyLqQA==" spinCount="100000" sqref="HS2021:HT2029" name="Rango2_40_27"/>
    <protectedRange algorithmName="SHA-512" hashValue="XZw03RosI/l0z9FxmTtF29EdZ7P+4+ybhqoaAAUmURojSR5XbGfjC4f2i8gMqfY+RI9JvfdCA6PSh9TduXfUxA==" saltValue="5TPtLq2WoiRSae/yaDPnTw==" spinCount="100000" sqref="IL2021:IM2029" name="Rango2_99_79_16"/>
    <protectedRange algorithmName="SHA-512" hashValue="XZw03RosI/l0z9FxmTtF29EdZ7P+4+ybhqoaAAUmURojSR5XbGfjC4f2i8gMqfY+RI9JvfdCA6PSh9TduXfUxA==" saltValue="5TPtLq2WoiRSae/yaDPnTw==" spinCount="100000" sqref="IO2021:IO2029" name="Rango2_99_80_34"/>
    <protectedRange algorithmName="SHA-512" hashValue="XZw03RosI/l0z9FxmTtF29EdZ7P+4+ybhqoaAAUmURojSR5XbGfjC4f2i8gMqfY+RI9JvfdCA6PSh9TduXfUxA==" saltValue="5TPtLq2WoiRSae/yaDPnTw==" spinCount="100000" sqref="EA2030:EJ2031" name="Rango2_99_18_30"/>
    <protectedRange algorithmName="SHA-512" hashValue="9+DNppQbWrLYYUMoJ+lyQctV2bX3Vq9kZnegLbpjTLP49It2ovUbcartuoQTeXgP+TGpY//7mDH/UQlFCKDGiA==" saltValue="KUnni6YEm00anzSSvyLqQA==" spinCount="100000" sqref="EN2030:EN2031" name="Rango2_22_25"/>
    <protectedRange algorithmName="SHA-512" hashValue="XZw03RosI/l0z9FxmTtF29EdZ7P+4+ybhqoaAAUmURojSR5XbGfjC4f2i8gMqfY+RI9JvfdCA6PSh9TduXfUxA==" saltValue="5TPtLq2WoiRSae/yaDPnTw==" spinCount="100000" sqref="ER2030:ES2031" name="Rango2_99_20_27"/>
    <protectedRange algorithmName="SHA-512" hashValue="XZw03RosI/l0z9FxmTtF29EdZ7P+4+ybhqoaAAUmURojSR5XbGfjC4f2i8gMqfY+RI9JvfdCA6PSh9TduXfUxA==" saltValue="5TPtLq2WoiRSae/yaDPnTw==" spinCount="100000" sqref="EV2030:EW2031" name="Rango2_99_22_27"/>
    <protectedRange algorithmName="SHA-512" hashValue="9+DNppQbWrLYYUMoJ+lyQctV2bX3Vq9kZnegLbpjTLP49It2ovUbcartuoQTeXgP+TGpY//7mDH/UQlFCKDGiA==" saltValue="KUnni6YEm00anzSSvyLqQA==" spinCount="100000" sqref="FC2030:FC2031" name="Rango2_26_26"/>
    <protectedRange algorithmName="SHA-512" hashValue="XZw03RosI/l0z9FxmTtF29EdZ7P+4+ybhqoaAAUmURojSR5XbGfjC4f2i8gMqfY+RI9JvfdCA6PSh9TduXfUxA==" saltValue="5TPtLq2WoiRSae/yaDPnTw==" spinCount="100000" sqref="FF2030:FF2031" name="Rango2_99_23_30"/>
    <protectedRange algorithmName="SHA-512" hashValue="9+DNppQbWrLYYUMoJ+lyQctV2bX3Vq9kZnegLbpjTLP49It2ovUbcartuoQTeXgP+TGpY//7mDH/UQlFCKDGiA==" saltValue="KUnni6YEm00anzSSvyLqQA==" spinCount="100000" sqref="FH2030:FH2031" name="Rango2_35_27"/>
    <protectedRange algorithmName="SHA-512" hashValue="XZw03RosI/l0z9FxmTtF29EdZ7P+4+ybhqoaAAUmURojSR5XbGfjC4f2i8gMqfY+RI9JvfdCA6PSh9TduXfUxA==" saltValue="5TPtLq2WoiRSae/yaDPnTw==" spinCount="100000" sqref="FQ2030:FR2031" name="Rango2_99_27_29"/>
    <protectedRange algorithmName="SHA-512" hashValue="XZw03RosI/l0z9FxmTtF29EdZ7P+4+ybhqoaAAUmURojSR5XbGfjC4f2i8gMqfY+RI9JvfdCA6PSh9TduXfUxA==" saltValue="5TPtLq2WoiRSae/yaDPnTw==" spinCount="100000" sqref="FU2030:FU2031" name="Rango2_99_29_26"/>
    <protectedRange algorithmName="SHA-512" hashValue="XZw03RosI/l0z9FxmTtF29EdZ7P+4+ybhqoaAAUmURojSR5XbGfjC4f2i8gMqfY+RI9JvfdCA6PSh9TduXfUxA==" saltValue="5TPtLq2WoiRSae/yaDPnTw==" spinCount="100000" sqref="FW2030:FX2031" name="Rango2_99_31_26"/>
    <protectedRange algorithmName="SHA-512" hashValue="Umj9+5Ys20VQPxBFtc6qE5LtKKSgPKwit+B8dd4XnEUaLfBM2ozpkEC4YxwK0SbBiAHDDex+pY+LomQ0lyuamQ==" saltValue="N2/MCRws+mmA+NXw0axolg==" spinCount="100000" sqref="FY2030:FY2031" name="Rango2_31_2_2_27"/>
    <protectedRange algorithmName="SHA-512" hashValue="Rgskw+AQdeJ5qbJdarzTa3SCkJfDGziy0Uan5N0F3IWn/H3Z/e+VcB56R7Nes7MPxNHewNP1sSSucVjz3iTLeA==" saltValue="qKZH3DnwaZHBzy3cBZo1qQ==" spinCount="100000" sqref="GF2030:GF2031" name="Rango2_31_28_1_27"/>
    <protectedRange algorithmName="SHA-512" hashValue="Umj9+5Ys20VQPxBFtc6qE5LtKKSgPKwit+B8dd4XnEUaLfBM2ozpkEC4YxwK0SbBiAHDDex+pY+LomQ0lyuamQ==" saltValue="N2/MCRws+mmA+NXw0axolg==" spinCount="100000" sqref="GE2030:GE2031" name="Rango2_31_2_5_24"/>
    <protectedRange algorithmName="SHA-512" hashValue="Umj9+5Ys20VQPxBFtc6qE5LtKKSgPKwit+B8dd4XnEUaLfBM2ozpkEC4YxwK0SbBiAHDDex+pY+LomQ0lyuamQ==" saltValue="N2/MCRws+mmA+NXw0axolg==" spinCount="100000" sqref="GJ2030:GJ2031 GH2030:GH2031 GL2030:GL2031" name="Rango2_31_2_6_24"/>
    <protectedRange algorithmName="SHA-512" hashValue="XZw03RosI/l0z9FxmTtF29EdZ7P+4+ybhqoaAAUmURojSR5XbGfjC4f2i8gMqfY+RI9JvfdCA6PSh9TduXfUxA==" saltValue="5TPtLq2WoiRSae/yaDPnTw==" spinCount="100000" sqref="GO2030:GO2031 GM2030:GM2031 GK2030:GK2031" name="Rango2_99_36_29"/>
    <protectedRange algorithmName="SHA-512" hashValue="EEHzbvEYwO1eufllBljOz0uf9BJ2ENtvOScQ7IsS321QhYbwKn7qhHKKP8cKj02rTDvVRMWvwQ1ZP0mZWsBprQ==" saltValue="CjXqBRFbKezlWOFV37MnDQ==" spinCount="100000" sqref="GQ2030:GR2031" name="Rango2_30_2_2_28"/>
    <protectedRange algorithmName="SHA-512" hashValue="EEHzbvEYwO1eufllBljOz0uf9BJ2ENtvOScQ7IsS321QhYbwKn7qhHKKP8cKj02rTDvVRMWvwQ1ZP0mZWsBprQ==" saltValue="CjXqBRFbKezlWOFV37MnDQ==" spinCount="100000" sqref="GW2030:GW2031" name="Rango2_30_2_3_26"/>
    <protectedRange algorithmName="SHA-512" hashValue="XZw03RosI/l0z9FxmTtF29EdZ7P+4+ybhqoaAAUmURojSR5XbGfjC4f2i8gMqfY+RI9JvfdCA6PSh9TduXfUxA==" saltValue="5TPtLq2WoiRSae/yaDPnTw==" spinCount="100000" sqref="GY2030:GZ2031" name="Rango2_99_39_24"/>
    <protectedRange algorithmName="SHA-512" hashValue="XZw03RosI/l0z9FxmTtF29EdZ7P+4+ybhqoaAAUmURojSR5XbGfjC4f2i8gMqfY+RI9JvfdCA6PSh9TduXfUxA==" saltValue="5TPtLq2WoiRSae/yaDPnTw==" spinCount="100000" sqref="HJ2030:HJ2031" name="Rango2_99_40_28"/>
    <protectedRange algorithmName="SHA-512" hashValue="9+DNppQbWrLYYUMoJ+lyQctV2bX3Vq9kZnegLbpjTLP49It2ovUbcartuoQTeXgP+TGpY//7mDH/UQlFCKDGiA==" saltValue="KUnni6YEm00anzSSvyLqQA==" spinCount="100000" sqref="HD2030:HI2031" name="Rango2_39_30"/>
    <protectedRange algorithmName="SHA-512" hashValue="XZw03RosI/l0z9FxmTtF29EdZ7P+4+ybhqoaAAUmURojSR5XbGfjC4f2i8gMqfY+RI9JvfdCA6PSh9TduXfUxA==" saltValue="5TPtLq2WoiRSae/yaDPnTw==" spinCount="100000" sqref="IB2030:IB2031 HU2030:HZ2031" name="Rango2_99_41_25"/>
    <protectedRange algorithmName="SHA-512" hashValue="9+DNppQbWrLYYUMoJ+lyQctV2bX3Vq9kZnegLbpjTLP49It2ovUbcartuoQTeXgP+TGpY//7mDH/UQlFCKDGiA==" saltValue="KUnni6YEm00anzSSvyLqQA==" spinCount="100000" sqref="HS2030:HT2031" name="Rango2_40_28"/>
    <protectedRange algorithmName="SHA-512" hashValue="XZw03RosI/l0z9FxmTtF29EdZ7P+4+ybhqoaAAUmURojSR5XbGfjC4f2i8gMqfY+RI9JvfdCA6PSh9TduXfUxA==" saltValue="5TPtLq2WoiRSae/yaDPnTw==" spinCount="100000" sqref="IL2030:IM2031" name="Rango2_99_79_17"/>
    <protectedRange algorithmName="SHA-512" hashValue="XZw03RosI/l0z9FxmTtF29EdZ7P+4+ybhqoaAAUmURojSR5XbGfjC4f2i8gMqfY+RI9JvfdCA6PSh9TduXfUxA==" saltValue="5TPtLq2WoiRSae/yaDPnTw==" spinCount="100000" sqref="IO2030:IO2031" name="Rango2_99_80_35"/>
    <protectedRange algorithmName="SHA-512" hashValue="XZw03RosI/l0z9FxmTtF29EdZ7P+4+ybhqoaAAUmURojSR5XbGfjC4f2i8gMqfY+RI9JvfdCA6PSh9TduXfUxA==" saltValue="5TPtLq2WoiRSae/yaDPnTw==" spinCount="100000" sqref="EA2032:EJ2032" name="Rango2_99_18_31"/>
    <protectedRange algorithmName="SHA-512" hashValue="9+DNppQbWrLYYUMoJ+lyQctV2bX3Vq9kZnegLbpjTLP49It2ovUbcartuoQTeXgP+TGpY//7mDH/UQlFCKDGiA==" saltValue="KUnni6YEm00anzSSvyLqQA==" spinCount="100000" sqref="EN2032" name="Rango2_22_26"/>
    <protectedRange algorithmName="SHA-512" hashValue="XZw03RosI/l0z9FxmTtF29EdZ7P+4+ybhqoaAAUmURojSR5XbGfjC4f2i8gMqfY+RI9JvfdCA6PSh9TduXfUxA==" saltValue="5TPtLq2WoiRSae/yaDPnTw==" spinCount="100000" sqref="ER2032:ES2032" name="Rango2_99_20_28"/>
    <protectedRange algorithmName="SHA-512" hashValue="XZw03RosI/l0z9FxmTtF29EdZ7P+4+ybhqoaAAUmURojSR5XbGfjC4f2i8gMqfY+RI9JvfdCA6PSh9TduXfUxA==" saltValue="5TPtLq2WoiRSae/yaDPnTw==" spinCount="100000" sqref="EV2032:EW2032" name="Rango2_99_22_28"/>
    <protectedRange algorithmName="SHA-512" hashValue="9+DNppQbWrLYYUMoJ+lyQctV2bX3Vq9kZnegLbpjTLP49It2ovUbcartuoQTeXgP+TGpY//7mDH/UQlFCKDGiA==" saltValue="KUnni6YEm00anzSSvyLqQA==" spinCount="100000" sqref="FC2032" name="Rango2_26_27"/>
    <protectedRange algorithmName="SHA-512" hashValue="XZw03RosI/l0z9FxmTtF29EdZ7P+4+ybhqoaAAUmURojSR5XbGfjC4f2i8gMqfY+RI9JvfdCA6PSh9TduXfUxA==" saltValue="5TPtLq2WoiRSae/yaDPnTw==" spinCount="100000" sqref="FF2032" name="Rango2_99_23_31"/>
    <protectedRange algorithmName="SHA-512" hashValue="9+DNppQbWrLYYUMoJ+lyQctV2bX3Vq9kZnegLbpjTLP49It2ovUbcartuoQTeXgP+TGpY//7mDH/UQlFCKDGiA==" saltValue="KUnni6YEm00anzSSvyLqQA==" spinCount="100000" sqref="FH2032" name="Rango2_35_28"/>
    <protectedRange algorithmName="SHA-512" hashValue="XZw03RosI/l0z9FxmTtF29EdZ7P+4+ybhqoaAAUmURojSR5XbGfjC4f2i8gMqfY+RI9JvfdCA6PSh9TduXfUxA==" saltValue="5TPtLq2WoiRSae/yaDPnTw==" spinCount="100000" sqref="FQ2032:FR2032" name="Rango2_99_27_30"/>
    <protectedRange algorithmName="SHA-512" hashValue="XZw03RosI/l0z9FxmTtF29EdZ7P+4+ybhqoaAAUmURojSR5XbGfjC4f2i8gMqfY+RI9JvfdCA6PSh9TduXfUxA==" saltValue="5TPtLq2WoiRSae/yaDPnTw==" spinCount="100000" sqref="FU2032" name="Rango2_99_29_27"/>
    <protectedRange algorithmName="SHA-512" hashValue="XZw03RosI/l0z9FxmTtF29EdZ7P+4+ybhqoaAAUmURojSR5XbGfjC4f2i8gMqfY+RI9JvfdCA6PSh9TduXfUxA==" saltValue="5TPtLq2WoiRSae/yaDPnTw==" spinCount="100000" sqref="FW2032:FX2032" name="Rango2_99_31_27"/>
    <protectedRange algorithmName="SHA-512" hashValue="Umj9+5Ys20VQPxBFtc6qE5LtKKSgPKwit+B8dd4XnEUaLfBM2ozpkEC4YxwK0SbBiAHDDex+pY+LomQ0lyuamQ==" saltValue="N2/MCRws+mmA+NXw0axolg==" spinCount="100000" sqref="FY2032" name="Rango2_31_2_2_28"/>
    <protectedRange algorithmName="SHA-512" hashValue="Umj9+5Ys20VQPxBFtc6qE5LtKKSgPKwit+B8dd4XnEUaLfBM2ozpkEC4YxwK0SbBiAHDDex+pY+LomQ0lyuamQ==" saltValue="N2/MCRws+mmA+NXw0axolg==" spinCount="100000" sqref="GB2032" name="Rango2_31_2_4_26"/>
    <protectedRange algorithmName="SHA-512" hashValue="Rgskw+AQdeJ5qbJdarzTa3SCkJfDGziy0Uan5N0F3IWn/H3Z/e+VcB56R7Nes7MPxNHewNP1sSSucVjz3iTLeA==" saltValue="qKZH3DnwaZHBzy3cBZo1qQ==" spinCount="100000" sqref="GF2032" name="Rango2_31_28_1_28"/>
    <protectedRange algorithmName="SHA-512" hashValue="Umj9+5Ys20VQPxBFtc6qE5LtKKSgPKwit+B8dd4XnEUaLfBM2ozpkEC4YxwK0SbBiAHDDex+pY+LomQ0lyuamQ==" saltValue="N2/MCRws+mmA+NXw0axolg==" spinCount="100000" sqref="GE2032" name="Rango2_31_2_5_25"/>
    <protectedRange algorithmName="SHA-512" hashValue="Umj9+5Ys20VQPxBFtc6qE5LtKKSgPKwit+B8dd4XnEUaLfBM2ozpkEC4YxwK0SbBiAHDDex+pY+LomQ0lyuamQ==" saltValue="N2/MCRws+mmA+NXw0axolg==" spinCount="100000" sqref="GJ2032 GH2032 GL2032" name="Rango2_31_2_6_25"/>
    <protectedRange algorithmName="SHA-512" hashValue="XZw03RosI/l0z9FxmTtF29EdZ7P+4+ybhqoaAAUmURojSR5XbGfjC4f2i8gMqfY+RI9JvfdCA6PSh9TduXfUxA==" saltValue="5TPtLq2WoiRSae/yaDPnTw==" spinCount="100000" sqref="GO2032 GM2032 GK2032" name="Rango2_99_36_30"/>
    <protectedRange algorithmName="SHA-512" hashValue="EEHzbvEYwO1eufllBljOz0uf9BJ2ENtvOScQ7IsS321QhYbwKn7qhHKKP8cKj02rTDvVRMWvwQ1ZP0mZWsBprQ==" saltValue="CjXqBRFbKezlWOFV37MnDQ==" spinCount="100000" sqref="GQ2032:GR2032" name="Rango2_30_2_2_29"/>
    <protectedRange algorithmName="SHA-512" hashValue="EEHzbvEYwO1eufllBljOz0uf9BJ2ENtvOScQ7IsS321QhYbwKn7qhHKKP8cKj02rTDvVRMWvwQ1ZP0mZWsBprQ==" saltValue="CjXqBRFbKezlWOFV37MnDQ==" spinCount="100000" sqref="GW2032" name="Rango2_30_2_3_27"/>
    <protectedRange algorithmName="SHA-512" hashValue="XZw03RosI/l0z9FxmTtF29EdZ7P+4+ybhqoaAAUmURojSR5XbGfjC4f2i8gMqfY+RI9JvfdCA6PSh9TduXfUxA==" saltValue="5TPtLq2WoiRSae/yaDPnTw==" spinCount="100000" sqref="GY2032:GZ2032" name="Rango2_99_39_25"/>
    <protectedRange algorithmName="SHA-512" hashValue="XZw03RosI/l0z9FxmTtF29EdZ7P+4+ybhqoaAAUmURojSR5XbGfjC4f2i8gMqfY+RI9JvfdCA6PSh9TduXfUxA==" saltValue="5TPtLq2WoiRSae/yaDPnTw==" spinCount="100000" sqref="HJ2032" name="Rango2_99_40_29"/>
    <protectedRange algorithmName="SHA-512" hashValue="9+DNppQbWrLYYUMoJ+lyQctV2bX3Vq9kZnegLbpjTLP49It2ovUbcartuoQTeXgP+TGpY//7mDH/UQlFCKDGiA==" saltValue="KUnni6YEm00anzSSvyLqQA==" spinCount="100000" sqref="HD2032:HI2032" name="Rango2_39_31"/>
    <protectedRange algorithmName="SHA-512" hashValue="XZw03RosI/l0z9FxmTtF29EdZ7P+4+ybhqoaAAUmURojSR5XbGfjC4f2i8gMqfY+RI9JvfdCA6PSh9TduXfUxA==" saltValue="5TPtLq2WoiRSae/yaDPnTw==" spinCount="100000" sqref="IB2032 HU2032:HZ2032" name="Rango2_99_41_26"/>
    <protectedRange algorithmName="SHA-512" hashValue="9+DNppQbWrLYYUMoJ+lyQctV2bX3Vq9kZnegLbpjTLP49It2ovUbcartuoQTeXgP+TGpY//7mDH/UQlFCKDGiA==" saltValue="KUnni6YEm00anzSSvyLqQA==" spinCount="100000" sqref="HS2032:HT2032" name="Rango2_40_29"/>
    <protectedRange algorithmName="SHA-512" hashValue="XZw03RosI/l0z9FxmTtF29EdZ7P+4+ybhqoaAAUmURojSR5XbGfjC4f2i8gMqfY+RI9JvfdCA6PSh9TduXfUxA==" saltValue="5TPtLq2WoiRSae/yaDPnTw==" spinCount="100000" sqref="IL2032:IM2032" name="Rango2_99_79_18"/>
    <protectedRange algorithmName="SHA-512" hashValue="XZw03RosI/l0z9FxmTtF29EdZ7P+4+ybhqoaAAUmURojSR5XbGfjC4f2i8gMqfY+RI9JvfdCA6PSh9TduXfUxA==" saltValue="5TPtLq2WoiRSae/yaDPnTw==" spinCount="100000" sqref="IO2032" name="Rango2_99_80_36"/>
    <protectedRange algorithmName="SHA-512" hashValue="XZw03RosI/l0z9FxmTtF29EdZ7P+4+ybhqoaAAUmURojSR5XbGfjC4f2i8gMqfY+RI9JvfdCA6PSh9TduXfUxA==" saltValue="5TPtLq2WoiRSae/yaDPnTw==" spinCount="100000" sqref="EA2033:EJ2034" name="Rango2_99_18_32"/>
    <protectedRange algorithmName="SHA-512" hashValue="9+DNppQbWrLYYUMoJ+lyQctV2bX3Vq9kZnegLbpjTLP49It2ovUbcartuoQTeXgP+TGpY//7mDH/UQlFCKDGiA==" saltValue="KUnni6YEm00anzSSvyLqQA==" spinCount="100000" sqref="EN2033:EN2034" name="Rango2_22_27"/>
    <protectedRange algorithmName="SHA-512" hashValue="XZw03RosI/l0z9FxmTtF29EdZ7P+4+ybhqoaAAUmURojSR5XbGfjC4f2i8gMqfY+RI9JvfdCA6PSh9TduXfUxA==" saltValue="5TPtLq2WoiRSae/yaDPnTw==" spinCount="100000" sqref="ER2033:ES2034" name="Rango2_99_20_29"/>
    <protectedRange algorithmName="SHA-512" hashValue="XZw03RosI/l0z9FxmTtF29EdZ7P+4+ybhqoaAAUmURojSR5XbGfjC4f2i8gMqfY+RI9JvfdCA6PSh9TduXfUxA==" saltValue="5TPtLq2WoiRSae/yaDPnTw==" spinCount="100000" sqref="EV2033:EW2034" name="Rango2_99_22_29"/>
    <protectedRange algorithmName="SHA-512" hashValue="9+DNppQbWrLYYUMoJ+lyQctV2bX3Vq9kZnegLbpjTLP49It2ovUbcartuoQTeXgP+TGpY//7mDH/UQlFCKDGiA==" saltValue="KUnni6YEm00anzSSvyLqQA==" spinCount="100000" sqref="FC2033:FC2034" name="Rango2_26_28"/>
    <protectedRange algorithmName="SHA-512" hashValue="XZw03RosI/l0z9FxmTtF29EdZ7P+4+ybhqoaAAUmURojSR5XbGfjC4f2i8gMqfY+RI9JvfdCA6PSh9TduXfUxA==" saltValue="5TPtLq2WoiRSae/yaDPnTw==" spinCount="100000" sqref="FF2033:FF2034" name="Rango2_99_23_32"/>
    <protectedRange algorithmName="SHA-512" hashValue="9+DNppQbWrLYYUMoJ+lyQctV2bX3Vq9kZnegLbpjTLP49It2ovUbcartuoQTeXgP+TGpY//7mDH/UQlFCKDGiA==" saltValue="KUnni6YEm00anzSSvyLqQA==" spinCount="100000" sqref="FH2033:FH2034" name="Rango2_35_29"/>
    <protectedRange algorithmName="SHA-512" hashValue="XZw03RosI/l0z9FxmTtF29EdZ7P+4+ybhqoaAAUmURojSR5XbGfjC4f2i8gMqfY+RI9JvfdCA6PSh9TduXfUxA==" saltValue="5TPtLq2WoiRSae/yaDPnTw==" spinCount="100000" sqref="FQ2033:FR2034" name="Rango2_99_27_31"/>
    <protectedRange algorithmName="SHA-512" hashValue="XZw03RosI/l0z9FxmTtF29EdZ7P+4+ybhqoaAAUmURojSR5XbGfjC4f2i8gMqfY+RI9JvfdCA6PSh9TduXfUxA==" saltValue="5TPtLq2WoiRSae/yaDPnTw==" spinCount="100000" sqref="FU2033:FU2034" name="Rango2_99_29_28"/>
    <protectedRange algorithmName="SHA-512" hashValue="XZw03RosI/l0z9FxmTtF29EdZ7P+4+ybhqoaAAUmURojSR5XbGfjC4f2i8gMqfY+RI9JvfdCA6PSh9TduXfUxA==" saltValue="5TPtLq2WoiRSae/yaDPnTw==" spinCount="100000" sqref="FW2033:FX2034" name="Rango2_99_31_28"/>
    <protectedRange algorithmName="SHA-512" hashValue="Umj9+5Ys20VQPxBFtc6qE5LtKKSgPKwit+B8dd4XnEUaLfBM2ozpkEC4YxwK0SbBiAHDDex+pY+LomQ0lyuamQ==" saltValue="N2/MCRws+mmA+NXw0axolg==" spinCount="100000" sqref="FY2033:FY2034" name="Rango2_31_2_2_29"/>
    <protectedRange algorithmName="SHA-512" hashValue="Umj9+5Ys20VQPxBFtc6qE5LtKKSgPKwit+B8dd4XnEUaLfBM2ozpkEC4YxwK0SbBiAHDDex+pY+LomQ0lyuamQ==" saltValue="N2/MCRws+mmA+NXw0axolg==" spinCount="100000" sqref="GB2034" name="Rango2_31_2_4_27"/>
    <protectedRange algorithmName="SHA-512" hashValue="Rgskw+AQdeJ5qbJdarzTa3SCkJfDGziy0Uan5N0F3IWn/H3Z/e+VcB56R7Nes7MPxNHewNP1sSSucVjz3iTLeA==" saltValue="qKZH3DnwaZHBzy3cBZo1qQ==" spinCount="100000" sqref="GF2033:GF2034" name="Rango2_31_28_1_29"/>
    <protectedRange algorithmName="SHA-512" hashValue="Umj9+5Ys20VQPxBFtc6qE5LtKKSgPKwit+B8dd4XnEUaLfBM2ozpkEC4YxwK0SbBiAHDDex+pY+LomQ0lyuamQ==" saltValue="N2/MCRws+mmA+NXw0axolg==" spinCount="100000" sqref="GE2033:GE2034" name="Rango2_31_2_5_26"/>
    <protectedRange algorithmName="SHA-512" hashValue="Umj9+5Ys20VQPxBFtc6qE5LtKKSgPKwit+B8dd4XnEUaLfBM2ozpkEC4YxwK0SbBiAHDDex+pY+LomQ0lyuamQ==" saltValue="N2/MCRws+mmA+NXw0axolg==" spinCount="100000" sqref="GJ2033:GJ2034 GH2033:GH2034 GL2033:GL2034" name="Rango2_31_2_6_26"/>
    <protectedRange algorithmName="SHA-512" hashValue="XZw03RosI/l0z9FxmTtF29EdZ7P+4+ybhqoaAAUmURojSR5XbGfjC4f2i8gMqfY+RI9JvfdCA6PSh9TduXfUxA==" saltValue="5TPtLq2WoiRSae/yaDPnTw==" spinCount="100000" sqref="GO2033:GO2034 GM2033:GM2034 GK2033:GK2034" name="Rango2_99_36_31"/>
    <protectedRange algorithmName="SHA-512" hashValue="EEHzbvEYwO1eufllBljOz0uf9BJ2ENtvOScQ7IsS321QhYbwKn7qhHKKP8cKj02rTDvVRMWvwQ1ZP0mZWsBprQ==" saltValue="CjXqBRFbKezlWOFV37MnDQ==" spinCount="100000" sqref="GQ2033:GR2034" name="Rango2_30_2_2_30"/>
    <protectedRange algorithmName="SHA-512" hashValue="EEHzbvEYwO1eufllBljOz0uf9BJ2ENtvOScQ7IsS321QhYbwKn7qhHKKP8cKj02rTDvVRMWvwQ1ZP0mZWsBprQ==" saltValue="CjXqBRFbKezlWOFV37MnDQ==" spinCount="100000" sqref="GW2033:GW2034" name="Rango2_30_2_3_28"/>
    <protectedRange algorithmName="SHA-512" hashValue="XZw03RosI/l0z9FxmTtF29EdZ7P+4+ybhqoaAAUmURojSR5XbGfjC4f2i8gMqfY+RI9JvfdCA6PSh9TduXfUxA==" saltValue="5TPtLq2WoiRSae/yaDPnTw==" spinCount="100000" sqref="GY2033:GZ2034" name="Rango2_99_39_26"/>
    <protectedRange algorithmName="SHA-512" hashValue="XZw03RosI/l0z9FxmTtF29EdZ7P+4+ybhqoaAAUmURojSR5XbGfjC4f2i8gMqfY+RI9JvfdCA6PSh9TduXfUxA==" saltValue="5TPtLq2WoiRSae/yaDPnTw==" spinCount="100000" sqref="HJ2033:HJ2034" name="Rango2_99_40_30"/>
    <protectedRange algorithmName="SHA-512" hashValue="9+DNppQbWrLYYUMoJ+lyQctV2bX3Vq9kZnegLbpjTLP49It2ovUbcartuoQTeXgP+TGpY//7mDH/UQlFCKDGiA==" saltValue="KUnni6YEm00anzSSvyLqQA==" spinCount="100000" sqref="HD2033:HI2034" name="Rango2_39_32"/>
    <protectedRange algorithmName="SHA-512" hashValue="XZw03RosI/l0z9FxmTtF29EdZ7P+4+ybhqoaAAUmURojSR5XbGfjC4f2i8gMqfY+RI9JvfdCA6PSh9TduXfUxA==" saltValue="5TPtLq2WoiRSae/yaDPnTw==" spinCount="100000" sqref="IB2033:IB2034 HU2033:HZ2034" name="Rango2_99_41_27"/>
    <protectedRange algorithmName="SHA-512" hashValue="9+DNppQbWrLYYUMoJ+lyQctV2bX3Vq9kZnegLbpjTLP49It2ovUbcartuoQTeXgP+TGpY//7mDH/UQlFCKDGiA==" saltValue="KUnni6YEm00anzSSvyLqQA==" spinCount="100000" sqref="HS2033:HT2034" name="Rango2_40_30"/>
    <protectedRange algorithmName="SHA-512" hashValue="XZw03RosI/l0z9FxmTtF29EdZ7P+4+ybhqoaAAUmURojSR5XbGfjC4f2i8gMqfY+RI9JvfdCA6PSh9TduXfUxA==" saltValue="5TPtLq2WoiRSae/yaDPnTw==" spinCount="100000" sqref="IL2033:IM2034" name="Rango2_99_79_19"/>
    <protectedRange algorithmName="SHA-512" hashValue="XZw03RosI/l0z9FxmTtF29EdZ7P+4+ybhqoaAAUmURojSR5XbGfjC4f2i8gMqfY+RI9JvfdCA6PSh9TduXfUxA==" saltValue="5TPtLq2WoiRSae/yaDPnTw==" spinCount="100000" sqref="IO2033:IO2034" name="Rango2_99_80_37"/>
    <protectedRange algorithmName="SHA-512" hashValue="XZw03RosI/l0z9FxmTtF29EdZ7P+4+ybhqoaAAUmURojSR5XbGfjC4f2i8gMqfY+RI9JvfdCA6PSh9TduXfUxA==" saltValue="5TPtLq2WoiRSae/yaDPnTw==" spinCount="100000" sqref="EA2035:EJ2036" name="Rango2_99_18_33"/>
    <protectedRange algorithmName="SHA-512" hashValue="9+DNppQbWrLYYUMoJ+lyQctV2bX3Vq9kZnegLbpjTLP49It2ovUbcartuoQTeXgP+TGpY//7mDH/UQlFCKDGiA==" saltValue="KUnni6YEm00anzSSvyLqQA==" spinCount="100000" sqref="EN2035:EN2036" name="Rango2_22_28"/>
    <protectedRange algorithmName="SHA-512" hashValue="XZw03RosI/l0z9FxmTtF29EdZ7P+4+ybhqoaAAUmURojSR5XbGfjC4f2i8gMqfY+RI9JvfdCA6PSh9TduXfUxA==" saltValue="5TPtLq2WoiRSae/yaDPnTw==" spinCount="100000" sqref="ER2035:ES2036" name="Rango2_99_20_30"/>
    <protectedRange algorithmName="SHA-512" hashValue="XZw03RosI/l0z9FxmTtF29EdZ7P+4+ybhqoaAAUmURojSR5XbGfjC4f2i8gMqfY+RI9JvfdCA6PSh9TduXfUxA==" saltValue="5TPtLq2WoiRSae/yaDPnTw==" spinCount="100000" sqref="EV2035:EW2036" name="Rango2_99_22_30"/>
    <protectedRange algorithmName="SHA-512" hashValue="9+DNppQbWrLYYUMoJ+lyQctV2bX3Vq9kZnegLbpjTLP49It2ovUbcartuoQTeXgP+TGpY//7mDH/UQlFCKDGiA==" saltValue="KUnni6YEm00anzSSvyLqQA==" spinCount="100000" sqref="FC2035:FC2036" name="Rango2_26_29"/>
    <protectedRange algorithmName="SHA-512" hashValue="XZw03RosI/l0z9FxmTtF29EdZ7P+4+ybhqoaAAUmURojSR5XbGfjC4f2i8gMqfY+RI9JvfdCA6PSh9TduXfUxA==" saltValue="5TPtLq2WoiRSae/yaDPnTw==" spinCount="100000" sqref="FF2035:FF2036" name="Rango2_99_23_33"/>
    <protectedRange algorithmName="SHA-512" hashValue="9+DNppQbWrLYYUMoJ+lyQctV2bX3Vq9kZnegLbpjTLP49It2ovUbcartuoQTeXgP+TGpY//7mDH/UQlFCKDGiA==" saltValue="KUnni6YEm00anzSSvyLqQA==" spinCount="100000" sqref="FH2035:FH2036" name="Rango2_35_30"/>
    <protectedRange algorithmName="SHA-512" hashValue="XZw03RosI/l0z9FxmTtF29EdZ7P+4+ybhqoaAAUmURojSR5XbGfjC4f2i8gMqfY+RI9JvfdCA6PSh9TduXfUxA==" saltValue="5TPtLq2WoiRSae/yaDPnTw==" spinCount="100000" sqref="FQ2035:FR2036" name="Rango2_99_27_32"/>
    <protectedRange algorithmName="SHA-512" hashValue="XZw03RosI/l0z9FxmTtF29EdZ7P+4+ybhqoaAAUmURojSR5XbGfjC4f2i8gMqfY+RI9JvfdCA6PSh9TduXfUxA==" saltValue="5TPtLq2WoiRSae/yaDPnTw==" spinCount="100000" sqref="FU2035:FU2036" name="Rango2_99_29_29"/>
    <protectedRange algorithmName="SHA-512" hashValue="XZw03RosI/l0z9FxmTtF29EdZ7P+4+ybhqoaAAUmURojSR5XbGfjC4f2i8gMqfY+RI9JvfdCA6PSh9TduXfUxA==" saltValue="5TPtLq2WoiRSae/yaDPnTw==" spinCount="100000" sqref="FW2035:FX2036" name="Rango2_99_31_29"/>
    <protectedRange algorithmName="SHA-512" hashValue="Umj9+5Ys20VQPxBFtc6qE5LtKKSgPKwit+B8dd4XnEUaLfBM2ozpkEC4YxwK0SbBiAHDDex+pY+LomQ0lyuamQ==" saltValue="N2/MCRws+mmA+NXw0axolg==" spinCount="100000" sqref="FY2035:FY2036" name="Rango2_31_2_2_30"/>
    <protectedRange algorithmName="SHA-512" hashValue="Rgskw+AQdeJ5qbJdarzTa3SCkJfDGziy0Uan5N0F3IWn/H3Z/e+VcB56R7Nes7MPxNHewNP1sSSucVjz3iTLeA==" saltValue="qKZH3DnwaZHBzy3cBZo1qQ==" spinCount="100000" sqref="GF2035:GF2036" name="Rango2_31_28_1_30"/>
    <protectedRange algorithmName="SHA-512" hashValue="Umj9+5Ys20VQPxBFtc6qE5LtKKSgPKwit+B8dd4XnEUaLfBM2ozpkEC4YxwK0SbBiAHDDex+pY+LomQ0lyuamQ==" saltValue="N2/MCRws+mmA+NXw0axolg==" spinCount="100000" sqref="GE2035:GE2036" name="Rango2_31_2_5_27"/>
    <protectedRange algorithmName="SHA-512" hashValue="Umj9+5Ys20VQPxBFtc6qE5LtKKSgPKwit+B8dd4XnEUaLfBM2ozpkEC4YxwK0SbBiAHDDex+pY+LomQ0lyuamQ==" saltValue="N2/MCRws+mmA+NXw0axolg==" spinCount="100000" sqref="GJ2035:GJ2036 GH2035:GH2036 GL2035:GL2036" name="Rango2_31_2_6_27"/>
    <protectedRange algorithmName="SHA-512" hashValue="XZw03RosI/l0z9FxmTtF29EdZ7P+4+ybhqoaAAUmURojSR5XbGfjC4f2i8gMqfY+RI9JvfdCA6PSh9TduXfUxA==" saltValue="5TPtLq2WoiRSae/yaDPnTw==" spinCount="100000" sqref="GO2035:GO2036 GM2035:GM2036 GK2035:GK2036" name="Rango2_99_36_32"/>
    <protectedRange algorithmName="SHA-512" hashValue="EEHzbvEYwO1eufllBljOz0uf9BJ2ENtvOScQ7IsS321QhYbwKn7qhHKKP8cKj02rTDvVRMWvwQ1ZP0mZWsBprQ==" saltValue="CjXqBRFbKezlWOFV37MnDQ==" spinCount="100000" sqref="GQ2035:GR2036" name="Rango2_30_2_2_31"/>
    <protectedRange algorithmName="SHA-512" hashValue="EEHzbvEYwO1eufllBljOz0uf9BJ2ENtvOScQ7IsS321QhYbwKn7qhHKKP8cKj02rTDvVRMWvwQ1ZP0mZWsBprQ==" saltValue="CjXqBRFbKezlWOFV37MnDQ==" spinCount="100000" sqref="GW2035:GW2036" name="Rango2_30_2_3_29"/>
    <protectedRange algorithmName="SHA-512" hashValue="XZw03RosI/l0z9FxmTtF29EdZ7P+4+ybhqoaAAUmURojSR5XbGfjC4f2i8gMqfY+RI9JvfdCA6PSh9TduXfUxA==" saltValue="5TPtLq2WoiRSae/yaDPnTw==" spinCount="100000" sqref="GY2035:GZ2036" name="Rango2_99_39_27"/>
    <protectedRange algorithmName="SHA-512" hashValue="XZw03RosI/l0z9FxmTtF29EdZ7P+4+ybhqoaAAUmURojSR5XbGfjC4f2i8gMqfY+RI9JvfdCA6PSh9TduXfUxA==" saltValue="5TPtLq2WoiRSae/yaDPnTw==" spinCount="100000" sqref="HJ2035:HJ2036" name="Rango2_99_40_31"/>
    <protectedRange algorithmName="SHA-512" hashValue="9+DNppQbWrLYYUMoJ+lyQctV2bX3Vq9kZnegLbpjTLP49It2ovUbcartuoQTeXgP+TGpY//7mDH/UQlFCKDGiA==" saltValue="KUnni6YEm00anzSSvyLqQA==" spinCount="100000" sqref="HD2035:HI2036" name="Rango2_39_33"/>
    <protectedRange algorithmName="SHA-512" hashValue="XZw03RosI/l0z9FxmTtF29EdZ7P+4+ybhqoaAAUmURojSR5XbGfjC4f2i8gMqfY+RI9JvfdCA6PSh9TduXfUxA==" saltValue="5TPtLq2WoiRSae/yaDPnTw==" spinCount="100000" sqref="IB2035:IB2036 HU2035:HZ2036" name="Rango2_99_41_28"/>
    <protectedRange algorithmName="SHA-512" hashValue="9+DNppQbWrLYYUMoJ+lyQctV2bX3Vq9kZnegLbpjTLP49It2ovUbcartuoQTeXgP+TGpY//7mDH/UQlFCKDGiA==" saltValue="KUnni6YEm00anzSSvyLqQA==" spinCount="100000" sqref="HS2035:HT2036" name="Rango2_40_31"/>
    <protectedRange algorithmName="SHA-512" hashValue="XZw03RosI/l0z9FxmTtF29EdZ7P+4+ybhqoaAAUmURojSR5XbGfjC4f2i8gMqfY+RI9JvfdCA6PSh9TduXfUxA==" saltValue="5TPtLq2WoiRSae/yaDPnTw==" spinCount="100000" sqref="IL2035:IM2036" name="Rango2_99_79_20"/>
    <protectedRange algorithmName="SHA-512" hashValue="XZw03RosI/l0z9FxmTtF29EdZ7P+4+ybhqoaAAUmURojSR5XbGfjC4f2i8gMqfY+RI9JvfdCA6PSh9TduXfUxA==" saltValue="5TPtLq2WoiRSae/yaDPnTw==" spinCount="100000" sqref="IO2035:IO2036" name="Rango2_99_80_38"/>
    <protectedRange algorithmName="SHA-512" hashValue="XZw03RosI/l0z9FxmTtF29EdZ7P+4+ybhqoaAAUmURojSR5XbGfjC4f2i8gMqfY+RI9JvfdCA6PSh9TduXfUxA==" saltValue="5TPtLq2WoiRSae/yaDPnTw==" spinCount="100000" sqref="EA2037:EJ2037" name="Rango2_99_18_34"/>
    <protectedRange algorithmName="SHA-512" hashValue="9+DNppQbWrLYYUMoJ+lyQctV2bX3Vq9kZnegLbpjTLP49It2ovUbcartuoQTeXgP+TGpY//7mDH/UQlFCKDGiA==" saltValue="KUnni6YEm00anzSSvyLqQA==" spinCount="100000" sqref="EN2037" name="Rango2_22_29"/>
    <protectedRange algorithmName="SHA-512" hashValue="XZw03RosI/l0z9FxmTtF29EdZ7P+4+ybhqoaAAUmURojSR5XbGfjC4f2i8gMqfY+RI9JvfdCA6PSh9TduXfUxA==" saltValue="5TPtLq2WoiRSae/yaDPnTw==" spinCount="100000" sqref="ER2037:ES2037" name="Rango2_99_20_31"/>
    <protectedRange algorithmName="SHA-512" hashValue="XZw03RosI/l0z9FxmTtF29EdZ7P+4+ybhqoaAAUmURojSR5XbGfjC4f2i8gMqfY+RI9JvfdCA6PSh9TduXfUxA==" saltValue="5TPtLq2WoiRSae/yaDPnTw==" spinCount="100000" sqref="EV2037:EW2037" name="Rango2_99_22_31"/>
    <protectedRange algorithmName="SHA-512" hashValue="9+DNppQbWrLYYUMoJ+lyQctV2bX3Vq9kZnegLbpjTLP49It2ovUbcartuoQTeXgP+TGpY//7mDH/UQlFCKDGiA==" saltValue="KUnni6YEm00anzSSvyLqQA==" spinCount="100000" sqref="FC2037" name="Rango2_26_30"/>
    <protectedRange algorithmName="SHA-512" hashValue="XZw03RosI/l0z9FxmTtF29EdZ7P+4+ybhqoaAAUmURojSR5XbGfjC4f2i8gMqfY+RI9JvfdCA6PSh9TduXfUxA==" saltValue="5TPtLq2WoiRSae/yaDPnTw==" spinCount="100000" sqref="FF2037" name="Rango2_99_23_34"/>
    <protectedRange algorithmName="SHA-512" hashValue="9+DNppQbWrLYYUMoJ+lyQctV2bX3Vq9kZnegLbpjTLP49It2ovUbcartuoQTeXgP+TGpY//7mDH/UQlFCKDGiA==" saltValue="KUnni6YEm00anzSSvyLqQA==" spinCount="100000" sqref="FH2037" name="Rango2_35_31"/>
    <protectedRange algorithmName="SHA-512" hashValue="XZw03RosI/l0z9FxmTtF29EdZ7P+4+ybhqoaAAUmURojSR5XbGfjC4f2i8gMqfY+RI9JvfdCA6PSh9TduXfUxA==" saltValue="5TPtLq2WoiRSae/yaDPnTw==" spinCount="100000" sqref="FQ2037:FR2037" name="Rango2_99_27_33"/>
    <protectedRange algorithmName="SHA-512" hashValue="XZw03RosI/l0z9FxmTtF29EdZ7P+4+ybhqoaAAUmURojSR5XbGfjC4f2i8gMqfY+RI9JvfdCA6PSh9TduXfUxA==" saltValue="5TPtLq2WoiRSae/yaDPnTw==" spinCount="100000" sqref="FU2037" name="Rango2_99_29_30"/>
    <protectedRange algorithmName="SHA-512" hashValue="XZw03RosI/l0z9FxmTtF29EdZ7P+4+ybhqoaAAUmURojSR5XbGfjC4f2i8gMqfY+RI9JvfdCA6PSh9TduXfUxA==" saltValue="5TPtLq2WoiRSae/yaDPnTw==" spinCount="100000" sqref="FW2037:FX2037" name="Rango2_99_31_30"/>
    <protectedRange algorithmName="SHA-512" hashValue="Umj9+5Ys20VQPxBFtc6qE5LtKKSgPKwit+B8dd4XnEUaLfBM2ozpkEC4YxwK0SbBiAHDDex+pY+LomQ0lyuamQ==" saltValue="N2/MCRws+mmA+NXw0axolg==" spinCount="100000" sqref="FY2037" name="Rango2_31_2_2_31"/>
    <protectedRange algorithmName="SHA-512" hashValue="Umj9+5Ys20VQPxBFtc6qE5LtKKSgPKwit+B8dd4XnEUaLfBM2ozpkEC4YxwK0SbBiAHDDex+pY+LomQ0lyuamQ==" saltValue="N2/MCRws+mmA+NXw0axolg==" spinCount="100000" sqref="GB2037" name="Rango2_31_2_4_29"/>
    <protectedRange algorithmName="SHA-512" hashValue="Rgskw+AQdeJ5qbJdarzTa3SCkJfDGziy0Uan5N0F3IWn/H3Z/e+VcB56R7Nes7MPxNHewNP1sSSucVjz3iTLeA==" saltValue="qKZH3DnwaZHBzy3cBZo1qQ==" spinCount="100000" sqref="GF2037" name="Rango2_31_28_1_31"/>
    <protectedRange algorithmName="SHA-512" hashValue="Umj9+5Ys20VQPxBFtc6qE5LtKKSgPKwit+B8dd4XnEUaLfBM2ozpkEC4YxwK0SbBiAHDDex+pY+LomQ0lyuamQ==" saltValue="N2/MCRws+mmA+NXw0axolg==" spinCount="100000" sqref="GE2037" name="Rango2_31_2_5_28"/>
    <protectedRange algorithmName="SHA-512" hashValue="Umj9+5Ys20VQPxBFtc6qE5LtKKSgPKwit+B8dd4XnEUaLfBM2ozpkEC4YxwK0SbBiAHDDex+pY+LomQ0lyuamQ==" saltValue="N2/MCRws+mmA+NXw0axolg==" spinCount="100000" sqref="GJ2037 GH2037 GL2037" name="Rango2_31_2_6_28"/>
    <protectedRange algorithmName="SHA-512" hashValue="XZw03RosI/l0z9FxmTtF29EdZ7P+4+ybhqoaAAUmURojSR5XbGfjC4f2i8gMqfY+RI9JvfdCA6PSh9TduXfUxA==" saltValue="5TPtLq2WoiRSae/yaDPnTw==" spinCount="100000" sqref="GO2037 GM2037 GK2037" name="Rango2_99_36_33"/>
    <protectedRange algorithmName="SHA-512" hashValue="EEHzbvEYwO1eufllBljOz0uf9BJ2ENtvOScQ7IsS321QhYbwKn7qhHKKP8cKj02rTDvVRMWvwQ1ZP0mZWsBprQ==" saltValue="CjXqBRFbKezlWOFV37MnDQ==" spinCount="100000" sqref="GQ2037:GR2037" name="Rango2_30_2_2_32"/>
    <protectedRange algorithmName="SHA-512" hashValue="EEHzbvEYwO1eufllBljOz0uf9BJ2ENtvOScQ7IsS321QhYbwKn7qhHKKP8cKj02rTDvVRMWvwQ1ZP0mZWsBprQ==" saltValue="CjXqBRFbKezlWOFV37MnDQ==" spinCount="100000" sqref="GW2037" name="Rango2_30_2_3_30"/>
    <protectedRange algorithmName="SHA-512" hashValue="XZw03RosI/l0z9FxmTtF29EdZ7P+4+ybhqoaAAUmURojSR5XbGfjC4f2i8gMqfY+RI9JvfdCA6PSh9TduXfUxA==" saltValue="5TPtLq2WoiRSae/yaDPnTw==" spinCount="100000" sqref="GY2037:GZ2037" name="Rango2_99_39_28"/>
    <protectedRange algorithmName="SHA-512" hashValue="XZw03RosI/l0z9FxmTtF29EdZ7P+4+ybhqoaAAUmURojSR5XbGfjC4f2i8gMqfY+RI9JvfdCA6PSh9TduXfUxA==" saltValue="5TPtLq2WoiRSae/yaDPnTw==" spinCount="100000" sqref="HJ2037" name="Rango2_99_40_32"/>
    <protectedRange algorithmName="SHA-512" hashValue="9+DNppQbWrLYYUMoJ+lyQctV2bX3Vq9kZnegLbpjTLP49It2ovUbcartuoQTeXgP+TGpY//7mDH/UQlFCKDGiA==" saltValue="KUnni6YEm00anzSSvyLqQA==" spinCount="100000" sqref="HD2037:HI2037" name="Rango2_39_34"/>
    <protectedRange algorithmName="SHA-512" hashValue="XZw03RosI/l0z9FxmTtF29EdZ7P+4+ybhqoaAAUmURojSR5XbGfjC4f2i8gMqfY+RI9JvfdCA6PSh9TduXfUxA==" saltValue="5TPtLq2WoiRSae/yaDPnTw==" spinCount="100000" sqref="IB2037 HU2037:HZ2037" name="Rango2_99_41_29"/>
    <protectedRange algorithmName="SHA-512" hashValue="9+DNppQbWrLYYUMoJ+lyQctV2bX3Vq9kZnegLbpjTLP49It2ovUbcartuoQTeXgP+TGpY//7mDH/UQlFCKDGiA==" saltValue="KUnni6YEm00anzSSvyLqQA==" spinCount="100000" sqref="HS2037:HT2037" name="Rango2_40_32"/>
    <protectedRange algorithmName="SHA-512" hashValue="XZw03RosI/l0z9FxmTtF29EdZ7P+4+ybhqoaAAUmURojSR5XbGfjC4f2i8gMqfY+RI9JvfdCA6PSh9TduXfUxA==" saltValue="5TPtLq2WoiRSae/yaDPnTw==" spinCount="100000" sqref="IL2037:IM2037" name="Rango2_99_79_21"/>
    <protectedRange algorithmName="SHA-512" hashValue="XZw03RosI/l0z9FxmTtF29EdZ7P+4+ybhqoaAAUmURojSR5XbGfjC4f2i8gMqfY+RI9JvfdCA6PSh9TduXfUxA==" saltValue="5TPtLq2WoiRSae/yaDPnTw==" spinCount="100000" sqref="IO2037" name="Rango2_99_80_39"/>
    <protectedRange algorithmName="SHA-512" hashValue="XZw03RosI/l0z9FxmTtF29EdZ7P+4+ybhqoaAAUmURojSR5XbGfjC4f2i8gMqfY+RI9JvfdCA6PSh9TduXfUxA==" saltValue="5TPtLq2WoiRSae/yaDPnTw==" spinCount="100000" sqref="EA2038:EJ2038" name="Rango2_99_18_35"/>
    <protectedRange algorithmName="SHA-512" hashValue="9+DNppQbWrLYYUMoJ+lyQctV2bX3Vq9kZnegLbpjTLP49It2ovUbcartuoQTeXgP+TGpY//7mDH/UQlFCKDGiA==" saltValue="KUnni6YEm00anzSSvyLqQA==" spinCount="100000" sqref="EN2038" name="Rango2_22_30"/>
    <protectedRange algorithmName="SHA-512" hashValue="XZw03RosI/l0z9FxmTtF29EdZ7P+4+ybhqoaAAUmURojSR5XbGfjC4f2i8gMqfY+RI9JvfdCA6PSh9TduXfUxA==" saltValue="5TPtLq2WoiRSae/yaDPnTw==" spinCount="100000" sqref="ER2038:ES2038" name="Rango2_99_20_32"/>
    <protectedRange algorithmName="SHA-512" hashValue="XZw03RosI/l0z9FxmTtF29EdZ7P+4+ybhqoaAAUmURojSR5XbGfjC4f2i8gMqfY+RI9JvfdCA6PSh9TduXfUxA==" saltValue="5TPtLq2WoiRSae/yaDPnTw==" spinCount="100000" sqref="EV2038:EW2038" name="Rango2_99_22_32"/>
    <protectedRange algorithmName="SHA-512" hashValue="9+DNppQbWrLYYUMoJ+lyQctV2bX3Vq9kZnegLbpjTLP49It2ovUbcartuoQTeXgP+TGpY//7mDH/UQlFCKDGiA==" saltValue="KUnni6YEm00anzSSvyLqQA==" spinCount="100000" sqref="FC2038" name="Rango2_26_31"/>
    <protectedRange algorithmName="SHA-512" hashValue="XZw03RosI/l0z9FxmTtF29EdZ7P+4+ybhqoaAAUmURojSR5XbGfjC4f2i8gMqfY+RI9JvfdCA6PSh9TduXfUxA==" saltValue="5TPtLq2WoiRSae/yaDPnTw==" spinCount="100000" sqref="FF2038" name="Rango2_99_23_35"/>
    <protectedRange algorithmName="SHA-512" hashValue="9+DNppQbWrLYYUMoJ+lyQctV2bX3Vq9kZnegLbpjTLP49It2ovUbcartuoQTeXgP+TGpY//7mDH/UQlFCKDGiA==" saltValue="KUnni6YEm00anzSSvyLqQA==" spinCount="100000" sqref="FH2038" name="Rango2_35_32"/>
    <protectedRange algorithmName="SHA-512" hashValue="XZw03RosI/l0z9FxmTtF29EdZ7P+4+ybhqoaAAUmURojSR5XbGfjC4f2i8gMqfY+RI9JvfdCA6PSh9TduXfUxA==" saltValue="5TPtLq2WoiRSae/yaDPnTw==" spinCount="100000" sqref="FQ2038:FR2038" name="Rango2_99_27_34"/>
    <protectedRange algorithmName="SHA-512" hashValue="XZw03RosI/l0z9FxmTtF29EdZ7P+4+ybhqoaAAUmURojSR5XbGfjC4f2i8gMqfY+RI9JvfdCA6PSh9TduXfUxA==" saltValue="5TPtLq2WoiRSae/yaDPnTw==" spinCount="100000" sqref="FU2038" name="Rango2_99_29_31"/>
    <protectedRange algorithmName="SHA-512" hashValue="XZw03RosI/l0z9FxmTtF29EdZ7P+4+ybhqoaAAUmURojSR5XbGfjC4f2i8gMqfY+RI9JvfdCA6PSh9TduXfUxA==" saltValue="5TPtLq2WoiRSae/yaDPnTw==" spinCount="100000" sqref="FW2038:FX2038" name="Rango2_99_31_31"/>
    <protectedRange algorithmName="SHA-512" hashValue="Umj9+5Ys20VQPxBFtc6qE5LtKKSgPKwit+B8dd4XnEUaLfBM2ozpkEC4YxwK0SbBiAHDDex+pY+LomQ0lyuamQ==" saltValue="N2/MCRws+mmA+NXw0axolg==" spinCount="100000" sqref="FY2038" name="Rango2_31_2_2_32"/>
    <protectedRange algorithmName="SHA-512" hashValue="Rgskw+AQdeJ5qbJdarzTa3SCkJfDGziy0Uan5N0F3IWn/H3Z/e+VcB56R7Nes7MPxNHewNP1sSSucVjz3iTLeA==" saltValue="qKZH3DnwaZHBzy3cBZo1qQ==" spinCount="100000" sqref="GF2038" name="Rango2_31_28_1_32"/>
    <protectedRange algorithmName="SHA-512" hashValue="Umj9+5Ys20VQPxBFtc6qE5LtKKSgPKwit+B8dd4XnEUaLfBM2ozpkEC4YxwK0SbBiAHDDex+pY+LomQ0lyuamQ==" saltValue="N2/MCRws+mmA+NXw0axolg==" spinCount="100000" sqref="GE2038" name="Rango2_31_2_5_29"/>
    <protectedRange algorithmName="SHA-512" hashValue="Umj9+5Ys20VQPxBFtc6qE5LtKKSgPKwit+B8dd4XnEUaLfBM2ozpkEC4YxwK0SbBiAHDDex+pY+LomQ0lyuamQ==" saltValue="N2/MCRws+mmA+NXw0axolg==" spinCount="100000" sqref="GJ2038 GH2038 GL2038" name="Rango2_31_2_6_29"/>
    <protectedRange algorithmName="SHA-512" hashValue="XZw03RosI/l0z9FxmTtF29EdZ7P+4+ybhqoaAAUmURojSR5XbGfjC4f2i8gMqfY+RI9JvfdCA6PSh9TduXfUxA==" saltValue="5TPtLq2WoiRSae/yaDPnTw==" spinCount="100000" sqref="GO2038 GM2038 GK2038" name="Rango2_99_36_34"/>
    <protectedRange algorithmName="SHA-512" hashValue="EEHzbvEYwO1eufllBljOz0uf9BJ2ENtvOScQ7IsS321QhYbwKn7qhHKKP8cKj02rTDvVRMWvwQ1ZP0mZWsBprQ==" saltValue="CjXqBRFbKezlWOFV37MnDQ==" spinCount="100000" sqref="GQ2038:GR2038" name="Rango2_30_2_2_33"/>
    <protectedRange algorithmName="SHA-512" hashValue="EEHzbvEYwO1eufllBljOz0uf9BJ2ENtvOScQ7IsS321QhYbwKn7qhHKKP8cKj02rTDvVRMWvwQ1ZP0mZWsBprQ==" saltValue="CjXqBRFbKezlWOFV37MnDQ==" spinCount="100000" sqref="GW2038" name="Rango2_30_2_3_31"/>
    <protectedRange algorithmName="SHA-512" hashValue="XZw03RosI/l0z9FxmTtF29EdZ7P+4+ybhqoaAAUmURojSR5XbGfjC4f2i8gMqfY+RI9JvfdCA6PSh9TduXfUxA==" saltValue="5TPtLq2WoiRSae/yaDPnTw==" spinCount="100000" sqref="GY2038:GZ2038" name="Rango2_99_39_29"/>
    <protectedRange algorithmName="SHA-512" hashValue="XZw03RosI/l0z9FxmTtF29EdZ7P+4+ybhqoaAAUmURojSR5XbGfjC4f2i8gMqfY+RI9JvfdCA6PSh9TduXfUxA==" saltValue="5TPtLq2WoiRSae/yaDPnTw==" spinCount="100000" sqref="HJ2038" name="Rango2_99_40_33"/>
    <protectedRange algorithmName="SHA-512" hashValue="9+DNppQbWrLYYUMoJ+lyQctV2bX3Vq9kZnegLbpjTLP49It2ovUbcartuoQTeXgP+TGpY//7mDH/UQlFCKDGiA==" saltValue="KUnni6YEm00anzSSvyLqQA==" spinCount="100000" sqref="HD2038:HI2038" name="Rango2_39_35"/>
    <protectedRange algorithmName="SHA-512" hashValue="XZw03RosI/l0z9FxmTtF29EdZ7P+4+ybhqoaAAUmURojSR5XbGfjC4f2i8gMqfY+RI9JvfdCA6PSh9TduXfUxA==" saltValue="5TPtLq2WoiRSae/yaDPnTw==" spinCount="100000" sqref="IB2038 HU2038:HZ2038" name="Rango2_99_41_30"/>
    <protectedRange algorithmName="SHA-512" hashValue="9+DNppQbWrLYYUMoJ+lyQctV2bX3Vq9kZnegLbpjTLP49It2ovUbcartuoQTeXgP+TGpY//7mDH/UQlFCKDGiA==" saltValue="KUnni6YEm00anzSSvyLqQA==" spinCount="100000" sqref="HS2038:HT2038" name="Rango2_40_33"/>
    <protectedRange algorithmName="SHA-512" hashValue="XZw03RosI/l0z9FxmTtF29EdZ7P+4+ybhqoaAAUmURojSR5XbGfjC4f2i8gMqfY+RI9JvfdCA6PSh9TduXfUxA==" saltValue="5TPtLq2WoiRSae/yaDPnTw==" spinCount="100000" sqref="IL2038:IM2038" name="Rango2_99_79_22"/>
    <protectedRange algorithmName="SHA-512" hashValue="XZw03RosI/l0z9FxmTtF29EdZ7P+4+ybhqoaAAUmURojSR5XbGfjC4f2i8gMqfY+RI9JvfdCA6PSh9TduXfUxA==" saltValue="5TPtLq2WoiRSae/yaDPnTw==" spinCount="100000" sqref="IO2038" name="Rango2_99_80_40"/>
    <protectedRange algorithmName="SHA-512" hashValue="XZw03RosI/l0z9FxmTtF29EdZ7P+4+ybhqoaAAUmURojSR5XbGfjC4f2i8gMqfY+RI9JvfdCA6PSh9TduXfUxA==" saltValue="5TPtLq2WoiRSae/yaDPnTw==" spinCount="100000" sqref="EA2039:EJ2039" name="Rango2_99_18_36"/>
    <protectedRange algorithmName="SHA-512" hashValue="9+DNppQbWrLYYUMoJ+lyQctV2bX3Vq9kZnegLbpjTLP49It2ovUbcartuoQTeXgP+TGpY//7mDH/UQlFCKDGiA==" saltValue="KUnni6YEm00anzSSvyLqQA==" spinCount="100000" sqref="EN2039" name="Rango2_22_31"/>
    <protectedRange algorithmName="SHA-512" hashValue="XZw03RosI/l0z9FxmTtF29EdZ7P+4+ybhqoaAAUmURojSR5XbGfjC4f2i8gMqfY+RI9JvfdCA6PSh9TduXfUxA==" saltValue="5TPtLq2WoiRSae/yaDPnTw==" spinCount="100000" sqref="ER2039:ES2039" name="Rango2_99_20_33"/>
    <protectedRange algorithmName="SHA-512" hashValue="XZw03RosI/l0z9FxmTtF29EdZ7P+4+ybhqoaAAUmURojSR5XbGfjC4f2i8gMqfY+RI9JvfdCA6PSh9TduXfUxA==" saltValue="5TPtLq2WoiRSae/yaDPnTw==" spinCount="100000" sqref="EV2039:EW2039" name="Rango2_99_22_33"/>
    <protectedRange algorithmName="SHA-512" hashValue="9+DNppQbWrLYYUMoJ+lyQctV2bX3Vq9kZnegLbpjTLP49It2ovUbcartuoQTeXgP+TGpY//7mDH/UQlFCKDGiA==" saltValue="KUnni6YEm00anzSSvyLqQA==" spinCount="100000" sqref="FC2039" name="Rango2_26_32"/>
    <protectedRange algorithmName="SHA-512" hashValue="XZw03RosI/l0z9FxmTtF29EdZ7P+4+ybhqoaAAUmURojSR5XbGfjC4f2i8gMqfY+RI9JvfdCA6PSh9TduXfUxA==" saltValue="5TPtLq2WoiRSae/yaDPnTw==" spinCount="100000" sqref="FF2039" name="Rango2_99_23_36"/>
    <protectedRange algorithmName="SHA-512" hashValue="9+DNppQbWrLYYUMoJ+lyQctV2bX3Vq9kZnegLbpjTLP49It2ovUbcartuoQTeXgP+TGpY//7mDH/UQlFCKDGiA==" saltValue="KUnni6YEm00anzSSvyLqQA==" spinCount="100000" sqref="FH2039" name="Rango2_35_33"/>
    <protectedRange algorithmName="SHA-512" hashValue="XZw03RosI/l0z9FxmTtF29EdZ7P+4+ybhqoaAAUmURojSR5XbGfjC4f2i8gMqfY+RI9JvfdCA6PSh9TduXfUxA==" saltValue="5TPtLq2WoiRSae/yaDPnTw==" spinCount="100000" sqref="FQ2039:FR2039" name="Rango2_99_27_35"/>
    <protectedRange algorithmName="SHA-512" hashValue="XZw03RosI/l0z9FxmTtF29EdZ7P+4+ybhqoaAAUmURojSR5XbGfjC4f2i8gMqfY+RI9JvfdCA6PSh9TduXfUxA==" saltValue="5TPtLq2WoiRSae/yaDPnTw==" spinCount="100000" sqref="FU2039" name="Rango2_99_29_32"/>
    <protectedRange algorithmName="SHA-512" hashValue="XZw03RosI/l0z9FxmTtF29EdZ7P+4+ybhqoaAAUmURojSR5XbGfjC4f2i8gMqfY+RI9JvfdCA6PSh9TduXfUxA==" saltValue="5TPtLq2WoiRSae/yaDPnTw==" spinCount="100000" sqref="FW2039:FX2039" name="Rango2_99_31_32"/>
    <protectedRange algorithmName="SHA-512" hashValue="Umj9+5Ys20VQPxBFtc6qE5LtKKSgPKwit+B8dd4XnEUaLfBM2ozpkEC4YxwK0SbBiAHDDex+pY+LomQ0lyuamQ==" saltValue="N2/MCRws+mmA+NXw0axolg==" spinCount="100000" sqref="FY2039" name="Rango2_31_2_2_33"/>
    <protectedRange algorithmName="SHA-512" hashValue="Umj9+5Ys20VQPxBFtc6qE5LtKKSgPKwit+B8dd4XnEUaLfBM2ozpkEC4YxwK0SbBiAHDDex+pY+LomQ0lyuamQ==" saltValue="N2/MCRws+mmA+NXw0axolg==" spinCount="100000" sqref="GB2039" name="Rango2_31_2_4_31"/>
    <protectedRange algorithmName="SHA-512" hashValue="Rgskw+AQdeJ5qbJdarzTa3SCkJfDGziy0Uan5N0F3IWn/H3Z/e+VcB56R7Nes7MPxNHewNP1sSSucVjz3iTLeA==" saltValue="qKZH3DnwaZHBzy3cBZo1qQ==" spinCount="100000" sqref="GF2039" name="Rango2_31_28_1_33"/>
    <protectedRange algorithmName="SHA-512" hashValue="Umj9+5Ys20VQPxBFtc6qE5LtKKSgPKwit+B8dd4XnEUaLfBM2ozpkEC4YxwK0SbBiAHDDex+pY+LomQ0lyuamQ==" saltValue="N2/MCRws+mmA+NXw0axolg==" spinCount="100000" sqref="GE2039" name="Rango2_31_2_5_30"/>
    <protectedRange algorithmName="SHA-512" hashValue="Umj9+5Ys20VQPxBFtc6qE5LtKKSgPKwit+B8dd4XnEUaLfBM2ozpkEC4YxwK0SbBiAHDDex+pY+LomQ0lyuamQ==" saltValue="N2/MCRws+mmA+NXw0axolg==" spinCount="100000" sqref="GJ2039 GH2039 GL2039" name="Rango2_31_2_6_30"/>
    <protectedRange algorithmName="SHA-512" hashValue="XZw03RosI/l0z9FxmTtF29EdZ7P+4+ybhqoaAAUmURojSR5XbGfjC4f2i8gMqfY+RI9JvfdCA6PSh9TduXfUxA==" saltValue="5TPtLq2WoiRSae/yaDPnTw==" spinCount="100000" sqref="GO2039 GM2039 GK2039" name="Rango2_99_36_35"/>
    <protectedRange algorithmName="SHA-512" hashValue="EEHzbvEYwO1eufllBljOz0uf9BJ2ENtvOScQ7IsS321QhYbwKn7qhHKKP8cKj02rTDvVRMWvwQ1ZP0mZWsBprQ==" saltValue="CjXqBRFbKezlWOFV37MnDQ==" spinCount="100000" sqref="GQ2039:GR2039" name="Rango2_30_2_2_34"/>
    <protectedRange algorithmName="SHA-512" hashValue="EEHzbvEYwO1eufllBljOz0uf9BJ2ENtvOScQ7IsS321QhYbwKn7qhHKKP8cKj02rTDvVRMWvwQ1ZP0mZWsBprQ==" saltValue="CjXqBRFbKezlWOFV37MnDQ==" spinCount="100000" sqref="GW2039" name="Rango2_30_2_3_32"/>
    <protectedRange algorithmName="SHA-512" hashValue="XZw03RosI/l0z9FxmTtF29EdZ7P+4+ybhqoaAAUmURojSR5XbGfjC4f2i8gMqfY+RI9JvfdCA6PSh9TduXfUxA==" saltValue="5TPtLq2WoiRSae/yaDPnTw==" spinCount="100000" sqref="GY2039:GZ2039" name="Rango2_99_39_30"/>
    <protectedRange algorithmName="SHA-512" hashValue="XZw03RosI/l0z9FxmTtF29EdZ7P+4+ybhqoaAAUmURojSR5XbGfjC4f2i8gMqfY+RI9JvfdCA6PSh9TduXfUxA==" saltValue="5TPtLq2WoiRSae/yaDPnTw==" spinCount="100000" sqref="HJ2039" name="Rango2_99_40_34"/>
    <protectedRange algorithmName="SHA-512" hashValue="9+DNppQbWrLYYUMoJ+lyQctV2bX3Vq9kZnegLbpjTLP49It2ovUbcartuoQTeXgP+TGpY//7mDH/UQlFCKDGiA==" saltValue="KUnni6YEm00anzSSvyLqQA==" spinCount="100000" sqref="HD2039:HI2039" name="Rango2_39_36"/>
    <protectedRange algorithmName="SHA-512" hashValue="XZw03RosI/l0z9FxmTtF29EdZ7P+4+ybhqoaAAUmURojSR5XbGfjC4f2i8gMqfY+RI9JvfdCA6PSh9TduXfUxA==" saltValue="5TPtLq2WoiRSae/yaDPnTw==" spinCount="100000" sqref="IB2039 HU2039:HZ2039" name="Rango2_99_41_31"/>
    <protectedRange algorithmName="SHA-512" hashValue="9+DNppQbWrLYYUMoJ+lyQctV2bX3Vq9kZnegLbpjTLP49It2ovUbcartuoQTeXgP+TGpY//7mDH/UQlFCKDGiA==" saltValue="KUnni6YEm00anzSSvyLqQA==" spinCount="100000" sqref="HS2039:HT2039" name="Rango2_40_34"/>
    <protectedRange algorithmName="SHA-512" hashValue="XZw03RosI/l0z9FxmTtF29EdZ7P+4+ybhqoaAAUmURojSR5XbGfjC4f2i8gMqfY+RI9JvfdCA6PSh9TduXfUxA==" saltValue="5TPtLq2WoiRSae/yaDPnTw==" spinCount="100000" sqref="IL2039:IM2039" name="Rango2_99_79_23"/>
    <protectedRange algorithmName="SHA-512" hashValue="XZw03RosI/l0z9FxmTtF29EdZ7P+4+ybhqoaAAUmURojSR5XbGfjC4f2i8gMqfY+RI9JvfdCA6PSh9TduXfUxA==" saltValue="5TPtLq2WoiRSae/yaDPnTw==" spinCount="100000" sqref="IO2039" name="Rango2_99_80_41"/>
    <protectedRange algorithmName="SHA-512" hashValue="XZw03RosI/l0z9FxmTtF29EdZ7P+4+ybhqoaAAUmURojSR5XbGfjC4f2i8gMqfY+RI9JvfdCA6PSh9TduXfUxA==" saltValue="5TPtLq2WoiRSae/yaDPnTw==" spinCount="100000" sqref="EA2040:EJ2040" name="Rango2_99_18_37"/>
    <protectedRange algorithmName="SHA-512" hashValue="9+DNppQbWrLYYUMoJ+lyQctV2bX3Vq9kZnegLbpjTLP49It2ovUbcartuoQTeXgP+TGpY//7mDH/UQlFCKDGiA==" saltValue="KUnni6YEm00anzSSvyLqQA==" spinCount="100000" sqref="EN2040" name="Rango2_22_32"/>
    <protectedRange algorithmName="SHA-512" hashValue="XZw03RosI/l0z9FxmTtF29EdZ7P+4+ybhqoaAAUmURojSR5XbGfjC4f2i8gMqfY+RI9JvfdCA6PSh9TduXfUxA==" saltValue="5TPtLq2WoiRSae/yaDPnTw==" spinCount="100000" sqref="ER2040:ES2040" name="Rango2_99_20_34"/>
    <protectedRange algorithmName="SHA-512" hashValue="XZw03RosI/l0z9FxmTtF29EdZ7P+4+ybhqoaAAUmURojSR5XbGfjC4f2i8gMqfY+RI9JvfdCA6PSh9TduXfUxA==" saltValue="5TPtLq2WoiRSae/yaDPnTw==" spinCount="100000" sqref="EV2040:EW2040" name="Rango2_99_22_34"/>
    <protectedRange algorithmName="SHA-512" hashValue="9+DNppQbWrLYYUMoJ+lyQctV2bX3Vq9kZnegLbpjTLP49It2ovUbcartuoQTeXgP+TGpY//7mDH/UQlFCKDGiA==" saltValue="KUnni6YEm00anzSSvyLqQA==" spinCount="100000" sqref="FC2040" name="Rango2_26_33"/>
    <protectedRange algorithmName="SHA-512" hashValue="XZw03RosI/l0z9FxmTtF29EdZ7P+4+ybhqoaAAUmURojSR5XbGfjC4f2i8gMqfY+RI9JvfdCA6PSh9TduXfUxA==" saltValue="5TPtLq2WoiRSae/yaDPnTw==" spinCount="100000" sqref="FF2040" name="Rango2_99_23_37"/>
    <protectedRange algorithmName="SHA-512" hashValue="9+DNppQbWrLYYUMoJ+lyQctV2bX3Vq9kZnegLbpjTLP49It2ovUbcartuoQTeXgP+TGpY//7mDH/UQlFCKDGiA==" saltValue="KUnni6YEm00anzSSvyLqQA==" spinCount="100000" sqref="FH2040" name="Rango2_35_34"/>
    <protectedRange algorithmName="SHA-512" hashValue="XZw03RosI/l0z9FxmTtF29EdZ7P+4+ybhqoaAAUmURojSR5XbGfjC4f2i8gMqfY+RI9JvfdCA6PSh9TduXfUxA==" saltValue="5TPtLq2WoiRSae/yaDPnTw==" spinCount="100000" sqref="FQ2040:FR2040" name="Rango2_99_27_36"/>
    <protectedRange algorithmName="SHA-512" hashValue="XZw03RosI/l0z9FxmTtF29EdZ7P+4+ybhqoaAAUmURojSR5XbGfjC4f2i8gMqfY+RI9JvfdCA6PSh9TduXfUxA==" saltValue="5TPtLq2WoiRSae/yaDPnTw==" spinCount="100000" sqref="FU2040" name="Rango2_99_29_33"/>
    <protectedRange algorithmName="SHA-512" hashValue="XZw03RosI/l0z9FxmTtF29EdZ7P+4+ybhqoaAAUmURojSR5XbGfjC4f2i8gMqfY+RI9JvfdCA6PSh9TduXfUxA==" saltValue="5TPtLq2WoiRSae/yaDPnTw==" spinCount="100000" sqref="FW2040:FX2040" name="Rango2_99_31_33"/>
    <protectedRange algorithmName="SHA-512" hashValue="Umj9+5Ys20VQPxBFtc6qE5LtKKSgPKwit+B8dd4XnEUaLfBM2ozpkEC4YxwK0SbBiAHDDex+pY+LomQ0lyuamQ==" saltValue="N2/MCRws+mmA+NXw0axolg==" spinCount="100000" sqref="FY2040" name="Rango2_31_2_2_34"/>
    <protectedRange algorithmName="SHA-512" hashValue="Rgskw+AQdeJ5qbJdarzTa3SCkJfDGziy0Uan5N0F3IWn/H3Z/e+VcB56R7Nes7MPxNHewNP1sSSucVjz3iTLeA==" saltValue="qKZH3DnwaZHBzy3cBZo1qQ==" spinCount="100000" sqref="GF2040" name="Rango2_31_28_1_34"/>
    <protectedRange algorithmName="SHA-512" hashValue="Umj9+5Ys20VQPxBFtc6qE5LtKKSgPKwit+B8dd4XnEUaLfBM2ozpkEC4YxwK0SbBiAHDDex+pY+LomQ0lyuamQ==" saltValue="N2/MCRws+mmA+NXw0axolg==" spinCount="100000" sqref="GE2040" name="Rango2_31_2_5_31"/>
    <protectedRange algorithmName="SHA-512" hashValue="Umj9+5Ys20VQPxBFtc6qE5LtKKSgPKwit+B8dd4XnEUaLfBM2ozpkEC4YxwK0SbBiAHDDex+pY+LomQ0lyuamQ==" saltValue="N2/MCRws+mmA+NXw0axolg==" spinCount="100000" sqref="GJ2040 GH2040 GL2040" name="Rango2_31_2_6_31"/>
    <protectedRange algorithmName="SHA-512" hashValue="XZw03RosI/l0z9FxmTtF29EdZ7P+4+ybhqoaAAUmURojSR5XbGfjC4f2i8gMqfY+RI9JvfdCA6PSh9TduXfUxA==" saltValue="5TPtLq2WoiRSae/yaDPnTw==" spinCount="100000" sqref="GO2040 GM2040 GK2040" name="Rango2_99_36_36"/>
    <protectedRange algorithmName="SHA-512" hashValue="EEHzbvEYwO1eufllBljOz0uf9BJ2ENtvOScQ7IsS321QhYbwKn7qhHKKP8cKj02rTDvVRMWvwQ1ZP0mZWsBprQ==" saltValue="CjXqBRFbKezlWOFV37MnDQ==" spinCount="100000" sqref="GQ2040:GR2040" name="Rango2_30_2_2_35"/>
    <protectedRange algorithmName="SHA-512" hashValue="EEHzbvEYwO1eufllBljOz0uf9BJ2ENtvOScQ7IsS321QhYbwKn7qhHKKP8cKj02rTDvVRMWvwQ1ZP0mZWsBprQ==" saltValue="CjXqBRFbKezlWOFV37MnDQ==" spinCount="100000" sqref="GW2040" name="Rango2_30_2_3_33"/>
    <protectedRange algorithmName="SHA-512" hashValue="XZw03RosI/l0z9FxmTtF29EdZ7P+4+ybhqoaAAUmURojSR5XbGfjC4f2i8gMqfY+RI9JvfdCA6PSh9TduXfUxA==" saltValue="5TPtLq2WoiRSae/yaDPnTw==" spinCount="100000" sqref="GY2040:GZ2040" name="Rango2_99_39_31"/>
    <protectedRange algorithmName="SHA-512" hashValue="XZw03RosI/l0z9FxmTtF29EdZ7P+4+ybhqoaAAUmURojSR5XbGfjC4f2i8gMqfY+RI9JvfdCA6PSh9TduXfUxA==" saltValue="5TPtLq2WoiRSae/yaDPnTw==" spinCount="100000" sqref="HJ2040" name="Rango2_99_40_35"/>
    <protectedRange algorithmName="SHA-512" hashValue="9+DNppQbWrLYYUMoJ+lyQctV2bX3Vq9kZnegLbpjTLP49It2ovUbcartuoQTeXgP+TGpY//7mDH/UQlFCKDGiA==" saltValue="KUnni6YEm00anzSSvyLqQA==" spinCount="100000" sqref="HD2040:HI2040" name="Rango2_39_37"/>
    <protectedRange algorithmName="SHA-512" hashValue="XZw03RosI/l0z9FxmTtF29EdZ7P+4+ybhqoaAAUmURojSR5XbGfjC4f2i8gMqfY+RI9JvfdCA6PSh9TduXfUxA==" saltValue="5TPtLq2WoiRSae/yaDPnTw==" spinCount="100000" sqref="IB2040 HU2040:HZ2040" name="Rango2_99_41_32"/>
    <protectedRange algorithmName="SHA-512" hashValue="9+DNppQbWrLYYUMoJ+lyQctV2bX3Vq9kZnegLbpjTLP49It2ovUbcartuoQTeXgP+TGpY//7mDH/UQlFCKDGiA==" saltValue="KUnni6YEm00anzSSvyLqQA==" spinCount="100000" sqref="HS2040:HT2040" name="Rango2_40_35"/>
    <protectedRange algorithmName="SHA-512" hashValue="XZw03RosI/l0z9FxmTtF29EdZ7P+4+ybhqoaAAUmURojSR5XbGfjC4f2i8gMqfY+RI9JvfdCA6PSh9TduXfUxA==" saltValue="5TPtLq2WoiRSae/yaDPnTw==" spinCount="100000" sqref="IL2040:IM2040" name="Rango2_99_79_24"/>
    <protectedRange algorithmName="SHA-512" hashValue="XZw03RosI/l0z9FxmTtF29EdZ7P+4+ybhqoaAAUmURojSR5XbGfjC4f2i8gMqfY+RI9JvfdCA6PSh9TduXfUxA==" saltValue="5TPtLq2WoiRSae/yaDPnTw==" spinCount="100000" sqref="IO2040" name="Rango2_99_80_42"/>
    <protectedRange algorithmName="SHA-512" hashValue="XZw03RosI/l0z9FxmTtF29EdZ7P+4+ybhqoaAAUmURojSR5XbGfjC4f2i8gMqfY+RI9JvfdCA6PSh9TduXfUxA==" saltValue="5TPtLq2WoiRSae/yaDPnTw==" spinCount="100000" sqref="EA2041:EJ2042" name="Rango2_99_18_38"/>
    <protectedRange algorithmName="SHA-512" hashValue="9+DNppQbWrLYYUMoJ+lyQctV2bX3Vq9kZnegLbpjTLP49It2ovUbcartuoQTeXgP+TGpY//7mDH/UQlFCKDGiA==" saltValue="KUnni6YEm00anzSSvyLqQA==" spinCount="100000" sqref="EN2041:EN2042" name="Rango2_22_33"/>
    <protectedRange algorithmName="SHA-512" hashValue="XZw03RosI/l0z9FxmTtF29EdZ7P+4+ybhqoaAAUmURojSR5XbGfjC4f2i8gMqfY+RI9JvfdCA6PSh9TduXfUxA==" saltValue="5TPtLq2WoiRSae/yaDPnTw==" spinCount="100000" sqref="ER2041:ES2042" name="Rango2_99_20_35"/>
    <protectedRange algorithmName="SHA-512" hashValue="XZw03RosI/l0z9FxmTtF29EdZ7P+4+ybhqoaAAUmURojSR5XbGfjC4f2i8gMqfY+RI9JvfdCA6PSh9TduXfUxA==" saltValue="5TPtLq2WoiRSae/yaDPnTw==" spinCount="100000" sqref="EV2041:EW2042" name="Rango2_99_22_35"/>
    <protectedRange algorithmName="SHA-512" hashValue="9+DNppQbWrLYYUMoJ+lyQctV2bX3Vq9kZnegLbpjTLP49It2ovUbcartuoQTeXgP+TGpY//7mDH/UQlFCKDGiA==" saltValue="KUnni6YEm00anzSSvyLqQA==" spinCount="100000" sqref="FC2041:FC2042" name="Rango2_26_34"/>
    <protectedRange algorithmName="SHA-512" hashValue="XZw03RosI/l0z9FxmTtF29EdZ7P+4+ybhqoaAAUmURojSR5XbGfjC4f2i8gMqfY+RI9JvfdCA6PSh9TduXfUxA==" saltValue="5TPtLq2WoiRSae/yaDPnTw==" spinCount="100000" sqref="FF2041:FF2042" name="Rango2_99_23_38"/>
    <protectedRange algorithmName="SHA-512" hashValue="9+DNppQbWrLYYUMoJ+lyQctV2bX3Vq9kZnegLbpjTLP49It2ovUbcartuoQTeXgP+TGpY//7mDH/UQlFCKDGiA==" saltValue="KUnni6YEm00anzSSvyLqQA==" spinCount="100000" sqref="FH2041:FH2042" name="Rango2_35_35"/>
    <protectedRange algorithmName="SHA-512" hashValue="XZw03RosI/l0z9FxmTtF29EdZ7P+4+ybhqoaAAUmURojSR5XbGfjC4f2i8gMqfY+RI9JvfdCA6PSh9TduXfUxA==" saltValue="5TPtLq2WoiRSae/yaDPnTw==" spinCount="100000" sqref="FQ2041:FR2042" name="Rango2_99_27_37"/>
    <protectedRange algorithmName="SHA-512" hashValue="XZw03RosI/l0z9FxmTtF29EdZ7P+4+ybhqoaAAUmURojSR5XbGfjC4f2i8gMqfY+RI9JvfdCA6PSh9TduXfUxA==" saltValue="5TPtLq2WoiRSae/yaDPnTw==" spinCount="100000" sqref="FU2041:FU2042" name="Rango2_99_29_34"/>
    <protectedRange algorithmName="SHA-512" hashValue="XZw03RosI/l0z9FxmTtF29EdZ7P+4+ybhqoaAAUmURojSR5XbGfjC4f2i8gMqfY+RI9JvfdCA6PSh9TduXfUxA==" saltValue="5TPtLq2WoiRSae/yaDPnTw==" spinCount="100000" sqref="FW2041:FX2042" name="Rango2_99_31_34"/>
    <protectedRange algorithmName="SHA-512" hashValue="Umj9+5Ys20VQPxBFtc6qE5LtKKSgPKwit+B8dd4XnEUaLfBM2ozpkEC4YxwK0SbBiAHDDex+pY+LomQ0lyuamQ==" saltValue="N2/MCRws+mmA+NXw0axolg==" spinCount="100000" sqref="FY2041:FY2042" name="Rango2_31_2_2_35"/>
    <protectedRange algorithmName="SHA-512" hashValue="Umj9+5Ys20VQPxBFtc6qE5LtKKSgPKwit+B8dd4XnEUaLfBM2ozpkEC4YxwK0SbBiAHDDex+pY+LomQ0lyuamQ==" saltValue="N2/MCRws+mmA+NXw0axolg==" spinCount="100000" sqref="GB2041:GB2042" name="Rango2_31_2_4_33"/>
    <protectedRange algorithmName="SHA-512" hashValue="Rgskw+AQdeJ5qbJdarzTa3SCkJfDGziy0Uan5N0F3IWn/H3Z/e+VcB56R7Nes7MPxNHewNP1sSSucVjz3iTLeA==" saltValue="qKZH3DnwaZHBzy3cBZo1qQ==" spinCount="100000" sqref="GF2041:GF2042" name="Rango2_31_28_1_35"/>
    <protectedRange algorithmName="SHA-512" hashValue="Umj9+5Ys20VQPxBFtc6qE5LtKKSgPKwit+B8dd4XnEUaLfBM2ozpkEC4YxwK0SbBiAHDDex+pY+LomQ0lyuamQ==" saltValue="N2/MCRws+mmA+NXw0axolg==" spinCount="100000" sqref="GE2041:GE2042" name="Rango2_31_2_5_32"/>
    <protectedRange algorithmName="SHA-512" hashValue="Umj9+5Ys20VQPxBFtc6qE5LtKKSgPKwit+B8dd4XnEUaLfBM2ozpkEC4YxwK0SbBiAHDDex+pY+LomQ0lyuamQ==" saltValue="N2/MCRws+mmA+NXw0axolg==" spinCount="100000" sqref="GJ2041:GJ2042 GH2041:GH2042 GL2041:GL2042" name="Rango2_31_2_6_32"/>
    <protectedRange algorithmName="SHA-512" hashValue="XZw03RosI/l0z9FxmTtF29EdZ7P+4+ybhqoaAAUmURojSR5XbGfjC4f2i8gMqfY+RI9JvfdCA6PSh9TduXfUxA==" saltValue="5TPtLq2WoiRSae/yaDPnTw==" spinCount="100000" sqref="GO2041:GO2042 GM2041:GM2042 GK2041:GK2042" name="Rango2_99_36_37"/>
    <protectedRange algorithmName="SHA-512" hashValue="EEHzbvEYwO1eufllBljOz0uf9BJ2ENtvOScQ7IsS321QhYbwKn7qhHKKP8cKj02rTDvVRMWvwQ1ZP0mZWsBprQ==" saltValue="CjXqBRFbKezlWOFV37MnDQ==" spinCount="100000" sqref="GQ2041:GR2042" name="Rango2_30_2_2_36"/>
    <protectedRange algorithmName="SHA-512" hashValue="EEHzbvEYwO1eufllBljOz0uf9BJ2ENtvOScQ7IsS321QhYbwKn7qhHKKP8cKj02rTDvVRMWvwQ1ZP0mZWsBprQ==" saltValue="CjXqBRFbKezlWOFV37MnDQ==" spinCount="100000" sqref="GW2041:GW2042" name="Rango2_30_2_3_34"/>
    <protectedRange algorithmName="SHA-512" hashValue="XZw03RosI/l0z9FxmTtF29EdZ7P+4+ybhqoaAAUmURojSR5XbGfjC4f2i8gMqfY+RI9JvfdCA6PSh9TduXfUxA==" saltValue="5TPtLq2WoiRSae/yaDPnTw==" spinCount="100000" sqref="GY2041:GZ2042" name="Rango2_99_39_32"/>
    <protectedRange algorithmName="SHA-512" hashValue="XZw03RosI/l0z9FxmTtF29EdZ7P+4+ybhqoaAAUmURojSR5XbGfjC4f2i8gMqfY+RI9JvfdCA6PSh9TduXfUxA==" saltValue="5TPtLq2WoiRSae/yaDPnTw==" spinCount="100000" sqref="HJ2041:HJ2042" name="Rango2_99_40_36"/>
    <protectedRange algorithmName="SHA-512" hashValue="9+DNppQbWrLYYUMoJ+lyQctV2bX3Vq9kZnegLbpjTLP49It2ovUbcartuoQTeXgP+TGpY//7mDH/UQlFCKDGiA==" saltValue="KUnni6YEm00anzSSvyLqQA==" spinCount="100000" sqref="HD2041:HI2042" name="Rango2_39_38"/>
    <protectedRange algorithmName="SHA-512" hashValue="XZw03RosI/l0z9FxmTtF29EdZ7P+4+ybhqoaAAUmURojSR5XbGfjC4f2i8gMqfY+RI9JvfdCA6PSh9TduXfUxA==" saltValue="5TPtLq2WoiRSae/yaDPnTw==" spinCount="100000" sqref="IB2041:IB2042 HU2041:HZ2042" name="Rango2_99_41_33"/>
    <protectedRange algorithmName="SHA-512" hashValue="9+DNppQbWrLYYUMoJ+lyQctV2bX3Vq9kZnegLbpjTLP49It2ovUbcartuoQTeXgP+TGpY//7mDH/UQlFCKDGiA==" saltValue="KUnni6YEm00anzSSvyLqQA==" spinCount="100000" sqref="HS2041:HT2042" name="Rango2_40_36"/>
    <protectedRange algorithmName="SHA-512" hashValue="XZw03RosI/l0z9FxmTtF29EdZ7P+4+ybhqoaAAUmURojSR5XbGfjC4f2i8gMqfY+RI9JvfdCA6PSh9TduXfUxA==" saltValue="5TPtLq2WoiRSae/yaDPnTw==" spinCount="100000" sqref="IL2041:IM2042" name="Rango2_99_79_25"/>
    <protectedRange algorithmName="SHA-512" hashValue="XZw03RosI/l0z9FxmTtF29EdZ7P+4+ybhqoaAAUmURojSR5XbGfjC4f2i8gMqfY+RI9JvfdCA6PSh9TduXfUxA==" saltValue="5TPtLq2WoiRSae/yaDPnTw==" spinCount="100000" sqref="IO2042" name="Rango2_99_80_43"/>
    <protectedRange algorithmName="SHA-512" hashValue="XZw03RosI/l0z9FxmTtF29EdZ7P+4+ybhqoaAAUmURojSR5XbGfjC4f2i8gMqfY+RI9JvfdCA6PSh9TduXfUxA==" saltValue="5TPtLq2WoiRSae/yaDPnTw==" spinCount="100000" sqref="EA2043:EJ2044" name="Rango2_99_18_39"/>
    <protectedRange algorithmName="SHA-512" hashValue="9+DNppQbWrLYYUMoJ+lyQctV2bX3Vq9kZnegLbpjTLP49It2ovUbcartuoQTeXgP+TGpY//7mDH/UQlFCKDGiA==" saltValue="KUnni6YEm00anzSSvyLqQA==" spinCount="100000" sqref="EN2043:EN2044" name="Rango2_22_34"/>
    <protectedRange algorithmName="SHA-512" hashValue="XZw03RosI/l0z9FxmTtF29EdZ7P+4+ybhqoaAAUmURojSR5XbGfjC4f2i8gMqfY+RI9JvfdCA6PSh9TduXfUxA==" saltValue="5TPtLq2WoiRSae/yaDPnTw==" spinCount="100000" sqref="ER2043:ES2044" name="Rango2_99_20_36"/>
    <protectedRange algorithmName="SHA-512" hashValue="XZw03RosI/l0z9FxmTtF29EdZ7P+4+ybhqoaAAUmURojSR5XbGfjC4f2i8gMqfY+RI9JvfdCA6PSh9TduXfUxA==" saltValue="5TPtLq2WoiRSae/yaDPnTw==" spinCount="100000" sqref="EV2043:EW2044" name="Rango2_99_22_36"/>
    <protectedRange algorithmName="SHA-512" hashValue="9+DNppQbWrLYYUMoJ+lyQctV2bX3Vq9kZnegLbpjTLP49It2ovUbcartuoQTeXgP+TGpY//7mDH/UQlFCKDGiA==" saltValue="KUnni6YEm00anzSSvyLqQA==" spinCount="100000" sqref="FC2043:FC2044" name="Rango2_26_35"/>
    <protectedRange algorithmName="SHA-512" hashValue="XZw03RosI/l0z9FxmTtF29EdZ7P+4+ybhqoaAAUmURojSR5XbGfjC4f2i8gMqfY+RI9JvfdCA6PSh9TduXfUxA==" saltValue="5TPtLq2WoiRSae/yaDPnTw==" spinCount="100000" sqref="FF2043:FF2044" name="Rango2_99_23_39"/>
    <protectedRange algorithmName="SHA-512" hashValue="9+DNppQbWrLYYUMoJ+lyQctV2bX3Vq9kZnegLbpjTLP49It2ovUbcartuoQTeXgP+TGpY//7mDH/UQlFCKDGiA==" saltValue="KUnni6YEm00anzSSvyLqQA==" spinCount="100000" sqref="FH2043:FH2044" name="Rango2_35_36"/>
    <protectedRange algorithmName="SHA-512" hashValue="XZw03RosI/l0z9FxmTtF29EdZ7P+4+ybhqoaAAUmURojSR5XbGfjC4f2i8gMqfY+RI9JvfdCA6PSh9TduXfUxA==" saltValue="5TPtLq2WoiRSae/yaDPnTw==" spinCount="100000" sqref="FQ2043:FR2044" name="Rango2_99_27_38"/>
    <protectedRange algorithmName="SHA-512" hashValue="XZw03RosI/l0z9FxmTtF29EdZ7P+4+ybhqoaAAUmURojSR5XbGfjC4f2i8gMqfY+RI9JvfdCA6PSh9TduXfUxA==" saltValue="5TPtLq2WoiRSae/yaDPnTw==" spinCount="100000" sqref="FU2043:FU2044" name="Rango2_99_29_35"/>
    <protectedRange algorithmName="SHA-512" hashValue="XZw03RosI/l0z9FxmTtF29EdZ7P+4+ybhqoaAAUmURojSR5XbGfjC4f2i8gMqfY+RI9JvfdCA6PSh9TduXfUxA==" saltValue="5TPtLq2WoiRSae/yaDPnTw==" spinCount="100000" sqref="FW2043:FX2044" name="Rango2_99_31_35"/>
    <protectedRange algorithmName="SHA-512" hashValue="Umj9+5Ys20VQPxBFtc6qE5LtKKSgPKwit+B8dd4XnEUaLfBM2ozpkEC4YxwK0SbBiAHDDex+pY+LomQ0lyuamQ==" saltValue="N2/MCRws+mmA+NXw0axolg==" spinCount="100000" sqref="FY2043:FY2044" name="Rango2_31_2_2_36"/>
    <protectedRange algorithmName="SHA-512" hashValue="Rgskw+AQdeJ5qbJdarzTa3SCkJfDGziy0Uan5N0F3IWn/H3Z/e+VcB56R7Nes7MPxNHewNP1sSSucVjz3iTLeA==" saltValue="qKZH3DnwaZHBzy3cBZo1qQ==" spinCount="100000" sqref="GF2043:GF2044" name="Rango2_31_28_1_36"/>
    <protectedRange algorithmName="SHA-512" hashValue="Umj9+5Ys20VQPxBFtc6qE5LtKKSgPKwit+B8dd4XnEUaLfBM2ozpkEC4YxwK0SbBiAHDDex+pY+LomQ0lyuamQ==" saltValue="N2/MCRws+mmA+NXw0axolg==" spinCount="100000" sqref="GE2043:GE2044" name="Rango2_31_2_5_33"/>
    <protectedRange algorithmName="SHA-512" hashValue="Umj9+5Ys20VQPxBFtc6qE5LtKKSgPKwit+B8dd4XnEUaLfBM2ozpkEC4YxwK0SbBiAHDDex+pY+LomQ0lyuamQ==" saltValue="N2/MCRws+mmA+NXw0axolg==" spinCount="100000" sqref="GJ2043:GJ2044 GH2043:GH2044 GL2043:GL2044" name="Rango2_31_2_6_33"/>
    <protectedRange algorithmName="SHA-512" hashValue="XZw03RosI/l0z9FxmTtF29EdZ7P+4+ybhqoaAAUmURojSR5XbGfjC4f2i8gMqfY+RI9JvfdCA6PSh9TduXfUxA==" saltValue="5TPtLq2WoiRSae/yaDPnTw==" spinCount="100000" sqref="GO2043:GO2044 GM2043:GM2044 GK2043:GK2044" name="Rango2_99_36_38"/>
    <protectedRange algorithmName="SHA-512" hashValue="EEHzbvEYwO1eufllBljOz0uf9BJ2ENtvOScQ7IsS321QhYbwKn7qhHKKP8cKj02rTDvVRMWvwQ1ZP0mZWsBprQ==" saltValue="CjXqBRFbKezlWOFV37MnDQ==" spinCount="100000" sqref="GQ2043:GR2044" name="Rango2_30_2_2_37"/>
    <protectedRange algorithmName="SHA-512" hashValue="EEHzbvEYwO1eufllBljOz0uf9BJ2ENtvOScQ7IsS321QhYbwKn7qhHKKP8cKj02rTDvVRMWvwQ1ZP0mZWsBprQ==" saltValue="CjXqBRFbKezlWOFV37MnDQ==" spinCount="100000" sqref="GW2043:GW2044" name="Rango2_30_2_3_35"/>
    <protectedRange algorithmName="SHA-512" hashValue="XZw03RosI/l0z9FxmTtF29EdZ7P+4+ybhqoaAAUmURojSR5XbGfjC4f2i8gMqfY+RI9JvfdCA6PSh9TduXfUxA==" saltValue="5TPtLq2WoiRSae/yaDPnTw==" spinCount="100000" sqref="GY2043:GZ2044" name="Rango2_99_39_33"/>
    <protectedRange algorithmName="SHA-512" hashValue="XZw03RosI/l0z9FxmTtF29EdZ7P+4+ybhqoaAAUmURojSR5XbGfjC4f2i8gMqfY+RI9JvfdCA6PSh9TduXfUxA==" saltValue="5TPtLq2WoiRSae/yaDPnTw==" spinCount="100000" sqref="HJ2043:HJ2044" name="Rango2_99_40_37"/>
    <protectedRange algorithmName="SHA-512" hashValue="9+DNppQbWrLYYUMoJ+lyQctV2bX3Vq9kZnegLbpjTLP49It2ovUbcartuoQTeXgP+TGpY//7mDH/UQlFCKDGiA==" saltValue="KUnni6YEm00anzSSvyLqQA==" spinCount="100000" sqref="HD2043:HI2044" name="Rango2_39_39"/>
    <protectedRange algorithmName="SHA-512" hashValue="XZw03RosI/l0z9FxmTtF29EdZ7P+4+ybhqoaAAUmURojSR5XbGfjC4f2i8gMqfY+RI9JvfdCA6PSh9TduXfUxA==" saltValue="5TPtLq2WoiRSae/yaDPnTw==" spinCount="100000" sqref="IB2043:IB2044 HU2043:HZ2044" name="Rango2_99_41_34"/>
    <protectedRange algorithmName="SHA-512" hashValue="9+DNppQbWrLYYUMoJ+lyQctV2bX3Vq9kZnegLbpjTLP49It2ovUbcartuoQTeXgP+TGpY//7mDH/UQlFCKDGiA==" saltValue="KUnni6YEm00anzSSvyLqQA==" spinCount="100000" sqref="HS2043:HT2044" name="Rango2_40_37"/>
    <protectedRange algorithmName="SHA-512" hashValue="XZw03RosI/l0z9FxmTtF29EdZ7P+4+ybhqoaAAUmURojSR5XbGfjC4f2i8gMqfY+RI9JvfdCA6PSh9TduXfUxA==" saltValue="5TPtLq2WoiRSae/yaDPnTw==" spinCount="100000" sqref="IL2043:IM2044" name="Rango2_99_79_26"/>
    <protectedRange algorithmName="SHA-512" hashValue="XZw03RosI/l0z9FxmTtF29EdZ7P+4+ybhqoaAAUmURojSR5XbGfjC4f2i8gMqfY+RI9JvfdCA6PSh9TduXfUxA==" saltValue="5TPtLq2WoiRSae/yaDPnTw==" spinCount="100000" sqref="IO2043:IO2044" name="Rango2_99_80_44"/>
    <protectedRange algorithmName="SHA-512" hashValue="XZw03RosI/l0z9FxmTtF29EdZ7P+4+ybhqoaAAUmURojSR5XbGfjC4f2i8gMqfY+RI9JvfdCA6PSh9TduXfUxA==" saltValue="5TPtLq2WoiRSae/yaDPnTw==" spinCount="100000" sqref="EA2045:EJ2046" name="Rango2_99_18_40"/>
    <protectedRange algorithmName="SHA-512" hashValue="9+DNppQbWrLYYUMoJ+lyQctV2bX3Vq9kZnegLbpjTLP49It2ovUbcartuoQTeXgP+TGpY//7mDH/UQlFCKDGiA==" saltValue="KUnni6YEm00anzSSvyLqQA==" spinCount="100000" sqref="EN2045:EN2046" name="Rango2_22_35"/>
    <protectedRange algorithmName="SHA-512" hashValue="XZw03RosI/l0z9FxmTtF29EdZ7P+4+ybhqoaAAUmURojSR5XbGfjC4f2i8gMqfY+RI9JvfdCA6PSh9TduXfUxA==" saltValue="5TPtLq2WoiRSae/yaDPnTw==" spinCount="100000" sqref="ER2045:ES2046" name="Rango2_99_20_37"/>
    <protectedRange algorithmName="SHA-512" hashValue="XZw03RosI/l0z9FxmTtF29EdZ7P+4+ybhqoaAAUmURojSR5XbGfjC4f2i8gMqfY+RI9JvfdCA6PSh9TduXfUxA==" saltValue="5TPtLq2WoiRSae/yaDPnTw==" spinCount="100000" sqref="EV2045:EW2046" name="Rango2_99_22_37"/>
    <protectedRange algorithmName="SHA-512" hashValue="9+DNppQbWrLYYUMoJ+lyQctV2bX3Vq9kZnegLbpjTLP49It2ovUbcartuoQTeXgP+TGpY//7mDH/UQlFCKDGiA==" saltValue="KUnni6YEm00anzSSvyLqQA==" spinCount="100000" sqref="FC2045:FC2046" name="Rango2_26_36"/>
    <protectedRange algorithmName="SHA-512" hashValue="XZw03RosI/l0z9FxmTtF29EdZ7P+4+ybhqoaAAUmURojSR5XbGfjC4f2i8gMqfY+RI9JvfdCA6PSh9TduXfUxA==" saltValue="5TPtLq2WoiRSae/yaDPnTw==" spinCount="100000" sqref="FF2045:FF2046" name="Rango2_99_23_40"/>
    <protectedRange algorithmName="SHA-512" hashValue="9+DNppQbWrLYYUMoJ+lyQctV2bX3Vq9kZnegLbpjTLP49It2ovUbcartuoQTeXgP+TGpY//7mDH/UQlFCKDGiA==" saltValue="KUnni6YEm00anzSSvyLqQA==" spinCount="100000" sqref="FH2045:FH2046" name="Rango2_35_37"/>
    <protectedRange algorithmName="SHA-512" hashValue="XZw03RosI/l0z9FxmTtF29EdZ7P+4+ybhqoaAAUmURojSR5XbGfjC4f2i8gMqfY+RI9JvfdCA6PSh9TduXfUxA==" saltValue="5TPtLq2WoiRSae/yaDPnTw==" spinCount="100000" sqref="FQ2045:FR2046" name="Rango2_99_27_39"/>
    <protectedRange algorithmName="SHA-512" hashValue="XZw03RosI/l0z9FxmTtF29EdZ7P+4+ybhqoaAAUmURojSR5XbGfjC4f2i8gMqfY+RI9JvfdCA6PSh9TduXfUxA==" saltValue="5TPtLq2WoiRSae/yaDPnTw==" spinCount="100000" sqref="FU2045:FU2046" name="Rango2_99_29_36"/>
    <protectedRange algorithmName="SHA-512" hashValue="XZw03RosI/l0z9FxmTtF29EdZ7P+4+ybhqoaAAUmURojSR5XbGfjC4f2i8gMqfY+RI9JvfdCA6PSh9TduXfUxA==" saltValue="5TPtLq2WoiRSae/yaDPnTw==" spinCount="100000" sqref="FW2045:FX2046" name="Rango2_99_31_36"/>
    <protectedRange algorithmName="SHA-512" hashValue="Umj9+5Ys20VQPxBFtc6qE5LtKKSgPKwit+B8dd4XnEUaLfBM2ozpkEC4YxwK0SbBiAHDDex+pY+LomQ0lyuamQ==" saltValue="N2/MCRws+mmA+NXw0axolg==" spinCount="100000" sqref="FY2045:FY2046" name="Rango2_31_2_2_37"/>
    <protectedRange algorithmName="SHA-512" hashValue="Rgskw+AQdeJ5qbJdarzTa3SCkJfDGziy0Uan5N0F3IWn/H3Z/e+VcB56R7Nes7MPxNHewNP1sSSucVjz3iTLeA==" saltValue="qKZH3DnwaZHBzy3cBZo1qQ==" spinCount="100000" sqref="GF2045:GF2046" name="Rango2_31_28_1_37"/>
    <protectedRange algorithmName="SHA-512" hashValue="Umj9+5Ys20VQPxBFtc6qE5LtKKSgPKwit+B8dd4XnEUaLfBM2ozpkEC4YxwK0SbBiAHDDex+pY+LomQ0lyuamQ==" saltValue="N2/MCRws+mmA+NXw0axolg==" spinCount="100000" sqref="GE2045:GE2046" name="Rango2_31_2_5_34"/>
    <protectedRange algorithmName="SHA-512" hashValue="Umj9+5Ys20VQPxBFtc6qE5LtKKSgPKwit+B8dd4XnEUaLfBM2ozpkEC4YxwK0SbBiAHDDex+pY+LomQ0lyuamQ==" saltValue="N2/MCRws+mmA+NXw0axolg==" spinCount="100000" sqref="GJ2045:GJ2046 GH2045:GH2046 GL2045:GL2046" name="Rango2_31_2_6_34"/>
    <protectedRange algorithmName="SHA-512" hashValue="XZw03RosI/l0z9FxmTtF29EdZ7P+4+ybhqoaAAUmURojSR5XbGfjC4f2i8gMqfY+RI9JvfdCA6PSh9TduXfUxA==" saltValue="5TPtLq2WoiRSae/yaDPnTw==" spinCount="100000" sqref="GO2045:GO2046 GM2045:GM2046 GK2045:GK2046" name="Rango2_99_36_39"/>
    <protectedRange algorithmName="SHA-512" hashValue="EEHzbvEYwO1eufllBljOz0uf9BJ2ENtvOScQ7IsS321QhYbwKn7qhHKKP8cKj02rTDvVRMWvwQ1ZP0mZWsBprQ==" saltValue="CjXqBRFbKezlWOFV37MnDQ==" spinCount="100000" sqref="GQ2045:GR2046" name="Rango2_30_2_2_38"/>
    <protectedRange algorithmName="SHA-512" hashValue="EEHzbvEYwO1eufllBljOz0uf9BJ2ENtvOScQ7IsS321QhYbwKn7qhHKKP8cKj02rTDvVRMWvwQ1ZP0mZWsBprQ==" saltValue="CjXqBRFbKezlWOFV37MnDQ==" spinCount="100000" sqref="GW2045:GW2046" name="Rango2_30_2_3_36"/>
    <protectedRange algorithmName="SHA-512" hashValue="XZw03RosI/l0z9FxmTtF29EdZ7P+4+ybhqoaAAUmURojSR5XbGfjC4f2i8gMqfY+RI9JvfdCA6PSh9TduXfUxA==" saltValue="5TPtLq2WoiRSae/yaDPnTw==" spinCount="100000" sqref="GY2045:GZ2046" name="Rango2_99_39_34"/>
    <protectedRange algorithmName="SHA-512" hashValue="XZw03RosI/l0z9FxmTtF29EdZ7P+4+ybhqoaAAUmURojSR5XbGfjC4f2i8gMqfY+RI9JvfdCA6PSh9TduXfUxA==" saltValue="5TPtLq2WoiRSae/yaDPnTw==" spinCount="100000" sqref="HJ2045:HJ2046" name="Rango2_99_40_38"/>
    <protectedRange algorithmName="SHA-512" hashValue="9+DNppQbWrLYYUMoJ+lyQctV2bX3Vq9kZnegLbpjTLP49It2ovUbcartuoQTeXgP+TGpY//7mDH/UQlFCKDGiA==" saltValue="KUnni6YEm00anzSSvyLqQA==" spinCount="100000" sqref="HD2045:HI2046" name="Rango2_39_40"/>
    <protectedRange algorithmName="SHA-512" hashValue="XZw03RosI/l0z9FxmTtF29EdZ7P+4+ybhqoaAAUmURojSR5XbGfjC4f2i8gMqfY+RI9JvfdCA6PSh9TduXfUxA==" saltValue="5TPtLq2WoiRSae/yaDPnTw==" spinCount="100000" sqref="IB2045:IB2046 HU2045:HZ2046" name="Rango2_99_41_35"/>
    <protectedRange algorithmName="SHA-512" hashValue="9+DNppQbWrLYYUMoJ+lyQctV2bX3Vq9kZnegLbpjTLP49It2ovUbcartuoQTeXgP+TGpY//7mDH/UQlFCKDGiA==" saltValue="KUnni6YEm00anzSSvyLqQA==" spinCount="100000" sqref="HS2045:HT2046" name="Rango2_40_38"/>
    <protectedRange algorithmName="SHA-512" hashValue="XZw03RosI/l0z9FxmTtF29EdZ7P+4+ybhqoaAAUmURojSR5XbGfjC4f2i8gMqfY+RI9JvfdCA6PSh9TduXfUxA==" saltValue="5TPtLq2WoiRSae/yaDPnTw==" spinCount="100000" sqref="IL2045:IM2046" name="Rango2_99_79_27"/>
    <protectedRange algorithmName="SHA-512" hashValue="XZw03RosI/l0z9FxmTtF29EdZ7P+4+ybhqoaAAUmURojSR5XbGfjC4f2i8gMqfY+RI9JvfdCA6PSh9TduXfUxA==" saltValue="5TPtLq2WoiRSae/yaDPnTw==" spinCount="100000" sqref="IO2045:IO2046" name="Rango2_99_80_45"/>
    <protectedRange algorithmName="SHA-512" hashValue="XZw03RosI/l0z9FxmTtF29EdZ7P+4+ybhqoaAAUmURojSR5XbGfjC4f2i8gMqfY+RI9JvfdCA6PSh9TduXfUxA==" saltValue="5TPtLq2WoiRSae/yaDPnTw==" spinCount="100000" sqref="EA2047:EJ2047" name="Rango2_99_18_41"/>
    <protectedRange algorithmName="SHA-512" hashValue="9+DNppQbWrLYYUMoJ+lyQctV2bX3Vq9kZnegLbpjTLP49It2ovUbcartuoQTeXgP+TGpY//7mDH/UQlFCKDGiA==" saltValue="KUnni6YEm00anzSSvyLqQA==" spinCount="100000" sqref="EN2047" name="Rango2_22_36"/>
    <protectedRange algorithmName="SHA-512" hashValue="XZw03RosI/l0z9FxmTtF29EdZ7P+4+ybhqoaAAUmURojSR5XbGfjC4f2i8gMqfY+RI9JvfdCA6PSh9TduXfUxA==" saltValue="5TPtLq2WoiRSae/yaDPnTw==" spinCount="100000" sqref="ER2047:ES2047" name="Rango2_99_20_38"/>
    <protectedRange algorithmName="SHA-512" hashValue="XZw03RosI/l0z9FxmTtF29EdZ7P+4+ybhqoaAAUmURojSR5XbGfjC4f2i8gMqfY+RI9JvfdCA6PSh9TduXfUxA==" saltValue="5TPtLq2WoiRSae/yaDPnTw==" spinCount="100000" sqref="EV2047:EW2047" name="Rango2_99_22_38"/>
    <protectedRange algorithmName="SHA-512" hashValue="9+DNppQbWrLYYUMoJ+lyQctV2bX3Vq9kZnegLbpjTLP49It2ovUbcartuoQTeXgP+TGpY//7mDH/UQlFCKDGiA==" saltValue="KUnni6YEm00anzSSvyLqQA==" spinCount="100000" sqref="FC2047" name="Rango2_26_37"/>
    <protectedRange algorithmName="SHA-512" hashValue="XZw03RosI/l0z9FxmTtF29EdZ7P+4+ybhqoaAAUmURojSR5XbGfjC4f2i8gMqfY+RI9JvfdCA6PSh9TduXfUxA==" saltValue="5TPtLq2WoiRSae/yaDPnTw==" spinCount="100000" sqref="FF2047" name="Rango2_99_23_41"/>
    <protectedRange algorithmName="SHA-512" hashValue="9+DNppQbWrLYYUMoJ+lyQctV2bX3Vq9kZnegLbpjTLP49It2ovUbcartuoQTeXgP+TGpY//7mDH/UQlFCKDGiA==" saltValue="KUnni6YEm00anzSSvyLqQA==" spinCount="100000" sqref="FH2047" name="Rango2_35_38"/>
    <protectedRange algorithmName="SHA-512" hashValue="XZw03RosI/l0z9FxmTtF29EdZ7P+4+ybhqoaAAUmURojSR5XbGfjC4f2i8gMqfY+RI9JvfdCA6PSh9TduXfUxA==" saltValue="5TPtLq2WoiRSae/yaDPnTw==" spinCount="100000" sqref="FQ2047:FR2047" name="Rango2_99_27_40"/>
    <protectedRange algorithmName="SHA-512" hashValue="XZw03RosI/l0z9FxmTtF29EdZ7P+4+ybhqoaAAUmURojSR5XbGfjC4f2i8gMqfY+RI9JvfdCA6PSh9TduXfUxA==" saltValue="5TPtLq2WoiRSae/yaDPnTw==" spinCount="100000" sqref="FU2047" name="Rango2_99_29_37"/>
    <protectedRange algorithmName="SHA-512" hashValue="XZw03RosI/l0z9FxmTtF29EdZ7P+4+ybhqoaAAUmURojSR5XbGfjC4f2i8gMqfY+RI9JvfdCA6PSh9TduXfUxA==" saltValue="5TPtLq2WoiRSae/yaDPnTw==" spinCount="100000" sqref="FW2047:FX2047" name="Rango2_99_31_37"/>
    <protectedRange algorithmName="SHA-512" hashValue="Umj9+5Ys20VQPxBFtc6qE5LtKKSgPKwit+B8dd4XnEUaLfBM2ozpkEC4YxwK0SbBiAHDDex+pY+LomQ0lyuamQ==" saltValue="N2/MCRws+mmA+NXw0axolg==" spinCount="100000" sqref="FY2047" name="Rango2_31_2_2_38"/>
    <protectedRange algorithmName="SHA-512" hashValue="Rgskw+AQdeJ5qbJdarzTa3SCkJfDGziy0Uan5N0F3IWn/H3Z/e+VcB56R7Nes7MPxNHewNP1sSSucVjz3iTLeA==" saltValue="qKZH3DnwaZHBzy3cBZo1qQ==" spinCount="100000" sqref="GF2047" name="Rango2_31_28_1_38"/>
    <protectedRange algorithmName="SHA-512" hashValue="Umj9+5Ys20VQPxBFtc6qE5LtKKSgPKwit+B8dd4XnEUaLfBM2ozpkEC4YxwK0SbBiAHDDex+pY+LomQ0lyuamQ==" saltValue="N2/MCRws+mmA+NXw0axolg==" spinCount="100000" sqref="GE2047" name="Rango2_31_2_5_35"/>
    <protectedRange algorithmName="SHA-512" hashValue="Umj9+5Ys20VQPxBFtc6qE5LtKKSgPKwit+B8dd4XnEUaLfBM2ozpkEC4YxwK0SbBiAHDDex+pY+LomQ0lyuamQ==" saltValue="N2/MCRws+mmA+NXw0axolg==" spinCount="100000" sqref="GJ2047 GH2047 GL2047" name="Rango2_31_2_6_35"/>
    <protectedRange algorithmName="SHA-512" hashValue="XZw03RosI/l0z9FxmTtF29EdZ7P+4+ybhqoaAAUmURojSR5XbGfjC4f2i8gMqfY+RI9JvfdCA6PSh9TduXfUxA==" saltValue="5TPtLq2WoiRSae/yaDPnTw==" spinCount="100000" sqref="GO2047 GM2047 GK2047" name="Rango2_99_36_40"/>
    <protectedRange algorithmName="SHA-512" hashValue="EEHzbvEYwO1eufllBljOz0uf9BJ2ENtvOScQ7IsS321QhYbwKn7qhHKKP8cKj02rTDvVRMWvwQ1ZP0mZWsBprQ==" saltValue="CjXqBRFbKezlWOFV37MnDQ==" spinCount="100000" sqref="GQ2047:GR2047" name="Rango2_30_2_2_39"/>
    <protectedRange algorithmName="SHA-512" hashValue="EEHzbvEYwO1eufllBljOz0uf9BJ2ENtvOScQ7IsS321QhYbwKn7qhHKKP8cKj02rTDvVRMWvwQ1ZP0mZWsBprQ==" saltValue="CjXqBRFbKezlWOFV37MnDQ==" spinCount="100000" sqref="GW2047" name="Rango2_30_2_3_37"/>
    <protectedRange algorithmName="SHA-512" hashValue="XZw03RosI/l0z9FxmTtF29EdZ7P+4+ybhqoaAAUmURojSR5XbGfjC4f2i8gMqfY+RI9JvfdCA6PSh9TduXfUxA==" saltValue="5TPtLq2WoiRSae/yaDPnTw==" spinCount="100000" sqref="GY2047:GZ2047" name="Rango2_99_39_35"/>
    <protectedRange algorithmName="SHA-512" hashValue="XZw03RosI/l0z9FxmTtF29EdZ7P+4+ybhqoaAAUmURojSR5XbGfjC4f2i8gMqfY+RI9JvfdCA6PSh9TduXfUxA==" saltValue="5TPtLq2WoiRSae/yaDPnTw==" spinCount="100000" sqref="HJ2047" name="Rango2_99_40_39"/>
    <protectedRange algorithmName="SHA-512" hashValue="9+DNppQbWrLYYUMoJ+lyQctV2bX3Vq9kZnegLbpjTLP49It2ovUbcartuoQTeXgP+TGpY//7mDH/UQlFCKDGiA==" saltValue="KUnni6YEm00anzSSvyLqQA==" spinCount="100000" sqref="HD2047:HI2047" name="Rango2_39_41"/>
    <protectedRange algorithmName="SHA-512" hashValue="XZw03RosI/l0z9FxmTtF29EdZ7P+4+ybhqoaAAUmURojSR5XbGfjC4f2i8gMqfY+RI9JvfdCA6PSh9TduXfUxA==" saltValue="5TPtLq2WoiRSae/yaDPnTw==" spinCount="100000" sqref="IB2047 HU2047:HZ2047" name="Rango2_99_41_36"/>
    <protectedRange algorithmName="SHA-512" hashValue="9+DNppQbWrLYYUMoJ+lyQctV2bX3Vq9kZnegLbpjTLP49It2ovUbcartuoQTeXgP+TGpY//7mDH/UQlFCKDGiA==" saltValue="KUnni6YEm00anzSSvyLqQA==" spinCount="100000" sqref="HS2047:HT2047" name="Rango2_40_39"/>
    <protectedRange algorithmName="SHA-512" hashValue="XZw03RosI/l0z9FxmTtF29EdZ7P+4+ybhqoaAAUmURojSR5XbGfjC4f2i8gMqfY+RI9JvfdCA6PSh9TduXfUxA==" saltValue="5TPtLq2WoiRSae/yaDPnTw==" spinCount="100000" sqref="IL2047:IM2047" name="Rango2_99_79_28"/>
    <protectedRange algorithmName="SHA-512" hashValue="XZw03RosI/l0z9FxmTtF29EdZ7P+4+ybhqoaAAUmURojSR5XbGfjC4f2i8gMqfY+RI9JvfdCA6PSh9TduXfUxA==" saltValue="5TPtLq2WoiRSae/yaDPnTw==" spinCount="100000" sqref="IO2047" name="Rango2_99_80_46"/>
    <protectedRange algorithmName="SHA-512" hashValue="XZw03RosI/l0z9FxmTtF29EdZ7P+4+ybhqoaAAUmURojSR5XbGfjC4f2i8gMqfY+RI9JvfdCA6PSh9TduXfUxA==" saltValue="5TPtLq2WoiRSae/yaDPnTw==" spinCount="100000" sqref="EA2048:EJ2053" name="Rango2_99_18_42"/>
    <protectedRange algorithmName="SHA-512" hashValue="9+DNppQbWrLYYUMoJ+lyQctV2bX3Vq9kZnegLbpjTLP49It2ovUbcartuoQTeXgP+TGpY//7mDH/UQlFCKDGiA==" saltValue="KUnni6YEm00anzSSvyLqQA==" spinCount="100000" sqref="EN2048:EN2053" name="Rango2_22_37"/>
    <protectedRange algorithmName="SHA-512" hashValue="XZw03RosI/l0z9FxmTtF29EdZ7P+4+ybhqoaAAUmURojSR5XbGfjC4f2i8gMqfY+RI9JvfdCA6PSh9TduXfUxA==" saltValue="5TPtLq2WoiRSae/yaDPnTw==" spinCount="100000" sqref="ER2048:ES2053" name="Rango2_99_20_39"/>
    <protectedRange algorithmName="SHA-512" hashValue="XZw03RosI/l0z9FxmTtF29EdZ7P+4+ybhqoaAAUmURojSR5XbGfjC4f2i8gMqfY+RI9JvfdCA6PSh9TduXfUxA==" saltValue="5TPtLq2WoiRSae/yaDPnTw==" spinCount="100000" sqref="EV2048:EW2053" name="Rango2_99_22_39"/>
    <protectedRange algorithmName="SHA-512" hashValue="9+DNppQbWrLYYUMoJ+lyQctV2bX3Vq9kZnegLbpjTLP49It2ovUbcartuoQTeXgP+TGpY//7mDH/UQlFCKDGiA==" saltValue="KUnni6YEm00anzSSvyLqQA==" spinCount="100000" sqref="FC2048:FC2053" name="Rango2_26_38"/>
    <protectedRange algorithmName="SHA-512" hashValue="XZw03RosI/l0z9FxmTtF29EdZ7P+4+ybhqoaAAUmURojSR5XbGfjC4f2i8gMqfY+RI9JvfdCA6PSh9TduXfUxA==" saltValue="5TPtLq2WoiRSae/yaDPnTw==" spinCount="100000" sqref="FF2048:FF2053" name="Rango2_99_23_42"/>
    <protectedRange algorithmName="SHA-512" hashValue="9+DNppQbWrLYYUMoJ+lyQctV2bX3Vq9kZnegLbpjTLP49It2ovUbcartuoQTeXgP+TGpY//7mDH/UQlFCKDGiA==" saltValue="KUnni6YEm00anzSSvyLqQA==" spinCount="100000" sqref="FH2048:FH2053" name="Rango2_35_39"/>
    <protectedRange algorithmName="SHA-512" hashValue="XZw03RosI/l0z9FxmTtF29EdZ7P+4+ybhqoaAAUmURojSR5XbGfjC4f2i8gMqfY+RI9JvfdCA6PSh9TduXfUxA==" saltValue="5TPtLq2WoiRSae/yaDPnTw==" spinCount="100000" sqref="FQ2048:FR2053" name="Rango2_99_27_41"/>
    <protectedRange algorithmName="SHA-512" hashValue="XZw03RosI/l0z9FxmTtF29EdZ7P+4+ybhqoaAAUmURojSR5XbGfjC4f2i8gMqfY+RI9JvfdCA6PSh9TduXfUxA==" saltValue="5TPtLq2WoiRSae/yaDPnTw==" spinCount="100000" sqref="FU2048:FU2053" name="Rango2_99_29_38"/>
    <protectedRange algorithmName="SHA-512" hashValue="XZw03RosI/l0z9FxmTtF29EdZ7P+4+ybhqoaAAUmURojSR5XbGfjC4f2i8gMqfY+RI9JvfdCA6PSh9TduXfUxA==" saltValue="5TPtLq2WoiRSae/yaDPnTw==" spinCount="100000" sqref="FW2048:FX2053" name="Rango2_99_31_38"/>
    <protectedRange algorithmName="SHA-512" hashValue="Umj9+5Ys20VQPxBFtc6qE5LtKKSgPKwit+B8dd4XnEUaLfBM2ozpkEC4YxwK0SbBiAHDDex+pY+LomQ0lyuamQ==" saltValue="N2/MCRws+mmA+NXw0axolg==" spinCount="100000" sqref="FY2048:FY2053" name="Rango2_31_2_2_39"/>
    <protectedRange algorithmName="SHA-512" hashValue="Umj9+5Ys20VQPxBFtc6qE5LtKKSgPKwit+B8dd4XnEUaLfBM2ozpkEC4YxwK0SbBiAHDDex+pY+LomQ0lyuamQ==" saltValue="N2/MCRws+mmA+NXw0axolg==" spinCount="100000" sqref="GB2048 GB2052" name="Rango2_31_2_4_37"/>
    <protectedRange algorithmName="SHA-512" hashValue="Rgskw+AQdeJ5qbJdarzTa3SCkJfDGziy0Uan5N0F3IWn/H3Z/e+VcB56R7Nes7MPxNHewNP1sSSucVjz3iTLeA==" saltValue="qKZH3DnwaZHBzy3cBZo1qQ==" spinCount="100000" sqref="GF2048:GF2053" name="Rango2_31_28_1_39"/>
    <protectedRange algorithmName="SHA-512" hashValue="Umj9+5Ys20VQPxBFtc6qE5LtKKSgPKwit+B8dd4XnEUaLfBM2ozpkEC4YxwK0SbBiAHDDex+pY+LomQ0lyuamQ==" saltValue="N2/MCRws+mmA+NXw0axolg==" spinCount="100000" sqref="GE2048:GE2053" name="Rango2_31_2_5_36"/>
    <protectedRange algorithmName="SHA-512" hashValue="Umj9+5Ys20VQPxBFtc6qE5LtKKSgPKwit+B8dd4XnEUaLfBM2ozpkEC4YxwK0SbBiAHDDex+pY+LomQ0lyuamQ==" saltValue="N2/MCRws+mmA+NXw0axolg==" spinCount="100000" sqref="GJ2048:GJ2053 GH2048:GH2053 GL2048:GL2053" name="Rango2_31_2_6_36"/>
    <protectedRange algorithmName="SHA-512" hashValue="XZw03RosI/l0z9FxmTtF29EdZ7P+4+ybhqoaAAUmURojSR5XbGfjC4f2i8gMqfY+RI9JvfdCA6PSh9TduXfUxA==" saltValue="5TPtLq2WoiRSae/yaDPnTw==" spinCount="100000" sqref="GO2048:GO2053 GM2048:GM2053 GK2048:GK2053" name="Rango2_99_36_41"/>
    <protectedRange algorithmName="SHA-512" hashValue="EEHzbvEYwO1eufllBljOz0uf9BJ2ENtvOScQ7IsS321QhYbwKn7qhHKKP8cKj02rTDvVRMWvwQ1ZP0mZWsBprQ==" saltValue="CjXqBRFbKezlWOFV37MnDQ==" spinCount="100000" sqref="GQ2048:GR2053" name="Rango2_30_2_2_40"/>
    <protectedRange algorithmName="SHA-512" hashValue="EEHzbvEYwO1eufllBljOz0uf9BJ2ENtvOScQ7IsS321QhYbwKn7qhHKKP8cKj02rTDvVRMWvwQ1ZP0mZWsBprQ==" saltValue="CjXqBRFbKezlWOFV37MnDQ==" spinCount="100000" sqref="GW2048:GW2053" name="Rango2_30_2_3_38"/>
    <protectedRange algorithmName="SHA-512" hashValue="XZw03RosI/l0z9FxmTtF29EdZ7P+4+ybhqoaAAUmURojSR5XbGfjC4f2i8gMqfY+RI9JvfdCA6PSh9TduXfUxA==" saltValue="5TPtLq2WoiRSae/yaDPnTw==" spinCount="100000" sqref="GY2048:GZ2053" name="Rango2_99_39_36"/>
    <protectedRange algorithmName="SHA-512" hashValue="XZw03RosI/l0z9FxmTtF29EdZ7P+4+ybhqoaAAUmURojSR5XbGfjC4f2i8gMqfY+RI9JvfdCA6PSh9TduXfUxA==" saltValue="5TPtLq2WoiRSae/yaDPnTw==" spinCount="100000" sqref="HJ2048:HJ2053" name="Rango2_99_40_40"/>
    <protectedRange algorithmName="SHA-512" hashValue="9+DNppQbWrLYYUMoJ+lyQctV2bX3Vq9kZnegLbpjTLP49It2ovUbcartuoQTeXgP+TGpY//7mDH/UQlFCKDGiA==" saltValue="KUnni6YEm00anzSSvyLqQA==" spinCount="100000" sqref="HD2048:HI2053" name="Rango2_39_42"/>
    <protectedRange algorithmName="SHA-512" hashValue="XZw03RosI/l0z9FxmTtF29EdZ7P+4+ybhqoaAAUmURojSR5XbGfjC4f2i8gMqfY+RI9JvfdCA6PSh9TduXfUxA==" saltValue="5TPtLq2WoiRSae/yaDPnTw==" spinCount="100000" sqref="IB2048:IB2053 HU2048:HZ2053" name="Rango2_99_41_37"/>
    <protectedRange algorithmName="SHA-512" hashValue="9+DNppQbWrLYYUMoJ+lyQctV2bX3Vq9kZnegLbpjTLP49It2ovUbcartuoQTeXgP+TGpY//7mDH/UQlFCKDGiA==" saltValue="KUnni6YEm00anzSSvyLqQA==" spinCount="100000" sqref="HS2048:HT2053" name="Rango2_40_40"/>
    <protectedRange algorithmName="SHA-512" hashValue="XZw03RosI/l0z9FxmTtF29EdZ7P+4+ybhqoaAAUmURojSR5XbGfjC4f2i8gMqfY+RI9JvfdCA6PSh9TduXfUxA==" saltValue="5TPtLq2WoiRSae/yaDPnTw==" spinCount="100000" sqref="IL2048:IM2053" name="Rango2_99_79_29"/>
    <protectedRange algorithmName="SHA-512" hashValue="XZw03RosI/l0z9FxmTtF29EdZ7P+4+ybhqoaAAUmURojSR5XbGfjC4f2i8gMqfY+RI9JvfdCA6PSh9TduXfUxA==" saltValue="5TPtLq2WoiRSae/yaDPnTw==" spinCount="100000" sqref="IO2048:IO2053" name="Rango2_99_80_47"/>
    <protectedRange algorithmName="SHA-512" hashValue="XZw03RosI/l0z9FxmTtF29EdZ7P+4+ybhqoaAAUmURojSR5XbGfjC4f2i8gMqfY+RI9JvfdCA6PSh9TduXfUxA==" saltValue="5TPtLq2WoiRSae/yaDPnTw==" spinCount="100000" sqref="EA2054:EJ2095" name="Rango2_99_18_43"/>
    <protectedRange algorithmName="SHA-512" hashValue="9+DNppQbWrLYYUMoJ+lyQctV2bX3Vq9kZnegLbpjTLP49It2ovUbcartuoQTeXgP+TGpY//7mDH/UQlFCKDGiA==" saltValue="KUnni6YEm00anzSSvyLqQA==" spinCount="100000" sqref="EN2054:EN2095" name="Rango2_22_38"/>
    <protectedRange algorithmName="SHA-512" hashValue="XZw03RosI/l0z9FxmTtF29EdZ7P+4+ybhqoaAAUmURojSR5XbGfjC4f2i8gMqfY+RI9JvfdCA6PSh9TduXfUxA==" saltValue="5TPtLq2WoiRSae/yaDPnTw==" spinCount="100000" sqref="ER2054:ES2095" name="Rango2_99_20_40"/>
    <protectedRange algorithmName="SHA-512" hashValue="XZw03RosI/l0z9FxmTtF29EdZ7P+4+ybhqoaAAUmURojSR5XbGfjC4f2i8gMqfY+RI9JvfdCA6PSh9TduXfUxA==" saltValue="5TPtLq2WoiRSae/yaDPnTw==" spinCount="100000" sqref="EV2054:EW2095" name="Rango2_99_22_40"/>
    <protectedRange algorithmName="SHA-512" hashValue="9+DNppQbWrLYYUMoJ+lyQctV2bX3Vq9kZnegLbpjTLP49It2ovUbcartuoQTeXgP+TGpY//7mDH/UQlFCKDGiA==" saltValue="KUnni6YEm00anzSSvyLqQA==" spinCount="100000" sqref="FC2054:FC2095" name="Rango2_26_39"/>
    <protectedRange algorithmName="SHA-512" hashValue="XZw03RosI/l0z9FxmTtF29EdZ7P+4+ybhqoaAAUmURojSR5XbGfjC4f2i8gMqfY+RI9JvfdCA6PSh9TduXfUxA==" saltValue="5TPtLq2WoiRSae/yaDPnTw==" spinCount="100000" sqref="FF2054:FF2095" name="Rango2_99_23_43"/>
    <protectedRange algorithmName="SHA-512" hashValue="9+DNppQbWrLYYUMoJ+lyQctV2bX3Vq9kZnegLbpjTLP49It2ovUbcartuoQTeXgP+TGpY//7mDH/UQlFCKDGiA==" saltValue="KUnni6YEm00anzSSvyLqQA==" spinCount="100000" sqref="FH2054:FH2095" name="Rango2_35_40"/>
    <protectedRange algorithmName="SHA-512" hashValue="XZw03RosI/l0z9FxmTtF29EdZ7P+4+ybhqoaAAUmURojSR5XbGfjC4f2i8gMqfY+RI9JvfdCA6PSh9TduXfUxA==" saltValue="5TPtLq2WoiRSae/yaDPnTw==" spinCount="100000" sqref="FQ2054:FR2095" name="Rango2_99_27_42"/>
    <protectedRange algorithmName="SHA-512" hashValue="XZw03RosI/l0z9FxmTtF29EdZ7P+4+ybhqoaAAUmURojSR5XbGfjC4f2i8gMqfY+RI9JvfdCA6PSh9TduXfUxA==" saltValue="5TPtLq2WoiRSae/yaDPnTw==" spinCount="100000" sqref="FU2054:FU2095" name="Rango2_99_29_39"/>
    <protectedRange algorithmName="SHA-512" hashValue="XZw03RosI/l0z9FxmTtF29EdZ7P+4+ybhqoaAAUmURojSR5XbGfjC4f2i8gMqfY+RI9JvfdCA6PSh9TduXfUxA==" saltValue="5TPtLq2WoiRSae/yaDPnTw==" spinCount="100000" sqref="FW2054:FX2095" name="Rango2_99_31_39"/>
    <protectedRange algorithmName="SHA-512" hashValue="Umj9+5Ys20VQPxBFtc6qE5LtKKSgPKwit+B8dd4XnEUaLfBM2ozpkEC4YxwK0SbBiAHDDex+pY+LomQ0lyuamQ==" saltValue="N2/MCRws+mmA+NXw0axolg==" spinCount="100000" sqref="FY2054:FY2095" name="Rango2_31_2_2_40"/>
    <protectedRange algorithmName="SHA-512" hashValue="Umj9+5Ys20VQPxBFtc6qE5LtKKSgPKwit+B8dd4XnEUaLfBM2ozpkEC4YxwK0SbBiAHDDex+pY+LomQ0lyuamQ==" saltValue="N2/MCRws+mmA+NXw0axolg==" spinCount="100000" sqref="GB2054:GB2055 GB2057 GB2062 GB2064 GB2066:GB2068 GB2071 GB2073:GB2074 GB2078:GB2079 GB2084 GB2087:GB2092 GB2095" name="Rango2_31_2_4_38"/>
    <protectedRange algorithmName="SHA-512" hashValue="Rgskw+AQdeJ5qbJdarzTa3SCkJfDGziy0Uan5N0F3IWn/H3Z/e+VcB56R7Nes7MPxNHewNP1sSSucVjz3iTLeA==" saltValue="qKZH3DnwaZHBzy3cBZo1qQ==" spinCount="100000" sqref="GF2054:GF2095" name="Rango2_31_28_1_40"/>
    <protectedRange algorithmName="SHA-512" hashValue="Umj9+5Ys20VQPxBFtc6qE5LtKKSgPKwit+B8dd4XnEUaLfBM2ozpkEC4YxwK0SbBiAHDDex+pY+LomQ0lyuamQ==" saltValue="N2/MCRws+mmA+NXw0axolg==" spinCount="100000" sqref="GE2054:GE2095" name="Rango2_31_2_5_37"/>
    <protectedRange algorithmName="SHA-512" hashValue="Umj9+5Ys20VQPxBFtc6qE5LtKKSgPKwit+B8dd4XnEUaLfBM2ozpkEC4YxwK0SbBiAHDDex+pY+LomQ0lyuamQ==" saltValue="N2/MCRws+mmA+NXw0axolg==" spinCount="100000" sqref="GJ2054:GJ2095 GH2054:GH2095 GL2054:GL2095" name="Rango2_31_2_6_37"/>
    <protectedRange algorithmName="SHA-512" hashValue="XZw03RosI/l0z9FxmTtF29EdZ7P+4+ybhqoaAAUmURojSR5XbGfjC4f2i8gMqfY+RI9JvfdCA6PSh9TduXfUxA==" saltValue="5TPtLq2WoiRSae/yaDPnTw==" spinCount="100000" sqref="GO2054:GO2095 GM2054:GM2095 GK2054:GK2095" name="Rango2_99_36_42"/>
    <protectedRange algorithmName="SHA-512" hashValue="EEHzbvEYwO1eufllBljOz0uf9BJ2ENtvOScQ7IsS321QhYbwKn7qhHKKP8cKj02rTDvVRMWvwQ1ZP0mZWsBprQ==" saltValue="CjXqBRFbKezlWOFV37MnDQ==" spinCount="100000" sqref="GQ2054:GR2095" name="Rango2_30_2_2_41"/>
    <protectedRange algorithmName="SHA-512" hashValue="EEHzbvEYwO1eufllBljOz0uf9BJ2ENtvOScQ7IsS321QhYbwKn7qhHKKP8cKj02rTDvVRMWvwQ1ZP0mZWsBprQ==" saltValue="CjXqBRFbKezlWOFV37MnDQ==" spinCount="100000" sqref="GW2054:GW2095" name="Rango2_30_2_3_39"/>
    <protectedRange algorithmName="SHA-512" hashValue="XZw03RosI/l0z9FxmTtF29EdZ7P+4+ybhqoaAAUmURojSR5XbGfjC4f2i8gMqfY+RI9JvfdCA6PSh9TduXfUxA==" saltValue="5TPtLq2WoiRSae/yaDPnTw==" spinCount="100000" sqref="GY2054:GZ2095" name="Rango2_99_39_37"/>
    <protectedRange algorithmName="SHA-512" hashValue="XZw03RosI/l0z9FxmTtF29EdZ7P+4+ybhqoaAAUmURojSR5XbGfjC4f2i8gMqfY+RI9JvfdCA6PSh9TduXfUxA==" saltValue="5TPtLq2WoiRSae/yaDPnTw==" spinCount="100000" sqref="HJ2054:HJ2095" name="Rango2_99_40_41"/>
    <protectedRange algorithmName="SHA-512" hashValue="9+DNppQbWrLYYUMoJ+lyQctV2bX3Vq9kZnegLbpjTLP49It2ovUbcartuoQTeXgP+TGpY//7mDH/UQlFCKDGiA==" saltValue="KUnni6YEm00anzSSvyLqQA==" spinCount="100000" sqref="HD2054:HI2095" name="Rango2_39_43"/>
    <protectedRange algorithmName="SHA-512" hashValue="XZw03RosI/l0z9FxmTtF29EdZ7P+4+ybhqoaAAUmURojSR5XbGfjC4f2i8gMqfY+RI9JvfdCA6PSh9TduXfUxA==" saltValue="5TPtLq2WoiRSae/yaDPnTw==" spinCount="100000" sqref="IB2054:IB2095 HU2054:HZ2095" name="Rango2_99_41_38"/>
    <protectedRange algorithmName="SHA-512" hashValue="9+DNppQbWrLYYUMoJ+lyQctV2bX3Vq9kZnegLbpjTLP49It2ovUbcartuoQTeXgP+TGpY//7mDH/UQlFCKDGiA==" saltValue="KUnni6YEm00anzSSvyLqQA==" spinCount="100000" sqref="HS2054:HT2095" name="Rango2_40_41"/>
    <protectedRange algorithmName="SHA-512" hashValue="XZw03RosI/l0z9FxmTtF29EdZ7P+4+ybhqoaAAUmURojSR5XbGfjC4f2i8gMqfY+RI9JvfdCA6PSh9TduXfUxA==" saltValue="5TPtLq2WoiRSae/yaDPnTw==" spinCount="100000" sqref="IL2054:IM2095" name="Rango2_99_79_30"/>
    <protectedRange algorithmName="SHA-512" hashValue="XZw03RosI/l0z9FxmTtF29EdZ7P+4+ybhqoaAAUmURojSR5XbGfjC4f2i8gMqfY+RI9JvfdCA6PSh9TduXfUxA==" saltValue="5TPtLq2WoiRSae/yaDPnTw==" spinCount="100000" sqref="IO2054:IO2095" name="Rango2_99_80_48"/>
    <protectedRange algorithmName="SHA-512" hashValue="XZw03RosI/l0z9FxmTtF29EdZ7P+4+ybhqoaAAUmURojSR5XbGfjC4f2i8gMqfY+RI9JvfdCA6PSh9TduXfUxA==" saltValue="5TPtLq2WoiRSae/yaDPnTw==" spinCount="100000" sqref="EA2096:EJ2106" name="Rango2_99_18_44"/>
    <protectedRange algorithmName="SHA-512" hashValue="9+DNppQbWrLYYUMoJ+lyQctV2bX3Vq9kZnegLbpjTLP49It2ovUbcartuoQTeXgP+TGpY//7mDH/UQlFCKDGiA==" saltValue="KUnni6YEm00anzSSvyLqQA==" spinCount="100000" sqref="EN2096:EN2106" name="Rango2_22_39"/>
    <protectedRange algorithmName="SHA-512" hashValue="XZw03RosI/l0z9FxmTtF29EdZ7P+4+ybhqoaAAUmURojSR5XbGfjC4f2i8gMqfY+RI9JvfdCA6PSh9TduXfUxA==" saltValue="5TPtLq2WoiRSae/yaDPnTw==" spinCount="100000" sqref="ER2096:ES2106" name="Rango2_99_20_41"/>
    <protectedRange algorithmName="SHA-512" hashValue="XZw03RosI/l0z9FxmTtF29EdZ7P+4+ybhqoaAAUmURojSR5XbGfjC4f2i8gMqfY+RI9JvfdCA6PSh9TduXfUxA==" saltValue="5TPtLq2WoiRSae/yaDPnTw==" spinCount="100000" sqref="EV2096:EW2106" name="Rango2_99_22_41"/>
    <protectedRange algorithmName="SHA-512" hashValue="9+DNppQbWrLYYUMoJ+lyQctV2bX3Vq9kZnegLbpjTLP49It2ovUbcartuoQTeXgP+TGpY//7mDH/UQlFCKDGiA==" saltValue="KUnni6YEm00anzSSvyLqQA==" spinCount="100000" sqref="FC2096:FC2106" name="Rango2_26_40"/>
    <protectedRange algorithmName="SHA-512" hashValue="XZw03RosI/l0z9FxmTtF29EdZ7P+4+ybhqoaAAUmURojSR5XbGfjC4f2i8gMqfY+RI9JvfdCA6PSh9TduXfUxA==" saltValue="5TPtLq2WoiRSae/yaDPnTw==" spinCount="100000" sqref="FF2096:FF2106" name="Rango2_99_23_44"/>
    <protectedRange algorithmName="SHA-512" hashValue="9+DNppQbWrLYYUMoJ+lyQctV2bX3Vq9kZnegLbpjTLP49It2ovUbcartuoQTeXgP+TGpY//7mDH/UQlFCKDGiA==" saltValue="KUnni6YEm00anzSSvyLqQA==" spinCount="100000" sqref="FH2096:FH2106" name="Rango2_35_41"/>
    <protectedRange algorithmName="SHA-512" hashValue="XZw03RosI/l0z9FxmTtF29EdZ7P+4+ybhqoaAAUmURojSR5XbGfjC4f2i8gMqfY+RI9JvfdCA6PSh9TduXfUxA==" saltValue="5TPtLq2WoiRSae/yaDPnTw==" spinCount="100000" sqref="FQ2096:FR2106" name="Rango2_99_27_43"/>
    <protectedRange algorithmName="SHA-512" hashValue="XZw03RosI/l0z9FxmTtF29EdZ7P+4+ybhqoaAAUmURojSR5XbGfjC4f2i8gMqfY+RI9JvfdCA6PSh9TduXfUxA==" saltValue="5TPtLq2WoiRSae/yaDPnTw==" spinCount="100000" sqref="FU2096:FU2106" name="Rango2_99_29_40"/>
    <protectedRange algorithmName="SHA-512" hashValue="XZw03RosI/l0z9FxmTtF29EdZ7P+4+ybhqoaAAUmURojSR5XbGfjC4f2i8gMqfY+RI9JvfdCA6PSh9TduXfUxA==" saltValue="5TPtLq2WoiRSae/yaDPnTw==" spinCount="100000" sqref="FW2096:FX2106" name="Rango2_99_31_40"/>
    <protectedRange algorithmName="SHA-512" hashValue="Umj9+5Ys20VQPxBFtc6qE5LtKKSgPKwit+B8dd4XnEUaLfBM2ozpkEC4YxwK0SbBiAHDDex+pY+LomQ0lyuamQ==" saltValue="N2/MCRws+mmA+NXw0axolg==" spinCount="100000" sqref="FY2096:FY2106" name="Rango2_31_2_2_41"/>
    <protectedRange algorithmName="SHA-512" hashValue="Umj9+5Ys20VQPxBFtc6qE5LtKKSgPKwit+B8dd4XnEUaLfBM2ozpkEC4YxwK0SbBiAHDDex+pY+LomQ0lyuamQ==" saltValue="N2/MCRws+mmA+NXw0axolg==" spinCount="100000" sqref="GB2096 GB2099:GB2100 GB2105:GB2106" name="Rango2_31_2_4_39"/>
    <protectedRange algorithmName="SHA-512" hashValue="Rgskw+AQdeJ5qbJdarzTa3SCkJfDGziy0Uan5N0F3IWn/H3Z/e+VcB56R7Nes7MPxNHewNP1sSSucVjz3iTLeA==" saltValue="qKZH3DnwaZHBzy3cBZo1qQ==" spinCount="100000" sqref="GF2096:GF2106" name="Rango2_31_28_1_41"/>
    <protectedRange algorithmName="SHA-512" hashValue="Umj9+5Ys20VQPxBFtc6qE5LtKKSgPKwit+B8dd4XnEUaLfBM2ozpkEC4YxwK0SbBiAHDDex+pY+LomQ0lyuamQ==" saltValue="N2/MCRws+mmA+NXw0axolg==" spinCount="100000" sqref="GE2096:GE2106" name="Rango2_31_2_5_38"/>
    <protectedRange algorithmName="SHA-512" hashValue="Umj9+5Ys20VQPxBFtc6qE5LtKKSgPKwit+B8dd4XnEUaLfBM2ozpkEC4YxwK0SbBiAHDDex+pY+LomQ0lyuamQ==" saltValue="N2/MCRws+mmA+NXw0axolg==" spinCount="100000" sqref="GJ2096:GJ2106 GH2096:GH2106 GL2096:GL2106" name="Rango2_31_2_6_38"/>
    <protectedRange algorithmName="SHA-512" hashValue="XZw03RosI/l0z9FxmTtF29EdZ7P+4+ybhqoaAAUmURojSR5XbGfjC4f2i8gMqfY+RI9JvfdCA6PSh9TduXfUxA==" saltValue="5TPtLq2WoiRSae/yaDPnTw==" spinCount="100000" sqref="GO2096:GO2106 GM2096:GM2106 GK2096:GK2106" name="Rango2_99_36_43"/>
    <protectedRange algorithmName="SHA-512" hashValue="EEHzbvEYwO1eufllBljOz0uf9BJ2ENtvOScQ7IsS321QhYbwKn7qhHKKP8cKj02rTDvVRMWvwQ1ZP0mZWsBprQ==" saltValue="CjXqBRFbKezlWOFV37MnDQ==" spinCount="100000" sqref="GQ2096:GR2106" name="Rango2_30_2_2_42"/>
    <protectedRange algorithmName="SHA-512" hashValue="EEHzbvEYwO1eufllBljOz0uf9BJ2ENtvOScQ7IsS321QhYbwKn7qhHKKP8cKj02rTDvVRMWvwQ1ZP0mZWsBprQ==" saltValue="CjXqBRFbKezlWOFV37MnDQ==" spinCount="100000" sqref="GW2096:GW2106" name="Rango2_30_2_3_40"/>
    <protectedRange algorithmName="SHA-512" hashValue="XZw03RosI/l0z9FxmTtF29EdZ7P+4+ybhqoaAAUmURojSR5XbGfjC4f2i8gMqfY+RI9JvfdCA6PSh9TduXfUxA==" saltValue="5TPtLq2WoiRSae/yaDPnTw==" spinCount="100000" sqref="GY2096:GZ2106" name="Rango2_99_39_38"/>
    <protectedRange algorithmName="SHA-512" hashValue="XZw03RosI/l0z9FxmTtF29EdZ7P+4+ybhqoaAAUmURojSR5XbGfjC4f2i8gMqfY+RI9JvfdCA6PSh9TduXfUxA==" saltValue="5TPtLq2WoiRSae/yaDPnTw==" spinCount="100000" sqref="HJ2096:HJ2106" name="Rango2_99_40_42"/>
    <protectedRange algorithmName="SHA-512" hashValue="9+DNppQbWrLYYUMoJ+lyQctV2bX3Vq9kZnegLbpjTLP49It2ovUbcartuoQTeXgP+TGpY//7mDH/UQlFCKDGiA==" saltValue="KUnni6YEm00anzSSvyLqQA==" spinCount="100000" sqref="HD2096:HI2106" name="Rango2_39_44"/>
    <protectedRange algorithmName="SHA-512" hashValue="XZw03RosI/l0z9FxmTtF29EdZ7P+4+ybhqoaAAUmURojSR5XbGfjC4f2i8gMqfY+RI9JvfdCA6PSh9TduXfUxA==" saltValue="5TPtLq2WoiRSae/yaDPnTw==" spinCount="100000" sqref="IB2096:IB2106 HU2096:HZ2106" name="Rango2_99_41_39"/>
    <protectedRange algorithmName="SHA-512" hashValue="9+DNppQbWrLYYUMoJ+lyQctV2bX3Vq9kZnegLbpjTLP49It2ovUbcartuoQTeXgP+TGpY//7mDH/UQlFCKDGiA==" saltValue="KUnni6YEm00anzSSvyLqQA==" spinCount="100000" sqref="HS2096:HT2106" name="Rango2_40_42"/>
    <protectedRange algorithmName="SHA-512" hashValue="XZw03RosI/l0z9FxmTtF29EdZ7P+4+ybhqoaAAUmURojSR5XbGfjC4f2i8gMqfY+RI9JvfdCA6PSh9TduXfUxA==" saltValue="5TPtLq2WoiRSae/yaDPnTw==" spinCount="100000" sqref="IL2096:IM2106" name="Rango2_99_79_31"/>
    <protectedRange algorithmName="SHA-512" hashValue="XZw03RosI/l0z9FxmTtF29EdZ7P+4+ybhqoaAAUmURojSR5XbGfjC4f2i8gMqfY+RI9JvfdCA6PSh9TduXfUxA==" saltValue="5TPtLq2WoiRSae/yaDPnTw==" spinCount="100000" sqref="IO2096:IO2106" name="Rango2_99_80_49"/>
    <protectedRange algorithmName="SHA-512" hashValue="D8TacORwT7iz0mF9GEucchnMHfB5er2FFjQsxyeWWyeJkM6Bt3gYQ3LbcHPxZXFpVAYtFOuTrzYOCJrlZDx16g==" saltValue="QtCzIBktdS4NZkOEGcLTRQ==" spinCount="100000" sqref="IW1996" name="Rango2_41_38_1"/>
    <protectedRange algorithmName="SHA-512" hashValue="Gqwr8n5jYbCESAqCFk8dpOzViQICBV+k0xoqBoQaZ5lHaRlvT9TZDB4yXtm+qC6OhD064ZDBOFWkwo+LHXu1sg==" saltValue="gEL9PCN2ekF2IxW9yqAGYA==" spinCount="100000" sqref="IS1996" name="Rango2_40_2_38_1"/>
    <protectedRange algorithmName="SHA-512" hashValue="9+DNppQbWrLYYUMoJ+lyQctV2bX3Vq9kZnegLbpjTLP49It2ovUbcartuoQTeXgP+TGpY//7mDH/UQlFCKDGiA==" saltValue="KUnni6YEm00anzSSvyLqQA==" spinCount="100000" sqref="JC1996:JM1996" name="Rango2_43_9"/>
    <protectedRange algorithmName="SHA-512" hashValue="9+DNppQbWrLYYUMoJ+lyQctV2bX3Vq9kZnegLbpjTLP49It2ovUbcartuoQTeXgP+TGpY//7mDH/UQlFCKDGiA==" saltValue="KUnni6YEm00anzSSvyLqQA==" spinCount="100000" sqref="JO1996:JW1996" name="Rango2_44_9"/>
    <protectedRange algorithmName="SHA-512" hashValue="9+DNppQbWrLYYUMoJ+lyQctV2bX3Vq9kZnegLbpjTLP49It2ovUbcartuoQTeXgP+TGpY//7mDH/UQlFCKDGiA==" saltValue="KUnni6YEm00anzSSvyLqQA==" spinCount="100000" sqref="JY1996:KF1996" name="Rango2_45_11"/>
    <protectedRange algorithmName="SHA-512" hashValue="9+DNppQbWrLYYUMoJ+lyQctV2bX3Vq9kZnegLbpjTLP49It2ovUbcartuoQTeXgP+TGpY//7mDH/UQlFCKDGiA==" saltValue="KUnni6YEm00anzSSvyLqQA==" spinCount="100000" sqref="KH1996" name="Rango2_46_8"/>
    <protectedRange algorithmName="SHA-512" hashValue="9+DNppQbWrLYYUMoJ+lyQctV2bX3Vq9kZnegLbpjTLP49It2ovUbcartuoQTeXgP+TGpY//7mDH/UQlFCKDGiA==" saltValue="KUnni6YEm00anzSSvyLqQA==" spinCount="100000" sqref="KJ1996:MP1996" name="Rango2_47_3"/>
    <protectedRange algorithmName="SHA-512" hashValue="D8TacORwT7iz0mF9GEucchnMHfB5er2FFjQsxyeWWyeJkM6Bt3gYQ3LbcHPxZXFpVAYtFOuTrzYOCJrlZDx16g==" saltValue="QtCzIBktdS4NZkOEGcLTRQ==" spinCount="100000" sqref="IW1997" name="Rango2_41_39_1"/>
    <protectedRange algorithmName="SHA-512" hashValue="Gqwr8n5jYbCESAqCFk8dpOzViQICBV+k0xoqBoQaZ5lHaRlvT9TZDB4yXtm+qC6OhD064ZDBOFWkwo+LHXu1sg==" saltValue="gEL9PCN2ekF2IxW9yqAGYA==" spinCount="100000" sqref="IS1997" name="Rango2_40_2_39_1"/>
    <protectedRange algorithmName="SHA-512" hashValue="9+DNppQbWrLYYUMoJ+lyQctV2bX3Vq9kZnegLbpjTLP49It2ovUbcartuoQTeXgP+TGpY//7mDH/UQlFCKDGiA==" saltValue="KUnni6YEm00anzSSvyLqQA==" spinCount="100000" sqref="JC1997:JM1997" name="Rango2_43_10"/>
    <protectedRange algorithmName="SHA-512" hashValue="9+DNppQbWrLYYUMoJ+lyQctV2bX3Vq9kZnegLbpjTLP49It2ovUbcartuoQTeXgP+TGpY//7mDH/UQlFCKDGiA==" saltValue="KUnni6YEm00anzSSvyLqQA==" spinCount="100000" sqref="JO1997:JW1997" name="Rango2_44_10"/>
    <protectedRange algorithmName="SHA-512" hashValue="9+DNppQbWrLYYUMoJ+lyQctV2bX3Vq9kZnegLbpjTLP49It2ovUbcartuoQTeXgP+TGpY//7mDH/UQlFCKDGiA==" saltValue="KUnni6YEm00anzSSvyLqQA==" spinCount="100000" sqref="JY1997:KF1997" name="Rango2_45_12"/>
    <protectedRange algorithmName="SHA-512" hashValue="9+DNppQbWrLYYUMoJ+lyQctV2bX3Vq9kZnegLbpjTLP49It2ovUbcartuoQTeXgP+TGpY//7mDH/UQlFCKDGiA==" saltValue="KUnni6YEm00anzSSvyLqQA==" spinCount="100000" sqref="KH1997" name="Rango2_46_9"/>
    <protectedRange algorithmName="SHA-512" hashValue="9+DNppQbWrLYYUMoJ+lyQctV2bX3Vq9kZnegLbpjTLP49It2ovUbcartuoQTeXgP+TGpY//7mDH/UQlFCKDGiA==" saltValue="KUnni6YEm00anzSSvyLqQA==" spinCount="100000" sqref="LG1997:MP1997 KJ1997:LB1997" name="Rango2_47_4"/>
    <protectedRange algorithmName="SHA-512" hashValue="D8TacORwT7iz0mF9GEucchnMHfB5er2FFjQsxyeWWyeJkM6Bt3gYQ3LbcHPxZXFpVAYtFOuTrzYOCJrlZDx16g==" saltValue="QtCzIBktdS4NZkOEGcLTRQ==" spinCount="100000" sqref="IW1998" name="Rango2_41_39_2"/>
    <protectedRange algorithmName="SHA-512" hashValue="Gqwr8n5jYbCESAqCFk8dpOzViQICBV+k0xoqBoQaZ5lHaRlvT9TZDB4yXtm+qC6OhD064ZDBOFWkwo+LHXu1sg==" saltValue="gEL9PCN2ekF2IxW9yqAGYA==" spinCount="100000" sqref="IS1998" name="Rango2_40_2_39_2"/>
    <protectedRange algorithmName="SHA-512" hashValue="9+DNppQbWrLYYUMoJ+lyQctV2bX3Vq9kZnegLbpjTLP49It2ovUbcartuoQTeXgP+TGpY//7mDH/UQlFCKDGiA==" saltValue="KUnni6YEm00anzSSvyLqQA==" spinCount="100000" sqref="JC1998:JM1998" name="Rango2_43_11"/>
    <protectedRange algorithmName="SHA-512" hashValue="9+DNppQbWrLYYUMoJ+lyQctV2bX3Vq9kZnegLbpjTLP49It2ovUbcartuoQTeXgP+TGpY//7mDH/UQlFCKDGiA==" saltValue="KUnni6YEm00anzSSvyLqQA==" spinCount="100000" sqref="JO1998:JW1998" name="Rango2_44_11"/>
    <protectedRange algorithmName="SHA-512" hashValue="9+DNppQbWrLYYUMoJ+lyQctV2bX3Vq9kZnegLbpjTLP49It2ovUbcartuoQTeXgP+TGpY//7mDH/UQlFCKDGiA==" saltValue="KUnni6YEm00anzSSvyLqQA==" spinCount="100000" sqref="JY1998:KF1998" name="Rango2_45_13"/>
    <protectedRange algorithmName="SHA-512" hashValue="9+DNppQbWrLYYUMoJ+lyQctV2bX3Vq9kZnegLbpjTLP49It2ovUbcartuoQTeXgP+TGpY//7mDH/UQlFCKDGiA==" saltValue="KUnni6YEm00anzSSvyLqQA==" spinCount="100000" sqref="KH1998" name="Rango2_46_10"/>
    <protectedRange algorithmName="SHA-512" hashValue="9+DNppQbWrLYYUMoJ+lyQctV2bX3Vq9kZnegLbpjTLP49It2ovUbcartuoQTeXgP+TGpY//7mDH/UQlFCKDGiA==" saltValue="KUnni6YEm00anzSSvyLqQA==" spinCount="100000" sqref="KJ1998:MP1998" name="Rango2_47_5"/>
    <protectedRange algorithmName="SHA-512" hashValue="D8TacORwT7iz0mF9GEucchnMHfB5er2FFjQsxyeWWyeJkM6Bt3gYQ3LbcHPxZXFpVAYtFOuTrzYOCJrlZDx16g==" saltValue="QtCzIBktdS4NZkOEGcLTRQ==" spinCount="100000" sqref="IW1999" name="Rango2_41_39_3"/>
    <protectedRange algorithmName="SHA-512" hashValue="Gqwr8n5jYbCESAqCFk8dpOzViQICBV+k0xoqBoQaZ5lHaRlvT9TZDB4yXtm+qC6OhD064ZDBOFWkwo+LHXu1sg==" saltValue="gEL9PCN2ekF2IxW9yqAGYA==" spinCount="100000" sqref="IS1999" name="Rango2_40_2_39_3"/>
    <protectedRange algorithmName="SHA-512" hashValue="9+DNppQbWrLYYUMoJ+lyQctV2bX3Vq9kZnegLbpjTLP49It2ovUbcartuoQTeXgP+TGpY//7mDH/UQlFCKDGiA==" saltValue="KUnni6YEm00anzSSvyLqQA==" spinCount="100000" sqref="JC1999:JM1999" name="Rango2_43_12"/>
    <protectedRange algorithmName="SHA-512" hashValue="9+DNppQbWrLYYUMoJ+lyQctV2bX3Vq9kZnegLbpjTLP49It2ovUbcartuoQTeXgP+TGpY//7mDH/UQlFCKDGiA==" saltValue="KUnni6YEm00anzSSvyLqQA==" spinCount="100000" sqref="JO1999:JW1999" name="Rango2_44_12"/>
    <protectedRange algorithmName="SHA-512" hashValue="9+DNppQbWrLYYUMoJ+lyQctV2bX3Vq9kZnegLbpjTLP49It2ovUbcartuoQTeXgP+TGpY//7mDH/UQlFCKDGiA==" saltValue="KUnni6YEm00anzSSvyLqQA==" spinCount="100000" sqref="JY1999:KF1999" name="Rango2_45_14"/>
    <protectedRange algorithmName="SHA-512" hashValue="9+DNppQbWrLYYUMoJ+lyQctV2bX3Vq9kZnegLbpjTLP49It2ovUbcartuoQTeXgP+TGpY//7mDH/UQlFCKDGiA==" saltValue="KUnni6YEm00anzSSvyLqQA==" spinCount="100000" sqref="KH1999" name="Rango2_46_11"/>
    <protectedRange algorithmName="SHA-512" hashValue="9+DNppQbWrLYYUMoJ+lyQctV2bX3Vq9kZnegLbpjTLP49It2ovUbcartuoQTeXgP+TGpY//7mDH/UQlFCKDGiA==" saltValue="KUnni6YEm00anzSSvyLqQA==" spinCount="100000" sqref="KJ1999:MP1999" name="Rango2_47_6"/>
    <protectedRange algorithmName="SHA-512" hashValue="D8TacORwT7iz0mF9GEucchnMHfB5er2FFjQsxyeWWyeJkM6Bt3gYQ3LbcHPxZXFpVAYtFOuTrzYOCJrlZDx16g==" saltValue="QtCzIBktdS4NZkOEGcLTRQ==" spinCount="100000" sqref="IW2000" name="Rango2_41_39_4"/>
    <protectedRange algorithmName="SHA-512" hashValue="Gqwr8n5jYbCESAqCFk8dpOzViQICBV+k0xoqBoQaZ5lHaRlvT9TZDB4yXtm+qC6OhD064ZDBOFWkwo+LHXu1sg==" saltValue="gEL9PCN2ekF2IxW9yqAGYA==" spinCount="100000" sqref="IS2000" name="Rango2_40_2_39_4"/>
    <protectedRange algorithmName="SHA-512" hashValue="9+DNppQbWrLYYUMoJ+lyQctV2bX3Vq9kZnegLbpjTLP49It2ovUbcartuoQTeXgP+TGpY//7mDH/UQlFCKDGiA==" saltValue="KUnni6YEm00anzSSvyLqQA==" spinCount="100000" sqref="JC2000:JM2000" name="Rango2_43_13"/>
    <protectedRange algorithmName="SHA-512" hashValue="9+DNppQbWrLYYUMoJ+lyQctV2bX3Vq9kZnegLbpjTLP49It2ovUbcartuoQTeXgP+TGpY//7mDH/UQlFCKDGiA==" saltValue="KUnni6YEm00anzSSvyLqQA==" spinCount="100000" sqref="JO2000:JW2000" name="Rango2_44_13"/>
    <protectedRange algorithmName="SHA-512" hashValue="9+DNppQbWrLYYUMoJ+lyQctV2bX3Vq9kZnegLbpjTLP49It2ovUbcartuoQTeXgP+TGpY//7mDH/UQlFCKDGiA==" saltValue="KUnni6YEm00anzSSvyLqQA==" spinCount="100000" sqref="JY2000:KF2000" name="Rango2_45_15"/>
    <protectedRange algorithmName="SHA-512" hashValue="9+DNppQbWrLYYUMoJ+lyQctV2bX3Vq9kZnegLbpjTLP49It2ovUbcartuoQTeXgP+TGpY//7mDH/UQlFCKDGiA==" saltValue="KUnni6YEm00anzSSvyLqQA==" spinCount="100000" sqref="KH2000" name="Rango2_46_12"/>
    <protectedRange algorithmName="SHA-512" hashValue="9+DNppQbWrLYYUMoJ+lyQctV2bX3Vq9kZnegLbpjTLP49It2ovUbcartuoQTeXgP+TGpY//7mDH/UQlFCKDGiA==" saltValue="KUnni6YEm00anzSSvyLqQA==" spinCount="100000" sqref="KJ2000:MP2000" name="Rango2_47_7"/>
    <protectedRange algorithmName="SHA-512" hashValue="D8TacORwT7iz0mF9GEucchnMHfB5er2FFjQsxyeWWyeJkM6Bt3gYQ3LbcHPxZXFpVAYtFOuTrzYOCJrlZDx16g==" saltValue="QtCzIBktdS4NZkOEGcLTRQ==" spinCount="100000" sqref="IW2001" name="Rango2_41_39_5"/>
    <protectedRange algorithmName="SHA-512" hashValue="Gqwr8n5jYbCESAqCFk8dpOzViQICBV+k0xoqBoQaZ5lHaRlvT9TZDB4yXtm+qC6OhD064ZDBOFWkwo+LHXu1sg==" saltValue="gEL9PCN2ekF2IxW9yqAGYA==" spinCount="100000" sqref="IS2001" name="Rango2_40_2_39_5"/>
    <protectedRange algorithmName="SHA-512" hashValue="9+DNppQbWrLYYUMoJ+lyQctV2bX3Vq9kZnegLbpjTLP49It2ovUbcartuoQTeXgP+TGpY//7mDH/UQlFCKDGiA==" saltValue="KUnni6YEm00anzSSvyLqQA==" spinCount="100000" sqref="JC2001:JM2001" name="Rango2_43_14"/>
    <protectedRange algorithmName="SHA-512" hashValue="9+DNppQbWrLYYUMoJ+lyQctV2bX3Vq9kZnegLbpjTLP49It2ovUbcartuoQTeXgP+TGpY//7mDH/UQlFCKDGiA==" saltValue="KUnni6YEm00anzSSvyLqQA==" spinCount="100000" sqref="JO2001:JW2001" name="Rango2_44_14"/>
    <protectedRange algorithmName="SHA-512" hashValue="9+DNppQbWrLYYUMoJ+lyQctV2bX3Vq9kZnegLbpjTLP49It2ovUbcartuoQTeXgP+TGpY//7mDH/UQlFCKDGiA==" saltValue="KUnni6YEm00anzSSvyLqQA==" spinCount="100000" sqref="JY2001:KF2001" name="Rango2_45_16"/>
    <protectedRange algorithmName="SHA-512" hashValue="9+DNppQbWrLYYUMoJ+lyQctV2bX3Vq9kZnegLbpjTLP49It2ovUbcartuoQTeXgP+TGpY//7mDH/UQlFCKDGiA==" saltValue="KUnni6YEm00anzSSvyLqQA==" spinCount="100000" sqref="KH2001" name="Rango2_46_13"/>
    <protectedRange algorithmName="SHA-512" hashValue="9+DNppQbWrLYYUMoJ+lyQctV2bX3Vq9kZnegLbpjTLP49It2ovUbcartuoQTeXgP+TGpY//7mDH/UQlFCKDGiA==" saltValue="KUnni6YEm00anzSSvyLqQA==" spinCount="100000" sqref="KJ2001:MP2001" name="Rango2_47_8"/>
    <protectedRange algorithmName="SHA-512" hashValue="D8TacORwT7iz0mF9GEucchnMHfB5er2FFjQsxyeWWyeJkM6Bt3gYQ3LbcHPxZXFpVAYtFOuTrzYOCJrlZDx16g==" saltValue="QtCzIBktdS4NZkOEGcLTRQ==" spinCount="100000" sqref="IW2002" name="Rango2_41_39_6"/>
    <protectedRange algorithmName="SHA-512" hashValue="Gqwr8n5jYbCESAqCFk8dpOzViQICBV+k0xoqBoQaZ5lHaRlvT9TZDB4yXtm+qC6OhD064ZDBOFWkwo+LHXu1sg==" saltValue="gEL9PCN2ekF2IxW9yqAGYA==" spinCount="100000" sqref="IS2002" name="Rango2_40_2_39_6"/>
    <protectedRange algorithmName="SHA-512" hashValue="9+DNppQbWrLYYUMoJ+lyQctV2bX3Vq9kZnegLbpjTLP49It2ovUbcartuoQTeXgP+TGpY//7mDH/UQlFCKDGiA==" saltValue="KUnni6YEm00anzSSvyLqQA==" spinCount="100000" sqref="JC2002:JM2002" name="Rango2_43_15"/>
    <protectedRange algorithmName="SHA-512" hashValue="9+DNppQbWrLYYUMoJ+lyQctV2bX3Vq9kZnegLbpjTLP49It2ovUbcartuoQTeXgP+TGpY//7mDH/UQlFCKDGiA==" saltValue="KUnni6YEm00anzSSvyLqQA==" spinCount="100000" sqref="JO2002:JW2002" name="Rango2_44_15"/>
    <protectedRange algorithmName="SHA-512" hashValue="9+DNppQbWrLYYUMoJ+lyQctV2bX3Vq9kZnegLbpjTLP49It2ovUbcartuoQTeXgP+TGpY//7mDH/UQlFCKDGiA==" saltValue="KUnni6YEm00anzSSvyLqQA==" spinCount="100000" sqref="JY2002:KF2002" name="Rango2_45_17"/>
    <protectedRange algorithmName="SHA-512" hashValue="9+DNppQbWrLYYUMoJ+lyQctV2bX3Vq9kZnegLbpjTLP49It2ovUbcartuoQTeXgP+TGpY//7mDH/UQlFCKDGiA==" saltValue="KUnni6YEm00anzSSvyLqQA==" spinCount="100000" sqref="KH2002" name="Rango2_46_14"/>
    <protectedRange algorithmName="SHA-512" hashValue="9+DNppQbWrLYYUMoJ+lyQctV2bX3Vq9kZnegLbpjTLP49It2ovUbcartuoQTeXgP+TGpY//7mDH/UQlFCKDGiA==" saltValue="KUnni6YEm00anzSSvyLqQA==" spinCount="100000" sqref="KJ2002:MP2002" name="Rango2_47_9"/>
    <protectedRange algorithmName="SHA-512" hashValue="Gqwr8n5jYbCESAqCFk8dpOzViQICBV+k0xoqBoQaZ5lHaRlvT9TZDB4yXtm+qC6OhD064ZDBOFWkwo+LHXu1sg==" saltValue="gEL9PCN2ekF2IxW9yqAGYA==" spinCount="100000" sqref="IS2003" name="Rango2_40_2_1_5"/>
    <protectedRange algorithmName="SHA-512" hashValue="D8TacORwT7iz0mF9GEucchnMHfB5er2FFjQsxyeWWyeJkM6Bt3gYQ3LbcHPxZXFpVAYtFOuTrzYOCJrlZDx16g==" saltValue="QtCzIBktdS4NZkOEGcLTRQ==" spinCount="100000" sqref="IW2003" name="Rango2_41_1_4"/>
    <protectedRange algorithmName="SHA-512" hashValue="9+DNppQbWrLYYUMoJ+lyQctV2bX3Vq9kZnegLbpjTLP49It2ovUbcartuoQTeXgP+TGpY//7mDH/UQlFCKDGiA==" saltValue="KUnni6YEm00anzSSvyLqQA==" spinCount="100000" sqref="IX2003 IT2003:IV2003" name="Rango2_42_2"/>
    <protectedRange algorithmName="SHA-512" hashValue="9+DNppQbWrLYYUMoJ+lyQctV2bX3Vq9kZnegLbpjTLP49It2ovUbcartuoQTeXgP+TGpY//7mDH/UQlFCKDGiA==" saltValue="KUnni6YEm00anzSSvyLqQA==" spinCount="100000" sqref="IZ2003:JM2003" name="Rango2_43_16"/>
    <protectedRange algorithmName="SHA-512" hashValue="9+DNppQbWrLYYUMoJ+lyQctV2bX3Vq9kZnegLbpjTLP49It2ovUbcartuoQTeXgP+TGpY//7mDH/UQlFCKDGiA==" saltValue="KUnni6YEm00anzSSvyLqQA==" spinCount="100000" sqref="JO2003:JW2003" name="Rango2_44_16"/>
    <protectedRange algorithmName="SHA-512" hashValue="9+DNppQbWrLYYUMoJ+lyQctV2bX3Vq9kZnegLbpjTLP49It2ovUbcartuoQTeXgP+TGpY//7mDH/UQlFCKDGiA==" saltValue="KUnni6YEm00anzSSvyLqQA==" spinCount="100000" sqref="JY2003:KF2003" name="Rango2_45_18"/>
    <protectedRange algorithmName="SHA-512" hashValue="9+DNppQbWrLYYUMoJ+lyQctV2bX3Vq9kZnegLbpjTLP49It2ovUbcartuoQTeXgP+TGpY//7mDH/UQlFCKDGiA==" saltValue="KUnni6YEm00anzSSvyLqQA==" spinCount="100000" sqref="KH2003" name="Rango2_46_15"/>
    <protectedRange algorithmName="SHA-512" hashValue="9+DNppQbWrLYYUMoJ+lyQctV2bX3Vq9kZnegLbpjTLP49It2ovUbcartuoQTeXgP+TGpY//7mDH/UQlFCKDGiA==" saltValue="KUnni6YEm00anzSSvyLqQA==" spinCount="100000" sqref="KJ2003:MP2003" name="Rango2_47_10"/>
    <protectedRange algorithmName="SHA-512" hashValue="Gqwr8n5jYbCESAqCFk8dpOzViQICBV+k0xoqBoQaZ5lHaRlvT9TZDB4yXtm+qC6OhD064ZDBOFWkwo+LHXu1sg==" saltValue="gEL9PCN2ekF2IxW9yqAGYA==" spinCount="100000" sqref="IS2004" name="Rango2_40_2_1_7"/>
    <protectedRange algorithmName="SHA-512" hashValue="D8TacORwT7iz0mF9GEucchnMHfB5er2FFjQsxyeWWyeJkM6Bt3gYQ3LbcHPxZXFpVAYtFOuTrzYOCJrlZDx16g==" saltValue="QtCzIBktdS4NZkOEGcLTRQ==" spinCount="100000" sqref="IW2004" name="Rango2_41_1_5"/>
    <protectedRange algorithmName="SHA-512" hashValue="9+DNppQbWrLYYUMoJ+lyQctV2bX3Vq9kZnegLbpjTLP49It2ovUbcartuoQTeXgP+TGpY//7mDH/UQlFCKDGiA==" saltValue="KUnni6YEm00anzSSvyLqQA==" spinCount="100000" sqref="IX2004 IT2004:IV2004" name="Rango2_42_3"/>
    <protectedRange algorithmName="SHA-512" hashValue="9+DNppQbWrLYYUMoJ+lyQctV2bX3Vq9kZnegLbpjTLP49It2ovUbcartuoQTeXgP+TGpY//7mDH/UQlFCKDGiA==" saltValue="KUnni6YEm00anzSSvyLqQA==" spinCount="100000" sqref="IZ2004:JM2004" name="Rango2_43_17"/>
    <protectedRange algorithmName="SHA-512" hashValue="9+DNppQbWrLYYUMoJ+lyQctV2bX3Vq9kZnegLbpjTLP49It2ovUbcartuoQTeXgP+TGpY//7mDH/UQlFCKDGiA==" saltValue="KUnni6YEm00anzSSvyLqQA==" spinCount="100000" sqref="JO2004:JW2004" name="Rango2_44_17"/>
    <protectedRange algorithmName="SHA-512" hashValue="9+DNppQbWrLYYUMoJ+lyQctV2bX3Vq9kZnegLbpjTLP49It2ovUbcartuoQTeXgP+TGpY//7mDH/UQlFCKDGiA==" saltValue="KUnni6YEm00anzSSvyLqQA==" spinCount="100000" sqref="JY2004:KF2004" name="Rango2_45_19"/>
    <protectedRange algorithmName="SHA-512" hashValue="9+DNppQbWrLYYUMoJ+lyQctV2bX3Vq9kZnegLbpjTLP49It2ovUbcartuoQTeXgP+TGpY//7mDH/UQlFCKDGiA==" saltValue="KUnni6YEm00anzSSvyLqQA==" spinCount="100000" sqref="KH2004" name="Rango2_46_16"/>
    <protectedRange algorithmName="SHA-512" hashValue="9+DNppQbWrLYYUMoJ+lyQctV2bX3Vq9kZnegLbpjTLP49It2ovUbcartuoQTeXgP+TGpY//7mDH/UQlFCKDGiA==" saltValue="KUnni6YEm00anzSSvyLqQA==" spinCount="100000" sqref="KJ2004:MP2004" name="Rango2_47_11"/>
    <protectedRange algorithmName="SHA-512" hashValue="Gqwr8n5jYbCESAqCFk8dpOzViQICBV+k0xoqBoQaZ5lHaRlvT9TZDB4yXtm+qC6OhD064ZDBOFWkwo+LHXu1sg==" saltValue="gEL9PCN2ekF2IxW9yqAGYA==" spinCount="100000" sqref="IS2005" name="Rango2_40_2_1_8"/>
    <protectedRange algorithmName="SHA-512" hashValue="D8TacORwT7iz0mF9GEucchnMHfB5er2FFjQsxyeWWyeJkM6Bt3gYQ3LbcHPxZXFpVAYtFOuTrzYOCJrlZDx16g==" saltValue="QtCzIBktdS4NZkOEGcLTRQ==" spinCount="100000" sqref="IW2005" name="Rango2_41_1_6"/>
    <protectedRange algorithmName="SHA-512" hashValue="9+DNppQbWrLYYUMoJ+lyQctV2bX3Vq9kZnegLbpjTLP49It2ovUbcartuoQTeXgP+TGpY//7mDH/UQlFCKDGiA==" saltValue="KUnni6YEm00anzSSvyLqQA==" spinCount="100000" sqref="IX2005 IT2005:IV2005" name="Rango2_42_4"/>
    <protectedRange algorithmName="SHA-512" hashValue="9+DNppQbWrLYYUMoJ+lyQctV2bX3Vq9kZnegLbpjTLP49It2ovUbcartuoQTeXgP+TGpY//7mDH/UQlFCKDGiA==" saltValue="KUnni6YEm00anzSSvyLqQA==" spinCount="100000" sqref="IZ2005:JM2005" name="Rango2_43_18"/>
    <protectedRange algorithmName="SHA-512" hashValue="9+DNppQbWrLYYUMoJ+lyQctV2bX3Vq9kZnegLbpjTLP49It2ovUbcartuoQTeXgP+TGpY//7mDH/UQlFCKDGiA==" saltValue="KUnni6YEm00anzSSvyLqQA==" spinCount="100000" sqref="JO2005:JW2005" name="Rango2_44_18"/>
    <protectedRange algorithmName="SHA-512" hashValue="9+DNppQbWrLYYUMoJ+lyQctV2bX3Vq9kZnegLbpjTLP49It2ovUbcartuoQTeXgP+TGpY//7mDH/UQlFCKDGiA==" saltValue="KUnni6YEm00anzSSvyLqQA==" spinCount="100000" sqref="JY2005:KF2005" name="Rango2_45_20"/>
    <protectedRange algorithmName="SHA-512" hashValue="9+DNppQbWrLYYUMoJ+lyQctV2bX3Vq9kZnegLbpjTLP49It2ovUbcartuoQTeXgP+TGpY//7mDH/UQlFCKDGiA==" saltValue="KUnni6YEm00anzSSvyLqQA==" spinCount="100000" sqref="KH2005" name="Rango2_46_17"/>
    <protectedRange algorithmName="SHA-512" hashValue="9+DNppQbWrLYYUMoJ+lyQctV2bX3Vq9kZnegLbpjTLP49It2ovUbcartuoQTeXgP+TGpY//7mDH/UQlFCKDGiA==" saltValue="KUnni6YEm00anzSSvyLqQA==" spinCount="100000" sqref="KJ2005:MP2005" name="Rango2_47_12"/>
    <protectedRange algorithmName="SHA-512" hashValue="Gqwr8n5jYbCESAqCFk8dpOzViQICBV+k0xoqBoQaZ5lHaRlvT9TZDB4yXtm+qC6OhD064ZDBOFWkwo+LHXu1sg==" saltValue="gEL9PCN2ekF2IxW9yqAGYA==" spinCount="100000" sqref="IS2006" name="Rango2_40_2_1_9"/>
    <protectedRange algorithmName="SHA-512" hashValue="D8TacORwT7iz0mF9GEucchnMHfB5er2FFjQsxyeWWyeJkM6Bt3gYQ3LbcHPxZXFpVAYtFOuTrzYOCJrlZDx16g==" saltValue="QtCzIBktdS4NZkOEGcLTRQ==" spinCount="100000" sqref="IW2006" name="Rango2_41_1_7"/>
    <protectedRange algorithmName="SHA-512" hashValue="9+DNppQbWrLYYUMoJ+lyQctV2bX3Vq9kZnegLbpjTLP49It2ovUbcartuoQTeXgP+TGpY//7mDH/UQlFCKDGiA==" saltValue="KUnni6YEm00anzSSvyLqQA==" spinCount="100000" sqref="IX2006 IT2006:IV2006" name="Rango2_42_5"/>
    <protectedRange algorithmName="SHA-512" hashValue="9+DNppQbWrLYYUMoJ+lyQctV2bX3Vq9kZnegLbpjTLP49It2ovUbcartuoQTeXgP+TGpY//7mDH/UQlFCKDGiA==" saltValue="KUnni6YEm00anzSSvyLqQA==" spinCount="100000" sqref="IZ2006:JM2006" name="Rango2_43_19"/>
    <protectedRange algorithmName="SHA-512" hashValue="9+DNppQbWrLYYUMoJ+lyQctV2bX3Vq9kZnegLbpjTLP49It2ovUbcartuoQTeXgP+TGpY//7mDH/UQlFCKDGiA==" saltValue="KUnni6YEm00anzSSvyLqQA==" spinCount="100000" sqref="JO2006:JW2006" name="Rango2_44_19"/>
    <protectedRange algorithmName="SHA-512" hashValue="9+DNppQbWrLYYUMoJ+lyQctV2bX3Vq9kZnegLbpjTLP49It2ovUbcartuoQTeXgP+TGpY//7mDH/UQlFCKDGiA==" saltValue="KUnni6YEm00anzSSvyLqQA==" spinCount="100000" sqref="JY2006:KF2006" name="Rango2_45_21"/>
    <protectedRange algorithmName="SHA-512" hashValue="9+DNppQbWrLYYUMoJ+lyQctV2bX3Vq9kZnegLbpjTLP49It2ovUbcartuoQTeXgP+TGpY//7mDH/UQlFCKDGiA==" saltValue="KUnni6YEm00anzSSvyLqQA==" spinCount="100000" sqref="KH2006" name="Rango2_46_18"/>
    <protectedRange algorithmName="SHA-512" hashValue="9+DNppQbWrLYYUMoJ+lyQctV2bX3Vq9kZnegLbpjTLP49It2ovUbcartuoQTeXgP+TGpY//7mDH/UQlFCKDGiA==" saltValue="KUnni6YEm00anzSSvyLqQA==" spinCount="100000" sqref="KJ2006:MP2006" name="Rango2_47_13"/>
    <protectedRange algorithmName="SHA-512" hashValue="Gqwr8n5jYbCESAqCFk8dpOzViQICBV+k0xoqBoQaZ5lHaRlvT9TZDB4yXtm+qC6OhD064ZDBOFWkwo+LHXu1sg==" saltValue="gEL9PCN2ekF2IxW9yqAGYA==" spinCount="100000" sqref="IS2007:IS2009" name="Rango2_40_2_1_10"/>
    <protectedRange algorithmName="SHA-512" hashValue="D8TacORwT7iz0mF9GEucchnMHfB5er2FFjQsxyeWWyeJkM6Bt3gYQ3LbcHPxZXFpVAYtFOuTrzYOCJrlZDx16g==" saltValue="QtCzIBktdS4NZkOEGcLTRQ==" spinCount="100000" sqref="IW2007:IW2009" name="Rango2_41_1_8"/>
    <protectedRange algorithmName="SHA-512" hashValue="9+DNppQbWrLYYUMoJ+lyQctV2bX3Vq9kZnegLbpjTLP49It2ovUbcartuoQTeXgP+TGpY//7mDH/UQlFCKDGiA==" saltValue="KUnni6YEm00anzSSvyLqQA==" spinCount="100000" sqref="IX2007:IX2009 IT2007:IV2009" name="Rango2_42_6"/>
    <protectedRange algorithmName="SHA-512" hashValue="9+DNppQbWrLYYUMoJ+lyQctV2bX3Vq9kZnegLbpjTLP49It2ovUbcartuoQTeXgP+TGpY//7mDH/UQlFCKDGiA==" saltValue="KUnni6YEm00anzSSvyLqQA==" spinCount="100000" sqref="IZ2007:JM2009" name="Rango2_43_20"/>
    <protectedRange algorithmName="SHA-512" hashValue="9+DNppQbWrLYYUMoJ+lyQctV2bX3Vq9kZnegLbpjTLP49It2ovUbcartuoQTeXgP+TGpY//7mDH/UQlFCKDGiA==" saltValue="KUnni6YEm00anzSSvyLqQA==" spinCount="100000" sqref="JO2007:JW2009" name="Rango2_44_20"/>
    <protectedRange algorithmName="SHA-512" hashValue="9+DNppQbWrLYYUMoJ+lyQctV2bX3Vq9kZnegLbpjTLP49It2ovUbcartuoQTeXgP+TGpY//7mDH/UQlFCKDGiA==" saltValue="KUnni6YEm00anzSSvyLqQA==" spinCount="100000" sqref="JY2007:KF2009" name="Rango2_45_22"/>
    <protectedRange algorithmName="SHA-512" hashValue="9+DNppQbWrLYYUMoJ+lyQctV2bX3Vq9kZnegLbpjTLP49It2ovUbcartuoQTeXgP+TGpY//7mDH/UQlFCKDGiA==" saltValue="KUnni6YEm00anzSSvyLqQA==" spinCount="100000" sqref="KH2007:KH2009" name="Rango2_46_19"/>
    <protectedRange algorithmName="SHA-512" hashValue="9+DNppQbWrLYYUMoJ+lyQctV2bX3Vq9kZnegLbpjTLP49It2ovUbcartuoQTeXgP+TGpY//7mDH/UQlFCKDGiA==" saltValue="KUnni6YEm00anzSSvyLqQA==" spinCount="100000" sqref="KJ2007:MP2009" name="Rango2_47_14"/>
    <protectedRange algorithmName="SHA-512" hashValue="Gqwr8n5jYbCESAqCFk8dpOzViQICBV+k0xoqBoQaZ5lHaRlvT9TZDB4yXtm+qC6OhD064ZDBOFWkwo+LHXu1sg==" saltValue="gEL9PCN2ekF2IxW9yqAGYA==" spinCount="100000" sqref="IS2010" name="Rango2_40_2_1_11"/>
    <protectedRange algorithmName="SHA-512" hashValue="D8TacORwT7iz0mF9GEucchnMHfB5er2FFjQsxyeWWyeJkM6Bt3gYQ3LbcHPxZXFpVAYtFOuTrzYOCJrlZDx16g==" saltValue="QtCzIBktdS4NZkOEGcLTRQ==" spinCount="100000" sqref="IW2010" name="Rango2_41_1_9"/>
    <protectedRange algorithmName="SHA-512" hashValue="9+DNppQbWrLYYUMoJ+lyQctV2bX3Vq9kZnegLbpjTLP49It2ovUbcartuoQTeXgP+TGpY//7mDH/UQlFCKDGiA==" saltValue="KUnni6YEm00anzSSvyLqQA==" spinCount="100000" sqref="IX2010 IT2010:IV2010" name="Rango2_42_7"/>
    <protectedRange algorithmName="SHA-512" hashValue="9+DNppQbWrLYYUMoJ+lyQctV2bX3Vq9kZnegLbpjTLP49It2ovUbcartuoQTeXgP+TGpY//7mDH/UQlFCKDGiA==" saltValue="KUnni6YEm00anzSSvyLqQA==" spinCount="100000" sqref="IZ2010:JM2010" name="Rango2_43_21"/>
    <protectedRange algorithmName="SHA-512" hashValue="9+DNppQbWrLYYUMoJ+lyQctV2bX3Vq9kZnegLbpjTLP49It2ovUbcartuoQTeXgP+TGpY//7mDH/UQlFCKDGiA==" saltValue="KUnni6YEm00anzSSvyLqQA==" spinCount="100000" sqref="JO2010:JW2010" name="Rango2_44_21"/>
    <protectedRange algorithmName="SHA-512" hashValue="9+DNppQbWrLYYUMoJ+lyQctV2bX3Vq9kZnegLbpjTLP49It2ovUbcartuoQTeXgP+TGpY//7mDH/UQlFCKDGiA==" saltValue="KUnni6YEm00anzSSvyLqQA==" spinCount="100000" sqref="JY2010:KF2010" name="Rango2_45_23"/>
    <protectedRange algorithmName="SHA-512" hashValue="9+DNppQbWrLYYUMoJ+lyQctV2bX3Vq9kZnegLbpjTLP49It2ovUbcartuoQTeXgP+TGpY//7mDH/UQlFCKDGiA==" saltValue="KUnni6YEm00anzSSvyLqQA==" spinCount="100000" sqref="KH2010" name="Rango2_46_20"/>
    <protectedRange algorithmName="SHA-512" hashValue="9+DNppQbWrLYYUMoJ+lyQctV2bX3Vq9kZnegLbpjTLP49It2ovUbcartuoQTeXgP+TGpY//7mDH/UQlFCKDGiA==" saltValue="KUnni6YEm00anzSSvyLqQA==" spinCount="100000" sqref="KJ2010:MP2010" name="Rango2_47_15"/>
    <protectedRange algorithmName="SHA-512" hashValue="Gqwr8n5jYbCESAqCFk8dpOzViQICBV+k0xoqBoQaZ5lHaRlvT9TZDB4yXtm+qC6OhD064ZDBOFWkwo+LHXu1sg==" saltValue="gEL9PCN2ekF2IxW9yqAGYA==" spinCount="100000" sqref="IS2011:IS2012" name="Rango2_40_2_1_12"/>
    <protectedRange algorithmName="SHA-512" hashValue="D8TacORwT7iz0mF9GEucchnMHfB5er2FFjQsxyeWWyeJkM6Bt3gYQ3LbcHPxZXFpVAYtFOuTrzYOCJrlZDx16g==" saltValue="QtCzIBktdS4NZkOEGcLTRQ==" spinCount="100000" sqref="IW2011:IW2012" name="Rango2_41_1_10"/>
    <protectedRange algorithmName="SHA-512" hashValue="9+DNppQbWrLYYUMoJ+lyQctV2bX3Vq9kZnegLbpjTLP49It2ovUbcartuoQTeXgP+TGpY//7mDH/UQlFCKDGiA==" saltValue="KUnni6YEm00anzSSvyLqQA==" spinCount="100000" sqref="IX2011:IX2012 IT2011:IV2012" name="Rango2_42_8"/>
    <protectedRange algorithmName="SHA-512" hashValue="9+DNppQbWrLYYUMoJ+lyQctV2bX3Vq9kZnegLbpjTLP49It2ovUbcartuoQTeXgP+TGpY//7mDH/UQlFCKDGiA==" saltValue="KUnni6YEm00anzSSvyLqQA==" spinCount="100000" sqref="IZ2011:JM2012" name="Rango2_43_22"/>
    <protectedRange algorithmName="SHA-512" hashValue="9+DNppQbWrLYYUMoJ+lyQctV2bX3Vq9kZnegLbpjTLP49It2ovUbcartuoQTeXgP+TGpY//7mDH/UQlFCKDGiA==" saltValue="KUnni6YEm00anzSSvyLqQA==" spinCount="100000" sqref="JO2011:JW2012" name="Rango2_44_22"/>
    <protectedRange algorithmName="SHA-512" hashValue="9+DNppQbWrLYYUMoJ+lyQctV2bX3Vq9kZnegLbpjTLP49It2ovUbcartuoQTeXgP+TGpY//7mDH/UQlFCKDGiA==" saltValue="KUnni6YEm00anzSSvyLqQA==" spinCount="100000" sqref="JY2011:KF2012" name="Rango2_45_24"/>
    <protectedRange algorithmName="SHA-512" hashValue="9+DNppQbWrLYYUMoJ+lyQctV2bX3Vq9kZnegLbpjTLP49It2ovUbcartuoQTeXgP+TGpY//7mDH/UQlFCKDGiA==" saltValue="KUnni6YEm00anzSSvyLqQA==" spinCount="100000" sqref="KH2011:KH2012" name="Rango2_46_21"/>
    <protectedRange algorithmName="SHA-512" hashValue="9+DNppQbWrLYYUMoJ+lyQctV2bX3Vq9kZnegLbpjTLP49It2ovUbcartuoQTeXgP+TGpY//7mDH/UQlFCKDGiA==" saltValue="KUnni6YEm00anzSSvyLqQA==" spinCount="100000" sqref="KJ2011:MP2012" name="Rango2_47_16"/>
    <protectedRange algorithmName="SHA-512" hashValue="Gqwr8n5jYbCESAqCFk8dpOzViQICBV+k0xoqBoQaZ5lHaRlvT9TZDB4yXtm+qC6OhD064ZDBOFWkwo+LHXu1sg==" saltValue="gEL9PCN2ekF2IxW9yqAGYA==" spinCount="100000" sqref="IS2013" name="Rango2_40_2_1_13"/>
    <protectedRange algorithmName="SHA-512" hashValue="D8TacORwT7iz0mF9GEucchnMHfB5er2FFjQsxyeWWyeJkM6Bt3gYQ3LbcHPxZXFpVAYtFOuTrzYOCJrlZDx16g==" saltValue="QtCzIBktdS4NZkOEGcLTRQ==" spinCount="100000" sqref="IW2013" name="Rango2_41_1_11"/>
    <protectedRange algorithmName="SHA-512" hashValue="9+DNppQbWrLYYUMoJ+lyQctV2bX3Vq9kZnegLbpjTLP49It2ovUbcartuoQTeXgP+TGpY//7mDH/UQlFCKDGiA==" saltValue="KUnni6YEm00anzSSvyLqQA==" spinCount="100000" sqref="IX2013 IT2013:IV2013" name="Rango2_42_9"/>
    <protectedRange algorithmName="SHA-512" hashValue="9+DNppQbWrLYYUMoJ+lyQctV2bX3Vq9kZnegLbpjTLP49It2ovUbcartuoQTeXgP+TGpY//7mDH/UQlFCKDGiA==" saltValue="KUnni6YEm00anzSSvyLqQA==" spinCount="100000" sqref="IZ2013:JM2013" name="Rango2_43_23"/>
    <protectedRange algorithmName="SHA-512" hashValue="9+DNppQbWrLYYUMoJ+lyQctV2bX3Vq9kZnegLbpjTLP49It2ovUbcartuoQTeXgP+TGpY//7mDH/UQlFCKDGiA==" saltValue="KUnni6YEm00anzSSvyLqQA==" spinCount="100000" sqref="JO2013:JW2013" name="Rango2_44_23"/>
    <protectedRange algorithmName="SHA-512" hashValue="9+DNppQbWrLYYUMoJ+lyQctV2bX3Vq9kZnegLbpjTLP49It2ovUbcartuoQTeXgP+TGpY//7mDH/UQlFCKDGiA==" saltValue="KUnni6YEm00anzSSvyLqQA==" spinCount="100000" sqref="JY2013:KF2013" name="Rango2_45_25"/>
    <protectedRange algorithmName="SHA-512" hashValue="9+DNppQbWrLYYUMoJ+lyQctV2bX3Vq9kZnegLbpjTLP49It2ovUbcartuoQTeXgP+TGpY//7mDH/UQlFCKDGiA==" saltValue="KUnni6YEm00anzSSvyLqQA==" spinCount="100000" sqref="KH2013" name="Rango2_46_22"/>
    <protectedRange algorithmName="SHA-512" hashValue="9+DNppQbWrLYYUMoJ+lyQctV2bX3Vq9kZnegLbpjTLP49It2ovUbcartuoQTeXgP+TGpY//7mDH/UQlFCKDGiA==" saltValue="KUnni6YEm00anzSSvyLqQA==" spinCount="100000" sqref="KJ2013:MP2013" name="Rango2_47_17"/>
    <protectedRange algorithmName="SHA-512" hashValue="Gqwr8n5jYbCESAqCFk8dpOzViQICBV+k0xoqBoQaZ5lHaRlvT9TZDB4yXtm+qC6OhD064ZDBOFWkwo+LHXu1sg==" saltValue="gEL9PCN2ekF2IxW9yqAGYA==" spinCount="100000" sqref="IS2014" name="Rango2_40_2_1_14"/>
    <protectedRange algorithmName="SHA-512" hashValue="D8TacORwT7iz0mF9GEucchnMHfB5er2FFjQsxyeWWyeJkM6Bt3gYQ3LbcHPxZXFpVAYtFOuTrzYOCJrlZDx16g==" saltValue="QtCzIBktdS4NZkOEGcLTRQ==" spinCount="100000" sqref="IW2014" name="Rango2_41_1_12"/>
    <protectedRange algorithmName="SHA-512" hashValue="9+DNppQbWrLYYUMoJ+lyQctV2bX3Vq9kZnegLbpjTLP49It2ovUbcartuoQTeXgP+TGpY//7mDH/UQlFCKDGiA==" saltValue="KUnni6YEm00anzSSvyLqQA==" spinCount="100000" sqref="IX2014 IT2014:IV2014" name="Rango2_42_10"/>
    <protectedRange algorithmName="SHA-512" hashValue="9+DNppQbWrLYYUMoJ+lyQctV2bX3Vq9kZnegLbpjTLP49It2ovUbcartuoQTeXgP+TGpY//7mDH/UQlFCKDGiA==" saltValue="KUnni6YEm00anzSSvyLqQA==" spinCount="100000" sqref="IZ2014:JM2014" name="Rango2_43_24"/>
    <protectedRange algorithmName="SHA-512" hashValue="9+DNppQbWrLYYUMoJ+lyQctV2bX3Vq9kZnegLbpjTLP49It2ovUbcartuoQTeXgP+TGpY//7mDH/UQlFCKDGiA==" saltValue="KUnni6YEm00anzSSvyLqQA==" spinCount="100000" sqref="JO2014:JW2014" name="Rango2_44_24"/>
    <protectedRange algorithmName="SHA-512" hashValue="9+DNppQbWrLYYUMoJ+lyQctV2bX3Vq9kZnegLbpjTLP49It2ovUbcartuoQTeXgP+TGpY//7mDH/UQlFCKDGiA==" saltValue="KUnni6YEm00anzSSvyLqQA==" spinCount="100000" sqref="JY2014:KF2014" name="Rango2_45_26"/>
    <protectedRange algorithmName="SHA-512" hashValue="9+DNppQbWrLYYUMoJ+lyQctV2bX3Vq9kZnegLbpjTLP49It2ovUbcartuoQTeXgP+TGpY//7mDH/UQlFCKDGiA==" saltValue="KUnni6YEm00anzSSvyLqQA==" spinCount="100000" sqref="KH2014" name="Rango2_46_23"/>
    <protectedRange algorithmName="SHA-512" hashValue="9+DNppQbWrLYYUMoJ+lyQctV2bX3Vq9kZnegLbpjTLP49It2ovUbcartuoQTeXgP+TGpY//7mDH/UQlFCKDGiA==" saltValue="KUnni6YEm00anzSSvyLqQA==" spinCount="100000" sqref="KJ2014:MP2014" name="Rango2_47_18"/>
    <protectedRange algorithmName="SHA-512" hashValue="Gqwr8n5jYbCESAqCFk8dpOzViQICBV+k0xoqBoQaZ5lHaRlvT9TZDB4yXtm+qC6OhD064ZDBOFWkwo+LHXu1sg==" saltValue="gEL9PCN2ekF2IxW9yqAGYA==" spinCount="100000" sqref="IS2015" name="Rango2_40_2_1_15"/>
    <protectedRange algorithmName="SHA-512" hashValue="D8TacORwT7iz0mF9GEucchnMHfB5er2FFjQsxyeWWyeJkM6Bt3gYQ3LbcHPxZXFpVAYtFOuTrzYOCJrlZDx16g==" saltValue="QtCzIBktdS4NZkOEGcLTRQ==" spinCount="100000" sqref="IW2015" name="Rango2_41_1_13"/>
    <protectedRange algorithmName="SHA-512" hashValue="9+DNppQbWrLYYUMoJ+lyQctV2bX3Vq9kZnegLbpjTLP49It2ovUbcartuoQTeXgP+TGpY//7mDH/UQlFCKDGiA==" saltValue="KUnni6YEm00anzSSvyLqQA==" spinCount="100000" sqref="IX2015 IT2015:IV2015" name="Rango2_42_11"/>
    <protectedRange algorithmName="SHA-512" hashValue="9+DNppQbWrLYYUMoJ+lyQctV2bX3Vq9kZnegLbpjTLP49It2ovUbcartuoQTeXgP+TGpY//7mDH/UQlFCKDGiA==" saltValue="KUnni6YEm00anzSSvyLqQA==" spinCount="100000" sqref="IZ2015:JM2015" name="Rango2_43_25"/>
    <protectedRange algorithmName="SHA-512" hashValue="9+DNppQbWrLYYUMoJ+lyQctV2bX3Vq9kZnegLbpjTLP49It2ovUbcartuoQTeXgP+TGpY//7mDH/UQlFCKDGiA==" saltValue="KUnni6YEm00anzSSvyLqQA==" spinCount="100000" sqref="JO2015:JW2015" name="Rango2_44_25"/>
    <protectedRange algorithmName="SHA-512" hashValue="9+DNppQbWrLYYUMoJ+lyQctV2bX3Vq9kZnegLbpjTLP49It2ovUbcartuoQTeXgP+TGpY//7mDH/UQlFCKDGiA==" saltValue="KUnni6YEm00anzSSvyLqQA==" spinCount="100000" sqref="JY2015:KF2015" name="Rango2_45_27"/>
    <protectedRange algorithmName="SHA-512" hashValue="9+DNppQbWrLYYUMoJ+lyQctV2bX3Vq9kZnegLbpjTLP49It2ovUbcartuoQTeXgP+TGpY//7mDH/UQlFCKDGiA==" saltValue="KUnni6YEm00anzSSvyLqQA==" spinCount="100000" sqref="KH2015" name="Rango2_46_24"/>
    <protectedRange algorithmName="SHA-512" hashValue="9+DNppQbWrLYYUMoJ+lyQctV2bX3Vq9kZnegLbpjTLP49It2ovUbcartuoQTeXgP+TGpY//7mDH/UQlFCKDGiA==" saltValue="KUnni6YEm00anzSSvyLqQA==" spinCount="100000" sqref="KJ2015:MP2015" name="Rango2_47_19"/>
    <protectedRange algorithmName="SHA-512" hashValue="Gqwr8n5jYbCESAqCFk8dpOzViQICBV+k0xoqBoQaZ5lHaRlvT9TZDB4yXtm+qC6OhD064ZDBOFWkwo+LHXu1sg==" saltValue="gEL9PCN2ekF2IxW9yqAGYA==" spinCount="100000" sqref="IS2016" name="Rango2_40_2_1_16"/>
    <protectedRange algorithmName="SHA-512" hashValue="D8TacORwT7iz0mF9GEucchnMHfB5er2FFjQsxyeWWyeJkM6Bt3gYQ3LbcHPxZXFpVAYtFOuTrzYOCJrlZDx16g==" saltValue="QtCzIBktdS4NZkOEGcLTRQ==" spinCount="100000" sqref="IW2016" name="Rango2_41_1_14"/>
    <protectedRange algorithmName="SHA-512" hashValue="9+DNppQbWrLYYUMoJ+lyQctV2bX3Vq9kZnegLbpjTLP49It2ovUbcartuoQTeXgP+TGpY//7mDH/UQlFCKDGiA==" saltValue="KUnni6YEm00anzSSvyLqQA==" spinCount="100000" sqref="IX2016 IT2016:IV2016" name="Rango2_42_12"/>
    <protectedRange algorithmName="SHA-512" hashValue="9+DNppQbWrLYYUMoJ+lyQctV2bX3Vq9kZnegLbpjTLP49It2ovUbcartuoQTeXgP+TGpY//7mDH/UQlFCKDGiA==" saltValue="KUnni6YEm00anzSSvyLqQA==" spinCount="100000" sqref="IZ2016:JM2016" name="Rango2_43_26"/>
    <protectedRange algorithmName="SHA-512" hashValue="9+DNppQbWrLYYUMoJ+lyQctV2bX3Vq9kZnegLbpjTLP49It2ovUbcartuoQTeXgP+TGpY//7mDH/UQlFCKDGiA==" saltValue="KUnni6YEm00anzSSvyLqQA==" spinCount="100000" sqref="JO2016:JW2016" name="Rango2_44_26"/>
    <protectedRange algorithmName="SHA-512" hashValue="9+DNppQbWrLYYUMoJ+lyQctV2bX3Vq9kZnegLbpjTLP49It2ovUbcartuoQTeXgP+TGpY//7mDH/UQlFCKDGiA==" saltValue="KUnni6YEm00anzSSvyLqQA==" spinCount="100000" sqref="JY2016:KF2016" name="Rango2_45_28"/>
    <protectedRange algorithmName="SHA-512" hashValue="9+DNppQbWrLYYUMoJ+lyQctV2bX3Vq9kZnegLbpjTLP49It2ovUbcartuoQTeXgP+TGpY//7mDH/UQlFCKDGiA==" saltValue="KUnni6YEm00anzSSvyLqQA==" spinCount="100000" sqref="KH2016" name="Rango2_46_25"/>
    <protectedRange algorithmName="SHA-512" hashValue="9+DNppQbWrLYYUMoJ+lyQctV2bX3Vq9kZnegLbpjTLP49It2ovUbcartuoQTeXgP+TGpY//7mDH/UQlFCKDGiA==" saltValue="KUnni6YEm00anzSSvyLqQA==" spinCount="100000" sqref="KJ2016:MP2016" name="Rango2_47_20"/>
    <protectedRange algorithmName="SHA-512" hashValue="Gqwr8n5jYbCESAqCFk8dpOzViQICBV+k0xoqBoQaZ5lHaRlvT9TZDB4yXtm+qC6OhD064ZDBOFWkwo+LHXu1sg==" saltValue="gEL9PCN2ekF2IxW9yqAGYA==" spinCount="100000" sqref="IS2017" name="Rango2_40_2_1_17"/>
    <protectedRange algorithmName="SHA-512" hashValue="D8TacORwT7iz0mF9GEucchnMHfB5er2FFjQsxyeWWyeJkM6Bt3gYQ3LbcHPxZXFpVAYtFOuTrzYOCJrlZDx16g==" saltValue="QtCzIBktdS4NZkOEGcLTRQ==" spinCount="100000" sqref="IW2017" name="Rango2_41_1_15"/>
    <protectedRange algorithmName="SHA-512" hashValue="9+DNppQbWrLYYUMoJ+lyQctV2bX3Vq9kZnegLbpjTLP49It2ovUbcartuoQTeXgP+TGpY//7mDH/UQlFCKDGiA==" saltValue="KUnni6YEm00anzSSvyLqQA==" spinCount="100000" sqref="IX2017 IT2017:IV2017" name="Rango2_42_13"/>
    <protectedRange algorithmName="SHA-512" hashValue="9+DNppQbWrLYYUMoJ+lyQctV2bX3Vq9kZnegLbpjTLP49It2ovUbcartuoQTeXgP+TGpY//7mDH/UQlFCKDGiA==" saltValue="KUnni6YEm00anzSSvyLqQA==" spinCount="100000" sqref="IZ2017:JM2017" name="Rango2_43_27"/>
    <protectedRange algorithmName="SHA-512" hashValue="9+DNppQbWrLYYUMoJ+lyQctV2bX3Vq9kZnegLbpjTLP49It2ovUbcartuoQTeXgP+TGpY//7mDH/UQlFCKDGiA==" saltValue="KUnni6YEm00anzSSvyLqQA==" spinCount="100000" sqref="JO2017:JW2017" name="Rango2_44_27"/>
    <protectedRange algorithmName="SHA-512" hashValue="9+DNppQbWrLYYUMoJ+lyQctV2bX3Vq9kZnegLbpjTLP49It2ovUbcartuoQTeXgP+TGpY//7mDH/UQlFCKDGiA==" saltValue="KUnni6YEm00anzSSvyLqQA==" spinCount="100000" sqref="JY2017:KF2017" name="Rango2_45_29"/>
    <protectedRange algorithmName="SHA-512" hashValue="9+DNppQbWrLYYUMoJ+lyQctV2bX3Vq9kZnegLbpjTLP49It2ovUbcartuoQTeXgP+TGpY//7mDH/UQlFCKDGiA==" saltValue="KUnni6YEm00anzSSvyLqQA==" spinCount="100000" sqref="KH2017" name="Rango2_46_26"/>
    <protectedRange algorithmName="SHA-512" hashValue="9+DNppQbWrLYYUMoJ+lyQctV2bX3Vq9kZnegLbpjTLP49It2ovUbcartuoQTeXgP+TGpY//7mDH/UQlFCKDGiA==" saltValue="KUnni6YEm00anzSSvyLqQA==" spinCount="100000" sqref="KJ2017:MP2017" name="Rango2_47_21"/>
    <protectedRange algorithmName="SHA-512" hashValue="Gqwr8n5jYbCESAqCFk8dpOzViQICBV+k0xoqBoQaZ5lHaRlvT9TZDB4yXtm+qC6OhD064ZDBOFWkwo+LHXu1sg==" saltValue="gEL9PCN2ekF2IxW9yqAGYA==" spinCount="100000" sqref="IS2018" name="Rango2_40_2_1_18"/>
    <protectedRange algorithmName="SHA-512" hashValue="D8TacORwT7iz0mF9GEucchnMHfB5er2FFjQsxyeWWyeJkM6Bt3gYQ3LbcHPxZXFpVAYtFOuTrzYOCJrlZDx16g==" saltValue="QtCzIBktdS4NZkOEGcLTRQ==" spinCount="100000" sqref="IW2018" name="Rango2_41_1_16"/>
    <protectedRange algorithmName="SHA-512" hashValue="9+DNppQbWrLYYUMoJ+lyQctV2bX3Vq9kZnegLbpjTLP49It2ovUbcartuoQTeXgP+TGpY//7mDH/UQlFCKDGiA==" saltValue="KUnni6YEm00anzSSvyLqQA==" spinCount="100000" sqref="IX2018 IT2018:IV2018" name="Rango2_42_14"/>
    <protectedRange algorithmName="SHA-512" hashValue="9+DNppQbWrLYYUMoJ+lyQctV2bX3Vq9kZnegLbpjTLP49It2ovUbcartuoQTeXgP+TGpY//7mDH/UQlFCKDGiA==" saltValue="KUnni6YEm00anzSSvyLqQA==" spinCount="100000" sqref="IZ2018:JM2018" name="Rango2_43_28"/>
    <protectedRange algorithmName="SHA-512" hashValue="9+DNppQbWrLYYUMoJ+lyQctV2bX3Vq9kZnegLbpjTLP49It2ovUbcartuoQTeXgP+TGpY//7mDH/UQlFCKDGiA==" saltValue="KUnni6YEm00anzSSvyLqQA==" spinCount="100000" sqref="JO2018:JW2018" name="Rango2_44_28"/>
    <protectedRange algorithmName="SHA-512" hashValue="9+DNppQbWrLYYUMoJ+lyQctV2bX3Vq9kZnegLbpjTLP49It2ovUbcartuoQTeXgP+TGpY//7mDH/UQlFCKDGiA==" saltValue="KUnni6YEm00anzSSvyLqQA==" spinCount="100000" sqref="JY2018:KF2018" name="Rango2_45_30"/>
    <protectedRange algorithmName="SHA-512" hashValue="9+DNppQbWrLYYUMoJ+lyQctV2bX3Vq9kZnegLbpjTLP49It2ovUbcartuoQTeXgP+TGpY//7mDH/UQlFCKDGiA==" saltValue="KUnni6YEm00anzSSvyLqQA==" spinCount="100000" sqref="KH2018" name="Rango2_46_27"/>
    <protectedRange algorithmName="SHA-512" hashValue="9+DNppQbWrLYYUMoJ+lyQctV2bX3Vq9kZnegLbpjTLP49It2ovUbcartuoQTeXgP+TGpY//7mDH/UQlFCKDGiA==" saltValue="KUnni6YEm00anzSSvyLqQA==" spinCount="100000" sqref="KJ2018:MP2018" name="Rango2_47_22"/>
    <protectedRange algorithmName="SHA-512" hashValue="Gqwr8n5jYbCESAqCFk8dpOzViQICBV+k0xoqBoQaZ5lHaRlvT9TZDB4yXtm+qC6OhD064ZDBOFWkwo+LHXu1sg==" saltValue="gEL9PCN2ekF2IxW9yqAGYA==" spinCount="100000" sqref="IS2019:IS2020" name="Rango2_40_2_1_19"/>
    <protectedRange algorithmName="SHA-512" hashValue="D8TacORwT7iz0mF9GEucchnMHfB5er2FFjQsxyeWWyeJkM6Bt3gYQ3LbcHPxZXFpVAYtFOuTrzYOCJrlZDx16g==" saltValue="QtCzIBktdS4NZkOEGcLTRQ==" spinCount="100000" sqref="IW2019:IW2020" name="Rango2_41_1_17"/>
    <protectedRange algorithmName="SHA-512" hashValue="9+DNppQbWrLYYUMoJ+lyQctV2bX3Vq9kZnegLbpjTLP49It2ovUbcartuoQTeXgP+TGpY//7mDH/UQlFCKDGiA==" saltValue="KUnni6YEm00anzSSvyLqQA==" spinCount="100000" sqref="IX2019:IX2020 IT2019:IV2020" name="Rango2_42_15"/>
    <protectedRange algorithmName="SHA-512" hashValue="9+DNppQbWrLYYUMoJ+lyQctV2bX3Vq9kZnegLbpjTLP49It2ovUbcartuoQTeXgP+TGpY//7mDH/UQlFCKDGiA==" saltValue="KUnni6YEm00anzSSvyLqQA==" spinCount="100000" sqref="IZ2019:JM2020" name="Rango2_43_29"/>
    <protectedRange algorithmName="SHA-512" hashValue="9+DNppQbWrLYYUMoJ+lyQctV2bX3Vq9kZnegLbpjTLP49It2ovUbcartuoQTeXgP+TGpY//7mDH/UQlFCKDGiA==" saltValue="KUnni6YEm00anzSSvyLqQA==" spinCount="100000" sqref="JO2019:JW2020" name="Rango2_44_29"/>
    <protectedRange algorithmName="SHA-512" hashValue="9+DNppQbWrLYYUMoJ+lyQctV2bX3Vq9kZnegLbpjTLP49It2ovUbcartuoQTeXgP+TGpY//7mDH/UQlFCKDGiA==" saltValue="KUnni6YEm00anzSSvyLqQA==" spinCount="100000" sqref="JY2019:KF2020" name="Rango2_45_31"/>
    <protectedRange algorithmName="SHA-512" hashValue="9+DNppQbWrLYYUMoJ+lyQctV2bX3Vq9kZnegLbpjTLP49It2ovUbcartuoQTeXgP+TGpY//7mDH/UQlFCKDGiA==" saltValue="KUnni6YEm00anzSSvyLqQA==" spinCount="100000" sqref="KH2019:KH2020" name="Rango2_46_28"/>
    <protectedRange algorithmName="SHA-512" hashValue="9+DNppQbWrLYYUMoJ+lyQctV2bX3Vq9kZnegLbpjTLP49It2ovUbcartuoQTeXgP+TGpY//7mDH/UQlFCKDGiA==" saltValue="KUnni6YEm00anzSSvyLqQA==" spinCount="100000" sqref="KJ2019:MP2020" name="Rango2_47_23"/>
    <protectedRange algorithmName="SHA-512" hashValue="Gqwr8n5jYbCESAqCFk8dpOzViQICBV+k0xoqBoQaZ5lHaRlvT9TZDB4yXtm+qC6OhD064ZDBOFWkwo+LHXu1sg==" saltValue="gEL9PCN2ekF2IxW9yqAGYA==" spinCount="100000" sqref="IS2021:IS2029" name="Rango2_40_2_1_20"/>
    <protectedRange algorithmName="SHA-512" hashValue="D8TacORwT7iz0mF9GEucchnMHfB5er2FFjQsxyeWWyeJkM6Bt3gYQ3LbcHPxZXFpVAYtFOuTrzYOCJrlZDx16g==" saltValue="QtCzIBktdS4NZkOEGcLTRQ==" spinCount="100000" sqref="IW2021:IW2029" name="Rango2_41_1_18"/>
    <protectedRange algorithmName="SHA-512" hashValue="9+DNppQbWrLYYUMoJ+lyQctV2bX3Vq9kZnegLbpjTLP49It2ovUbcartuoQTeXgP+TGpY//7mDH/UQlFCKDGiA==" saltValue="KUnni6YEm00anzSSvyLqQA==" spinCount="100000" sqref="IX2021:IX2029 IT2021:IV2029" name="Rango2_42_16"/>
    <protectedRange algorithmName="SHA-512" hashValue="9+DNppQbWrLYYUMoJ+lyQctV2bX3Vq9kZnegLbpjTLP49It2ovUbcartuoQTeXgP+TGpY//7mDH/UQlFCKDGiA==" saltValue="KUnni6YEm00anzSSvyLqQA==" spinCount="100000" sqref="IZ2021:JM2029" name="Rango2_43_30"/>
    <protectedRange algorithmName="SHA-512" hashValue="9+DNppQbWrLYYUMoJ+lyQctV2bX3Vq9kZnegLbpjTLP49It2ovUbcartuoQTeXgP+TGpY//7mDH/UQlFCKDGiA==" saltValue="KUnni6YEm00anzSSvyLqQA==" spinCount="100000" sqref="JO2021:JW2029" name="Rango2_44_30"/>
    <protectedRange algorithmName="SHA-512" hashValue="9+DNppQbWrLYYUMoJ+lyQctV2bX3Vq9kZnegLbpjTLP49It2ovUbcartuoQTeXgP+TGpY//7mDH/UQlFCKDGiA==" saltValue="KUnni6YEm00anzSSvyLqQA==" spinCount="100000" sqref="JY2021:KF2029" name="Rango2_45_32"/>
    <protectedRange algorithmName="SHA-512" hashValue="9+DNppQbWrLYYUMoJ+lyQctV2bX3Vq9kZnegLbpjTLP49It2ovUbcartuoQTeXgP+TGpY//7mDH/UQlFCKDGiA==" saltValue="KUnni6YEm00anzSSvyLqQA==" spinCount="100000" sqref="KH2021:KH2029" name="Rango2_46_29"/>
    <protectedRange algorithmName="SHA-512" hashValue="9+DNppQbWrLYYUMoJ+lyQctV2bX3Vq9kZnegLbpjTLP49It2ovUbcartuoQTeXgP+TGpY//7mDH/UQlFCKDGiA==" saltValue="KUnni6YEm00anzSSvyLqQA==" spinCount="100000" sqref="KJ2021:MP2029" name="Rango2_47_24"/>
    <protectedRange algorithmName="SHA-512" hashValue="Gqwr8n5jYbCESAqCFk8dpOzViQICBV+k0xoqBoQaZ5lHaRlvT9TZDB4yXtm+qC6OhD064ZDBOFWkwo+LHXu1sg==" saltValue="gEL9PCN2ekF2IxW9yqAGYA==" spinCount="100000" sqref="IS2030:IS2031" name="Rango2_40_2_1_21"/>
    <protectedRange algorithmName="SHA-512" hashValue="D8TacORwT7iz0mF9GEucchnMHfB5er2FFjQsxyeWWyeJkM6Bt3gYQ3LbcHPxZXFpVAYtFOuTrzYOCJrlZDx16g==" saltValue="QtCzIBktdS4NZkOEGcLTRQ==" spinCount="100000" sqref="IW2030:IW2031" name="Rango2_41_1_19"/>
    <protectedRange algorithmName="SHA-512" hashValue="9+DNppQbWrLYYUMoJ+lyQctV2bX3Vq9kZnegLbpjTLP49It2ovUbcartuoQTeXgP+TGpY//7mDH/UQlFCKDGiA==" saltValue="KUnni6YEm00anzSSvyLqQA==" spinCount="100000" sqref="IX2030:IX2031 IT2030:IV2031" name="Rango2_42_17"/>
    <protectedRange algorithmName="SHA-512" hashValue="9+DNppQbWrLYYUMoJ+lyQctV2bX3Vq9kZnegLbpjTLP49It2ovUbcartuoQTeXgP+TGpY//7mDH/UQlFCKDGiA==" saltValue="KUnni6YEm00anzSSvyLqQA==" spinCount="100000" sqref="IZ2030:JM2031" name="Rango2_43_31"/>
    <protectedRange algorithmName="SHA-512" hashValue="9+DNppQbWrLYYUMoJ+lyQctV2bX3Vq9kZnegLbpjTLP49It2ovUbcartuoQTeXgP+TGpY//7mDH/UQlFCKDGiA==" saltValue="KUnni6YEm00anzSSvyLqQA==" spinCount="100000" sqref="JO2030:JW2031" name="Rango2_44_31"/>
    <protectedRange algorithmName="SHA-512" hashValue="9+DNppQbWrLYYUMoJ+lyQctV2bX3Vq9kZnegLbpjTLP49It2ovUbcartuoQTeXgP+TGpY//7mDH/UQlFCKDGiA==" saltValue="KUnni6YEm00anzSSvyLqQA==" spinCount="100000" sqref="JY2030:KF2031" name="Rango2_45_33"/>
    <protectedRange algorithmName="SHA-512" hashValue="9+DNppQbWrLYYUMoJ+lyQctV2bX3Vq9kZnegLbpjTLP49It2ovUbcartuoQTeXgP+TGpY//7mDH/UQlFCKDGiA==" saltValue="KUnni6YEm00anzSSvyLqQA==" spinCount="100000" sqref="KH2030:KH2031" name="Rango2_46_30"/>
    <protectedRange algorithmName="SHA-512" hashValue="9+DNppQbWrLYYUMoJ+lyQctV2bX3Vq9kZnegLbpjTLP49It2ovUbcartuoQTeXgP+TGpY//7mDH/UQlFCKDGiA==" saltValue="KUnni6YEm00anzSSvyLqQA==" spinCount="100000" sqref="KJ2030:MP2031" name="Rango2_47_25"/>
    <protectedRange algorithmName="SHA-512" hashValue="Gqwr8n5jYbCESAqCFk8dpOzViQICBV+k0xoqBoQaZ5lHaRlvT9TZDB4yXtm+qC6OhD064ZDBOFWkwo+LHXu1sg==" saltValue="gEL9PCN2ekF2IxW9yqAGYA==" spinCount="100000" sqref="IS2032" name="Rango2_40_2_1_22"/>
    <protectedRange algorithmName="SHA-512" hashValue="D8TacORwT7iz0mF9GEucchnMHfB5er2FFjQsxyeWWyeJkM6Bt3gYQ3LbcHPxZXFpVAYtFOuTrzYOCJrlZDx16g==" saltValue="QtCzIBktdS4NZkOEGcLTRQ==" spinCount="100000" sqref="IW2032" name="Rango2_41_1_20"/>
    <protectedRange algorithmName="SHA-512" hashValue="9+DNppQbWrLYYUMoJ+lyQctV2bX3Vq9kZnegLbpjTLP49It2ovUbcartuoQTeXgP+TGpY//7mDH/UQlFCKDGiA==" saltValue="KUnni6YEm00anzSSvyLqQA==" spinCount="100000" sqref="IX2032 IT2032:IV2032" name="Rango2_42_18"/>
    <protectedRange algorithmName="SHA-512" hashValue="9+DNppQbWrLYYUMoJ+lyQctV2bX3Vq9kZnegLbpjTLP49It2ovUbcartuoQTeXgP+TGpY//7mDH/UQlFCKDGiA==" saltValue="KUnni6YEm00anzSSvyLqQA==" spinCount="100000" sqref="IZ2032:JM2032" name="Rango2_43_32"/>
    <protectedRange algorithmName="SHA-512" hashValue="9+DNppQbWrLYYUMoJ+lyQctV2bX3Vq9kZnegLbpjTLP49It2ovUbcartuoQTeXgP+TGpY//7mDH/UQlFCKDGiA==" saltValue="KUnni6YEm00anzSSvyLqQA==" spinCount="100000" sqref="JO2032:JW2032" name="Rango2_44_32"/>
    <protectedRange algorithmName="SHA-512" hashValue="9+DNppQbWrLYYUMoJ+lyQctV2bX3Vq9kZnegLbpjTLP49It2ovUbcartuoQTeXgP+TGpY//7mDH/UQlFCKDGiA==" saltValue="KUnni6YEm00anzSSvyLqQA==" spinCount="100000" sqref="JY2032:KF2032" name="Rango2_45_34"/>
    <protectedRange algorithmName="SHA-512" hashValue="9+DNppQbWrLYYUMoJ+lyQctV2bX3Vq9kZnegLbpjTLP49It2ovUbcartuoQTeXgP+TGpY//7mDH/UQlFCKDGiA==" saltValue="KUnni6YEm00anzSSvyLqQA==" spinCount="100000" sqref="KH2032" name="Rango2_46_31"/>
    <protectedRange algorithmName="SHA-512" hashValue="9+DNppQbWrLYYUMoJ+lyQctV2bX3Vq9kZnegLbpjTLP49It2ovUbcartuoQTeXgP+TGpY//7mDH/UQlFCKDGiA==" saltValue="KUnni6YEm00anzSSvyLqQA==" spinCount="100000" sqref="KJ2032:MP2032" name="Rango2_47_26"/>
    <protectedRange algorithmName="SHA-512" hashValue="Gqwr8n5jYbCESAqCFk8dpOzViQICBV+k0xoqBoQaZ5lHaRlvT9TZDB4yXtm+qC6OhD064ZDBOFWkwo+LHXu1sg==" saltValue="gEL9PCN2ekF2IxW9yqAGYA==" spinCount="100000" sqref="IS2033:IS2034" name="Rango2_40_2_1_23"/>
    <protectedRange algorithmName="SHA-512" hashValue="D8TacORwT7iz0mF9GEucchnMHfB5er2FFjQsxyeWWyeJkM6Bt3gYQ3LbcHPxZXFpVAYtFOuTrzYOCJrlZDx16g==" saltValue="QtCzIBktdS4NZkOEGcLTRQ==" spinCount="100000" sqref="IW2033:IW2034" name="Rango2_41_1_21"/>
    <protectedRange algorithmName="SHA-512" hashValue="9+DNppQbWrLYYUMoJ+lyQctV2bX3Vq9kZnegLbpjTLP49It2ovUbcartuoQTeXgP+TGpY//7mDH/UQlFCKDGiA==" saltValue="KUnni6YEm00anzSSvyLqQA==" spinCount="100000" sqref="IX2033:IX2034 IT2033:IV2034" name="Rango2_42_19"/>
    <protectedRange algorithmName="SHA-512" hashValue="9+DNppQbWrLYYUMoJ+lyQctV2bX3Vq9kZnegLbpjTLP49It2ovUbcartuoQTeXgP+TGpY//7mDH/UQlFCKDGiA==" saltValue="KUnni6YEm00anzSSvyLqQA==" spinCount="100000" sqref="IZ2033:JM2034" name="Rango2_43_33"/>
    <protectedRange algorithmName="SHA-512" hashValue="9+DNppQbWrLYYUMoJ+lyQctV2bX3Vq9kZnegLbpjTLP49It2ovUbcartuoQTeXgP+TGpY//7mDH/UQlFCKDGiA==" saltValue="KUnni6YEm00anzSSvyLqQA==" spinCount="100000" sqref="JO2033:JW2034" name="Rango2_44_33"/>
    <protectedRange algorithmName="SHA-512" hashValue="9+DNppQbWrLYYUMoJ+lyQctV2bX3Vq9kZnegLbpjTLP49It2ovUbcartuoQTeXgP+TGpY//7mDH/UQlFCKDGiA==" saltValue="KUnni6YEm00anzSSvyLqQA==" spinCount="100000" sqref="JY2033:KF2034" name="Rango2_45_35"/>
    <protectedRange algorithmName="SHA-512" hashValue="9+DNppQbWrLYYUMoJ+lyQctV2bX3Vq9kZnegLbpjTLP49It2ovUbcartuoQTeXgP+TGpY//7mDH/UQlFCKDGiA==" saltValue="KUnni6YEm00anzSSvyLqQA==" spinCount="100000" sqref="KH2033:KH2034" name="Rango2_46_32"/>
    <protectedRange algorithmName="SHA-512" hashValue="9+DNppQbWrLYYUMoJ+lyQctV2bX3Vq9kZnegLbpjTLP49It2ovUbcartuoQTeXgP+TGpY//7mDH/UQlFCKDGiA==" saltValue="KUnni6YEm00anzSSvyLqQA==" spinCount="100000" sqref="KJ2033:MP2034" name="Rango2_47_27"/>
    <protectedRange algorithmName="SHA-512" hashValue="Gqwr8n5jYbCESAqCFk8dpOzViQICBV+k0xoqBoQaZ5lHaRlvT9TZDB4yXtm+qC6OhD064ZDBOFWkwo+LHXu1sg==" saltValue="gEL9PCN2ekF2IxW9yqAGYA==" spinCount="100000" sqref="IS2035:IS2036" name="Rango2_40_2_1_24"/>
    <protectedRange algorithmName="SHA-512" hashValue="D8TacORwT7iz0mF9GEucchnMHfB5er2FFjQsxyeWWyeJkM6Bt3gYQ3LbcHPxZXFpVAYtFOuTrzYOCJrlZDx16g==" saltValue="QtCzIBktdS4NZkOEGcLTRQ==" spinCount="100000" sqref="IW2035:IW2036" name="Rango2_41_1_22"/>
    <protectedRange algorithmName="SHA-512" hashValue="9+DNppQbWrLYYUMoJ+lyQctV2bX3Vq9kZnegLbpjTLP49It2ovUbcartuoQTeXgP+TGpY//7mDH/UQlFCKDGiA==" saltValue="KUnni6YEm00anzSSvyLqQA==" spinCount="100000" sqref="IX2035:IX2036 IT2035:IV2036" name="Rango2_42_20"/>
    <protectedRange algorithmName="SHA-512" hashValue="9+DNppQbWrLYYUMoJ+lyQctV2bX3Vq9kZnegLbpjTLP49It2ovUbcartuoQTeXgP+TGpY//7mDH/UQlFCKDGiA==" saltValue="KUnni6YEm00anzSSvyLqQA==" spinCount="100000" sqref="IZ2035:JM2036" name="Rango2_43_34"/>
    <protectedRange algorithmName="SHA-512" hashValue="9+DNppQbWrLYYUMoJ+lyQctV2bX3Vq9kZnegLbpjTLP49It2ovUbcartuoQTeXgP+TGpY//7mDH/UQlFCKDGiA==" saltValue="KUnni6YEm00anzSSvyLqQA==" spinCount="100000" sqref="JO2035:JW2036" name="Rango2_44_34"/>
    <protectedRange algorithmName="SHA-512" hashValue="9+DNppQbWrLYYUMoJ+lyQctV2bX3Vq9kZnegLbpjTLP49It2ovUbcartuoQTeXgP+TGpY//7mDH/UQlFCKDGiA==" saltValue="KUnni6YEm00anzSSvyLqQA==" spinCount="100000" sqref="JY2035:KF2036" name="Rango2_45_36"/>
    <protectedRange algorithmName="SHA-512" hashValue="9+DNppQbWrLYYUMoJ+lyQctV2bX3Vq9kZnegLbpjTLP49It2ovUbcartuoQTeXgP+TGpY//7mDH/UQlFCKDGiA==" saltValue="KUnni6YEm00anzSSvyLqQA==" spinCount="100000" sqref="KH2035:KH2036" name="Rango2_46_33"/>
    <protectedRange algorithmName="SHA-512" hashValue="9+DNppQbWrLYYUMoJ+lyQctV2bX3Vq9kZnegLbpjTLP49It2ovUbcartuoQTeXgP+TGpY//7mDH/UQlFCKDGiA==" saltValue="KUnni6YEm00anzSSvyLqQA==" spinCount="100000" sqref="KJ2035:MP2036" name="Rango2_47_28"/>
    <protectedRange algorithmName="SHA-512" hashValue="Gqwr8n5jYbCESAqCFk8dpOzViQICBV+k0xoqBoQaZ5lHaRlvT9TZDB4yXtm+qC6OhD064ZDBOFWkwo+LHXu1sg==" saltValue="gEL9PCN2ekF2IxW9yqAGYA==" spinCount="100000" sqref="IS2037" name="Rango2_40_2_1_25"/>
    <protectedRange algorithmName="SHA-512" hashValue="D8TacORwT7iz0mF9GEucchnMHfB5er2FFjQsxyeWWyeJkM6Bt3gYQ3LbcHPxZXFpVAYtFOuTrzYOCJrlZDx16g==" saltValue="QtCzIBktdS4NZkOEGcLTRQ==" spinCount="100000" sqref="IW2037" name="Rango2_41_1_23"/>
    <protectedRange algorithmName="SHA-512" hashValue="9+DNppQbWrLYYUMoJ+lyQctV2bX3Vq9kZnegLbpjTLP49It2ovUbcartuoQTeXgP+TGpY//7mDH/UQlFCKDGiA==" saltValue="KUnni6YEm00anzSSvyLqQA==" spinCount="100000" sqref="IX2037 IT2037:IV2037" name="Rango2_42_21"/>
    <protectedRange algorithmName="SHA-512" hashValue="9+DNppQbWrLYYUMoJ+lyQctV2bX3Vq9kZnegLbpjTLP49It2ovUbcartuoQTeXgP+TGpY//7mDH/UQlFCKDGiA==" saltValue="KUnni6YEm00anzSSvyLqQA==" spinCount="100000" sqref="IZ2037:JM2037" name="Rango2_43_35"/>
    <protectedRange algorithmName="SHA-512" hashValue="9+DNppQbWrLYYUMoJ+lyQctV2bX3Vq9kZnegLbpjTLP49It2ovUbcartuoQTeXgP+TGpY//7mDH/UQlFCKDGiA==" saltValue="KUnni6YEm00anzSSvyLqQA==" spinCount="100000" sqref="JO2037:JW2037" name="Rango2_44_35"/>
    <protectedRange algorithmName="SHA-512" hashValue="9+DNppQbWrLYYUMoJ+lyQctV2bX3Vq9kZnegLbpjTLP49It2ovUbcartuoQTeXgP+TGpY//7mDH/UQlFCKDGiA==" saltValue="KUnni6YEm00anzSSvyLqQA==" spinCount="100000" sqref="JY2037:KF2037" name="Rango2_45_37"/>
    <protectedRange algorithmName="SHA-512" hashValue="9+DNppQbWrLYYUMoJ+lyQctV2bX3Vq9kZnegLbpjTLP49It2ovUbcartuoQTeXgP+TGpY//7mDH/UQlFCKDGiA==" saltValue="KUnni6YEm00anzSSvyLqQA==" spinCount="100000" sqref="KH2037" name="Rango2_46_34"/>
    <protectedRange algorithmName="SHA-512" hashValue="9+DNppQbWrLYYUMoJ+lyQctV2bX3Vq9kZnegLbpjTLP49It2ovUbcartuoQTeXgP+TGpY//7mDH/UQlFCKDGiA==" saltValue="KUnni6YEm00anzSSvyLqQA==" spinCount="100000" sqref="KJ2037:MP2037" name="Rango2_47_29"/>
    <protectedRange algorithmName="SHA-512" hashValue="Gqwr8n5jYbCESAqCFk8dpOzViQICBV+k0xoqBoQaZ5lHaRlvT9TZDB4yXtm+qC6OhD064ZDBOFWkwo+LHXu1sg==" saltValue="gEL9PCN2ekF2IxW9yqAGYA==" spinCount="100000" sqref="IS2038" name="Rango2_40_2_1_26"/>
    <protectedRange algorithmName="SHA-512" hashValue="D8TacORwT7iz0mF9GEucchnMHfB5er2FFjQsxyeWWyeJkM6Bt3gYQ3LbcHPxZXFpVAYtFOuTrzYOCJrlZDx16g==" saltValue="QtCzIBktdS4NZkOEGcLTRQ==" spinCount="100000" sqref="IW2038" name="Rango2_41_1_24"/>
    <protectedRange algorithmName="SHA-512" hashValue="9+DNppQbWrLYYUMoJ+lyQctV2bX3Vq9kZnegLbpjTLP49It2ovUbcartuoQTeXgP+TGpY//7mDH/UQlFCKDGiA==" saltValue="KUnni6YEm00anzSSvyLqQA==" spinCount="100000" sqref="IX2038 IT2038:IV2038" name="Rango2_42_22"/>
    <protectedRange algorithmName="SHA-512" hashValue="9+DNppQbWrLYYUMoJ+lyQctV2bX3Vq9kZnegLbpjTLP49It2ovUbcartuoQTeXgP+TGpY//7mDH/UQlFCKDGiA==" saltValue="KUnni6YEm00anzSSvyLqQA==" spinCount="100000" sqref="IZ2038:JM2038" name="Rango2_43_36"/>
    <protectedRange algorithmName="SHA-512" hashValue="9+DNppQbWrLYYUMoJ+lyQctV2bX3Vq9kZnegLbpjTLP49It2ovUbcartuoQTeXgP+TGpY//7mDH/UQlFCKDGiA==" saltValue="KUnni6YEm00anzSSvyLqQA==" spinCount="100000" sqref="JO2038:JW2038" name="Rango2_44_36"/>
    <protectedRange algorithmName="SHA-512" hashValue="9+DNppQbWrLYYUMoJ+lyQctV2bX3Vq9kZnegLbpjTLP49It2ovUbcartuoQTeXgP+TGpY//7mDH/UQlFCKDGiA==" saltValue="KUnni6YEm00anzSSvyLqQA==" spinCount="100000" sqref="JY2038:KF2038" name="Rango2_45_38"/>
    <protectedRange algorithmName="SHA-512" hashValue="9+DNppQbWrLYYUMoJ+lyQctV2bX3Vq9kZnegLbpjTLP49It2ovUbcartuoQTeXgP+TGpY//7mDH/UQlFCKDGiA==" saltValue="KUnni6YEm00anzSSvyLqQA==" spinCount="100000" sqref="KH2038" name="Rango2_46_35"/>
    <protectedRange algorithmName="SHA-512" hashValue="9+DNppQbWrLYYUMoJ+lyQctV2bX3Vq9kZnegLbpjTLP49It2ovUbcartuoQTeXgP+TGpY//7mDH/UQlFCKDGiA==" saltValue="KUnni6YEm00anzSSvyLqQA==" spinCount="100000" sqref="KJ2038:MP2038" name="Rango2_47_30"/>
    <protectedRange algorithmName="SHA-512" hashValue="Gqwr8n5jYbCESAqCFk8dpOzViQICBV+k0xoqBoQaZ5lHaRlvT9TZDB4yXtm+qC6OhD064ZDBOFWkwo+LHXu1sg==" saltValue="gEL9PCN2ekF2IxW9yqAGYA==" spinCount="100000" sqref="IS2039" name="Rango2_40_2_1_27"/>
    <protectedRange algorithmName="SHA-512" hashValue="D8TacORwT7iz0mF9GEucchnMHfB5er2FFjQsxyeWWyeJkM6Bt3gYQ3LbcHPxZXFpVAYtFOuTrzYOCJrlZDx16g==" saltValue="QtCzIBktdS4NZkOEGcLTRQ==" spinCount="100000" sqref="IW2039" name="Rango2_41_1_25"/>
    <protectedRange algorithmName="SHA-512" hashValue="9+DNppQbWrLYYUMoJ+lyQctV2bX3Vq9kZnegLbpjTLP49It2ovUbcartuoQTeXgP+TGpY//7mDH/UQlFCKDGiA==" saltValue="KUnni6YEm00anzSSvyLqQA==" spinCount="100000" sqref="IX2039 IT2039:IV2039" name="Rango2_42_23"/>
    <protectedRange algorithmName="SHA-512" hashValue="9+DNppQbWrLYYUMoJ+lyQctV2bX3Vq9kZnegLbpjTLP49It2ovUbcartuoQTeXgP+TGpY//7mDH/UQlFCKDGiA==" saltValue="KUnni6YEm00anzSSvyLqQA==" spinCount="100000" sqref="IZ2039:JM2039" name="Rango2_43_37"/>
    <protectedRange algorithmName="SHA-512" hashValue="9+DNppQbWrLYYUMoJ+lyQctV2bX3Vq9kZnegLbpjTLP49It2ovUbcartuoQTeXgP+TGpY//7mDH/UQlFCKDGiA==" saltValue="KUnni6YEm00anzSSvyLqQA==" spinCount="100000" sqref="JO2039:JW2039" name="Rango2_44_37"/>
    <protectedRange algorithmName="SHA-512" hashValue="9+DNppQbWrLYYUMoJ+lyQctV2bX3Vq9kZnegLbpjTLP49It2ovUbcartuoQTeXgP+TGpY//7mDH/UQlFCKDGiA==" saltValue="KUnni6YEm00anzSSvyLqQA==" spinCount="100000" sqref="JY2039:KF2039" name="Rango2_45_39"/>
    <protectedRange algorithmName="SHA-512" hashValue="9+DNppQbWrLYYUMoJ+lyQctV2bX3Vq9kZnegLbpjTLP49It2ovUbcartuoQTeXgP+TGpY//7mDH/UQlFCKDGiA==" saltValue="KUnni6YEm00anzSSvyLqQA==" spinCount="100000" sqref="KH2039" name="Rango2_46_36"/>
    <protectedRange algorithmName="SHA-512" hashValue="9+DNppQbWrLYYUMoJ+lyQctV2bX3Vq9kZnegLbpjTLP49It2ovUbcartuoQTeXgP+TGpY//7mDH/UQlFCKDGiA==" saltValue="KUnni6YEm00anzSSvyLqQA==" spinCount="100000" sqref="KJ2039:MP2039" name="Rango2_47_31"/>
    <protectedRange algorithmName="SHA-512" hashValue="Gqwr8n5jYbCESAqCFk8dpOzViQICBV+k0xoqBoQaZ5lHaRlvT9TZDB4yXtm+qC6OhD064ZDBOFWkwo+LHXu1sg==" saltValue="gEL9PCN2ekF2IxW9yqAGYA==" spinCount="100000" sqref="IS2040" name="Rango2_40_2_1_28"/>
    <protectedRange algorithmName="SHA-512" hashValue="D8TacORwT7iz0mF9GEucchnMHfB5er2FFjQsxyeWWyeJkM6Bt3gYQ3LbcHPxZXFpVAYtFOuTrzYOCJrlZDx16g==" saltValue="QtCzIBktdS4NZkOEGcLTRQ==" spinCount="100000" sqref="IW2040" name="Rango2_41_1_26"/>
    <protectedRange algorithmName="SHA-512" hashValue="9+DNppQbWrLYYUMoJ+lyQctV2bX3Vq9kZnegLbpjTLP49It2ovUbcartuoQTeXgP+TGpY//7mDH/UQlFCKDGiA==" saltValue="KUnni6YEm00anzSSvyLqQA==" spinCount="100000" sqref="IX2040 IT2040:IV2040" name="Rango2_42_24"/>
    <protectedRange algorithmName="SHA-512" hashValue="9+DNppQbWrLYYUMoJ+lyQctV2bX3Vq9kZnegLbpjTLP49It2ovUbcartuoQTeXgP+TGpY//7mDH/UQlFCKDGiA==" saltValue="KUnni6YEm00anzSSvyLqQA==" spinCount="100000" sqref="IZ2040:JM2040" name="Rango2_43_38"/>
    <protectedRange algorithmName="SHA-512" hashValue="9+DNppQbWrLYYUMoJ+lyQctV2bX3Vq9kZnegLbpjTLP49It2ovUbcartuoQTeXgP+TGpY//7mDH/UQlFCKDGiA==" saltValue="KUnni6YEm00anzSSvyLqQA==" spinCount="100000" sqref="JO2040:JW2040" name="Rango2_44_38"/>
    <protectedRange algorithmName="SHA-512" hashValue="9+DNppQbWrLYYUMoJ+lyQctV2bX3Vq9kZnegLbpjTLP49It2ovUbcartuoQTeXgP+TGpY//7mDH/UQlFCKDGiA==" saltValue="KUnni6YEm00anzSSvyLqQA==" spinCount="100000" sqref="JY2040:KF2040" name="Rango2_45_40"/>
    <protectedRange algorithmName="SHA-512" hashValue="9+DNppQbWrLYYUMoJ+lyQctV2bX3Vq9kZnegLbpjTLP49It2ovUbcartuoQTeXgP+TGpY//7mDH/UQlFCKDGiA==" saltValue="KUnni6YEm00anzSSvyLqQA==" spinCount="100000" sqref="KH2040" name="Rango2_46_37"/>
    <protectedRange algorithmName="SHA-512" hashValue="9+DNppQbWrLYYUMoJ+lyQctV2bX3Vq9kZnegLbpjTLP49It2ovUbcartuoQTeXgP+TGpY//7mDH/UQlFCKDGiA==" saltValue="KUnni6YEm00anzSSvyLqQA==" spinCount="100000" sqref="KJ2040:MP2040" name="Rango2_47_32"/>
    <protectedRange algorithmName="SHA-512" hashValue="Gqwr8n5jYbCESAqCFk8dpOzViQICBV+k0xoqBoQaZ5lHaRlvT9TZDB4yXtm+qC6OhD064ZDBOFWkwo+LHXu1sg==" saltValue="gEL9PCN2ekF2IxW9yqAGYA==" spinCount="100000" sqref="IS2041:IS2042" name="Rango2_40_2_1_29"/>
    <protectedRange algorithmName="SHA-512" hashValue="D8TacORwT7iz0mF9GEucchnMHfB5er2FFjQsxyeWWyeJkM6Bt3gYQ3LbcHPxZXFpVAYtFOuTrzYOCJrlZDx16g==" saltValue="QtCzIBktdS4NZkOEGcLTRQ==" spinCount="100000" sqref="IW2041:IW2042" name="Rango2_41_1_27"/>
    <protectedRange algorithmName="SHA-512" hashValue="9+DNppQbWrLYYUMoJ+lyQctV2bX3Vq9kZnegLbpjTLP49It2ovUbcartuoQTeXgP+TGpY//7mDH/UQlFCKDGiA==" saltValue="KUnni6YEm00anzSSvyLqQA==" spinCount="100000" sqref="IX2041:IX2042 IT2041:IV2042" name="Rango2_42_25"/>
    <protectedRange algorithmName="SHA-512" hashValue="9+DNppQbWrLYYUMoJ+lyQctV2bX3Vq9kZnegLbpjTLP49It2ovUbcartuoQTeXgP+TGpY//7mDH/UQlFCKDGiA==" saltValue="KUnni6YEm00anzSSvyLqQA==" spinCount="100000" sqref="IZ2041:JM2042" name="Rango2_43_39"/>
    <protectedRange algorithmName="SHA-512" hashValue="9+DNppQbWrLYYUMoJ+lyQctV2bX3Vq9kZnegLbpjTLP49It2ovUbcartuoQTeXgP+TGpY//7mDH/UQlFCKDGiA==" saltValue="KUnni6YEm00anzSSvyLqQA==" spinCount="100000" sqref="JO2041:JW2042" name="Rango2_44_39"/>
    <protectedRange algorithmName="SHA-512" hashValue="9+DNppQbWrLYYUMoJ+lyQctV2bX3Vq9kZnegLbpjTLP49It2ovUbcartuoQTeXgP+TGpY//7mDH/UQlFCKDGiA==" saltValue="KUnni6YEm00anzSSvyLqQA==" spinCount="100000" sqref="JY2041:KF2042" name="Rango2_45_41"/>
    <protectedRange algorithmName="SHA-512" hashValue="9+DNppQbWrLYYUMoJ+lyQctV2bX3Vq9kZnegLbpjTLP49It2ovUbcartuoQTeXgP+TGpY//7mDH/UQlFCKDGiA==" saltValue="KUnni6YEm00anzSSvyLqQA==" spinCount="100000" sqref="KH2041:KH2042" name="Rango2_46_38"/>
    <protectedRange algorithmName="SHA-512" hashValue="9+DNppQbWrLYYUMoJ+lyQctV2bX3Vq9kZnegLbpjTLP49It2ovUbcartuoQTeXgP+TGpY//7mDH/UQlFCKDGiA==" saltValue="KUnni6YEm00anzSSvyLqQA==" spinCount="100000" sqref="KJ2041:MP2042" name="Rango2_47_33"/>
    <protectedRange algorithmName="SHA-512" hashValue="Gqwr8n5jYbCESAqCFk8dpOzViQICBV+k0xoqBoQaZ5lHaRlvT9TZDB4yXtm+qC6OhD064ZDBOFWkwo+LHXu1sg==" saltValue="gEL9PCN2ekF2IxW9yqAGYA==" spinCount="100000" sqref="IS2043:IS2044" name="Rango2_40_2_1_30"/>
    <protectedRange algorithmName="SHA-512" hashValue="D8TacORwT7iz0mF9GEucchnMHfB5er2FFjQsxyeWWyeJkM6Bt3gYQ3LbcHPxZXFpVAYtFOuTrzYOCJrlZDx16g==" saltValue="QtCzIBktdS4NZkOEGcLTRQ==" spinCount="100000" sqref="IW2043:IW2044" name="Rango2_41_1_28"/>
    <protectedRange algorithmName="SHA-512" hashValue="9+DNppQbWrLYYUMoJ+lyQctV2bX3Vq9kZnegLbpjTLP49It2ovUbcartuoQTeXgP+TGpY//7mDH/UQlFCKDGiA==" saltValue="KUnni6YEm00anzSSvyLqQA==" spinCount="100000" sqref="IX2043:IX2044 IT2043:IV2044" name="Rango2_42_26"/>
    <protectedRange algorithmName="SHA-512" hashValue="9+DNppQbWrLYYUMoJ+lyQctV2bX3Vq9kZnegLbpjTLP49It2ovUbcartuoQTeXgP+TGpY//7mDH/UQlFCKDGiA==" saltValue="KUnni6YEm00anzSSvyLqQA==" spinCount="100000" sqref="IZ2043:JM2044" name="Rango2_43_40"/>
    <protectedRange algorithmName="SHA-512" hashValue="9+DNppQbWrLYYUMoJ+lyQctV2bX3Vq9kZnegLbpjTLP49It2ovUbcartuoQTeXgP+TGpY//7mDH/UQlFCKDGiA==" saltValue="KUnni6YEm00anzSSvyLqQA==" spinCount="100000" sqref="JO2043:JW2044" name="Rango2_44_40"/>
    <protectedRange algorithmName="SHA-512" hashValue="9+DNppQbWrLYYUMoJ+lyQctV2bX3Vq9kZnegLbpjTLP49It2ovUbcartuoQTeXgP+TGpY//7mDH/UQlFCKDGiA==" saltValue="KUnni6YEm00anzSSvyLqQA==" spinCount="100000" sqref="JY2043:KF2044" name="Rango2_45_42"/>
    <protectedRange algorithmName="SHA-512" hashValue="9+DNppQbWrLYYUMoJ+lyQctV2bX3Vq9kZnegLbpjTLP49It2ovUbcartuoQTeXgP+TGpY//7mDH/UQlFCKDGiA==" saltValue="KUnni6YEm00anzSSvyLqQA==" spinCount="100000" sqref="KH2043:KH2044" name="Rango2_46_39"/>
    <protectedRange algorithmName="SHA-512" hashValue="9+DNppQbWrLYYUMoJ+lyQctV2bX3Vq9kZnegLbpjTLP49It2ovUbcartuoQTeXgP+TGpY//7mDH/UQlFCKDGiA==" saltValue="KUnni6YEm00anzSSvyLqQA==" spinCount="100000" sqref="KJ2043:MP2044" name="Rango2_47_34"/>
    <protectedRange algorithmName="SHA-512" hashValue="Gqwr8n5jYbCESAqCFk8dpOzViQICBV+k0xoqBoQaZ5lHaRlvT9TZDB4yXtm+qC6OhD064ZDBOFWkwo+LHXu1sg==" saltValue="gEL9PCN2ekF2IxW9yqAGYA==" spinCount="100000" sqref="IS2045:IS2046" name="Rango2_40_2_1_31"/>
    <protectedRange algorithmName="SHA-512" hashValue="D8TacORwT7iz0mF9GEucchnMHfB5er2FFjQsxyeWWyeJkM6Bt3gYQ3LbcHPxZXFpVAYtFOuTrzYOCJrlZDx16g==" saltValue="QtCzIBktdS4NZkOEGcLTRQ==" spinCount="100000" sqref="IW2045:IW2046" name="Rango2_41_1_29"/>
    <protectedRange algorithmName="SHA-512" hashValue="9+DNppQbWrLYYUMoJ+lyQctV2bX3Vq9kZnegLbpjTLP49It2ovUbcartuoQTeXgP+TGpY//7mDH/UQlFCKDGiA==" saltValue="KUnni6YEm00anzSSvyLqQA==" spinCount="100000" sqref="IX2045:IX2046 IT2045:IV2046" name="Rango2_42_27"/>
    <protectedRange algorithmName="SHA-512" hashValue="9+DNppQbWrLYYUMoJ+lyQctV2bX3Vq9kZnegLbpjTLP49It2ovUbcartuoQTeXgP+TGpY//7mDH/UQlFCKDGiA==" saltValue="KUnni6YEm00anzSSvyLqQA==" spinCount="100000" sqref="IZ2045:JM2046" name="Rango2_43_41"/>
    <protectedRange algorithmName="SHA-512" hashValue="9+DNppQbWrLYYUMoJ+lyQctV2bX3Vq9kZnegLbpjTLP49It2ovUbcartuoQTeXgP+TGpY//7mDH/UQlFCKDGiA==" saltValue="KUnni6YEm00anzSSvyLqQA==" spinCount="100000" sqref="JO2045:JW2046" name="Rango2_44_41"/>
    <protectedRange algorithmName="SHA-512" hashValue="9+DNppQbWrLYYUMoJ+lyQctV2bX3Vq9kZnegLbpjTLP49It2ovUbcartuoQTeXgP+TGpY//7mDH/UQlFCKDGiA==" saltValue="KUnni6YEm00anzSSvyLqQA==" spinCount="100000" sqref="JY2045:KF2046" name="Rango2_45_43"/>
    <protectedRange algorithmName="SHA-512" hashValue="9+DNppQbWrLYYUMoJ+lyQctV2bX3Vq9kZnegLbpjTLP49It2ovUbcartuoQTeXgP+TGpY//7mDH/UQlFCKDGiA==" saltValue="KUnni6YEm00anzSSvyLqQA==" spinCount="100000" sqref="KH2045:KH2046" name="Rango2_46_40"/>
    <protectedRange algorithmName="SHA-512" hashValue="9+DNppQbWrLYYUMoJ+lyQctV2bX3Vq9kZnegLbpjTLP49It2ovUbcartuoQTeXgP+TGpY//7mDH/UQlFCKDGiA==" saltValue="KUnni6YEm00anzSSvyLqQA==" spinCount="100000" sqref="KJ2045:MP2046" name="Rango2_47_35"/>
    <protectedRange algorithmName="SHA-512" hashValue="Gqwr8n5jYbCESAqCFk8dpOzViQICBV+k0xoqBoQaZ5lHaRlvT9TZDB4yXtm+qC6OhD064ZDBOFWkwo+LHXu1sg==" saltValue="gEL9PCN2ekF2IxW9yqAGYA==" spinCount="100000" sqref="IS2047" name="Rango2_40_2_1_32"/>
    <protectedRange algorithmName="SHA-512" hashValue="D8TacORwT7iz0mF9GEucchnMHfB5er2FFjQsxyeWWyeJkM6Bt3gYQ3LbcHPxZXFpVAYtFOuTrzYOCJrlZDx16g==" saltValue="QtCzIBktdS4NZkOEGcLTRQ==" spinCount="100000" sqref="IW2047" name="Rango2_41_1_30"/>
    <protectedRange algorithmName="SHA-512" hashValue="9+DNppQbWrLYYUMoJ+lyQctV2bX3Vq9kZnegLbpjTLP49It2ovUbcartuoQTeXgP+TGpY//7mDH/UQlFCKDGiA==" saltValue="KUnni6YEm00anzSSvyLqQA==" spinCount="100000" sqref="IX2047 IT2047:IV2047" name="Rango2_42_28"/>
    <protectedRange algorithmName="SHA-512" hashValue="9+DNppQbWrLYYUMoJ+lyQctV2bX3Vq9kZnegLbpjTLP49It2ovUbcartuoQTeXgP+TGpY//7mDH/UQlFCKDGiA==" saltValue="KUnni6YEm00anzSSvyLqQA==" spinCount="100000" sqref="IZ2047:JM2047" name="Rango2_43_42"/>
    <protectedRange algorithmName="SHA-512" hashValue="9+DNppQbWrLYYUMoJ+lyQctV2bX3Vq9kZnegLbpjTLP49It2ovUbcartuoQTeXgP+TGpY//7mDH/UQlFCKDGiA==" saltValue="KUnni6YEm00anzSSvyLqQA==" spinCount="100000" sqref="JO2047:JW2047" name="Rango2_44_42"/>
    <protectedRange algorithmName="SHA-512" hashValue="9+DNppQbWrLYYUMoJ+lyQctV2bX3Vq9kZnegLbpjTLP49It2ovUbcartuoQTeXgP+TGpY//7mDH/UQlFCKDGiA==" saltValue="KUnni6YEm00anzSSvyLqQA==" spinCount="100000" sqref="JY2047:KF2047" name="Rango2_45_44"/>
    <protectedRange algorithmName="SHA-512" hashValue="9+DNppQbWrLYYUMoJ+lyQctV2bX3Vq9kZnegLbpjTLP49It2ovUbcartuoQTeXgP+TGpY//7mDH/UQlFCKDGiA==" saltValue="KUnni6YEm00anzSSvyLqQA==" spinCount="100000" sqref="KH2047" name="Rango2_46_41"/>
    <protectedRange algorithmName="SHA-512" hashValue="9+DNppQbWrLYYUMoJ+lyQctV2bX3Vq9kZnegLbpjTLP49It2ovUbcartuoQTeXgP+TGpY//7mDH/UQlFCKDGiA==" saltValue="KUnni6YEm00anzSSvyLqQA==" spinCount="100000" sqref="KJ2047:MP2047" name="Rango2_47_36"/>
    <protectedRange algorithmName="SHA-512" hashValue="Gqwr8n5jYbCESAqCFk8dpOzViQICBV+k0xoqBoQaZ5lHaRlvT9TZDB4yXtm+qC6OhD064ZDBOFWkwo+LHXu1sg==" saltValue="gEL9PCN2ekF2IxW9yqAGYA==" spinCount="100000" sqref="IS2048:IS2053" name="Rango2_40_2_1_33"/>
    <protectedRange algorithmName="SHA-512" hashValue="D8TacORwT7iz0mF9GEucchnMHfB5er2FFjQsxyeWWyeJkM6Bt3gYQ3LbcHPxZXFpVAYtFOuTrzYOCJrlZDx16g==" saltValue="QtCzIBktdS4NZkOEGcLTRQ==" spinCount="100000" sqref="IW2048:IW2053" name="Rango2_41_1_31"/>
    <protectedRange algorithmName="SHA-512" hashValue="9+DNppQbWrLYYUMoJ+lyQctV2bX3Vq9kZnegLbpjTLP49It2ovUbcartuoQTeXgP+TGpY//7mDH/UQlFCKDGiA==" saltValue="KUnni6YEm00anzSSvyLqQA==" spinCount="100000" sqref="IX2048:IX2053 IT2048:IV2053" name="Rango2_42_29"/>
    <protectedRange algorithmName="SHA-512" hashValue="9+DNppQbWrLYYUMoJ+lyQctV2bX3Vq9kZnegLbpjTLP49It2ovUbcartuoQTeXgP+TGpY//7mDH/UQlFCKDGiA==" saltValue="KUnni6YEm00anzSSvyLqQA==" spinCount="100000" sqref="IZ2048:JM2053" name="Rango2_43_43"/>
    <protectedRange algorithmName="SHA-512" hashValue="9+DNppQbWrLYYUMoJ+lyQctV2bX3Vq9kZnegLbpjTLP49It2ovUbcartuoQTeXgP+TGpY//7mDH/UQlFCKDGiA==" saltValue="KUnni6YEm00anzSSvyLqQA==" spinCount="100000" sqref="JO2048:JW2053" name="Rango2_44_43"/>
    <protectedRange algorithmName="SHA-512" hashValue="9+DNppQbWrLYYUMoJ+lyQctV2bX3Vq9kZnegLbpjTLP49It2ovUbcartuoQTeXgP+TGpY//7mDH/UQlFCKDGiA==" saltValue="KUnni6YEm00anzSSvyLqQA==" spinCount="100000" sqref="JY2048:KF2053" name="Rango2_45_45"/>
    <protectedRange algorithmName="SHA-512" hashValue="9+DNppQbWrLYYUMoJ+lyQctV2bX3Vq9kZnegLbpjTLP49It2ovUbcartuoQTeXgP+TGpY//7mDH/UQlFCKDGiA==" saltValue="KUnni6YEm00anzSSvyLqQA==" spinCount="100000" sqref="KH2048:KH2053" name="Rango2_46_42"/>
    <protectedRange algorithmName="SHA-512" hashValue="9+DNppQbWrLYYUMoJ+lyQctV2bX3Vq9kZnegLbpjTLP49It2ovUbcartuoQTeXgP+TGpY//7mDH/UQlFCKDGiA==" saltValue="KUnni6YEm00anzSSvyLqQA==" spinCount="100000" sqref="KJ2048:MP2053" name="Rango2_47_37"/>
    <protectedRange algorithmName="SHA-512" hashValue="Gqwr8n5jYbCESAqCFk8dpOzViQICBV+k0xoqBoQaZ5lHaRlvT9TZDB4yXtm+qC6OhD064ZDBOFWkwo+LHXu1sg==" saltValue="gEL9PCN2ekF2IxW9yqAGYA==" spinCount="100000" sqref="IS2054:IS2095" name="Rango2_40_2_1_34"/>
    <protectedRange algorithmName="SHA-512" hashValue="D8TacORwT7iz0mF9GEucchnMHfB5er2FFjQsxyeWWyeJkM6Bt3gYQ3LbcHPxZXFpVAYtFOuTrzYOCJrlZDx16g==" saltValue="QtCzIBktdS4NZkOEGcLTRQ==" spinCount="100000" sqref="IW2054:IW2095" name="Rango2_41_1_32"/>
    <protectedRange algorithmName="SHA-512" hashValue="9+DNppQbWrLYYUMoJ+lyQctV2bX3Vq9kZnegLbpjTLP49It2ovUbcartuoQTeXgP+TGpY//7mDH/UQlFCKDGiA==" saltValue="KUnni6YEm00anzSSvyLqQA==" spinCount="100000" sqref="IX2054:IX2095 IT2054:IV2095" name="Rango2_42_30"/>
    <protectedRange algorithmName="SHA-512" hashValue="9+DNppQbWrLYYUMoJ+lyQctV2bX3Vq9kZnegLbpjTLP49It2ovUbcartuoQTeXgP+TGpY//7mDH/UQlFCKDGiA==" saltValue="KUnni6YEm00anzSSvyLqQA==" spinCount="100000" sqref="IZ2054:JM2095" name="Rango2_43_44"/>
    <protectedRange algorithmName="SHA-512" hashValue="9+DNppQbWrLYYUMoJ+lyQctV2bX3Vq9kZnegLbpjTLP49It2ovUbcartuoQTeXgP+TGpY//7mDH/UQlFCKDGiA==" saltValue="KUnni6YEm00anzSSvyLqQA==" spinCount="100000" sqref="JO2054:JW2095" name="Rango2_44_44"/>
    <protectedRange algorithmName="SHA-512" hashValue="9+DNppQbWrLYYUMoJ+lyQctV2bX3Vq9kZnegLbpjTLP49It2ovUbcartuoQTeXgP+TGpY//7mDH/UQlFCKDGiA==" saltValue="KUnni6YEm00anzSSvyLqQA==" spinCount="100000" sqref="JY2054:KF2095" name="Rango2_45_46"/>
    <protectedRange algorithmName="SHA-512" hashValue="9+DNppQbWrLYYUMoJ+lyQctV2bX3Vq9kZnegLbpjTLP49It2ovUbcartuoQTeXgP+TGpY//7mDH/UQlFCKDGiA==" saltValue="KUnni6YEm00anzSSvyLqQA==" spinCount="100000" sqref="KH2054:KH2095" name="Rango2_46_43"/>
    <protectedRange algorithmName="SHA-512" hashValue="9+DNppQbWrLYYUMoJ+lyQctV2bX3Vq9kZnegLbpjTLP49It2ovUbcartuoQTeXgP+TGpY//7mDH/UQlFCKDGiA==" saltValue="KUnni6YEm00anzSSvyLqQA==" spinCount="100000" sqref="KJ2054:MP2095" name="Rango2_47_38"/>
    <protectedRange algorithmName="SHA-512" hashValue="Gqwr8n5jYbCESAqCFk8dpOzViQICBV+k0xoqBoQaZ5lHaRlvT9TZDB4yXtm+qC6OhD064ZDBOFWkwo+LHXu1sg==" saltValue="gEL9PCN2ekF2IxW9yqAGYA==" spinCount="100000" sqref="IS2096:IS2106" name="Rango2_40_2_1_35"/>
    <protectedRange algorithmName="SHA-512" hashValue="D8TacORwT7iz0mF9GEucchnMHfB5er2FFjQsxyeWWyeJkM6Bt3gYQ3LbcHPxZXFpVAYtFOuTrzYOCJrlZDx16g==" saltValue="QtCzIBktdS4NZkOEGcLTRQ==" spinCount="100000" sqref="IW2096:IW2106" name="Rango2_41_1_33"/>
    <protectedRange algorithmName="SHA-512" hashValue="9+DNppQbWrLYYUMoJ+lyQctV2bX3Vq9kZnegLbpjTLP49It2ovUbcartuoQTeXgP+TGpY//7mDH/UQlFCKDGiA==" saltValue="KUnni6YEm00anzSSvyLqQA==" spinCount="100000" sqref="IX2096:IX2106 IT2096:IV2106" name="Rango2_42_31"/>
    <protectedRange algorithmName="SHA-512" hashValue="9+DNppQbWrLYYUMoJ+lyQctV2bX3Vq9kZnegLbpjTLP49It2ovUbcartuoQTeXgP+TGpY//7mDH/UQlFCKDGiA==" saltValue="KUnni6YEm00anzSSvyLqQA==" spinCount="100000" sqref="JO2096:JW2106" name="Rango2_44_45"/>
    <protectedRange algorithmName="SHA-512" hashValue="9+DNppQbWrLYYUMoJ+lyQctV2bX3Vq9kZnegLbpjTLP49It2ovUbcartuoQTeXgP+TGpY//7mDH/UQlFCKDGiA==" saltValue="KUnni6YEm00anzSSvyLqQA==" spinCount="100000" sqref="JY2096:KF2106" name="Rango2_45_47"/>
    <protectedRange algorithmName="SHA-512" hashValue="9+DNppQbWrLYYUMoJ+lyQctV2bX3Vq9kZnegLbpjTLP49It2ovUbcartuoQTeXgP+TGpY//7mDH/UQlFCKDGiA==" saltValue="KUnni6YEm00anzSSvyLqQA==" spinCount="100000" sqref="KH2096:KH2106" name="Rango2_46_44"/>
    <protectedRange algorithmName="SHA-512" hashValue="9+DNppQbWrLYYUMoJ+lyQctV2bX3Vq9kZnegLbpjTLP49It2ovUbcartuoQTeXgP+TGpY//7mDH/UQlFCKDGiA==" saltValue="KUnni6YEm00anzSSvyLqQA==" spinCount="100000" sqref="KJ2096:MP2106" name="Rango2_47_39"/>
    <protectedRange password="CF7A" sqref="I2151" name="Rango2_61_2_6"/>
    <protectedRange password="CF7A" sqref="I2152" name="Rango2_61_2_6_1"/>
    <protectedRange password="CF7A" sqref="I2153:I2154" name="Rango2_61_2_6_2"/>
    <protectedRange algorithmName="SHA-512" hashValue="Umj9+5Ys20VQPxBFtc6qE5LtKKSgPKwit+B8dd4XnEUaLfBM2ozpkEC4YxwK0SbBiAHDDex+pY+LomQ0lyuamQ==" saltValue="N2/MCRws+mmA+NXw0axolg==" spinCount="100000" sqref="GJ2319:GJ2360 FY2319:FY2360 GL2319:GL2360 GB2319:GB2360 GE2319:GE2360 GH2319:GH2360" name="Rango2_31_2_44"/>
    <protectedRange algorithmName="SHA-512" hashValue="6a5oYwZw9WJcgjqXpleUXH8uaqNEuymPPpeOb7lKBc1WoM6IG/DNyDLWmj2lYwxnZO2yhl+B61kwrxD9m9AdhQ==" saltValue="tdNQPzLQd+n9Ww064QJIaQ==" spinCount="100000" sqref="I2379" name="Rango2_61_1_42"/>
    <protectedRange algorithmName="SHA-512" hashValue="XM8+0Jh5zLWw02PI0Lt8dLqjTcW5ulySion19FAnruDN6QRp4UwcVqdfQxnOQAItgpWG7rNsELzjwy0iXOonxw==" saltValue="Sd4WFUedDfLKoMQTDrxJuQ==" spinCount="100000" sqref="K2379" name="Rango2_88_4_4_1_5"/>
    <protectedRange algorithmName="SHA-512" hashValue="EMMPgE8t/az1rHHzaZAQIhz+GQV0k2O/tQGA96sJqEEMzz1efIRa4CcLzC7iY9CCscto3g7dwz41haOE28iXYg==" saltValue="CVzFsG4X4LXUMo7796PiDQ==" spinCount="100000" sqref="J2379 L2379:M2379 B2379 D2379:H2379" name="Rango2_10_1_45"/>
    <protectedRange algorithmName="SHA-512" hashValue="6a5oYwZw9WJcgjqXpleUXH8uaqNEuymPPpeOb7lKBc1WoM6IG/DNyDLWmj2lYwxnZO2yhl+B61kwrxD9m9AdhQ==" saltValue="tdNQPzLQd+n9Ww064QJIaQ==" spinCount="100000" sqref="I2384" name="Rango2_61_2_3"/>
    <protectedRange algorithmName="SHA-512" hashValue="XM8+0Jh5zLWw02PI0Lt8dLqjTcW5ulySion19FAnruDN6QRp4UwcVqdfQxnOQAItgpWG7rNsELzjwy0iXOonxw==" saltValue="Sd4WFUedDfLKoMQTDrxJuQ==" spinCount="100000" sqref="K2384" name="Rango2_88_4_4_2_2"/>
    <protectedRange algorithmName="SHA-512" hashValue="EMMPgE8t/az1rHHzaZAQIhz+GQV0k2O/tQGA96sJqEEMzz1efIRa4CcLzC7iY9CCscto3g7dwz41haOE28iXYg==" saltValue="CVzFsG4X4LXUMo7796PiDQ==" spinCount="100000" sqref="J2384 L2384:M2384 B2384 D2384:H2384" name="Rango2_10_2_3"/>
    <protectedRange algorithmName="SHA-512" hashValue="RQ91b7oAw60DVtcgB2vRpial2kSdzJx5guGCTYUwXYkKrtrUHfiYnLf9R+SNpYXlJDYpyEJLhcWwP0EqNN86dQ==" saltValue="W3RbH3zrcY9sy39xNwXNxg==" spinCount="100000" sqref="BV2379:BY2379 BA2379:BI2379" name="Rango2_88_99_1_5"/>
    <protectedRange algorithmName="SHA-512" hashValue="fMbmUM1DQ7FuAPRNvFL5mPdHUYjQnlLFhkuaxvHguaqR7aWyDxcmJs0jLYQfQKY+oyhsMb4Lew4VL6i7um3/ew==" saltValue="ydaTm0CeH8+/cYqoL/AMaQ==" spinCount="100000" sqref="AU2379 AW2379:AZ2379" name="Rango2_88_91_1_45"/>
    <protectedRange algorithmName="SHA-512" hashValue="CHipOQaT63FWw628cQcXXJRZlrbNZ7OgmnEbDx38UmmH7z19GRYEzXFiVOzHAy1OAaAbST7g2bHZHDKQp2qm3w==" saltValue="iRVuL+373yLHv0ZHzS9qog==" spinCount="100000" sqref="AG2379:AH2379 AJ2379 AL2379" name="Rango2_88_7_5_1_6"/>
    <protectedRange algorithmName="SHA-512" hashValue="NkG6oHuDGvGBEiLAAq8MEJHEfLQUMyjihfH+DBXhT+eQW0r1yri7tOJEFRM9nbOejjjXiviq9RFo7KB7wF+xJA==" saltValue="bpjB0AAANu2X/PeR3eiFkA==" spinCount="100000" sqref="AM2379:AS2379" name="Rango2_88_65_1_42"/>
    <protectedRange algorithmName="SHA-512" hashValue="fPHvtIAf3pQeZUoAI9C2/vdXMHBpqqEq+67P5Ypyu4+9IWqs3yc9TZcMWQ0THLxUwqseQPyVvakuYFtCwJHsxA==" saltValue="QHIogSs2PrwAfdqa9PAOFQ==" spinCount="100000" sqref="AC2379" name="Rango2_88_5_5_1_41"/>
    <protectedRange algorithmName="SHA-512" hashValue="LEEeiU6pKqm7TAP46VGlz0q+evvFwpT/0iLpRuWuQ7MacbP0OGL1/FSmrIEOg2rb6M+Jla2bPbVWiGag27j87w==" saltValue="HEVt+pS5OloNDlqSnzGLLw==" spinCount="100000" sqref="AI2379" name="Rango2_8_7_1_44"/>
    <protectedRange algorithmName="SHA-512" hashValue="q2z5hEFmXS0v2chiPTC/VCoDWNlnhp+Xe6Ybfxe48vIsnB/KTJQxJv+pFUnCXfZ9T6vyJopuqFFNROfQTW/JUw==" saltValue="IctfdGJb5tOTpq+KPi9vww==" spinCount="100000" sqref="AE2379:AF2379" name="Rango2_88_39_1_43"/>
    <protectedRange algorithmName="SHA-512" hashValue="AYYX88LSDB6RDNMvSqt0KPGWPjBqTk56tMxTOlv5QD61MGTKAAQnSnudvNDWPN0Bbllh2qRQC+P5uq7goxjdrw==" saltValue="i/iPMewnks1FoXYOjKMEVg==" spinCount="100000" sqref="AB2379" name="Rango2_87_6_1_4"/>
    <protectedRange algorithmName="SHA-512" hashValue="NUll9P9xh7KbSfMYpMxsRZLfDw/y/AzW2LSWlpXVscBDqiAxmzo71xjs+a2lh+jRa7pceOC849slke4+ZKx8LA==" saltValue="8qbkKpQ+CiQuLnqgShNvXA==" spinCount="100000" sqref="T2379" name="Rango2_88_6_1_42"/>
    <protectedRange algorithmName="SHA-512" hashValue="KHhv3JU/LRdRrRTxxkgFceEHPZ5UzadmpZRZR3zmQRnPvkUJZuanRafIJ+qde0IWwLZSvFIQDyUAHq6v6k7XIg==" saltValue="2GKG1kCzVNNcn+vbOPuhJA==" spinCount="100000" sqref="Q2379" name="Rango2_2_5_1_5"/>
    <protectedRange algorithmName="SHA-512" hashValue="XZw03RosI/l0z9FxmTtF29EdZ7P+4+ybhqoaAAUmURojSR5XbGfjC4f2i8gMqfY+RI9JvfdCA6PSh9TduXfUxA==" saltValue="5TPtLq2WoiRSae/yaDPnTw==" spinCount="100000" sqref="CS2379:CT2379 CP2379:CQ2379 CV2379:CY2379 CE2379:CF2379 O2379 BR2379:BU2379 R2379:S2379 DA2379:DN2379 CJ2379:CK2379 BJ2379:BL2379 U2379:AA2379 AT2379 AV2379 BZ2379:CB2379" name="Rango2_99_1_7"/>
    <protectedRange algorithmName="SHA-512" hashValue="9+DNppQbWrLYYUMoJ+lyQctV2bX3Vq9kZnegLbpjTLP49It2ovUbcartuoQTeXgP+TGpY//7mDH/UQlFCKDGiA==" saltValue="KUnni6YEm00anzSSvyLqQA==" spinCount="100000" sqref="AD2379" name="Rango2_16_49"/>
    <protectedRange algorithmName="SHA-512" hashValue="RQ91b7oAw60DVtcgB2vRpial2kSdzJx5guGCTYUwXYkKrtrUHfiYnLf9R+SNpYXlJDYpyEJLhcWwP0EqNN86dQ==" saltValue="W3RbH3zrcY9sy39xNwXNxg==" spinCount="100000" sqref="BV2384:BY2384 BA2384:BI2384" name="Rango2_88_99_2_42"/>
    <protectedRange algorithmName="SHA-512" hashValue="fMbmUM1DQ7FuAPRNvFL5mPdHUYjQnlLFhkuaxvHguaqR7aWyDxcmJs0jLYQfQKY+oyhsMb4Lew4VL6i7um3/ew==" saltValue="ydaTm0CeH8+/cYqoL/AMaQ==" spinCount="100000" sqref="AU2384 AW2384:AZ2384" name="Rango2_88_91_2_2"/>
    <protectedRange algorithmName="SHA-512" hashValue="CHipOQaT63FWw628cQcXXJRZlrbNZ7OgmnEbDx38UmmH7z19GRYEzXFiVOzHAy1OAaAbST7g2bHZHDKQp2qm3w==" saltValue="iRVuL+373yLHv0ZHzS9qog==" spinCount="100000" sqref="AG2384:AH2384 AJ2384 AL2384" name="Rango2_88_7_5_2_40"/>
    <protectedRange algorithmName="SHA-512" hashValue="NkG6oHuDGvGBEiLAAq8MEJHEfLQUMyjihfH+DBXhT+eQW0r1yri7tOJEFRM9nbOejjjXiviq9RFo7KB7wF+xJA==" saltValue="bpjB0AAANu2X/PeR3eiFkA==" spinCount="100000" sqref="AM2384:AS2384" name="Rango2_88_65_2_2"/>
    <protectedRange algorithmName="SHA-512" hashValue="fPHvtIAf3pQeZUoAI9C2/vdXMHBpqqEq+67P5Ypyu4+9IWqs3yc9TZcMWQ0THLxUwqseQPyVvakuYFtCwJHsxA==" saltValue="QHIogSs2PrwAfdqa9PAOFQ==" spinCount="100000" sqref="AC2384" name="Rango2_88_5_5_2_2"/>
    <protectedRange algorithmName="SHA-512" hashValue="LEEeiU6pKqm7TAP46VGlz0q+evvFwpT/0iLpRuWuQ7MacbP0OGL1/FSmrIEOg2rb6M+Jla2bPbVWiGag27j87w==" saltValue="HEVt+pS5OloNDlqSnzGLLw==" spinCount="100000" sqref="AI2384" name="Rango2_8_7_2_2"/>
    <protectedRange algorithmName="SHA-512" hashValue="q2z5hEFmXS0v2chiPTC/VCoDWNlnhp+Xe6Ybfxe48vIsnB/KTJQxJv+pFUnCXfZ9T6vyJopuqFFNROfQTW/JUw==" saltValue="IctfdGJb5tOTpq+KPi9vww==" spinCount="100000" sqref="AE2384:AF2384" name="Rango2_88_39_2_2"/>
    <protectedRange algorithmName="SHA-512" hashValue="AYYX88LSDB6RDNMvSqt0KPGWPjBqTk56tMxTOlv5QD61MGTKAAQnSnudvNDWPN0Bbllh2qRQC+P5uq7goxjdrw==" saltValue="i/iPMewnks1FoXYOjKMEVg==" spinCount="100000" sqref="AB2384" name="Rango2_87_6_2_3"/>
    <protectedRange algorithmName="SHA-512" hashValue="NUll9P9xh7KbSfMYpMxsRZLfDw/y/AzW2LSWlpXVscBDqiAxmzo71xjs+a2lh+jRa7pceOC849slke4+ZKx8LA==" saltValue="8qbkKpQ+CiQuLnqgShNvXA==" spinCount="100000" sqref="T2384" name="Rango2_88_6_2_2"/>
    <protectedRange algorithmName="SHA-512" hashValue="KHhv3JU/LRdRrRTxxkgFceEHPZ5UzadmpZRZR3zmQRnPvkUJZuanRafIJ+qde0IWwLZSvFIQDyUAHq6v6k7XIg==" saltValue="2GKG1kCzVNNcn+vbOPuhJA==" spinCount="100000" sqref="Q2384" name="Rango2_2_5_2_2"/>
    <protectedRange algorithmName="SHA-512" hashValue="XZw03RosI/l0z9FxmTtF29EdZ7P+4+ybhqoaAAUmURojSR5XbGfjC4f2i8gMqfY+RI9JvfdCA6PSh9TduXfUxA==" saltValue="5TPtLq2WoiRSae/yaDPnTw==" spinCount="100000" sqref="CS2384:CT2384 CP2384:CQ2384 CV2384:CY2384 CE2384:CF2384 O2384 BR2384:BU2384 R2384:S2384 DA2384:DN2384 CJ2384:CK2384 BJ2384:BK2384 U2384:AA2384 AT2384 AV2384 BZ2384:CB2384" name="Rango2_99_2_45"/>
    <protectedRange algorithmName="SHA-512" hashValue="9+DNppQbWrLYYUMoJ+lyQctV2bX3Vq9kZnegLbpjTLP49It2ovUbcartuoQTeXgP+TGpY//7mDH/UQlFCKDGiA==" saltValue="KUnni6YEm00anzSSvyLqQA==" spinCount="100000" sqref="AD2384" name="Rango2_22_40"/>
    <protectedRange algorithmName="SHA-512" hashValue="Umj9+5Ys20VQPxBFtc6qE5LtKKSgPKwit+B8dd4XnEUaLfBM2ozpkEC4YxwK0SbBiAHDDex+pY+LomQ0lyuamQ==" saltValue="N2/MCRws+mmA+NXw0axolg==" spinCount="100000" sqref="GJ2361 GH2361 GE2361 GB2361 GL2361 FY2361" name="Rango2_31_2_45"/>
    <protectedRange algorithmName="SHA-512" hashValue="Umj9+5Ys20VQPxBFtc6qE5LtKKSgPKwit+B8dd4XnEUaLfBM2ozpkEC4YxwK0SbBiAHDDex+pY+LomQ0lyuamQ==" saltValue="N2/MCRws+mmA+NXw0axolg==" spinCount="100000" sqref="GJ2362 GH2362 GE2362 GB2362 GL2362 FY2362" name="Rango2_31_2_50"/>
    <protectedRange algorithmName="SHA-512" hashValue="Umj9+5Ys20VQPxBFtc6qE5LtKKSgPKwit+B8dd4XnEUaLfBM2ozpkEC4YxwK0SbBiAHDDex+pY+LomQ0lyuamQ==" saltValue="N2/MCRws+mmA+NXw0axolg==" spinCount="100000" sqref="GJ2363:GJ2364 GH2363:GH2364 GE2363:GE2364 GB2363:GB2364 GL2363:GL2364 FY2363:FY2364" name="Rango2_31_2_53"/>
    <protectedRange algorithmName="SHA-512" hashValue="EEHzbvEYwO1eufllBljOz0uf9BJ2ENtvOScQ7IsS321QhYbwKn7qhHKKP8cKj02rTDvVRMWvwQ1ZP0mZWsBprQ==" saltValue="CjXqBRFbKezlWOFV37MnDQ==" spinCount="100000" sqref="GQ2379:GR2379 GW2379 GN2379" name="Rango2_30_2_1_5"/>
    <protectedRange algorithmName="SHA-512" hashValue="Rgskw+AQdeJ5qbJdarzTa3SCkJfDGziy0Uan5N0F3IWn/H3Z/e+VcB56R7Nes7MPxNHewNP1sSSucVjz3iTLeA==" saltValue="qKZH3DnwaZHBzy3cBZo1qQ==" spinCount="100000" sqref="GF2379" name="Rango2_31_28_1_42"/>
    <protectedRange algorithmName="SHA-512" hashValue="Umj9+5Ys20VQPxBFtc6qE5LtKKSgPKwit+B8dd4XnEUaLfBM2ozpkEC4YxwK0SbBiAHDDex+pY+LomQ0lyuamQ==" saltValue="N2/MCRws+mmA+NXw0axolg==" spinCount="100000" sqref="GJ2379 GH2379 GE2379 GB2379 GL2379 FY2379" name="Rango2_31_2_1_6"/>
    <protectedRange algorithmName="SHA-512" hashValue="q2z5hEFmXS0v2chiPTC/VCoDWNlnhp+Xe6Ybfxe48vIsnB/KTJQxJv+pFUnCXfZ9T6vyJopuqFFNROfQTW/JUw==" saltValue="IctfdGJb5tOTpq+KPi9vww==" spinCount="100000" sqref="IA2379 ID2379:IJ2379" name="Rango2_88_39_1_44"/>
    <protectedRange algorithmName="SHA-512" hashValue="XZw03RosI/l0z9FxmTtF29EdZ7P+4+ybhqoaAAUmURojSR5XbGfjC4f2i8gMqfY+RI9JvfdCA6PSh9TduXfUxA==" saltValue="5TPtLq2WoiRSae/yaDPnTw==" spinCount="100000" sqref="FQ2379:FR2379 ER2379:ES2379 EV2379:EW2379 FF2379 GO2379 GT2379 FZ2379 IB2379 FU2379 EO2379 GM2379 GK2379 GY2379:GZ2379 FI2379 HJ2379 IL2379:IM2379 HU2379:HZ2379 FW2379:FX2379 EA2379:EJ2379 IO2379" name="Rango2_99_1_8"/>
    <protectedRange algorithmName="SHA-512" hashValue="YXHanhqXL0e4jPrzkCF8r/22WmlCviFUW909WKuG1JOcU0mp0/Huh0aP3EaGYxV2ep0WGu48HsShAy4Ka2uOiw==" saltValue="h/7U5iwJm7DLR4tRVfwZYw==" spinCount="100000" sqref="GI2379 GC2379" name="Rango2_33_1_5"/>
    <protectedRange algorithmName="SHA-512" hashValue="pL4tgTKqwEsWSIEGFTBd+4pvEhE7d5Q99Eijs+L/Y1rhA0saQGGRJw5Pv2HLOP0quglztFwB6WVnQ1YGxd4AiQ==" saltValue="IF5mhk2RcoEjrcYppes1VA==" spinCount="100000" sqref="FT2379" name="Rango2_30_1_4"/>
    <protectedRange algorithmName="SHA-512" hashValue="9+DNppQbWrLYYUMoJ+lyQctV2bX3Vq9kZnegLbpjTLP49It2ovUbcartuoQTeXgP+TGpY//7mDH/UQlFCKDGiA==" saltValue="KUnni6YEm00anzSSvyLqQA==" spinCount="100000" sqref="FE2379 GX2379 EY2379:FA2379 FC2379 FH2379 FK2379:FL2379 EN2379 FN2379:FO2379 HD2379:HI2379 HS2379:HT2379" name="Rango2_16_50"/>
    <protectedRange algorithmName="SHA-512" hashValue="EEHzbvEYwO1eufllBljOz0uf9BJ2ENtvOScQ7IsS321QhYbwKn7qhHKKP8cKj02rTDvVRMWvwQ1ZP0mZWsBprQ==" saltValue="CjXqBRFbKezlWOFV37MnDQ==" spinCount="100000" sqref="GQ2384:GR2384 GW2384 GN2384" name="Rango2_30_2_2_43"/>
    <protectedRange algorithmName="SHA-512" hashValue="Rgskw+AQdeJ5qbJdarzTa3SCkJfDGziy0Uan5N0F3IWn/H3Z/e+VcB56R7Nes7MPxNHewNP1sSSucVjz3iTLeA==" saltValue="qKZH3DnwaZHBzy3cBZo1qQ==" spinCount="100000" sqref="GF2384" name="Rango2_31_28_2_2"/>
    <protectedRange algorithmName="SHA-512" hashValue="Umj9+5Ys20VQPxBFtc6qE5LtKKSgPKwit+B8dd4XnEUaLfBM2ozpkEC4YxwK0SbBiAHDDex+pY+LomQ0lyuamQ==" saltValue="N2/MCRws+mmA+NXw0axolg==" spinCount="100000" sqref="GJ2384 GH2384 GE2384 GB2384 GL2384 FY2384" name="Rango2_31_2_2_42"/>
    <protectedRange algorithmName="SHA-512" hashValue="q2z5hEFmXS0v2chiPTC/VCoDWNlnhp+Xe6Ybfxe48vIsnB/KTJQxJv+pFUnCXfZ9T6vyJopuqFFNROfQTW/JUw==" saltValue="IctfdGJb5tOTpq+KPi9vww==" spinCount="100000" sqref="IA2384 ID2384:IJ2384" name="Rango2_88_39_2_3"/>
    <protectedRange algorithmName="SHA-512" hashValue="XZw03RosI/l0z9FxmTtF29EdZ7P+4+ybhqoaAAUmURojSR5XbGfjC4f2i8gMqfY+RI9JvfdCA6PSh9TduXfUxA==" saltValue="5TPtLq2WoiRSae/yaDPnTw==" spinCount="100000" sqref="FQ2384:FR2384 ER2384:ES2384 EV2384:EW2384 FF2384 GO2384 GT2384 FZ2384 IB2384 FU2384 EO2384 GM2384 GK2384 GY2384:GZ2384 FI2384 HJ2384 IL2384:IM2384 HU2384:HZ2384 FW2384:FX2384 EA2384:EJ2384 IO2384" name="Rango2_99_2_46"/>
    <protectedRange algorithmName="SHA-512" hashValue="YXHanhqXL0e4jPrzkCF8r/22WmlCviFUW909WKuG1JOcU0mp0/Huh0aP3EaGYxV2ep0WGu48HsShAy4Ka2uOiw==" saltValue="h/7U5iwJm7DLR4tRVfwZYw==" spinCount="100000" sqref="GI2384 GC2384" name="Rango2_33_2_2"/>
    <protectedRange algorithmName="SHA-512" hashValue="pL4tgTKqwEsWSIEGFTBd+4pvEhE7d5Q99Eijs+L/Y1rhA0saQGGRJw5Pv2HLOP0quglztFwB6WVnQ1YGxd4AiQ==" saltValue="IF5mhk2RcoEjrcYppes1VA==" spinCount="100000" sqref="FT2384" name="Rango2_30_3_2"/>
    <protectedRange algorithmName="SHA-512" hashValue="9+DNppQbWrLYYUMoJ+lyQctV2bX3Vq9kZnegLbpjTLP49It2ovUbcartuoQTeXgP+TGpY//7mDH/UQlFCKDGiA==" saltValue="KUnni6YEm00anzSSvyLqQA==" spinCount="100000" sqref="FE2384 GX2384 EY2384:FA2384 FC2384 FH2384 FK2384:FL2384 EN2384 FN2384:FO2384 HD2384:HI2384 HS2384:HT2384" name="Rango2_22_41"/>
    <protectedRange algorithmName="SHA-512" hashValue="Gqwr8n5jYbCESAqCFk8dpOzViQICBV+k0xoqBoQaZ5lHaRlvT9TZDB4yXtm+qC6OhD064ZDBOFWkwo+LHXu1sg==" saltValue="gEL9PCN2ekF2IxW9yqAGYA==" spinCount="100000" sqref="IS2379" name="Rango2_40_2_1_36"/>
    <protectedRange algorithmName="SHA-512" hashValue="D8TacORwT7iz0mF9GEucchnMHfB5er2FFjQsxyeWWyeJkM6Bt3gYQ3LbcHPxZXFpVAYtFOuTrzYOCJrlZDx16g==" saltValue="QtCzIBktdS4NZkOEGcLTRQ==" spinCount="100000" sqref="IW2379" name="Rango2_41_1_34"/>
    <protectedRange algorithmName="SHA-512" hashValue="9+DNppQbWrLYYUMoJ+lyQctV2bX3Vq9kZnegLbpjTLP49It2ovUbcartuoQTeXgP+TGpY//7mDH/UQlFCKDGiA==" saltValue="KUnni6YEm00anzSSvyLqQA==" spinCount="100000" sqref="IX2379 IT2379:IV2379 IZ2379:JM2379 JO2379:JW2379 JY2379:KF2379 KH2379 KJ2379:MP2379" name="Rango2_16_51"/>
    <protectedRange algorithmName="SHA-512" hashValue="Gqwr8n5jYbCESAqCFk8dpOzViQICBV+k0xoqBoQaZ5lHaRlvT9TZDB4yXtm+qC6OhD064ZDBOFWkwo+LHXu1sg==" saltValue="gEL9PCN2ekF2IxW9yqAGYA==" spinCount="100000" sqref="IS2384" name="Rango2_40_2_2_1"/>
    <protectedRange algorithmName="SHA-512" hashValue="D8TacORwT7iz0mF9GEucchnMHfB5er2FFjQsxyeWWyeJkM6Bt3gYQ3LbcHPxZXFpVAYtFOuTrzYOCJrlZDx16g==" saltValue="QtCzIBktdS4NZkOEGcLTRQ==" spinCount="100000" sqref="IW2384" name="Rango2_41_2_1"/>
    <protectedRange algorithmName="SHA-512" hashValue="9+DNppQbWrLYYUMoJ+lyQctV2bX3Vq9kZnegLbpjTLP49It2ovUbcartuoQTeXgP+TGpY//7mDH/UQlFCKDGiA==" saltValue="KUnni6YEm00anzSSvyLqQA==" spinCount="100000" sqref="IX2384 IT2384:IV2384 IZ2384:JM2384 JO2384:JW2384 JY2384:KF2384 KH2384 KJ2384:MP2384" name="Rango2_22_42"/>
    <protectedRange algorithmName="SHA-512" hashValue="EMMPgE8t/az1rHHzaZAQIhz+GQV0k2O/tQGA96sJqEEMzz1efIRa4CcLzC7iY9CCscto3g7dwz41haOE28iXYg==" saltValue="CVzFsG4X4LXUMo7796PiDQ==" spinCount="100000" sqref="J2571" name="Rango2_10_1_46"/>
    <protectedRange algorithmName="SHA-512" hashValue="EMMPgE8t/az1rHHzaZAQIhz+GQV0k2O/tQGA96sJqEEMzz1efIRa4CcLzC7iY9CCscto3g7dwz41haOE28iXYg==" saltValue="CVzFsG4X4LXUMo7796PiDQ==" spinCount="100000" sqref="KP2594" name="Rango2_10_5_2"/>
    <protectedRange algorithmName="SHA-512" hashValue="EMMPgE8t/az1rHHzaZAQIhz+GQV0k2O/tQGA96sJqEEMzz1efIRa4CcLzC7iY9CCscto3g7dwz41haOE28iXYg==" saltValue="CVzFsG4X4LXUMo7796PiDQ==" spinCount="100000" sqref="C3418:C3449" name="Rango2_10_2_4"/>
    <protectedRange algorithmName="SHA-512" hashValue="9+DNppQbWrLYYUMoJ+lyQctV2bX3Vq9kZnegLbpjTLP49It2ovUbcartuoQTeXgP+TGpY//7mDH/UQlFCKDGiA==" saltValue="KUnni6YEm00anzSSvyLqQA==" spinCount="100000" sqref="KT3418:KT3419" name="Rango2_3_14"/>
  </protectedRanges>
  <customSheetViews>
    <customSheetView guid="{87C82D0B-BF3B-4D48-8D40-9A69123EBFA4}" scale="115" showAutoFilter="1" hiddenRows="1" hiddenColumns="1">
      <selection activeCell="B7" sqref="B7:H9"/>
      <pageMargins left="0.7" right="0.7" top="0.75" bottom="0.75" header="0.3" footer="0.3"/>
      <pageSetup orientation="portrait" verticalDpi="300" r:id="rId1"/>
      <autoFilter ref="B13:MJ526" xr:uid="{D3DB0DE4-27EC-481C-A011-AF3F39A8E117}"/>
    </customSheetView>
  </customSheetViews>
  <phoneticPr fontId="33" type="noConversion"/>
  <conditionalFormatting sqref="D2:D4">
    <cfRule type="cellIs" dxfId="286" priority="26722" operator="equal">
      <formula>"SIN DATO"</formula>
    </cfRule>
    <cfRule type="cellIs" dxfId="285" priority="26723" operator="equal">
      <formula>"SIN ATENCIÓN"</formula>
    </cfRule>
    <cfRule type="cellIs" dxfId="284" priority="26724" operator="equal">
      <formula>"PROCESO PARCIAL DE ATENCIÓN"</formula>
    </cfRule>
    <cfRule type="cellIs" dxfId="283" priority="26725" operator="equal">
      <formula>"PROCESO COMPLETO DE ATENCIÓN"</formula>
    </cfRule>
  </conditionalFormatting>
  <conditionalFormatting sqref="P2:P4">
    <cfRule type="containsText" dxfId="282" priority="27200" operator="containsText" text="SI">
      <formula>NOT(ISERROR(SEARCH("SI",P2)))</formula>
    </cfRule>
    <cfRule type="containsText" dxfId="281" priority="27201" operator="containsText" text="NO">
      <formula>NOT(ISERROR(SEARCH("NO",P2)))</formula>
    </cfRule>
    <cfRule type="containsText" dxfId="280" priority="27202" operator="containsText" text="NA">
      <formula>NOT(ISERROR(SEARCH("NA",P2)))</formula>
    </cfRule>
  </conditionalFormatting>
  <conditionalFormatting sqref="Q2:Q4">
    <cfRule type="containsText" dxfId="278" priority="26906" operator="containsText" text="SE TRASLADO DE EPS">
      <formula>NOT(ISERROR(SEARCH("SE TRASLADO DE EPS",Q2)))</formula>
    </cfRule>
    <cfRule type="containsText" dxfId="277" priority="26911" operator="containsText" text="INMIGRANTE VENEZOLANA">
      <formula>NOT(ISERROR(SEARCH("INMIGRANTE VENEZOLANA",Q2)))</formula>
    </cfRule>
    <cfRule type="containsText" dxfId="276" priority="26912" operator="containsText" text="SIN AFILIACIÓN A EPS">
      <formula>NOT(ISERROR(SEARCH("SIN AFILIACIÓN A EPS",Q2)))</formula>
    </cfRule>
    <cfRule type="containsText" dxfId="275" priority="27195" operator="containsText" text="NOVEDAD">
      <formula>NOT(ISERROR(SEARCH("NOVEDAD",Q2)))</formula>
    </cfRule>
    <cfRule type="containsText" dxfId="274" priority="27196" operator="containsText" text="IDENTIDAD">
      <formula>NOT(ISERROR(SEARCH("IDENTIDAD",Q2)))</formula>
    </cfRule>
    <cfRule type="containsText" dxfId="273" priority="27197" operator="containsText" text="CPN">
      <formula>NOT(ISERROR(SEARCH("CPN",Q2)))</formula>
    </cfRule>
    <cfRule type="containsText" dxfId="272" priority="27198" operator="containsText" text="VIENE">
      <formula>NOT(ISERROR(SEARCH("VIENE",Q2)))</formula>
    </cfRule>
    <cfRule type="cellIs" dxfId="271" priority="27199" operator="equal">
      <formula>"TRAMITE DE PORTABILIDAD"</formula>
    </cfRule>
  </conditionalFormatting>
  <conditionalFormatting sqref="AC2:AC4">
    <cfRule type="containsText" dxfId="270" priority="27191" operator="containsText" text="SABE">
      <formula>NOT(ISERROR(SEARCH("SABE",AC2)))</formula>
    </cfRule>
    <cfRule type="containsText" dxfId="269" priority="27192" operator="containsText" text="SECUNDARIA">
      <formula>NOT(ISERROR(SEARCH("SECUNDARIA",AC2)))</formula>
    </cfRule>
    <cfRule type="containsText" dxfId="268" priority="27193" operator="containsText" text="PRIMARIA INCOMPLETA">
      <formula>NOT(ISERROR(SEARCH("PRIMARIA INCOMPLETA",AC2)))</formula>
    </cfRule>
    <cfRule type="cellIs" dxfId="267" priority="27194" operator="equal">
      <formula>"ANALFABETA"</formula>
    </cfRule>
  </conditionalFormatting>
  <conditionalFormatting sqref="AE2:AF4">
    <cfRule type="containsText" dxfId="266" priority="26526" operator="containsText" text="NO">
      <formula>NOT(ISERROR(SEARCH("NO",AE2)))</formula>
    </cfRule>
    <cfRule type="containsText" dxfId="265" priority="26527" operator="containsText" text="SI">
      <formula>NOT(ISERROR(SEARCH("SI",AE2)))</formula>
    </cfRule>
  </conditionalFormatting>
  <conditionalFormatting sqref="AG2:AH4 AJ2:AJ4 AL2:BI4 BV2:BW4 BY2:BY4">
    <cfRule type="cellIs" dxfId="264" priority="27256" operator="equal">
      <formula>"SD"</formula>
    </cfRule>
    <cfRule type="cellIs" dxfId="263" priority="27266" operator="equal">
      <formula>"NO"</formula>
    </cfRule>
    <cfRule type="cellIs" dxfId="262" priority="27267" operator="equal">
      <formula>"SI"</formula>
    </cfRule>
  </conditionalFormatting>
  <conditionalFormatting sqref="AI2:AI4">
    <cfRule type="containsText" dxfId="261" priority="26966" operator="containsText" text="NINGUNO">
      <formula>NOT(ISERROR(SEARCH("NINGUNO",AI2)))</formula>
    </cfRule>
    <cfRule type="containsText" dxfId="260" priority="26967" operator="containsText" text="MIGRATORIA">
      <formula>NOT(ISERROR(SEARCH("MIGRATORIA",AI2)))</formula>
    </cfRule>
    <cfRule type="containsText" dxfId="259" priority="26968" operator="containsText" text="DISCAPACIDAD">
      <formula>NOT(ISERROR(SEARCH("DISCAPACIDAD",AI2)))</formula>
    </cfRule>
    <cfRule type="containsText" dxfId="258" priority="26969" operator="containsText" text="DESPLAZADA">
      <formula>NOT(ISERROR(SEARCH("DESPLAZADA",AI2)))</formula>
    </cfRule>
  </conditionalFormatting>
  <conditionalFormatting sqref="AK2:AK4">
    <cfRule type="containsText" dxfId="257" priority="26970" operator="containsText" text="CON RIESGO">
      <formula>NOT(ISERROR(SEARCH("CON RIESGO",AK2)))</formula>
    </cfRule>
    <cfRule type="containsText" dxfId="256" priority="26971" operator="containsText" text="SIN RIESGO">
      <formula>NOT(ISERROR(SEARCH("SIN RIESGO",AK2)))</formula>
    </cfRule>
  </conditionalFormatting>
  <conditionalFormatting sqref="AV2:AV4">
    <cfRule type="cellIs" dxfId="255" priority="27186" operator="equal">
      <formula>1</formula>
    </cfRule>
    <cfRule type="cellIs" dxfId="254" priority="27187" operator="equal">
      <formula>"3 O MAS"</formula>
    </cfRule>
    <cfRule type="cellIs" dxfId="253" priority="27188" operator="equal">
      <formula>2</formula>
    </cfRule>
  </conditionalFormatting>
  <conditionalFormatting sqref="BL2:BL4">
    <cfRule type="cellIs" dxfId="252" priority="27183" operator="equal">
      <formula>"NO"</formula>
    </cfRule>
    <cfRule type="cellIs" dxfId="251" priority="27184" operator="equal">
      <formula>"SI"</formula>
    </cfRule>
    <cfRule type="cellIs" dxfId="250" priority="27185" operator="equal">
      <formula>"CORREGIDA"</formula>
    </cfRule>
  </conditionalFormatting>
  <conditionalFormatting sqref="BO1:BO1048576">
    <cfRule type="cellIs" dxfId="249" priority="26730" operator="equal">
      <formula>"SIN SEMANAS X ECO"</formula>
    </cfRule>
  </conditionalFormatting>
  <conditionalFormatting sqref="BP2:BP4">
    <cfRule type="cellIs" dxfId="248" priority="27178" operator="equal">
      <formula>"DEFINIR CON ECO"</formula>
    </cfRule>
    <cfRule type="cellIs" dxfId="247" priority="27179" operator="equal">
      <formula>"ERROR FUM O INGRESO O ECO"</formula>
    </cfRule>
    <cfRule type="cellIs" dxfId="246" priority="27180" operator="equal">
      <formula>"III TRIM"</formula>
    </cfRule>
    <cfRule type="cellIs" dxfId="245" priority="27181" operator="equal">
      <formula>"II TRIM"</formula>
    </cfRule>
    <cfRule type="cellIs" dxfId="244" priority="27182" operator="equal">
      <formula>"I TRIM"</formula>
    </cfRule>
  </conditionalFormatting>
  <conditionalFormatting sqref="BX2:BX4">
    <cfRule type="cellIs" dxfId="243" priority="26717" operator="equal">
      <formula>"SD"</formula>
    </cfRule>
    <cfRule type="cellIs" dxfId="242" priority="26718" operator="equal">
      <formula>"OBLICUA"</formula>
    </cfRule>
    <cfRule type="cellIs" dxfId="240" priority="26720" operator="equal">
      <formula>"PODÁLICA"</formula>
    </cfRule>
    <cfRule type="cellIs" dxfId="239" priority="26721" operator="equal">
      <formula>"CEFÁLICA"</formula>
    </cfRule>
  </conditionalFormatting>
  <conditionalFormatting sqref="CD2:CD4">
    <cfRule type="containsText" dxfId="238" priority="27172" operator="containsText" text="SOBREPESO">
      <formula>NOT(ISERROR(SEARCH("SOBREPESO",CD2)))</formula>
    </cfRule>
    <cfRule type="containsText" dxfId="237" priority="27173" operator="containsText" text="NORMAL">
      <formula>NOT(ISERROR(SEARCH("NORMAL",CD2)))</formula>
    </cfRule>
    <cfRule type="containsText" dxfId="236" priority="27174" operator="containsText" text="OBESIDAD">
      <formula>NOT(ISERROR(SEARCH("OBESIDAD",CD2)))</formula>
    </cfRule>
    <cfRule type="containsText" dxfId="235" priority="27175" operator="containsText" text="BAJO PESO">
      <formula>NOT(ISERROR(SEARCH("BAJO PESO",CD2)))</formula>
    </cfRule>
    <cfRule type="containsText" dxfId="234" priority="27176" operator="containsText" text="PREGESTACION">
      <formula>NOT(ISERROR(SEARCH("PREGESTACION",CD2)))</formula>
    </cfRule>
    <cfRule type="containsText" dxfId="233" priority="27177" operator="containsText" text="INGRESAR">
      <formula>NOT(ISERROR(SEARCH("INGRESAR",CD2)))</formula>
    </cfRule>
  </conditionalFormatting>
  <conditionalFormatting sqref="CI2:CI4">
    <cfRule type="containsText" dxfId="232" priority="27166" operator="containsText" text="REVISAR">
      <formula>NOT(ISERROR(SEARCH("REVISAR",CI2)))</formula>
    </cfRule>
    <cfRule type="containsText" dxfId="231" priority="27167" operator="containsText" text="SOBREPESO">
      <formula>NOT(ISERROR(SEARCH("SOBREPESO",CI2)))</formula>
    </cfRule>
    <cfRule type="containsText" dxfId="230" priority="27168" operator="containsText" text="OBESIDAD">
      <formula>NOT(ISERROR(SEARCH("OBESIDAD",CI2)))</formula>
    </cfRule>
    <cfRule type="containsText" dxfId="229" priority="27169" operator="containsText" text="BAJO PESO">
      <formula>NOT(ISERROR(SEARCH("BAJO PESO",CI2)))</formula>
    </cfRule>
    <cfRule type="containsText" dxfId="228" priority="27170" operator="containsText" text="NORMAL">
      <formula>NOT(ISERROR(SEARCH("NORMAL",CI2)))</formula>
    </cfRule>
    <cfRule type="containsText" dxfId="227" priority="27171" operator="containsText" text="REGISTRAR">
      <formula>NOT(ISERROR(SEARCH("REGISTRAR",CI2)))</formula>
    </cfRule>
  </conditionalFormatting>
  <conditionalFormatting sqref="CN2:CO4">
    <cfRule type="containsText" dxfId="226" priority="27160" operator="containsText" text="BAJO PESO">
      <formula>NOT(ISERROR(SEARCH("BAJO PESO",CN2)))</formula>
    </cfRule>
    <cfRule type="containsText" dxfId="225" priority="27161" operator="containsText" text="NORMAL">
      <formula>NOT(ISERROR(SEARCH("NORMAL",CN2)))</formula>
    </cfRule>
    <cfRule type="containsText" dxfId="224" priority="27162" operator="containsText" text="OBESIDAD">
      <formula>NOT(ISERROR(SEARCH("OBESIDAD",CN2)))</formula>
    </cfRule>
    <cfRule type="containsText" dxfId="223" priority="27163" operator="containsText" text="SOBREPESO">
      <formula>NOT(ISERROR(SEARCH("SOBREPESO",CN2)))</formula>
    </cfRule>
    <cfRule type="containsText" dxfId="222" priority="27164" operator="containsText" text="REVISAR">
      <formula>NOT(ISERROR(SEARCH("REVISAR",CN2)))</formula>
    </cfRule>
    <cfRule type="containsText" dxfId="221" priority="27165" operator="containsText" text="REGISTRAR">
      <formula>NOT(ISERROR(SEARCH("REGISTRAR",CN2)))</formula>
    </cfRule>
  </conditionalFormatting>
  <conditionalFormatting sqref="CO2:CO4">
    <cfRule type="containsText" dxfId="220" priority="26975" operator="containsText" text="INGRESAR">
      <formula>NOT(ISERROR(SEARCH("INGRESAR",CO2)))</formula>
    </cfRule>
  </conditionalFormatting>
  <conditionalFormatting sqref="CR2:CR4">
    <cfRule type="containsText" dxfId="219" priority="27157" operator="containsText" text="HIPOTENSION">
      <formula>NOT(ISERROR(SEARCH("HIPOTENSION",CR2)))</formula>
    </cfRule>
    <cfRule type="containsText" dxfId="218" priority="27158" operator="containsText" text="NORMAL">
      <formula>NOT(ISERROR(SEARCH("NORMAL",CR2)))</formula>
    </cfRule>
    <cfRule type="containsText" dxfId="217" priority="27159" operator="containsText" text="HTA">
      <formula>NOT(ISERROR(SEARCH("HTA",CR2)))</formula>
    </cfRule>
  </conditionalFormatting>
  <conditionalFormatting sqref="CU2:CU4">
    <cfRule type="containsText" dxfId="216" priority="27153" operator="containsText" text="HIPOTENSION">
      <formula>NOT(ISERROR(SEARCH("HIPOTENSION",CU2)))</formula>
    </cfRule>
    <cfRule type="containsText" dxfId="215" priority="27154" operator="containsText" text="VIGILAR">
      <formula>NOT(ISERROR(SEARCH("VIGILAR",CU2)))</formula>
    </cfRule>
    <cfRule type="containsText" dxfId="214" priority="27155" operator="containsText" text="NORMAL">
      <formula>NOT(ISERROR(SEARCH("NORMAL",CU2)))</formula>
    </cfRule>
    <cfRule type="containsText" dxfId="213" priority="27156" operator="containsText" text="HTA">
      <formula>NOT(ISERROR(SEARCH("HTA",CU2)))</formula>
    </cfRule>
  </conditionalFormatting>
  <conditionalFormatting sqref="CZ2:CZ4 HP2:HP4">
    <cfRule type="containsText" dxfId="212" priority="27150" operator="containsText" text="NORMAL">
      <formula>NOT(ISERROR(SEARCH("NORMAL",CZ2)))</formula>
    </cfRule>
    <cfRule type="containsText" dxfId="211" priority="27151" operator="containsText" text="VIGILAR">
      <formula>NOT(ISERROR(SEARCH("VIGILAR",CZ2)))</formula>
    </cfRule>
    <cfRule type="containsText" dxfId="210" priority="27152" operator="containsText" text="HTA">
      <formula>NOT(ISERROR(SEARCH("HTA",CZ2)))</formula>
    </cfRule>
  </conditionalFormatting>
  <conditionalFormatting sqref="DO2:DO4">
    <cfRule type="containsBlanks" priority="26565" stopIfTrue="1">
      <formula>LEN(TRIM(DO2))=0</formula>
    </cfRule>
    <cfRule type="cellIs" dxfId="209" priority="26566" operator="greaterThanOrEqual">
      <formula>6</formula>
    </cfRule>
    <cfRule type="cellIs" dxfId="208" priority="26567" operator="between">
      <formula>4</formula>
      <formula>5</formula>
    </cfRule>
    <cfRule type="cellIs" dxfId="207" priority="26568" operator="between">
      <formula>0</formula>
      <formula>3</formula>
    </cfRule>
  </conditionalFormatting>
  <conditionalFormatting sqref="DQ2:DQ4">
    <cfRule type="cellIs" dxfId="206" priority="26557" operator="between">
      <formula>28</formula>
      <formula>44</formula>
    </cfRule>
    <cfRule type="cellIs" dxfId="205" priority="26559" operator="equal">
      <formula>"SALE SIN PLAN DE PARTO"</formula>
    </cfRule>
    <cfRule type="cellIs" dxfId="204" priority="26560" operator="equal">
      <formula>"SALE PROGRAMA ANTES SEMANA 35"</formula>
    </cfRule>
    <cfRule type="cellIs" dxfId="203" priority="26561" operator="equal">
      <formula>"EN ESPERA"</formula>
    </cfRule>
    <cfRule type="cellIs" dxfId="202" priority="26562" operator="equal">
      <formula>"CONCERTAR PLAN DE PARTO INMEDIATO"</formula>
    </cfRule>
    <cfRule type="cellIs" dxfId="201" priority="26563" operator="equal">
      <formula>"PLANEAR PLAN DE PARTO"</formula>
    </cfRule>
    <cfRule type="cellIs" dxfId="200" priority="26564" operator="equal">
      <formula>"PLAN REALIZADO ANTES III TRIM"</formula>
    </cfRule>
  </conditionalFormatting>
  <conditionalFormatting sqref="DR2:DR4 HR2:HR4">
    <cfRule type="containsText" dxfId="199" priority="27137" operator="containsText" text="activa sin">
      <formula>NOT(ISERROR(SEARCH("activa sin",DR2)))</formula>
    </cfRule>
    <cfRule type="containsText" dxfId="198" priority="27138" operator="containsText" text="Activa ingreso">
      <formula>NOT(ISERROR(SEARCH("Activa ingreso",DR2)))</formula>
    </cfRule>
    <cfRule type="containsText" dxfId="197" priority="27139" operator="containsText" text="seguimiento">
      <formula>NOT(ISERROR(SEARCH("seguimiento",DR2)))</formula>
    </cfRule>
    <cfRule type="containsText" dxfId="196" priority="27140" operator="containsText" text="salio">
      <formula>NOT(ISERROR(SEARCH("salio",DR2)))</formula>
    </cfRule>
    <cfRule type="containsText" dxfId="195" priority="27141" operator="containsText" text="sale">
      <formula>NOT(ISERROR(SEARCH("sale",DR2)))</formula>
    </cfRule>
  </conditionalFormatting>
  <conditionalFormatting sqref="DT2:DT4 HQ2:HQ4">
    <cfRule type="containsText" dxfId="194" priority="26934" operator="containsText" text="DEFINIR">
      <formula>NOT(ISERROR(SEARCH("DEFINIR",DT2)))</formula>
    </cfRule>
    <cfRule type="containsText" dxfId="193" priority="27131" operator="containsText" text="MES">
      <formula>NOT(ISERROR(SEARCH("MES",DT2)))</formula>
    </cfRule>
    <cfRule type="containsText" dxfId="192" priority="27132" operator="containsText" text="SEMANA">
      <formula>NOT(ISERROR(SEARCH("SEMANA",DT2)))</formula>
    </cfRule>
    <cfRule type="containsText" dxfId="191" priority="27133" operator="containsText" text="DIA">
      <formula>NOT(ISERROR(SEARCH("DIA",DT2)))</formula>
    </cfRule>
    <cfRule type="containsText" dxfId="190" priority="27134" operator="containsText" text="FUERA">
      <formula>NOT(ISERROR(SEARCH("FUERA",DT2)))</formula>
    </cfRule>
    <cfRule type="containsText" dxfId="189" priority="27135" operator="containsText" text="BUSCAR">
      <formula>NOT(ISERROR(SEARCH("BUSCAR",DT2)))</formula>
    </cfRule>
    <cfRule type="containsText" dxfId="188" priority="27136" operator="containsText" text="INASISTENTE">
      <formula>NOT(ISERROR(SEARCH("INASISTENTE",DT2)))</formula>
    </cfRule>
  </conditionalFormatting>
  <conditionalFormatting sqref="DT2:DT4 HQ2:HQ4">
    <cfRule type="containsText" dxfId="187" priority="26556" operator="containsText" text="DILIGENCIAR">
      <formula>NOT(ISERROR(SEARCH("DILIGENCIAR",DT2)))</formula>
    </cfRule>
  </conditionalFormatting>
  <conditionalFormatting sqref="EL2:EL4 EQ2:EQ4">
    <cfRule type="containsText" dxfId="186" priority="27147" operator="containsText" text="DAR">
      <formula>NOT(ISERROR(SEARCH("DAR",EL2)))</formula>
    </cfRule>
    <cfRule type="containsText" dxfId="185" priority="27148" operator="containsText" text="NORMAL">
      <formula>NOT(ISERROR(SEARCH("NORMAL",EL2)))</formula>
    </cfRule>
    <cfRule type="containsText" dxfId="184" priority="27149" operator="containsText" text="ANEMIA">
      <formula>NOT(ISERROR(SEARCH("ANEMIA",EL2)))</formula>
    </cfRule>
  </conditionalFormatting>
  <conditionalFormatting sqref="EU2:EU4">
    <cfRule type="containsText" dxfId="183" priority="27142" operator="containsText" text="NO">
      <formula>NOT(ISERROR(SEARCH("NO",EU2)))</formula>
    </cfRule>
    <cfRule type="containsText" dxfId="182" priority="27143" operator="containsText" text="RIESGO">
      <formula>NOT(ISERROR(SEARCH("RIESGO",EU2)))</formula>
    </cfRule>
  </conditionalFormatting>
  <conditionalFormatting sqref="FB2:FB4">
    <cfRule type="containsText" dxfId="181" priority="26841" operator="containsText" text="NORMAL,">
      <formula>NOT(ISERROR(SEARCH("NORMAL,",FB2)))</formula>
    </cfRule>
    <cfRule type="containsText" dxfId="180" priority="26842" operator="containsText" text="PROGRAMAR">
      <formula>NOT(ISERROR(SEARCH("PROGRAMAR",FB2)))</formula>
    </cfRule>
    <cfRule type="containsText" dxfId="179" priority="26843" operator="containsText" text="NORMAL">
      <formula>NOT(ISERROR(SEARCH("NORMAL",FB2)))</formula>
    </cfRule>
    <cfRule type="containsText" dxfId="178" priority="26844" operator="containsText" text="DIABETES">
      <formula>NOT(ISERROR(SEARCH("DIABETES",FB2)))</formula>
    </cfRule>
    <cfRule type="containsText" dxfId="177" priority="26845" operator="containsText" text="TOMAR">
      <formula>NOT(ISERROR(SEARCH("TOMAR",FB2)))</formula>
    </cfRule>
    <cfRule type="containsText" dxfId="176" priority="26884" operator="containsText" text="COMPLETA">
      <formula>NOT(ISERROR(SEARCH("COMPLETA",FB2)))</formula>
    </cfRule>
  </conditionalFormatting>
  <conditionalFormatting sqref="FE2:FE4">
    <cfRule type="containsText" dxfId="175" priority="26668" operator="containsText" text="POSITIVA CICATRIZ">
      <formula>NOT(ISERROR(SEARCH("POSITIVA CICATRIZ",FE2)))</formula>
    </cfRule>
    <cfRule type="containsText" dxfId="174" priority="26669" operator="containsText" text="POSITIVA CASO SIFILIS">
      <formula>NOT(ISERROR(SEARCH("POSITIVA CASO SIFILIS",FE2)))</formula>
    </cfRule>
    <cfRule type="containsText" dxfId="173" priority="26670" operator="containsText" text="NEGATIVA">
      <formula>NOT(ISERROR(SEARCH("NEGATIVA",FE2)))</formula>
    </cfRule>
  </conditionalFormatting>
  <conditionalFormatting sqref="FG2:FG4">
    <cfRule type="containsText" dxfId="172" priority="26633" operator="containsText" text="NO APLICA">
      <formula>NOT(ISERROR(SEARCH("NO APLICA",FG2)))</formula>
    </cfRule>
    <cfRule type="containsText" dxfId="171" priority="26634" operator="containsText" text="PIERDE">
      <formula>NOT(ISERROR(SEARCH("PIERDE",FG2)))</formula>
    </cfRule>
    <cfRule type="containsText" dxfId="170" priority="26635" operator="containsText" text="REGISTRAR">
      <formula>NOT(ISERROR(SEARCH("REGISTRAR",FG2)))</formula>
    </cfRule>
    <cfRule type="cellIs" dxfId="169" priority="26636" operator="between">
      <formula>0</formula>
      <formula>13</formula>
    </cfRule>
    <cfRule type="containsText" dxfId="168" priority="26637" operator="containsText" text="EN ESPERA">
      <formula>NOT(ISERROR(SEARCH("EN ESPERA",FG2)))</formula>
    </cfRule>
    <cfRule type="containsText" dxfId="167" priority="26638" operator="containsText" text="RANGO">
      <formula>NOT(ISERROR(SEARCH("RANGO",FG2)))</formula>
    </cfRule>
    <cfRule type="containsText" dxfId="166" priority="26639" operator="containsText" text="INMEDIATA">
      <formula>NOT(ISERROR(SEARCH("INMEDIATA",FG2)))</formula>
    </cfRule>
  </conditionalFormatting>
  <conditionalFormatting sqref="FH2:FH4 FK2:FK4 FN2:FN4">
    <cfRule type="containsText" dxfId="165" priority="26627" operator="containsText" text="REINFECCIÓN">
      <formula>NOT(ISERROR(SEARCH("REINFECCIÓN",FH2)))</formula>
    </cfRule>
    <cfRule type="containsText" dxfId="164" priority="26628" operator="containsText" text="DILUCIONES DISMINUYEN">
      <formula>NOT(ISERROR(SEARCH("DILUCIONES DISMINUYEN",FH2)))</formula>
    </cfRule>
    <cfRule type="containsText" dxfId="163" priority="26629" operator="containsText" text="DILUCIONES ESTABLES">
      <formula>NOT(ISERROR(SEARCH("DILUCIONES ESTABLES",FH2)))</formula>
    </cfRule>
    <cfRule type="containsText" dxfId="162" priority="26630" operator="containsText" text="POSITIVA CICATRIZ">
      <formula>NOT(ISERROR(SEARCH("POSITIVA CICATRIZ",FH2)))</formula>
    </cfRule>
    <cfRule type="containsText" dxfId="161" priority="26631" operator="containsText" text="POSITIVA CASO SIFILIS">
      <formula>NOT(ISERROR(SEARCH("POSITIVA CASO SIFILIS",FH2)))</formula>
    </cfRule>
    <cfRule type="containsText" dxfId="160" priority="26632" operator="containsText" text="NEGATIVA">
      <formula>NOT(ISERROR(SEARCH("NEGATIVA",FH2)))</formula>
    </cfRule>
  </conditionalFormatting>
  <conditionalFormatting sqref="FJ2:FJ4 FM2:FM4">
    <cfRule type="containsText" dxfId="159" priority="26620" operator="containsText" text="NO APLICA">
      <formula>NOT(ISERROR(SEARCH("NO APLICA",FJ2)))</formula>
    </cfRule>
    <cfRule type="containsText" dxfId="158" priority="26621" operator="containsText" text="PIERDE">
      <formula>NOT(ISERROR(SEARCH("PIERDE",FJ2)))</formula>
    </cfRule>
    <cfRule type="containsText" dxfId="157" priority="26622" operator="containsText" text="REGISTRAR">
      <formula>NOT(ISERROR(SEARCH("REGISTRAR",FJ2)))</formula>
    </cfRule>
    <cfRule type="containsText" dxfId="156" priority="26625" operator="containsText" text="RANGO">
      <formula>NOT(ISERROR(SEARCH("RANGO",FJ2)))</formula>
    </cfRule>
    <cfRule type="containsText" dxfId="155" priority="26626" operator="containsText" text="INMEDIATA">
      <formula>NOT(ISERROR(SEARCH("INMEDIATA",FJ2)))</formula>
    </cfRule>
  </conditionalFormatting>
  <conditionalFormatting sqref="FJ2:FJ4">
    <cfRule type="cellIs" dxfId="154" priority="26554" operator="between">
      <formula>12</formula>
      <formula>28</formula>
    </cfRule>
  </conditionalFormatting>
  <conditionalFormatting sqref="FM2:FM4 FJ2:FJ4">
    <cfRule type="containsText" dxfId="153" priority="26624" operator="containsText" text="EN ESPERA">
      <formula>NOT(ISERROR(SEARCH("EN ESPERA",FJ2)))</formula>
    </cfRule>
  </conditionalFormatting>
  <conditionalFormatting sqref="FM2:FM4">
    <cfRule type="cellIs" dxfId="152" priority="26623" operator="between">
      <formula>28</formula>
      <formula>44</formula>
    </cfRule>
  </conditionalFormatting>
  <conditionalFormatting sqref="FP2:FP4">
    <cfRule type="containsText" dxfId="151" priority="27102" operator="containsText" text="GESTACIONAL">
      <formula>NOT(ISERROR(SEARCH("GESTACIONAL",FP2)))</formula>
    </cfRule>
  </conditionalFormatting>
  <conditionalFormatting sqref="FT2:FT4 GN2:GN4 GQ2:GR4 GW2:GW4">
    <cfRule type="containsText" dxfId="150" priority="27100" operator="containsText" text="POSITIVO">
      <formula>NOT(ISERROR(SEARCH("POSITIVO",FT2)))</formula>
    </cfRule>
    <cfRule type="containsText" dxfId="149" priority="27101" operator="containsText" text="NEGATIVO">
      <formula>NOT(ISERROR(SEARCH("NEGATIVO",FT2)))</formula>
    </cfRule>
  </conditionalFormatting>
  <conditionalFormatting sqref="FY2:FY4 GB2:GB4 GE2:GE4 GH2:GH4 GJ2:GJ4">
    <cfRule type="containsText" dxfId="148" priority="27097" operator="containsText" text="P.R REACTIVA">
      <formula>NOT(ISERROR(SEARCH("P.R REACTIVA",FY2)))</formula>
    </cfRule>
    <cfRule type="containsText" dxfId="147" priority="27098" operator="containsText" text="NO REACTIVA">
      <formula>NOT(ISERROR(SEARCH("NO REACTIVA",FY2)))</formula>
    </cfRule>
    <cfRule type="containsText" dxfId="146" priority="27099" operator="containsText" text="ELISA REACTIVA">
      <formula>NOT(ISERROR(SEARCH("ELISA REACTIVA",FY2)))</formula>
    </cfRule>
  </conditionalFormatting>
  <conditionalFormatting sqref="GA2:GA4">
    <cfRule type="containsText" dxfId="145" priority="26613" operator="containsText" text="NO APLICA">
      <formula>NOT(ISERROR(SEARCH("NO APLICA",GA2)))</formula>
    </cfRule>
    <cfRule type="containsText" dxfId="144" priority="26614" operator="containsText" text="PIERDE">
      <formula>NOT(ISERROR(SEARCH("PIERDE",GA2)))</formula>
    </cfRule>
    <cfRule type="containsText" dxfId="143" priority="26615" operator="containsText" text="REGISTRAR">
      <formula>NOT(ISERROR(SEARCH("REGISTRAR",GA2)))</formula>
    </cfRule>
    <cfRule type="cellIs" dxfId="142" priority="26616" operator="between">
      <formula>0</formula>
      <formula>13</formula>
    </cfRule>
    <cfRule type="containsText" dxfId="141" priority="26617" operator="containsText" text="EN ESPERA">
      <formula>NOT(ISERROR(SEARCH("EN ESPERA",GA2)))</formula>
    </cfRule>
    <cfRule type="containsText" dxfId="140" priority="26618" operator="containsText" text="RANGO">
      <formula>NOT(ISERROR(SEARCH("RANGO",GA2)))</formula>
    </cfRule>
    <cfRule type="containsText" dxfId="139" priority="26619" operator="containsText" text="INMEDIATA">
      <formula>NOT(ISERROR(SEARCH("INMEDIATA",GA2)))</formula>
    </cfRule>
  </conditionalFormatting>
  <conditionalFormatting sqref="GD2:GD4">
    <cfRule type="containsText" dxfId="138" priority="26606" operator="containsText" text="NO APLICA">
      <formula>NOT(ISERROR(SEARCH("NO APLICA",GD2)))</formula>
    </cfRule>
    <cfRule type="containsText" dxfId="137" priority="26607" operator="containsText" text="PIERDE">
      <formula>NOT(ISERROR(SEARCH("PIERDE",GD2)))</formula>
    </cfRule>
    <cfRule type="containsText" dxfId="136" priority="26608" operator="containsText" text="REGISTRAR">
      <formula>NOT(ISERROR(SEARCH("REGISTRAR",GD2)))</formula>
    </cfRule>
    <cfRule type="cellIs" dxfId="135" priority="26609" operator="between">
      <formula>12</formula>
      <formula>28</formula>
    </cfRule>
    <cfRule type="containsText" dxfId="134" priority="26610" operator="containsText" text="EN ESPERA">
      <formula>NOT(ISERROR(SEARCH("EN ESPERA",GD2)))</formula>
    </cfRule>
    <cfRule type="containsText" dxfId="133" priority="26611" operator="containsText" text="RANGO">
      <formula>NOT(ISERROR(SEARCH("RANGO",GD2)))</formula>
    </cfRule>
    <cfRule type="containsText" dxfId="132" priority="26612" operator="containsText" text="INMEDIATA">
      <formula>NOT(ISERROR(SEARCH("INMEDIATA",GD2)))</formula>
    </cfRule>
  </conditionalFormatting>
  <conditionalFormatting sqref="GG2:GG4">
    <cfRule type="containsText" dxfId="131" priority="26599" operator="containsText" text="NO APLICA">
      <formula>NOT(ISERROR(SEARCH("NO APLICA",GG2)))</formula>
    </cfRule>
    <cfRule type="containsText" dxfId="130" priority="26600" operator="containsText" text="PIERDE">
      <formula>NOT(ISERROR(SEARCH("PIERDE",GG2)))</formula>
    </cfRule>
    <cfRule type="containsText" dxfId="129" priority="26601" operator="containsText" text="REGISTRAR">
      <formula>NOT(ISERROR(SEARCH("REGISTRAR",GG2)))</formula>
    </cfRule>
    <cfRule type="cellIs" dxfId="128" priority="26602" operator="between">
      <formula>28</formula>
      <formula>44</formula>
    </cfRule>
    <cfRule type="containsText" dxfId="127" priority="26603" operator="containsText" text="EN ESPERA">
      <formula>NOT(ISERROR(SEARCH("EN ESPERA",GG2)))</formula>
    </cfRule>
    <cfRule type="containsText" dxfId="126" priority="26604" operator="containsText" text="RANGO">
      <formula>NOT(ISERROR(SEARCH("RANGO",GG2)))</formula>
    </cfRule>
    <cfRule type="containsText" dxfId="125" priority="26605" operator="containsText" text="INMEDIATA">
      <formula>NOT(ISERROR(SEARCH("INMEDIATA",GG2)))</formula>
    </cfRule>
  </conditionalFormatting>
  <conditionalFormatting sqref="GL2:GL4">
    <cfRule type="containsText" dxfId="124" priority="27081" operator="containsText" text="NO APLICA">
      <formula>NOT(ISERROR(SEARCH("NO APLICA",GL2)))</formula>
    </cfRule>
    <cfRule type="containsText" dxfId="123" priority="27082" operator="containsText" text="NO CONLUYENTE">
      <formula>NOT(ISERROR(SEARCH("NO CONLUYENTE",GL2)))</formula>
    </cfRule>
    <cfRule type="containsText" dxfId="122" priority="27083" operator="containsText" text="NEGATIVA">
      <formula>NOT(ISERROR(SEARCH("NEGATIVA",GL2)))</formula>
    </cfRule>
    <cfRule type="containsText" dxfId="121" priority="27084" operator="containsText" text="POSITIVA">
      <formula>NOT(ISERROR(SEARCH("POSITIVA",GL2)))</formula>
    </cfRule>
  </conditionalFormatting>
  <conditionalFormatting sqref="GS2:GS4">
    <cfRule type="containsText" dxfId="120" priority="27072" operator="containsText" text="Igm">
      <formula>NOT(ISERROR(SEARCH("Igm",GS2)))</formula>
    </cfRule>
    <cfRule type="containsText" dxfId="119" priority="27073" operator="containsText" text="REMITIR">
      <formula>NOT(ISERROR(SEARCH("REMITIR",GS2)))</formula>
    </cfRule>
    <cfRule type="containsText" dxfId="118" priority="27074" operator="containsText" text="EXCLUYE">
      <formula>NOT(ISERROR(SEARCH("EXCLUYE",GS2)))</formula>
    </cfRule>
  </conditionalFormatting>
  <conditionalFormatting sqref="GY2:GY4">
    <cfRule type="containsText" dxfId="117" priority="27066" operator="containsText" text="CARCINOMA">
      <formula>NOT(ISERROR(SEARCH("CARCINOMA",GY2)))</formula>
    </cfRule>
    <cfRule type="containsText" dxfId="116" priority="27067" operator="containsText" text="VPH">
      <formula>NOT(ISERROR(SEARCH("VPH",GY2)))</formula>
    </cfRule>
    <cfRule type="containsText" dxfId="115" priority="27068" operator="containsText" text="NIC">
      <formula>NOT(ISERROR(SEARCH("NIC",GY2)))</formula>
    </cfRule>
    <cfRule type="containsText" dxfId="114" priority="27069" operator="containsText" text="NEGATIVA">
      <formula>NOT(ISERROR(SEARCH("NEGATIVA",GY2)))</formula>
    </cfRule>
  </conditionalFormatting>
  <conditionalFormatting sqref="HC2:HC4">
    <cfRule type="containsText" dxfId="113" priority="27064" operator="containsText" text="COLPOSCOPIA">
      <formula>NOT(ISERROR(SEARCH("COLPOSCOPIA",HC2)))</formula>
    </cfRule>
    <cfRule type="containsText" dxfId="112" priority="27065" operator="containsText" text="ESQUEMA">
      <formula>NOT(ISERROR(SEARCH("ESQUEMA",HC2)))</formula>
    </cfRule>
  </conditionalFormatting>
  <conditionalFormatting sqref="HD2:HD4 HF2:HF4 HH2:HH4">
    <cfRule type="containsText" dxfId="111" priority="26594" operator="containsText" text="INDETERMINADO">
      <formula>NOT(ISERROR(SEARCH("INDETERMINADO",HD2)))</formula>
    </cfRule>
    <cfRule type="containsText" dxfId="110" priority="26595" operator="containsText" text="NO TOMADO">
      <formula>NOT(ISERROR(SEARCH("NO TOMADO",HD2)))</formula>
    </cfRule>
    <cfRule type="cellIs" dxfId="108" priority="26597" operator="equal">
      <formula>"NEGATIVO"</formula>
    </cfRule>
    <cfRule type="cellIs" dxfId="107" priority="26598" operator="equal">
      <formula>"POSITIVO"</formula>
    </cfRule>
  </conditionalFormatting>
  <conditionalFormatting sqref="HJ2:HJ4">
    <cfRule type="containsText" dxfId="106" priority="26731" operator="containsText" text="COVID19 PUERPERIO">
      <formula>NOT(ISERROR(SEARCH("COVID19 PUERPERIO",HJ2)))</formula>
    </cfRule>
    <cfRule type="containsText" dxfId="105" priority="26732" operator="containsText" text="COVID19 TERCER TRIMESTRE">
      <formula>NOT(ISERROR(SEARCH("COVID19 TERCER TRIMESTRE",HJ2)))</formula>
    </cfRule>
    <cfRule type="containsText" dxfId="104" priority="26733" operator="containsText" text="COVID19 SEGUNDO TRIMESTRE">
      <formula>NOT(ISERROR(SEARCH("COVID19 SEGUNDO TRIMESTRE",HJ2)))</formula>
    </cfRule>
    <cfRule type="containsText" dxfId="103" priority="26734" operator="containsText" text="COVID19 PRIMER TRIMESTRE">
      <formula>NOT(ISERROR(SEARCH("COVID19 PRIMER TRIMESTRE",HJ2)))</formula>
    </cfRule>
    <cfRule type="containsText" dxfId="102" priority="26735" operator="containsText" text="FACTOR DE RIESGO">
      <formula>NOT(ISERROR(SEARCH("FACTOR DE RIESGO",HJ2)))</formula>
    </cfRule>
    <cfRule type="containsText" dxfId="101" priority="26736" operator="containsText" text="SIN INFECCIÓN">
      <formula>NOT(ISERROR(SEARCH("SIN INFECCIÓN",HJ2)))</formula>
    </cfRule>
    <cfRule type="containsText" dxfId="100" priority="26737" operator="containsText" text="NO SE EVALUA RIESGO INFECCIÓN COVID19">
      <formula>NOT(ISERROR(SEARCH("NO SE EVALUA RIESGO INFECCIÓN COVID19",HJ2)))</formula>
    </cfRule>
  </conditionalFormatting>
  <conditionalFormatting sqref="HK2:HK4">
    <cfRule type="cellIs" dxfId="99" priority="26925" operator="equal">
      <formula>"******"</formula>
    </cfRule>
  </conditionalFormatting>
  <conditionalFormatting sqref="HK2:HL4">
    <cfRule type="notContainsBlanks" dxfId="98" priority="26931">
      <formula>LEN(TRIM(HK2))&gt;0</formula>
    </cfRule>
  </conditionalFormatting>
  <conditionalFormatting sqref="HL2:HL4">
    <cfRule type="cellIs" dxfId="97" priority="26924" operator="equal">
      <formula>"************"</formula>
    </cfRule>
  </conditionalFormatting>
  <conditionalFormatting sqref="HM2:HM4">
    <cfRule type="cellIs" dxfId="96" priority="26926" operator="equal">
      <formula>"CON RIESGO"</formula>
    </cfRule>
    <cfRule type="containsText" dxfId="95" priority="26928" operator="containsText" text="BAJO">
      <formula>NOT(ISERROR(SEARCH("BAJO",HM2)))</formula>
    </cfRule>
    <cfRule type="containsText" dxfId="94" priority="26929" operator="containsText" text="ALTO">
      <formula>NOT(ISERROR(SEARCH("ALTO",HM2)))</formula>
    </cfRule>
  </conditionalFormatting>
  <conditionalFormatting sqref="HN2:HN4">
    <cfRule type="cellIs" dxfId="93" priority="26671" operator="equal">
      <formula>"********************************"</formula>
    </cfRule>
    <cfRule type="notContainsBlanks" dxfId="92" priority="26672">
      <formula>LEN(TRIM(HN2))&gt;0</formula>
    </cfRule>
  </conditionalFormatting>
  <conditionalFormatting sqref="HO2:HO4">
    <cfRule type="cellIs" dxfId="91" priority="26922" operator="equal">
      <formula>"SIN ANTECEDENTES DE RIESGO"</formula>
    </cfRule>
    <cfRule type="containsText" dxfId="90" priority="26930" operator="containsText" text="ASA">
      <formula>NOT(ISERROR(SEARCH("ASA",HO2)))</formula>
    </cfRule>
  </conditionalFormatting>
  <conditionalFormatting sqref="HS2:HT4">
    <cfRule type="cellIs" dxfId="89" priority="27211" operator="equal">
      <formula>"SD"</formula>
    </cfRule>
    <cfRule type="cellIs" dxfId="88" priority="27213" operator="equal">
      <formula>"NO"</formula>
    </cfRule>
    <cfRule type="cellIs" dxfId="87" priority="27214" operator="equal">
      <formula>"SI"</formula>
    </cfRule>
  </conditionalFormatting>
  <conditionalFormatting sqref="HV2:HV4 HX2:HX4 HZ2:HZ4">
    <cfRule type="containsText" dxfId="86" priority="26935" operator="containsText" text="NO SE FORMULA">
      <formula>NOT(ISERROR(SEARCH("NO SE FORMULA",HV2)))</formula>
    </cfRule>
    <cfRule type="containsText" dxfId="85" priority="27042" operator="containsText" text="OTRO">
      <formula>NOT(ISERROR(SEARCH("OTRO",HV2)))</formula>
    </cfRule>
    <cfRule type="containsText" dxfId="84" priority="27043" operator="containsText" text="IRREGULAR">
      <formula>NOT(ISERROR(SEARCH("IRREGULAR",HV2)))</formula>
    </cfRule>
    <cfRule type="containsText" dxfId="83" priority="27044" operator="containsText" text="ADECUADO">
      <formula>NOT(ISERROR(SEARCH("ADECUADO",HV2)))</formula>
    </cfRule>
  </conditionalFormatting>
  <conditionalFormatting sqref="IK2:IK4 AE2:AF4 IA2:IA4 ID2:IE4">
    <cfRule type="cellIs" dxfId="82" priority="27239" operator="equal">
      <formula>"SD"</formula>
    </cfRule>
  </conditionalFormatting>
  <conditionalFormatting sqref="IK2:IK4 IA2:IA4 ID2:IE4">
    <cfRule type="cellIs" dxfId="81" priority="27240" operator="equal">
      <formula>"SI"</formula>
    </cfRule>
    <cfRule type="cellIs" dxfId="80" priority="27241" operator="equal">
      <formula>"NO"</formula>
    </cfRule>
  </conditionalFormatting>
  <conditionalFormatting sqref="IK2:IK4">
    <cfRule type="containsText" dxfId="79" priority="26552" operator="containsText" text="PENDIENTE">
      <formula>NOT(ISERROR(SEARCH("PENDIENTE",IK2)))</formula>
    </cfRule>
    <cfRule type="containsText" dxfId="78" priority="26553" operator="containsText" text="PROGRAMAR">
      <formula>NOT(ISERROR(SEARCH("PROGRAMAR",IK2)))</formula>
    </cfRule>
    <cfRule type="cellIs" dxfId="77" priority="26726" operator="equal">
      <formula>"Error en Fecha x No Acepta no Firma"</formula>
    </cfRule>
    <cfRule type="cellIs" dxfId="76" priority="26727" operator="equal">
      <formula>"NO ACEPTA VACUNA Y NO FIRMA DISCENTIMIENTO"</formula>
    </cfRule>
    <cfRule type="cellIs" dxfId="75" priority="26728" operator="equal">
      <formula>"CON REFUERZO"</formula>
    </cfRule>
    <cfRule type="cellIs" dxfId="74" priority="26729" operator="equal">
      <formula>"FIRMA DISENTIMIENTO"</formula>
    </cfRule>
  </conditionalFormatting>
  <conditionalFormatting sqref="IN2:IN4">
    <cfRule type="containsText" dxfId="73" priority="26854" operator="containsText" text="APLICADA ANTES">
      <formula>NOT(ISERROR(SEARCH("APLICADA ANTES",IN2)))</formula>
    </cfRule>
    <cfRule type="containsText" dxfId="72" priority="26855" operator="containsText" text="EDAD">
      <formula>NOT(ISERROR(SEARCH("EDAD",IN2)))</formula>
    </cfRule>
    <cfRule type="containsText" dxfId="71" priority="26856" operator="containsText" text="SALE">
      <formula>NOT(ISERROR(SEARCH("SALE",IN2)))</formula>
    </cfRule>
    <cfRule type="containsText" dxfId="70" priority="26857" operator="containsText" text="SEMANA 26">
      <formula>NOT(ISERROR(SEARCH("SEMANA 26",IN2)))</formula>
    </cfRule>
    <cfRule type="containsText" dxfId="69" priority="26858" operator="containsText" text="SEMANA 27">
      <formula>NOT(ISERROR(SEARCH("SEMANA 27",IN2)))</formula>
    </cfRule>
    <cfRule type="containsText" dxfId="68" priority="26859" operator="containsText" text="INASISTENTE">
      <formula>NOT(ISERROR(SEARCH("INASISTENTE",IN2)))</formula>
    </cfRule>
    <cfRule type="containsText" dxfId="67" priority="26860" operator="containsText" text="COLOCACIÓN">
      <formula>NOT(ISERROR(SEARCH("COLOCACIÓN",IN2)))</formula>
    </cfRule>
    <cfRule type="containsText" dxfId="66" priority="26861" operator="containsText" text="ESPERA">
      <formula>NOT(ISERROR(SEARCH("ESPERA",IN2)))</formula>
    </cfRule>
  </conditionalFormatting>
  <conditionalFormatting sqref="IR2:IR4">
    <cfRule type="containsText" dxfId="65" priority="27034" operator="containsText" text="PENDIENTE">
      <formula>NOT(ISERROR(SEARCH("PENDIENTE",IR2)))</formula>
    </cfRule>
    <cfRule type="containsText" dxfId="64" priority="27035" operator="containsText" text="SEMANA">
      <formula>NOT(ISERROR(SEARCH("SEMANA",IR2)))</formula>
    </cfRule>
    <cfRule type="containsText" dxfId="63" priority="27036" operator="containsText" text="MENOS">
      <formula>NOT(ISERROR(SEARCH("MENOS",IR2)))</formula>
    </cfRule>
    <cfRule type="containsText" dxfId="62" priority="27037" operator="containsText" text="POSIBLEMENTE">
      <formula>NOT(ISERROR(SEARCH("POSIBLEMENTE",IR2)))</formula>
    </cfRule>
  </conditionalFormatting>
  <conditionalFormatting sqref="IT2:IT4">
    <cfRule type="containsText" dxfId="61" priority="27028" operator="containsText" text="CAMBIO">
      <formula>NOT(ISERROR(SEARCH("CAMBIO",IT2)))</formula>
    </cfRule>
    <cfRule type="containsText" dxfId="60" priority="27029" operator="containsText" text="NEGACION">
      <formula>NOT(ISERROR(SEARCH("NEGACION",IT2)))</formula>
    </cfRule>
    <cfRule type="containsText" dxfId="59" priority="27030" operator="containsText" text="IVE">
      <formula>NOT(ISERROR(SEARCH("IVE",IT2)))</formula>
    </cfRule>
    <cfRule type="containsText" dxfId="58" priority="27031" operator="containsText" text="ABORTO">
      <formula>NOT(ISERROR(SEARCH("ABORTO",IT2)))</formula>
    </cfRule>
    <cfRule type="containsText" dxfId="57" priority="27032" operator="containsText" text="CESAREA">
      <formula>NOT(ISERROR(SEARCH("CESAREA",IT2)))</formula>
    </cfRule>
    <cfRule type="containsText" dxfId="56" priority="27033" operator="containsText" text="PARTO">
      <formula>NOT(ISERROR(SEARCH("PARTO",IT2)))</formula>
    </cfRule>
  </conditionalFormatting>
  <conditionalFormatting sqref="IU2:IU4">
    <cfRule type="cellIs" dxfId="55" priority="26541" operator="equal">
      <formula>"MORBILIDAD MATERNA EXTREMA"</formula>
    </cfRule>
    <cfRule type="containsText" dxfId="54" priority="27024" operator="containsText" text="MME">
      <formula>NOT(ISERROR(SEARCH("MME",IU2)))</formula>
    </cfRule>
    <cfRule type="cellIs" dxfId="53" priority="27025" operator="equal">
      <formula>"MUERTE Y MORBILIDAD MATERNA EXTREMA"</formula>
    </cfRule>
    <cfRule type="containsText" dxfId="52" priority="27026" operator="containsText" text="MUERTE">
      <formula>NOT(ISERROR(SEARCH("MUERTE",IU2)))</formula>
    </cfRule>
    <cfRule type="containsText" dxfId="51" priority="27027" operator="containsText" text="SANA">
      <formula>NOT(ISERROR(SEARCH("SANA",IU2)))</formula>
    </cfRule>
  </conditionalFormatting>
  <conditionalFormatting sqref="IV2:IV4">
    <cfRule type="cellIs" dxfId="50" priority="26540" operator="equal">
      <formula>"MUERTE PERINATAL Y MALFORMACIÓN CONGÉNITA"</formula>
    </cfRule>
    <cfRule type="containsText" dxfId="49" priority="27018" operator="containsText" text="SIFILIS">
      <formula>NOT(ISERROR(SEARCH("SIFILIS",IV2)))</formula>
    </cfRule>
    <cfRule type="containsText" dxfId="48" priority="27019" operator="containsText" text="MALFORMACIÓN">
      <formula>NOT(ISERROR(SEARCH("MALFORMACIÓN",IV2)))</formula>
    </cfRule>
    <cfRule type="containsText" dxfId="47" priority="27020" operator="containsText" text="MUERTE">
      <formula>NOT(ISERROR(SEARCH("MUERTE",IV2)))</formula>
    </cfRule>
    <cfRule type="containsText" dxfId="46" priority="27021" operator="containsText" text="UCI">
      <formula>NOT(ISERROR(SEARCH("UCI",IV2)))</formula>
    </cfRule>
    <cfRule type="containsText" dxfId="45" priority="27022" operator="containsText" text="HOSPITALIZACION">
      <formula>NOT(ISERROR(SEARCH("HOSPITALIZACION",IV2)))</formula>
    </cfRule>
    <cfRule type="containsText" dxfId="44" priority="27023" operator="containsText" text="SANO">
      <formula>NOT(ISERROR(SEARCH("SANO",IV2)))</formula>
    </cfRule>
  </conditionalFormatting>
  <conditionalFormatting sqref="IX2:IX4">
    <cfRule type="containsText" dxfId="43" priority="27014" operator="containsText" text="NO APLICA">
      <formula>NOT(ISERROR(SEARCH("NO APLICA",IX2)))</formula>
    </cfRule>
    <cfRule type="containsText" dxfId="42" priority="27015" operator="containsText" text="OTRO">
      <formula>NOT(ISERROR(SEARCH("OTRO",IX2)))</formula>
    </cfRule>
    <cfRule type="containsText" dxfId="41" priority="27016" operator="containsText" text="DOMICILIO">
      <formula>NOT(ISERROR(SEARCH("DOMICILIO",IX2)))</formula>
    </cfRule>
    <cfRule type="containsText" dxfId="40" priority="27017" operator="containsText" text="INSTITUCIONAL">
      <formula>NOT(ISERROR(SEARCH("INSTITUCIONAL",IX2)))</formula>
    </cfRule>
  </conditionalFormatting>
  <conditionalFormatting sqref="IY2:IY4">
    <cfRule type="containsBlanks" priority="26539" stopIfTrue="1">
      <formula>LEN(TRIM(IY2))=0</formula>
    </cfRule>
    <cfRule type="cellIs" dxfId="39" priority="26546" operator="greaterThanOrEqual">
      <formula>43</formula>
    </cfRule>
    <cfRule type="cellIs" dxfId="38" priority="26547" operator="between">
      <formula>37</formula>
      <formula>40.5</formula>
    </cfRule>
    <cfRule type="cellIs" dxfId="37" priority="26548" operator="between">
      <formula>"&gt;40,5"</formula>
      <formula>42</formula>
    </cfRule>
    <cfRule type="cellIs" dxfId="36" priority="26549" operator="between">
      <formula>33</formula>
      <formula>"&lt;37"</formula>
    </cfRule>
    <cfRule type="cellIs" dxfId="35" priority="26550" operator="between">
      <formula>22</formula>
      <formula>"&lt;33"</formula>
    </cfRule>
    <cfRule type="cellIs" dxfId="34" priority="26551" operator="between">
      <formula>1</formula>
      <formula>21</formula>
    </cfRule>
  </conditionalFormatting>
  <conditionalFormatting sqref="JA2:JA4">
    <cfRule type="containsText" dxfId="33" priority="27010" operator="containsText" text="NO APLICA">
      <formula>NOT(ISERROR(SEARCH("NO APLICA",JA2)))</formula>
    </cfRule>
    <cfRule type="containsText" dxfId="32" priority="27011" operator="containsText" text="ALTA">
      <formula>NOT(ISERROR(SEARCH("ALTA",JA2)))</formula>
    </cfRule>
    <cfRule type="containsText" dxfId="31" priority="27012" operator="containsText" text="MEDIANA">
      <formula>NOT(ISERROR(SEARCH("MEDIANA",JA2)))</formula>
    </cfRule>
    <cfRule type="containsText" dxfId="30" priority="27013" operator="containsText" text="BAJA">
      <formula>NOT(ISERROR(SEARCH("BAJA",JA2)))</formula>
    </cfRule>
  </conditionalFormatting>
  <conditionalFormatting sqref="JB2:JC4">
    <cfRule type="containsText" dxfId="29" priority="27004" operator="containsText" text="SIN">
      <formula>NOT(ISERROR(SEARCH("SIN",JB2)))</formula>
    </cfRule>
    <cfRule type="containsText" dxfId="28" priority="27005" operator="containsText" text="EQUIPO">
      <formula>NOT(ISERROR(SEARCH("EQUIPO",JB2)))</formula>
    </cfRule>
    <cfRule type="containsText" dxfId="27" priority="27006" operator="containsText" text="MEDICO TRADICIONAL">
      <formula>NOT(ISERROR(SEARCH("MEDICO TRADICIONAL",JB2)))</formula>
    </cfRule>
    <cfRule type="containsText" dxfId="26" priority="27007" operator="containsText" text="PARTERA">
      <formula>NOT(ISERROR(SEARCH("PARTERA",JB2)))</formula>
    </cfRule>
    <cfRule type="containsText" dxfId="25" priority="27008" operator="containsText" text="TÉCNICO">
      <formula>NOT(ISERROR(SEARCH("TÉCNICO",JB2)))</formula>
    </cfRule>
    <cfRule type="containsText" dxfId="24" priority="27009" operator="containsText" text="PROFESIONAL">
      <formula>NOT(ISERROR(SEARCH("PROFESIONAL",JB2)))</formula>
    </cfRule>
  </conditionalFormatting>
  <conditionalFormatting sqref="JB2:JC4">
    <cfRule type="containsText" dxfId="23" priority="27003" operator="containsText" text="NO APLICA">
      <formula>NOT(ISERROR(SEARCH("NO APLICA",JB2)))</formula>
    </cfRule>
  </conditionalFormatting>
  <conditionalFormatting sqref="JC2:JC4">
    <cfRule type="containsText" dxfId="22" priority="26543" operator="containsText" text="LE HACEN CESÁREA SIN INICIO TRABAJO DE PARTO">
      <formula>NOT(ISERROR(SEARCH("LE HACEN CESÁREA SIN INICIO TRABAJO DE PARTO",JC2)))</formula>
    </cfRule>
    <cfRule type="containsText" dxfId="21" priority="26544" operator="containsText" text="LE HACEN INDUCCIÓN">
      <formula>NOT(ISERROR(SEARCH("LE HACEN INDUCCIÓN",JC2)))</formula>
    </cfRule>
    <cfRule type="containsText" dxfId="20" priority="26545" operator="containsText" text="ESPONTÁNEO">
      <formula>NOT(ISERROR(SEARCH("ESPONTÁNEO",JC2)))</formula>
    </cfRule>
  </conditionalFormatting>
  <conditionalFormatting sqref="JD2:JI4 KJ2:KL4">
    <cfRule type="cellIs" dxfId="19" priority="27229" operator="equal">
      <formula>"SD"</formula>
    </cfRule>
    <cfRule type="cellIs" dxfId="18" priority="27230" operator="equal">
      <formula>"NO APLICA"</formula>
    </cfRule>
    <cfRule type="cellIs" dxfId="17" priority="27231" operator="equal">
      <formula>"NO"</formula>
    </cfRule>
    <cfRule type="cellIs" dxfId="16" priority="27232" operator="equal">
      <formula>"SI"</formula>
    </cfRule>
  </conditionalFormatting>
  <conditionalFormatting sqref="JJ2:JJ4">
    <cfRule type="containsText" dxfId="15" priority="27000" operator="containsText" text="SIN DATO">
      <formula>NOT(ISERROR(SEARCH("SIN DATO",JJ2)))</formula>
    </cfRule>
    <cfRule type="containsText" dxfId="14" priority="27001" operator="containsText" text="SIN COMPLICACION">
      <formula>NOT(ISERROR(SEARCH("SIN COMPLICACION",JJ2)))</formula>
    </cfRule>
    <cfRule type="notContainsBlanks" dxfId="13" priority="27277">
      <formula>LEN(TRIM(JJ2))&gt;0</formula>
    </cfRule>
  </conditionalFormatting>
  <conditionalFormatting sqref="JN2:JN4 JX2:JX4">
    <cfRule type="containsText" dxfId="12" priority="26996" operator="containsText" text="PREMATURO">
      <formula>NOT(ISERROR(SEARCH("PREMATURO",JN2)))</formula>
    </cfRule>
    <cfRule type="containsText" dxfId="11" priority="26997" operator="containsText" text="GRANDE">
      <formula>NOT(ISERROR(SEARCH("GRANDE",JN2)))</formula>
    </cfRule>
    <cfRule type="containsText" dxfId="10" priority="26998" operator="containsText" text="ADECUADO">
      <formula>NOT(ISERROR(SEARCH("ADECUADO",JN2)))</formula>
    </cfRule>
    <cfRule type="containsText" dxfId="9" priority="26999" operator="containsText" text="BAJO">
      <formula>NOT(ISERROR(SEARCH("BAJO",JN2)))</formula>
    </cfRule>
  </conditionalFormatting>
  <conditionalFormatting sqref="JP2:JP4 JZ2:JZ4">
    <cfRule type="containsText" dxfId="8" priority="26989" operator="containsText" text="SIN DATO">
      <formula>NOT(ISERROR(SEARCH("SIN DATO",JP2)))</formula>
    </cfRule>
    <cfRule type="containsText" dxfId="7" priority="26990" operator="containsText" text="ANORMAL">
      <formula>NOT(ISERROR(SEARCH("ANORMAL",JP2)))</formula>
    </cfRule>
    <cfRule type="containsText" dxfId="6" priority="26991" operator="containsText" text="NORMAL">
      <formula>NOT(ISERROR(SEARCH("NORMAL",JP2)))</formula>
    </cfRule>
  </conditionalFormatting>
  <conditionalFormatting sqref="JR2:JR4 KB2:KB4">
    <cfRule type="containsText" dxfId="5" priority="26985" operator="containsText" text="NO APLICA">
      <formula>NOT(ISERROR(SEARCH("NO APLICA",JR2)))</formula>
    </cfRule>
    <cfRule type="containsText" dxfId="4" priority="26986" operator="containsText" text="SIN DATO">
      <formula>NOT(ISERROR(SEARCH("SIN DATO",JR2)))</formula>
    </cfRule>
    <cfRule type="containsText" dxfId="3" priority="26987" operator="containsText" text="NO">
      <formula>NOT(ISERROR(SEARCH("NO",JR2)))</formula>
    </cfRule>
    <cfRule type="containsText" dxfId="2" priority="26988" operator="containsText" text="SI">
      <formula>NOT(ISERROR(SEARCH("SI",JR2)))</formula>
    </cfRule>
  </conditionalFormatting>
  <conditionalFormatting sqref="KG2:KG4 KI2:KI4">
    <cfRule type="containsText" dxfId="1" priority="26905" operator="containsText" text="INASISTENTE">
      <formula>NOT(ISERROR(SEARCH("INASISTENTE",KG2)))</formula>
    </cfRule>
  </conditionalFormatting>
  <conditionalFormatting sqref="KG2:KG4 KI2:KI4">
    <cfRule type="containsText" dxfId="0" priority="26529" operator="containsText" text="INCONSISTENCIA">
      <formula>NOT(ISERROR(SEARCH("INCONSISTENCIA",KG2)))</formula>
    </cfRule>
  </conditionalFormatting>
  <dataValidations xWindow="988" yWindow="739" count="90">
    <dataValidation type="list" allowBlank="1" showInputMessage="1" showErrorMessage="1" sqref="HX2:HX4" xr:uid="{00000000-0002-0000-0200-000009000000}">
      <formula1>"ADECUADO SEGÚN GPC,SUMINISTRO IRREGULAR,NO SE FORMULA,SUMINISTRO OTRO COMPLEMENTO NUTRICIONAL, SIN DATO"</formula1>
    </dataValidation>
    <dataValidation type="list" allowBlank="1" showInputMessage="1" showErrorMessage="1" sqref="BX2:BX4" xr:uid="{00000000-0002-0000-0200-00004C000000}">
      <formula1>"CEFÁLICA,PODÁLICA,TRANSVERSA,OBLICUA,SD"</formula1>
    </dataValidation>
    <dataValidation type="date" operator="greaterThan" allowBlank="1" showInputMessage="1" showErrorMessage="1" error="SOLO FECHA" sqref="DD2:DN4 GK2:GK4 GM2:GM4 DA2:DB4" xr:uid="{00000000-0002-0000-0200-000000000000}">
      <formula1>43191</formula1>
    </dataValidation>
    <dataValidation type="list" showInputMessage="1" showErrorMessage="1" sqref="HT2:HT4" xr:uid="{00000000-0002-0000-0200-000004000000}">
      <formula1>"SI, SUMINISTRO IRREGULAR,NO,SD,NO APLICA"</formula1>
    </dataValidation>
    <dataValidation type="list" allowBlank="1" showInputMessage="1" showErrorMessage="1" sqref="JR2:JR4 KB2:KB4" xr:uid="{00000000-0002-0000-0200-000005000000}">
      <formula1>"SI,NO,SIN DATO,NO APLICA"</formula1>
    </dataValidation>
    <dataValidation type="list" allowBlank="1" showInputMessage="1" showErrorMessage="1" sqref="JS2:JS4 KC2:KC4" xr:uid="{00000000-0002-0000-0200-000006000000}">
      <formula1>"O+,O-,A+,A-,B+,B-,AB+,AB-,SIN DATO,NO APLICA"</formula1>
    </dataValidation>
    <dataValidation type="list" allowBlank="1" showInputMessage="1" showErrorMessage="1" sqref="D2:D4" xr:uid="{00000000-0002-0000-0200-000007000000}">
      <formula1>"PROCESO COMPLETO DE ATENCIÓN,PROCESO PARCIAL DE ATENCIÓN, SIN ATENCIÓN, SIN DATO"</formula1>
    </dataValidation>
    <dataValidation type="date" operator="greaterThan" allowBlank="1" showInputMessage="1" showErrorMessage="1" error="VERFICAR FECHA" sqref="O2:O4" xr:uid="{00000000-0002-0000-0200-00000A000000}">
      <formula1>43101</formula1>
    </dataValidation>
    <dataValidation type="date" operator="greaterThan" allowBlank="1" showInputMessage="1" showErrorMessage="1" error="SOLO FECHA" sqref="GT2:GT4 GO2:GO4" xr:uid="{00000000-0002-0000-0200-00000B000000}">
      <formula1>43556</formula1>
    </dataValidation>
    <dataValidation type="list" allowBlank="1" showInputMessage="1" showErrorMessage="1" sqref="LP2:LP4 LD2:LD4 LT2:LT4 LX2:LX4 LH2:LH4 LL2:LL4 MN2:MN4" xr:uid="{00000000-0002-0000-0200-00000C000000}">
      <formula1>"MEDICO (A) TRADICIONAL,PARTERO (A),PULESEADOR (A),SOBANDERO (A),YERBATERO (A),OTRO "</formula1>
    </dataValidation>
    <dataValidation type="date" operator="greaterThan" allowBlank="1" showInputMessage="1" showErrorMessage="1" sqref="IL2:IM4" xr:uid="{00000000-0002-0000-0200-00000D000000}">
      <formula1>43556</formula1>
    </dataValidation>
    <dataValidation type="date" operator="greaterThan" allowBlank="1" showInputMessage="1" showErrorMessage="1" error="SOLO FECHA" sqref="IW2:IW4" xr:uid="{00000000-0002-0000-0200-00000E000000}">
      <formula1>43831</formula1>
    </dataValidation>
    <dataValidation type="date" operator="greaterThan" allowBlank="1" showInputMessage="1" showErrorMessage="1" error="SOLO FECHA" prompt="COLOCAR FECHA SEGUNDO CONTROL, NO REPETIR LA FECHA DE INGRESO" sqref="DC2:DC4" xr:uid="{00000000-0002-0000-0200-00000F000000}">
      <formula1>43191</formula1>
    </dataValidation>
    <dataValidation type="list" allowBlank="1" showInputMessage="1" showErrorMessage="1" sqref="JP2:JP4" xr:uid="{00000000-0002-0000-0200-000010000000}">
      <formula1>"NORMAL,ANORMAL,NO APLICA,SIN DATO"</formula1>
    </dataValidation>
    <dataValidation type="list" allowBlank="1" showInputMessage="1" showErrorMessage="1" sqref="AS2:AS4" xr:uid="{00000000-0002-0000-0200-000011000000}">
      <formula1>"0,1,2,3,4,5,6,7,8,9,10,11,12,13,14,15"</formula1>
    </dataValidation>
    <dataValidation type="list" allowBlank="1" showInputMessage="1" showErrorMessage="1" sqref="AR2:AR4" xr:uid="{00000000-0002-0000-0200-000012000000}">
      <formula1>"0,1,2,3,4,5,6,7,8,9,10,11,12,13,14,15,16"</formula1>
    </dataValidation>
    <dataValidation type="list" allowBlank="1" showInputMessage="1" showErrorMessage="1" sqref="AV2:AV4" xr:uid="{00000000-0002-0000-0200-000013000000}">
      <formula1>"0,1,2,3 o MAS"</formula1>
    </dataValidation>
    <dataValidation type="list" allowBlank="1" showInputMessage="1" showErrorMessage="1" sqref="AT2:AT4" xr:uid="{00000000-0002-0000-0200-000014000000}">
      <formula1>"0,1,2,3,4,5,6"</formula1>
    </dataValidation>
    <dataValidation type="list" allowBlank="1" showInputMessage="1" showErrorMessage="1" sqref="K2:K4" xr:uid="{00000000-0002-0000-0200-000015000000}">
      <formula1>"SOLTERA,UNION LIBRE, CASADA, VIUDA, SEPARADA, "</formula1>
    </dataValidation>
    <dataValidation type="list" allowBlank="1" showInputMessage="1" showErrorMessage="1" sqref="KS2:KS4 KV2:KV4" xr:uid="{00000000-0002-0000-0200-000016000000}">
      <formula1>"0,1,2,3,4,5,6,7,8,9,10,11,12,13,14,15,SD"</formula1>
    </dataValidation>
    <dataValidation type="list" allowBlank="1" showInputMessage="1" showErrorMessage="1" sqref="ER2:ER4" xr:uid="{00000000-0002-0000-0200-000017000000}">
      <formula1>"O+,O-,O--,A+,A-,A--,B+,B-,B--,AB+,AB-,AB--"</formula1>
    </dataValidation>
    <dataValidation type="list" allowBlank="1" showInputMessage="1" showErrorMessage="1" sqref="KJ2:KL4 JD2:JI4" xr:uid="{00000000-0002-0000-0200-000018000000}">
      <formula1>"SI, NO, NO APLICA, SD"</formula1>
    </dataValidation>
    <dataValidation type="list" allowBlank="1" showInputMessage="1" showErrorMessage="1" sqref="JK2:JK4" xr:uid="{00000000-0002-0000-0200-000019000000}">
      <formula1>"0,1,2,3,4,SIN DATO,NO APLICA"</formula1>
    </dataValidation>
    <dataValidation type="list" allowBlank="1" showInputMessage="1" showErrorMessage="1" sqref="AI2:AI4" xr:uid="{00000000-0002-0000-0200-00001A000000}">
      <formula1>"NINGUNO,DESPLAZADA,INDÍGENTE,MIGRATORIA,SIN DATO,DISCAPACIDAD FISICA,DISCAPACIDAD CONDUCTUAL,DISCAPACIDAD VISUAL,DISCAPACIDAD AUDITIVA,DISCAPACIDAD MULTIPLE,DISCAPACIDAD SISTEMICA"</formula1>
    </dataValidation>
    <dataValidation type="list" allowBlank="1" showInputMessage="1" showErrorMessage="1" sqref="HI2:HI4 GX2:GX4" xr:uid="{00000000-0002-0000-0200-00001B000000}">
      <formula1>"0,1,2,3,4,5,6,7,8,9,NO APLICA"</formula1>
    </dataValidation>
    <dataValidation type="list" allowBlank="1" showInputMessage="1" showErrorMessage="1" sqref="BL2:BL4" xr:uid="{00000000-0002-0000-0200-00001C000000}">
      <formula1>"SI,NO,SD,CORREGIDA"</formula1>
    </dataValidation>
    <dataValidation type="list" allowBlank="1" showInputMessage="1" showErrorMessage="1" sqref="AW2:BI4 IA2:IA4 AU2:AU4 AL2:AQ4 AJ2:AJ4 AE2:AH4 ID2:ID4 BY2:BY4 BV2:BW4" xr:uid="{00000000-0002-0000-0200-00001D000000}">
      <formula1>"SI,NO,SD"</formula1>
    </dataValidation>
    <dataValidation type="list" allowBlank="1" showInputMessage="1" showErrorMessage="1" sqref="AD2:AD4" xr:uid="{00000000-0002-0000-0200-00001E000000}">
      <formula1>"SEMILLAS DE VIDA,CERO A SIEMPRE, RED UNIDOS,PROGRAMA ICBF, FAMILIAS ACCIÓN, OTRO, NINGUNO, SIN DATO"</formula1>
    </dataValidation>
    <dataValidation type="list" allowBlank="1" showInputMessage="1" showErrorMessage="1" sqref="I2:I4" xr:uid="{00000000-0002-0000-0200-00001F000000}">
      <formula1>"CEDULA DE CIUDADANIA,TARJETA DE IDENTIDAD,REGISTRO CIVIL,CEDULA DE EXTRANJERIA,MENOR SIN IDENTIFICACION,ADULTO SIN IDENTIFICACION,OTRO,SIN DATO"</formula1>
    </dataValidation>
    <dataValidation type="list" allowBlank="1" showInputMessage="1" showErrorMessage="1" sqref="IX2:IX4" xr:uid="{00000000-0002-0000-0200-000020000000}">
      <formula1>"INSTITUCIONAL,DOMICILIO,OTRO,NO APLICA,SIN DATO"</formula1>
    </dataValidation>
    <dataValidation type="list" allowBlank="1" showInputMessage="1" showErrorMessage="1" sqref="EH2:EH4" xr:uid="{00000000-0002-0000-0200-000021000000}">
      <formula1>"0,1,2,3,4,5,6,7,8,9,SIN DATO"</formula1>
    </dataValidation>
    <dataValidation type="list" allowBlank="1" showInputMessage="1" showErrorMessage="1" sqref="AA2:AA4" xr:uid="{00000000-0002-0000-0200-000022000000}">
      <formula1>"INDIGENA,ROM-GITANO,RAIZAL,PALENQUERO,AFRODESCENDIENTE,MESTIZA,OTRO"</formula1>
    </dataValidation>
    <dataValidation type="list" allowBlank="1" showInputMessage="1" showErrorMessage="1" sqref="V2:V4" xr:uid="{00000000-0002-0000-0200-000023000000}">
      <formula1>"URBANO,RURAL,SIN DATO"</formula1>
    </dataValidation>
    <dataValidation type="list" allowBlank="1" showInputMessage="1" showErrorMessage="1" sqref="S2:S4" xr:uid="{00000000-0002-0000-0200-000024000000}">
      <formula1>"SUBSIDIADO,CONTRIBUTIVO,REGIMEN ESPECIAL,PARTICULAR,NO AFILIADO,SIN DATO"</formula1>
    </dataValidation>
    <dataValidation type="list" allowBlank="1" showInputMessage="1" showErrorMessage="1" sqref="AC2:AC4" xr:uid="{00000000-0002-0000-0200-000025000000}">
      <formula1>"ANALFABETA,PRIMARIA INCOMPLETA,PRIMARIA COMPLETA,SECUNDARIA COMPLETA,SECUNDARIA INCOMPLETA,TECNICO,UNIVERSITARIO,SABE LEER Y ESCRIBIR,SIN DATO"</formula1>
    </dataValidation>
    <dataValidation type="list" allowBlank="1" showInputMessage="1" showErrorMessage="1" sqref="FT2:FT4 GN2:GN4 GQ2:GR4" xr:uid="{00000000-0002-0000-0200-000026000000}">
      <formula1>"NEGATIVO,POSITIVO,SIN DATO"</formula1>
    </dataValidation>
    <dataValidation type="list" allowBlank="1" showInputMessage="1" showErrorMessage="1" sqref="JV2:JV4 JL2:JL4" xr:uid="{00000000-0002-0000-0200-000027000000}">
      <formula1>"FEMENINO,MASCULINO,NO APLICA,SIN DATO"</formula1>
    </dataValidation>
    <dataValidation type="list" allowBlank="1" showInputMessage="1" showErrorMessage="1" sqref="JZ2:JZ4" xr:uid="{00000000-0002-0000-0200-000028000000}">
      <formula1>"NORMAL,ANORMAL,SIN DATO,NO APLICA"</formula1>
    </dataValidation>
    <dataValidation type="list" allowBlank="1" showInputMessage="1" showErrorMessage="1" sqref="AB2:AB4" xr:uid="{00000000-0002-0000-0200-000029000000}">
      <formula1>"NASA/PAEZ, MISAK/GUAMBIANOS,YANACONAS,COCONUCOS,TOTOROES,EPERARA/SIAPIDARA,INGA,POLINDARAS,EMBERA,QUILLACINGAS,JAMBALEÑOS,GUANACAS,PUBENENCES,OTROS,NO APLICA"</formula1>
    </dataValidation>
    <dataValidation type="list" allowBlank="1" showInputMessage="1" showErrorMessage="1" sqref="KN2:KN4" xr:uid="{00000000-0002-0000-0200-00002A000000}">
      <formula1>"NEGACION INICIO METODO,IMPLANTE SUBDERMICO,ACI MENSUAL,ACI TRIMESTRAL,ACO,DIU,BARRERA,LIGADURA TROMPAS,HISTERECTOMIA,SIN DATO"</formula1>
    </dataValidation>
    <dataValidation type="decimal" allowBlank="1" showInputMessage="1" showErrorMessage="1" errorTitle="DIGITAR EN METROS" error="DIGITAR EN METROS" promptTitle="DIGITAR EN METROS" sqref="CA2:CA4" xr:uid="{00000000-0002-0000-0200-00002B000000}">
      <formula1>1</formula1>
      <formula2>3</formula2>
    </dataValidation>
    <dataValidation type="list" allowBlank="1" showInputMessage="1" showErrorMessage="1" sqref="GH2:GH4 GB2:GB4 GE2:GE4 GJ2:GJ4 FY2:FY4" xr:uid="{00000000-0002-0000-0200-00002C000000}">
      <formula1>"P.R REACTIVA,P.R NO REACTIVA,ELISA REACTIVA,ELISA NO REACTIVA,SIN DATO,NO APLICA"</formula1>
    </dataValidation>
    <dataValidation type="list" allowBlank="1" showInputMessage="1" showErrorMessage="1" sqref="GL2:GL4" xr:uid="{00000000-0002-0000-0200-00002D000000}">
      <formula1>"POSITIVA,NEGATIVA,NO CONCLUYENTE, SIN DATO, NO APLICA"</formula1>
    </dataValidation>
    <dataValidation type="list" allowBlank="1" showInputMessage="1" showErrorMessage="1" sqref="HS2:HS4" xr:uid="{00000000-0002-0000-0200-00002E000000}">
      <formula1>"SI, NO,SD"</formula1>
    </dataValidation>
    <dataValidation type="list" allowBlank="1" showInputMessage="1" showErrorMessage="1" sqref="JA2:JA4" xr:uid="{00000000-0002-0000-0200-00002F000000}">
      <formula1>"BAJA,MEDIANA,ALTA,NO APLICA,SIN DATO"</formula1>
    </dataValidation>
    <dataValidation type="list" allowBlank="1" showInputMessage="1" showErrorMessage="1" sqref="JJ2:JJ4" xr:uid="{00000000-0002-0000-0200-000030000000}">
      <formula1>"HEMORRAGIA POSTPARTO,PREECLAMPSIA, ECLAMPSIA POSTARTO,ENDOMETRITIS PUERPERAL,TROMBO EMBOLISMO PUERPERAL,SEPSIS PUERPERAL,MASTITIS,DEPRESION POSTPARTO,OTRA COMPLICACION,SIN COMPLICACION,SIN DATO"</formula1>
    </dataValidation>
    <dataValidation type="list" allowBlank="1" showInputMessage="1" showErrorMessage="1" sqref="JB2:JB4" xr:uid="{00000000-0002-0000-0200-000031000000}">
      <formula1>"PERSONAL DE SALUD PROFESIONAL O ESPECIALISTA,PERSONAL TÉCNICO EN SALUD,PARTERA,MEDICO TRADICIONAL,OTRO,NO APLICA"</formula1>
    </dataValidation>
    <dataValidation type="decimal" allowBlank="1" showInputMessage="1" showErrorMessage="1" error="DIGITE EDAD GESTACIONAL" sqref="BS2:BS4" xr:uid="{00000000-0002-0000-0200-000032000000}">
      <formula1>0.1</formula1>
      <formula2>42</formula2>
    </dataValidation>
    <dataValidation type="whole" allowBlank="1" showInputMessage="1" showErrorMessage="1" error="SOLO NÚMERO ENTERO" sqref="CP2:CQ4 CS2:CT4" xr:uid="{00000000-0002-0000-0200-000033000000}">
      <formula1>40</formula1>
      <formula2>200</formula2>
    </dataValidation>
    <dataValidation type="whole" allowBlank="1" showInputMessage="1" showErrorMessage="1" error="DIGITE NÚMERO ENTERO" sqref="CV2:CY4" xr:uid="{00000000-0002-0000-0200-000034000000}">
      <formula1>40</formula1>
      <formula2>250</formula2>
    </dataValidation>
    <dataValidation type="decimal" allowBlank="1" showInputMessage="1" showErrorMessage="1" error="SOLO NÚMERO" sqref="EI2:EI4" xr:uid="{00000000-0002-0000-0200-000035000000}">
      <formula1>1</formula1>
      <formula2>20</formula2>
    </dataValidation>
    <dataValidation type="list" allowBlank="1" showInputMessage="1" showErrorMessage="1" sqref="GW2:GW4" xr:uid="{00000000-0002-0000-0200-000036000000}">
      <formula1>"NEGATIVO,POSITIVO,NO APLICA,SIN DATO"</formula1>
    </dataValidation>
    <dataValidation type="date" operator="greaterThan" allowBlank="1" showInputMessage="1" showErrorMessage="1" error="SOLO FECHA VIGENTE UN AÑO" sqref="GZ2:GZ4" xr:uid="{00000000-0002-0000-0200-000037000000}">
      <formula1>42370</formula1>
    </dataValidation>
    <dataValidation type="list" allowBlank="1" showInputMessage="1" showErrorMessage="1" sqref="GY2:GY4" xr:uid="{00000000-0002-0000-0200-000038000000}">
      <formula1>"NEGATIVA PARA NEOPLASIA,MUESTRA INADECUADA,INFECCION,CAMBIOS INFLAMATORIOS,ASCUS,ACSI,INFECCION VPH,NIC I,NIC I VPH,NIC II,NIC III,CARCINOMA ESCAMOCELULAR, SIN DATO"</formula1>
    </dataValidation>
    <dataValidation type="date" operator="greaterThan" allowBlank="1" showInputMessage="1" showErrorMessage="1" error="SOLO FECHA" sqref="IO2:IO4" xr:uid="{00000000-0002-0000-0200-000039000000}">
      <formula1>36526</formula1>
    </dataValidation>
    <dataValidation type="date" operator="greaterThan" allowBlank="1" showInputMessage="1" showErrorMessage="1" error="SOLO FECHA" sqref="IS2:IS4" xr:uid="{00000000-0002-0000-0200-00003A000000}">
      <formula1>42736</formula1>
    </dataValidation>
    <dataValidation type="list" allowBlank="1" showInputMessage="1" showErrorMessage="1" sqref="KO2:KP4" xr:uid="{00000000-0002-0000-0200-00003B000000}">
      <formula1>"NO APLICA,CASA DE PASO,TRANSPORTE,ALIMENTACIÓN,ECONÓMICO,CASA DE PASO Y TRANSPORTE,CASA DE PASO,TRANSPORTE Y ALIMENTACIÓN,CASA DE PASO,TRANSPORTE,ALIMENTACIÓN Y ECONÓMICO,TRANSPORTE Y ALIMENTACIÓN,TRANSPORTE,ALIMENTACIÓN Y ECONÓMICO,SIN DATO"</formula1>
    </dataValidation>
    <dataValidation type="date" operator="lessThanOrEqual" allowBlank="1" showInputMessage="1" showErrorMessage="1" sqref="M2:M4" xr:uid="{00000000-0002-0000-0200-00003C000000}">
      <formula1>40909</formula1>
    </dataValidation>
    <dataValidation type="whole" allowBlank="1" showInputMessage="1" showErrorMessage="1" error="SOLO NÚMEROS " promptTitle="ADVERTENCIA" prompt="SOLO ESCRIBIR NÚMEROS " sqref="EY2:EY4" xr:uid="{00000000-0002-0000-0200-00003D000000}">
      <formula1>0</formula1>
      <formula2>700</formula2>
    </dataValidation>
    <dataValidation type="whole" allowBlank="1" showInputMessage="1" showErrorMessage="1" error="SOLO NÚMEROS " promptTitle="ADVERTENCIA" prompt="SI NO HAY RESULTADO COLOCAR EL #: 0 _x000a_(Cuando no se completa el examen)" sqref="EZ2:FA4" xr:uid="{00000000-0002-0000-0200-00003E000000}">
      <formula1>0</formula1>
      <formula2>700</formula2>
    </dataValidation>
    <dataValidation type="list" allowBlank="1" showInputMessage="1" showErrorMessage="1" prompt="REVISAR LISTA DESPLEGABLE, SE AUMENTAN NOVEDADES" sqref="Q2:Q4" xr:uid="{00000000-0002-0000-0200-00003F000000}">
      <formula1>"CPN OTRA IPS,VIENE DE OTRO MUNICIPIO,VIENE DE OTRO DPTO,SE TRASLADO DE EPS,TRAMITE DE PORTABILIDAD,SIN DOCUMENTO IDENTIDAD,SIN AFILIACIÓN A EPS,INMIGRANTE VENEZOLANA,SIN NOVEDAD"</formula1>
    </dataValidation>
    <dataValidation type="date" operator="lessThanOrEqual" allowBlank="1" showInputMessage="1" showErrorMessage="1" error="INGRESE SOLO FECHA" sqref="BJ2:BJ4" xr:uid="{00000000-0002-0000-0200-000040000000}">
      <formula1>44561</formula1>
    </dataValidation>
    <dataValidation type="date" operator="greaterThan" allowBlank="1" showInputMessage="1" showErrorMessage="1" error="VERIFICAR FECHA" sqref="R2:R4" xr:uid="{00000000-0002-0000-0200-000041000000}">
      <formula1>43831</formula1>
    </dataValidation>
    <dataValidation type="date" operator="greaterThan" allowBlank="1" showInputMessage="1" showErrorMessage="1" error="DIGITE FECHA" sqref="BZ2:BZ4" xr:uid="{00000000-0002-0000-0200-000042000000}">
      <formula1>43831</formula1>
    </dataValidation>
    <dataValidation type="date" operator="greaterThan" allowBlank="1" showInputMessage="1" showErrorMessage="1" error="DIGITE FECHA " sqref="CE2:CE4" xr:uid="{00000000-0002-0000-0200-000043000000}">
      <formula1>43831</formula1>
    </dataValidation>
    <dataValidation type="date" operator="greaterThan" allowBlank="1" showInputMessage="1" showErrorMessage="1" error="DIGITE SOLO FECHA" sqref="FC2:FC4" xr:uid="{00000000-0002-0000-0200-000044000000}">
      <formula1>43831</formula1>
    </dataValidation>
    <dataValidation type="date" operator="lessThanOrEqual" allowBlank="1" showInputMessage="1" showErrorMessage="1" error="INGRESE SOLO FECHA" sqref="BR2:BR4 BK2:BK4" xr:uid="{00000000-0002-0000-0200-000045000000}">
      <formula1>45013</formula1>
    </dataValidation>
    <dataValidation type="list" allowBlank="1" showInputMessage="1" showErrorMessage="1" sqref="HJ2:HJ4" xr:uid="{00000000-0002-0000-0200-000046000000}">
      <formula1>"SIN INFECCIÓN POR SARS-CoV2, NO SE EVALUA RIESGO INFECCIÓN COVID19, FACTOR DE RIESGO PARA COVID19, COVID19 PRIMER TRIMESTRE,  COVID19 SEGUNDO TRIMESTRE,  COVID19 TERCER TRIMESTRE,  COVID19 PUERPERIO"</formula1>
    </dataValidation>
    <dataValidation type="date" operator="greaterThan" allowBlank="1" showInputMessage="1" showErrorMessage="1" sqref="IJ2:IJ4 IF2:IF4 IH2:IH4" xr:uid="{00000000-0002-0000-0200-000047000000}">
      <formula1>44255</formula1>
    </dataValidation>
    <dataValidation type="list" allowBlank="1" showInputMessage="1" showErrorMessage="1" sqref="IE2:IE4" xr:uid="{00000000-0002-0000-0200-000048000000}">
      <formula1>"Astrazeneca,Firma Disentimiento,Janssen,Moderna,No Acepta y No Firma Disentimiento,Pfizer,Sinovac"</formula1>
    </dataValidation>
    <dataValidation type="list" operator="greaterThan" allowBlank="1" showInputMessage="1" showErrorMessage="1" sqref="II2:II4 IG2:IG4" xr:uid="{00000000-0002-0000-0200-000049000000}">
      <formula1>"Astrazeneca,Firma Disentimiento,Janssen,Moderna,No Acepta y No Firma Disentimiento,Pfizer,Sinovac"</formula1>
    </dataValidation>
    <dataValidation type="list" allowBlank="1" showInputMessage="1" showErrorMessage="1" sqref="HH2:HH4" xr:uid="{00000000-0002-0000-0200-00004D000000}">
      <formula1>"NO APLICA (Sin factor de riesgo - no zona endémica),NEGATIVO, POSITIVO,SOLICITADO NO TOMADO"</formula1>
    </dataValidation>
    <dataValidation type="list" allowBlank="1" showInputMessage="1" showErrorMessage="1" sqref="HD2:HD4" xr:uid="{00000000-0002-0000-0200-00004E000000}">
      <formula1>"NO APLICA (Sin factor de riesgo),NEGATIVO,POSITIVO,INDETERMINADO,SOLICITADO Y NO TOMADO"</formula1>
    </dataValidation>
    <dataValidation type="list" allowBlank="1" showInputMessage="1" showErrorMessage="1" sqref="FH2:FH4 FK2:FK4 FN2:FN4" xr:uid="{00000000-0002-0000-0200-00004F000000}">
      <formula1>"P. R NEGATIVA,P. R POSITIVA CASO SIFILIS,P.R POSITIVA CICATRIZ, DILUCIONES ESTABLES, DILUCIONES DISMINUYEN, REINFECCIÓN-DILUCIONES AUMENTAN"</formula1>
    </dataValidation>
    <dataValidation type="list" allowBlank="1" showInputMessage="1" showErrorMessage="1" sqref="JC2:JC4" xr:uid="{00000000-0002-0000-0200-000050000000}">
      <formula1>"INICIO ESPONTÁNEO, LE HACEN INDUCCIÓN, LE HACEN CESÁREA SIN INICIO TRABAJO DE PARTO,SIN DATO"</formula1>
    </dataValidation>
    <dataValidation type="list" allowBlank="1" showInputMessage="1" showErrorMessage="1" sqref="FE2:FE4" xr:uid="{00000000-0002-0000-0200-000051000000}">
      <formula1>"P. R NEGATIVA,P. R POSITIVA CASO SIFILIS,P.R POSITIVA CICATRIZ"</formula1>
    </dataValidation>
    <dataValidation type="list" allowBlank="1" showInputMessage="1" showErrorMessage="1" sqref="HF2:HF4" xr:uid="{00000000-0002-0000-0200-000052000000}">
      <formula1>"NO APLICA (Sin factor de riesgo - No zona endémica),NEGATIVO, POSITIVO,SOLICITADO NO TOMADO"</formula1>
    </dataValidation>
    <dataValidation type="list" allowBlank="1" showInputMessage="1" showErrorMessage="1" sqref="T2:T4" xr:uid="{00000000-0002-0000-0200-000053000000}">
      <formula1>"AIC, ASMET SALUD, CAJA COMPENSACION HUILA, CAPITAL SALUD, COMFENALCO, COMPENSAR, Contrato Particular, COOMEVA, COOSALUD, COSMITET, EJERCITO, EMSSANAR, MALLAMAS, NUEVA EPS, OTRO, POLICIA, PPNA, SANITAS, SOS, SURA, UNIDAD DE SALUD UNICAUCA"</formula1>
    </dataValidation>
    <dataValidation type="list" allowBlank="1" showInputMessage="1" showErrorMessage="1" sqref="IU2:IU4" xr:uid="{00000000-0002-0000-0200-000055000000}">
      <formula1>"MADRE SANA, MORBILIDAD MATERNA EXTREMA, MUERTE MATERNA, MUERTE Y MORBILIDAD MATERNA EXTREMA, MADRE HOSPITALIZADA SIN MME,SIN DATO"</formula1>
    </dataValidation>
    <dataValidation type="list" allowBlank="1" showInputMessage="1" showErrorMessage="1" sqref="IV2:IV4" xr:uid="{00000000-0002-0000-0200-000056000000}">
      <formula1>"RECIEN NACIDO SANO, SIFILIS CONGÉNITA, MALFORMACIÓN CONGÉNITA, HOSPITALIZACION O UCI NEONATAL,MUERTE PERINATAL O NEONATAL TEMPRANA,MUERTE NEONATAL TARDÍA, MUERTE PERINATAL Y MALFORMACIÓN CONGÉNITA, MUERTE PERINATAL Y SIFILIS CONGÉNITA,NO APLICA,SIN DATO"</formula1>
    </dataValidation>
    <dataValidation type="list" allowBlank="1" showInputMessage="1" showErrorMessage="1" sqref="IT2:IT4" xr:uid="{00000000-0002-0000-0200-000058000000}">
      <formula1>"PARTO,CESAREA,ABORTO ESPONTANEO,ABORTO INDUCIDO,EMBARAZO ECTÓPICO,IVE,CAMBIO DE RESIDENCIA,CAMBIO DE EPS,CAMBIO DE IPS"</formula1>
    </dataValidation>
    <dataValidation allowBlank="1" showInputMessage="1" showErrorMessage="1" promptTitle="PARTO EN DOMICILIO COLOCAR" prompt="NO APLICA (No dejar en blanco)" sqref="IZ2:IZ4" xr:uid="{00000000-0002-0000-0200-000059000000}"/>
    <dataValidation type="list" allowBlank="1" showInputMessage="1" showErrorMessage="1" sqref="HV2:HV4" xr:uid="{00000000-0002-0000-0200-00005A000000}">
      <formula1>"ADECUADO SEGÚN GPC, SUMINISTRO IRREGULAR, NO SE FORMULA, SUMINISTRO OTRO COMPLEMENTO NUTRICIONAL, NO APLICA, SIN DATO"</formula1>
    </dataValidation>
    <dataValidation type="list" allowBlank="1" showInputMessage="1" showErrorMessage="1" sqref="HZ2:HZ4" xr:uid="{00000000-0002-0000-0200-00005B000000}">
      <formula1>"ADECUADO SEGÚN GPC,SUMINISTRO IRREGULAR,NO SE FORMULA,SUMINISTRO OTRO COMPLEMENTO NUTRICIONAL, NO APLICA,SIN DATO"</formula1>
    </dataValidation>
    <dataValidation type="date" operator="greaterThan" allowBlank="1" showInputMessage="1" showErrorMessage="1" error="FECHA DEBE SER DE ESTE AÑO" sqref="KH2:KH4 KF2:KF4" xr:uid="{00000000-0002-0000-0200-00005C000000}">
      <formula1>44561</formula1>
    </dataValidation>
    <dataValidation type="list" operator="greaterThan" allowBlank="1" showInputMessage="1" showErrorMessage="1" error="SOLO FECHA" sqref="DO2:DO4" xr:uid="{00000000-0002-0000-0200-00004A000000}">
      <formula1>"0,1,2,3,4,5,6,7"</formula1>
    </dataValidation>
    <dataValidation operator="greaterThan" allowBlank="1" showInputMessage="1" showErrorMessage="1" error="SOLO FECHA" sqref="DP2:DQ4" xr:uid="{00000000-0002-0000-0200-00004B000000}"/>
    <dataValidation type="date" operator="greaterThanOrEqual" allowBlank="1" showInputMessage="1" showErrorMessage="1" error="REVISAR FECHA INGRESO CPN" sqref="HU2:HU4" xr:uid="{00000000-0002-0000-0200-000001000000}">
      <formula1>R2</formula1>
    </dataValidation>
    <dataValidation type="date" operator="greaterThanOrEqual" allowBlank="1" showInputMessage="1" showErrorMessage="1" error="REVISAR FECHA INGRESO CPN" sqref="HW2:HW4" xr:uid="{00000000-0002-0000-0200-000002000000}">
      <formula1>R2</formula1>
    </dataValidation>
    <dataValidation type="date" operator="greaterThanOrEqual" allowBlank="1" showInputMessage="1" showErrorMessage="1" error="REVISAR FECHA INGRESO CPN" sqref="HY2:HY4" xr:uid="{00000000-0002-0000-0200-000003000000}">
      <formula1>R2</formula1>
    </dataValidation>
  </dataValidations>
  <pageMargins left="0.7" right="0.7" top="0.75" bottom="0.75" header="0.3" footer="0.3"/>
  <pageSetup orientation="portrait" verticalDpi="300"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containsText" priority="27203" operator="containsText" id="{4DE79714-8B91-42C0-949C-DB1549BB4613}">
            <xm:f>NOT(ISERROR(SEARCH("ACUDE",P2)))</xm:f>
            <xm:f>"ACUDE"</xm:f>
            <x14:dxf>
              <font>
                <color rgb="FF9C0006"/>
              </font>
              <fill>
                <patternFill>
                  <bgColor rgb="FFFFC7CE"/>
                </patternFill>
              </fill>
            </x14:dxf>
          </x14:cfRule>
          <xm:sqref>P2:P4</xm:sqref>
        </x14:conditionalFormatting>
        <x14:conditionalFormatting xmlns:xm="http://schemas.microsoft.com/office/excel/2006/main">
          <x14:cfRule type="containsText" priority="26719" operator="containsText" id="{11C73A35-E407-43C9-8C7B-7575D55429E3}">
            <xm:f>NOT(ISERROR(SEARCH("TRANSVERSA",BX2)))</xm:f>
            <xm:f>"TRANSVERSA"</xm:f>
            <x14:dxf>
              <font>
                <color theme="0"/>
              </font>
              <fill>
                <patternFill>
                  <bgColor rgb="FFC00000"/>
                </patternFill>
              </fill>
            </x14:dxf>
          </x14:cfRule>
          <xm:sqref>BX2:BX4</xm:sqref>
        </x14:conditionalFormatting>
        <x14:conditionalFormatting xmlns:xm="http://schemas.microsoft.com/office/excel/2006/main">
          <x14:cfRule type="containsText" priority="26596" operator="containsText" id="{1795BAF9-38EF-462D-B98E-83E2E3C0A5F6}">
            <xm:f>NOT(ISERROR(SEARCH("NO APLICA",HD2)))</xm:f>
            <xm:f>"NO APLICA"</xm:f>
            <x14:dxf>
              <fill>
                <patternFill>
                  <bgColor rgb="FF92D050"/>
                </patternFill>
              </fill>
            </x14:dxf>
          </x14:cfRule>
          <xm:sqref>HD2:HD4 HF2:HF4 HH2:HH4</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INSTRUCTIVO </vt:lpstr>
      <vt:lpstr>INDICADORES</vt:lpstr>
      <vt:lpstr>CPN 2022</vt:lpstr>
    </vt:vector>
  </TitlesOfParts>
  <Company>Windows XP Colossus Edition 2 Reloaded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Colossus User</dc:creator>
  <cp:lastModifiedBy>ARNOL NARVAEZ HIGON</cp:lastModifiedBy>
  <cp:lastPrinted>2013-06-06T22:13:03Z</cp:lastPrinted>
  <dcterms:created xsi:type="dcterms:W3CDTF">2011-06-21T18:46:29Z</dcterms:created>
  <dcterms:modified xsi:type="dcterms:W3CDTF">2023-10-26T21:04:46Z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Fecha de registro" linkTarget="INDIGENA">
    <vt:lpwstr>#¡REF!</vt:lpwstr>
  </property>
</Properties>
</file>