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8A4E3BCE-A5D9-4585-9BE9-95BE3E2EC1B6}"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2022'!$D$1:$KN$4</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G2" i="5"/>
  <c r="KG3" i="5"/>
  <c r="KG4" i="5"/>
  <c r="IY2" i="5"/>
  <c r="IY3" i="5"/>
  <c r="IY4" i="5"/>
  <c r="IP2" i="5"/>
  <c r="IP3" i="5"/>
  <c r="IP4" i="5"/>
  <c r="HK2" i="5"/>
  <c r="HR2" i="5"/>
  <c r="HK3" i="5"/>
  <c r="HR3" i="5"/>
  <c r="HK4" i="5"/>
  <c r="HR4" i="5"/>
  <c r="HA2" i="5"/>
  <c r="HB2" i="5" s="1"/>
  <c r="HC2" i="5"/>
  <c r="HA3" i="5"/>
  <c r="HB3" i="5" s="1"/>
  <c r="HC3" i="5"/>
  <c r="HA4" i="5"/>
  <c r="HB4" i="5" s="1"/>
  <c r="HC4" i="5"/>
  <c r="GS2" i="5"/>
  <c r="GS3" i="5"/>
  <c r="GS4" i="5"/>
  <c r="FP2" i="5"/>
  <c r="FP3" i="5"/>
  <c r="FP4" i="5"/>
  <c r="EU2" i="5"/>
  <c r="EU3" i="5"/>
  <c r="EU4" i="5"/>
  <c r="EQ2" i="5"/>
  <c r="EQ3" i="5"/>
  <c r="EQ4" i="5"/>
  <c r="EL2" i="5"/>
  <c r="EL3" i="5"/>
  <c r="EL4" i="5"/>
  <c r="DU2" i="5"/>
  <c r="DV2" i="5" s="1"/>
  <c r="DW2" i="5"/>
  <c r="DX2" i="5" s="1"/>
  <c r="DU3" i="5"/>
  <c r="DV3" i="5" s="1"/>
  <c r="DW3" i="5"/>
  <c r="DX3" i="5" s="1"/>
  <c r="DU4" i="5"/>
  <c r="DV4" i="5" s="1"/>
  <c r="DW4" i="5"/>
  <c r="DX4" i="5" s="1"/>
  <c r="DR2" i="5"/>
  <c r="DR3" i="5"/>
  <c r="DR4" i="5"/>
  <c r="CZ2" i="5"/>
  <c r="CZ3" i="5"/>
  <c r="CZ4" i="5"/>
  <c r="CU2" i="5"/>
  <c r="CU3" i="5"/>
  <c r="CU4" i="5"/>
  <c r="CR2" i="5"/>
  <c r="CR3" i="5"/>
  <c r="CR4" i="5"/>
  <c r="HP4" i="5" s="1"/>
  <c r="CL2" i="5"/>
  <c r="CM2" i="5"/>
  <c r="CN2" i="5" s="1"/>
  <c r="CL3" i="5"/>
  <c r="CM3" i="5"/>
  <c r="CL4" i="5"/>
  <c r="CM4" i="5"/>
  <c r="CG2" i="5"/>
  <c r="CH2" i="5"/>
  <c r="CI2" i="5" s="1"/>
  <c r="CG3" i="5"/>
  <c r="CH3" i="5"/>
  <c r="CG4" i="5"/>
  <c r="CH4" i="5"/>
  <c r="CC2" i="5"/>
  <c r="CD2" i="5" s="1"/>
  <c r="CC3" i="5"/>
  <c r="CD3" i="5" s="1"/>
  <c r="CC4" i="5"/>
  <c r="CD4" i="5" s="1"/>
  <c r="BM2" i="5"/>
  <c r="BN2" i="5"/>
  <c r="BO2" i="5"/>
  <c r="DY2" i="5" s="1"/>
  <c r="BQ2" i="5"/>
  <c r="BM3" i="5"/>
  <c r="BO3" i="5"/>
  <c r="DY3" i="5" s="1"/>
  <c r="BQ3" i="5"/>
  <c r="BM4" i="5"/>
  <c r="BO4" i="5"/>
  <c r="DY4" i="5" s="1"/>
  <c r="BQ4" i="5"/>
  <c r="P2" i="5"/>
  <c r="P3" i="5"/>
  <c r="P4" i="5"/>
  <c r="N2" i="5"/>
  <c r="N3" i="5"/>
  <c r="N4" i="5"/>
  <c r="HP3" i="5" l="1"/>
  <c r="HP2" i="5"/>
  <c r="DZ3" i="5"/>
  <c r="DZ2" i="5"/>
  <c r="JN4" i="5"/>
  <c r="JX4" i="5"/>
  <c r="JN3" i="5"/>
  <c r="JX3" i="5"/>
  <c r="JN2" i="5"/>
  <c r="JX2" i="5"/>
  <c r="DZ4" i="5"/>
  <c r="CO2" i="5"/>
  <c r="HL2" i="5" s="1"/>
  <c r="BP2" i="5" l="1"/>
  <c r="BP3" i="5"/>
  <c r="BP4" i="5"/>
  <c r="IQ4" i="5" l="1"/>
  <c r="IR4" i="5" s="1"/>
  <c r="IC4" i="5"/>
  <c r="IC3" i="5"/>
  <c r="IQ3" i="5"/>
  <c r="IR3" i="5" s="1"/>
  <c r="IC2" i="5"/>
  <c r="IQ2" i="5"/>
  <c r="IR2" i="5" s="1"/>
  <c r="GU4" i="5"/>
  <c r="GV4" i="5" s="1"/>
  <c r="GP4" i="5"/>
  <c r="GU3" i="5"/>
  <c r="GV3" i="5" s="1"/>
  <c r="GP3" i="5"/>
  <c r="GU2" i="5"/>
  <c r="GV2" i="5" s="1"/>
  <c r="GP2" i="5"/>
  <c r="GD2" i="5"/>
  <c r="GG2" i="5"/>
  <c r="GD4" i="5"/>
  <c r="GG4" i="5"/>
  <c r="GG3" i="5"/>
  <c r="GD3" i="5"/>
  <c r="FV2" i="5"/>
  <c r="GA2" i="5"/>
  <c r="FV4" i="5"/>
  <c r="GA4" i="5"/>
  <c r="FV3" i="5"/>
  <c r="GA3" i="5"/>
  <c r="FS4" i="5"/>
  <c r="FS2" i="5"/>
  <c r="FS3" i="5"/>
  <c r="FJ4" i="5"/>
  <c r="FM4" i="5"/>
  <c r="FJ2" i="5"/>
  <c r="FM2" i="5"/>
  <c r="FJ3" i="5"/>
  <c r="FM3" i="5"/>
  <c r="FD4" i="5"/>
  <c r="FB4" i="5" s="1"/>
  <c r="EX4" i="5"/>
  <c r="FG4" i="5"/>
  <c r="FD3" i="5"/>
  <c r="FB3" i="5" s="1"/>
  <c r="EX3" i="5"/>
  <c r="FG3" i="5"/>
  <c r="FD2" i="5"/>
  <c r="FB2" i="5" s="1"/>
  <c r="EX2" i="5"/>
  <c r="FG2" i="5"/>
  <c r="EP4" i="5"/>
  <c r="ET4" i="5"/>
  <c r="EP3" i="5"/>
  <c r="ET3" i="5"/>
  <c r="EP2" i="5"/>
  <c r="ET2" i="5"/>
  <c r="DQ2" i="5"/>
  <c r="EK2" i="5"/>
  <c r="EM2" i="5" s="1"/>
  <c r="DQ3" i="5"/>
  <c r="EK3" i="5"/>
  <c r="EM3" i="5" s="1"/>
  <c r="DQ4" i="5"/>
  <c r="EK4" i="5"/>
  <c r="EM4" i="5" s="1"/>
  <c r="OF2" i="5" l="1"/>
  <c r="OF3" i="5"/>
  <c r="OF4" i="5"/>
  <c r="XFD105" i="30"/>
  <c r="NZ2" i="5" l="1"/>
  <c r="NZ3" i="5"/>
  <c r="NZ4" i="5"/>
  <c r="NJ2" i="5" l="1"/>
  <c r="NJ3" i="5"/>
  <c r="NJ4" i="5"/>
  <c r="NL2" i="5" l="1"/>
  <c r="NL3" i="5"/>
  <c r="NL4" i="5"/>
  <c r="NK2" i="5"/>
  <c r="NK3" i="5"/>
  <c r="NK4" i="5"/>
  <c r="PL2" i="5" l="1"/>
  <c r="PL3" i="5"/>
  <c r="PL4" i="5"/>
  <c r="PQ3" i="5"/>
  <c r="PQ4" i="5"/>
  <c r="DS2" i="5" l="1"/>
  <c r="DS3" i="5"/>
  <c r="DS4" i="5"/>
  <c r="B29" i="30" l="1"/>
  <c r="B18" i="30"/>
  <c r="D29" i="30"/>
  <c r="D30" i="30"/>
  <c r="B30" i="30"/>
  <c r="B27" i="30"/>
  <c r="D27" i="30"/>
  <c r="B26" i="30"/>
  <c r="D26" i="30"/>
  <c r="D24" i="30"/>
  <c r="B24" i="30"/>
  <c r="D21" i="30"/>
  <c r="B17" i="30"/>
  <c r="D18" i="30"/>
  <c r="B21" i="30"/>
  <c r="D17" i="30"/>
  <c r="OA4" i="5"/>
  <c r="OA3" i="5"/>
  <c r="OA2" i="5"/>
  <c r="NR2" i="5"/>
  <c r="NR4" i="5"/>
  <c r="NR3" i="5"/>
  <c r="PN2" i="5"/>
  <c r="PM2" i="5"/>
  <c r="PO2" i="5"/>
  <c r="PP2" i="5" s="1"/>
  <c r="PQ2" i="5" s="1"/>
  <c r="PN3" i="5"/>
  <c r="PM3" i="5"/>
  <c r="PO3" i="5"/>
  <c r="PP3" i="5" s="1"/>
  <c r="PN4" i="5"/>
  <c r="PM4" i="5"/>
  <c r="PO4" i="5"/>
  <c r="PP4"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NV2" i="5"/>
  <c r="NW2" i="5"/>
  <c r="NX2" i="5"/>
  <c r="NY2" i="5"/>
  <c r="NV3" i="5"/>
  <c r="NW3" i="5"/>
  <c r="NX3" i="5"/>
  <c r="NY3" i="5"/>
  <c r="NV4" i="5"/>
  <c r="NW4" i="5"/>
  <c r="NX4" i="5"/>
  <c r="NY4" i="5"/>
  <c r="NS2" i="5"/>
  <c r="NT2" i="5"/>
  <c r="NU2" i="5"/>
  <c r="NS3" i="5"/>
  <c r="NT3" i="5"/>
  <c r="NU3" i="5"/>
  <c r="NS4" i="5"/>
  <c r="NT4" i="5"/>
  <c r="NU4" i="5"/>
  <c r="NO2" i="5"/>
  <c r="IN2" i="5" s="1"/>
  <c r="NP2" i="5"/>
  <c r="AK2" i="5" s="1"/>
  <c r="NQ2" i="5"/>
  <c r="NO3" i="5"/>
  <c r="IN3" i="5" s="1"/>
  <c r="NP3" i="5"/>
  <c r="AK3" i="5" s="1"/>
  <c r="NQ3" i="5"/>
  <c r="BN3" i="5" s="1"/>
  <c r="NO4" i="5"/>
  <c r="IN4" i="5" s="1"/>
  <c r="NP4" i="5"/>
  <c r="AK4" i="5" s="1"/>
  <c r="NQ4" i="5"/>
  <c r="BN4" i="5" s="1"/>
  <c r="NG2" i="5"/>
  <c r="NI2" i="5"/>
  <c r="NG3" i="5"/>
  <c r="NI3" i="5"/>
  <c r="NG4" i="5"/>
  <c r="NI4" i="5"/>
  <c r="NC2" i="5"/>
  <c r="ND2" i="5"/>
  <c r="NE2" i="5"/>
  <c r="NF2" i="5"/>
  <c r="NC3" i="5"/>
  <c r="ND3" i="5"/>
  <c r="NE3" i="5"/>
  <c r="NF3" i="5"/>
  <c r="NC4" i="5"/>
  <c r="ND4" i="5"/>
  <c r="NE4" i="5"/>
  <c r="NF4" i="5"/>
  <c r="MZ2" i="5"/>
  <c r="NA2" i="5" s="1"/>
  <c r="MZ3" i="5"/>
  <c r="NN3" i="5" s="1"/>
  <c r="HO3" i="5" s="1"/>
  <c r="MZ4" i="5"/>
  <c r="NN4" i="5" s="1"/>
  <c r="HO4" i="5" s="1"/>
  <c r="MU2" i="5"/>
  <c r="MV2" i="5"/>
  <c r="MW2" i="5"/>
  <c r="MY2" i="5" s="1"/>
  <c r="MX2" i="5"/>
  <c r="MU3" i="5"/>
  <c r="MV3" i="5"/>
  <c r="MW3" i="5"/>
  <c r="MY3" i="5" s="1"/>
  <c r="MX3" i="5"/>
  <c r="MU4" i="5"/>
  <c r="MV4" i="5"/>
  <c r="MW4" i="5"/>
  <c r="MY4" i="5" s="1"/>
  <c r="MX4" i="5"/>
  <c r="MQ2" i="5"/>
  <c r="MR2" i="5"/>
  <c r="MT2" i="5"/>
  <c r="MQ3" i="5"/>
  <c r="MR3" i="5"/>
  <c r="MT3" i="5"/>
  <c r="MQ4" i="5"/>
  <c r="MR4" i="5"/>
  <c r="MT4" i="5"/>
  <c r="NH2" i="5"/>
  <c r="NH3" i="5"/>
  <c r="NH4" i="5"/>
  <c r="C17" i="30" l="1"/>
  <c r="IK3" i="5"/>
  <c r="HN2" i="5"/>
  <c r="CN4" i="5"/>
  <c r="IK4" i="5"/>
  <c r="IK2" i="5"/>
  <c r="DT2" i="5"/>
  <c r="HQ2" i="5"/>
  <c r="DT3" i="5"/>
  <c r="HQ3" i="5"/>
  <c r="DT4" i="5"/>
  <c r="HQ4" i="5"/>
  <c r="CN3" i="5"/>
  <c r="CI4" i="5"/>
  <c r="CI3" i="5"/>
  <c r="C29" i="30"/>
  <c r="E17" i="30"/>
  <c r="C26" i="30"/>
  <c r="E29" i="30"/>
  <c r="OG4" i="5"/>
  <c r="E26" i="30"/>
  <c r="OG3" i="5"/>
  <c r="OG2" i="5"/>
  <c r="OB3" i="5"/>
  <c r="OD3" i="5" s="1"/>
  <c r="OB4" i="5"/>
  <c r="OD4" i="5" s="1"/>
  <c r="OC3" i="5"/>
  <c r="OE3" i="5" s="1"/>
  <c r="NA4" i="5"/>
  <c r="HN4" i="5" s="1"/>
  <c r="NN2" i="5"/>
  <c r="HO2" i="5" s="1"/>
  <c r="NB4" i="5"/>
  <c r="NA3" i="5"/>
  <c r="NM3" i="5" s="1"/>
  <c r="NB3" i="5"/>
  <c r="NB2" i="5"/>
  <c r="CO4" i="5" l="1"/>
  <c r="HL4" i="5" s="1"/>
  <c r="HN3" i="5"/>
  <c r="CO3" i="5"/>
  <c r="HL3" i="5" s="1"/>
  <c r="HM3" i="5" s="1"/>
  <c r="NM4" i="5"/>
  <c r="HM4" i="5" s="1"/>
  <c r="NM2" i="5"/>
  <c r="HM2" i="5" s="1"/>
  <c r="OC2" i="5"/>
  <c r="OE2" i="5" s="1"/>
  <c r="OC4" i="5"/>
  <c r="OE4" i="5" s="1"/>
  <c r="OB2" i="5"/>
  <c r="OD2" i="5" s="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MS3" i="5" l="1"/>
  <c r="MS4" i="5"/>
  <c r="MS2"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<sst xmlns="http://schemas.openxmlformats.org/spreadsheetml/2006/main" count="1526" uniqueCount="920">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</sst>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1">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patternFill>
          <bgColor theme="7"/>
        </patternFill>
      </fill>
    </dxf>
    <dxf>
      <font>
        <b/>
        <i val="0"/>
        <color theme="0"/>
      </font>
      <fill>
        <patternFill>
          <bgColor rgb="FFFF0000"/>
        </patternFill>
      </fill>
    </dxf>
    <dxf>
      <fill>
        <patternFill>
          <bgColor rgb="FF92D050"/>
        </patternFill>
      </fill>
    </dxf>
    <dxf>
      <fill>
        <patternFill>
          <bgColor theme="9" tint="0.39994506668294322"/>
        </patternFill>
      </fill>
    </dxf>
    <dxf>
      <fill>
        <patternFill>
          <bgColor rgb="FFFF0000"/>
        </patternFill>
      </fill>
    </dxf>
    <dxf>
      <fill>
        <patternFill>
          <bgColor theme="3" tint="0.59996337778862885"/>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ont>
        <b/>
        <i val="0"/>
        <color theme="0"/>
      </font>
      <fill>
        <patternFill>
          <bgColor rgb="FFC00000"/>
        </patternFill>
      </fill>
    </dxf>
    <dxf>
      <fill>
        <patternFill>
          <bgColor rgb="FFFFFF00"/>
        </patternFill>
      </fill>
    </dxf>
    <dxf>
      <fill>
        <patternFill>
          <bgColor rgb="FF92D050"/>
        </patternFill>
      </fill>
    </dxf>
    <dxf>
      <fill>
        <patternFill>
          <bgColor theme="3" tint="0.59996337778862885"/>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3" tint="0.59996337778862885"/>
        </patternFill>
      </fill>
    </dxf>
    <dxf>
      <fill>
        <patternFill>
          <bgColor theme="2" tint="-0.24994659260841701"/>
        </patternFill>
      </fill>
    </dxf>
    <dxf>
      <fill>
        <patternFill>
          <bgColor theme="8" tint="-0.24994659260841701"/>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3" tint="0.59996337778862885"/>
        </patternFill>
      </fill>
    </dxf>
    <dxf>
      <fill>
        <patternFill>
          <bgColor theme="9" tint="-0.24994659260841701"/>
        </patternFill>
      </fill>
    </dxf>
    <dxf>
      <fill>
        <patternFill>
          <bgColor theme="6" tint="-0.499984740745262"/>
        </patternFill>
      </fill>
    </dxf>
    <dxf>
      <fill>
        <patternFill>
          <bgColor theme="6" tint="0.79998168889431442"/>
        </patternFill>
      </fill>
    </dxf>
    <dxf>
      <font>
        <b/>
        <i val="0"/>
        <color theme="0"/>
      </font>
      <fill>
        <patternFill>
          <bgColor theme="1"/>
        </patternFill>
      </fill>
    </dxf>
    <dxf>
      <fill>
        <patternFill>
          <bgColor rgb="FF92D05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C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ill>
        <patternFill>
          <bgColor rgb="FFFFFF00"/>
        </patternFill>
      </fill>
    </dxf>
    <dxf>
      <fill>
        <patternFill>
          <bgColor theme="9" tint="0.39994506668294322"/>
        </patternFill>
      </fill>
    </dxf>
    <dxf>
      <fill>
        <patternFill>
          <bgColor rgb="FF92D05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color theme="0"/>
      </font>
      <fill>
        <patternFill>
          <bgColor rgb="FFFF0000"/>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C000"/>
        </patternFill>
      </fill>
    </dxf>
    <dxf>
      <fill>
        <patternFill>
          <bgColor theme="2" tint="-0.499984740745262"/>
        </patternFill>
      </fill>
    </dxf>
    <dxf>
      <font>
        <b/>
        <i val="0"/>
        <color theme="0"/>
      </font>
      <fill>
        <patternFill>
          <bgColor theme="3" tint="-0.499984740745262"/>
        </patternFill>
      </fill>
    </dxf>
    <dxf>
      <fill>
        <patternFill>
          <bgColor rgb="FFFFFF00"/>
        </patternFill>
      </fill>
    </dxf>
    <dxf>
      <font>
        <color rgb="FF9C0006"/>
      </font>
      <fill>
        <patternFill>
          <bgColor rgb="FFFFC7CE"/>
        </patternFill>
      </fill>
    </dxf>
    <dxf>
      <font>
        <color rgb="FF9C6500"/>
      </font>
      <fill>
        <patternFill>
          <bgColor rgb="FFFFEB9C"/>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ont>
        <b/>
        <i val="0"/>
        <color theme="0"/>
      </font>
      <fill>
        <patternFill>
          <bgColor rgb="FFC00000"/>
        </patternFill>
      </fill>
    </dxf>
    <dxf>
      <fill>
        <patternFill>
          <bgColor theme="7" tint="0.39994506668294322"/>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006100"/>
      </font>
      <fill>
        <patternFill>
          <bgColor rgb="FFC6EFCE"/>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FF0066"/>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A50021"/>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FF0066"/>
        </patternFill>
      </fill>
    </dxf>
    <dxf>
      <fill>
        <patternFill>
          <bgColor theme="7"/>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FFFF00"/>
        </patternFill>
      </fill>
    </dxf>
    <dxf>
      <font>
        <b val="0"/>
        <i/>
      </font>
      <fill>
        <patternFill>
          <bgColor theme="6" tint="0.39994506668294322"/>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theme="7" tint="0.39994506668294322"/>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theme="9" tint="-0.24994659260841701"/>
        </patternFill>
      </fill>
    </dxf>
    <dxf>
      <fill>
        <patternFill>
          <bgColor rgb="FF92D050"/>
        </patternFill>
      </fill>
    </dxf>
    <dxf>
      <font>
        <color rgb="FF9C0006"/>
      </font>
      <fill>
        <patternFill>
          <bgColor rgb="FFFFC7CE"/>
        </patternFill>
      </fill>
    </dxf>
    <dxf>
      <font>
        <b/>
        <i val="0"/>
        <color theme="0"/>
      </font>
      <fill>
        <patternFill>
          <bgColor rgb="FF7030A0"/>
        </patternFill>
      </fill>
    </dxf>
    <dxf>
      <fill>
        <patternFill>
          <bgColor rgb="FFFFFF00"/>
        </patternFill>
      </fill>
    </dxf>
    <dxf>
      <font>
        <b/>
        <i val="0"/>
        <color theme="0"/>
      </font>
      <fill>
        <patternFill>
          <bgColor theme="3" tint="-0.24994659260841701"/>
        </patternFill>
      </fill>
    </dxf>
    <dxf>
      <font>
        <b/>
        <i val="0"/>
        <color theme="0"/>
      </font>
      <fill>
        <patternFill>
          <bgColor rgb="FFC00000"/>
        </patternFill>
      </fill>
    </dxf>
    <dxf>
      <font>
        <b/>
        <i val="0"/>
        <color theme="0"/>
      </font>
      <fill>
        <patternFill>
          <bgColor rgb="FFFF0000"/>
        </patternFill>
      </fill>
    </dxf>
    <dxf>
      <font>
        <color theme="0"/>
      </font>
      <fill>
        <patternFill>
          <bgColor theme="7" tint="0.39994506668294322"/>
        </patternFill>
      </fill>
    </dxf>
    <dxf>
      <fill>
        <patternFill>
          <bgColor rgb="FF92D050"/>
        </patternFill>
      </fill>
    </dxf>
    <dxf>
      <fill>
        <patternFill>
          <bgColor rgb="FFFFFF00"/>
        </patternFill>
      </fill>
    </dxf>
    <dxf>
      <font>
        <b/>
        <i val="0"/>
        <color theme="0"/>
      </font>
      <fill>
        <patternFill>
          <bgColor theme="5" tint="-0.24994659260841701"/>
        </patternFill>
      </fill>
    </dxf>
    <dxf>
      <font>
        <b/>
        <i val="0"/>
        <color theme="0"/>
      </font>
      <fill>
        <patternFill>
          <bgColor rgb="FFFF0000"/>
        </patternFill>
      </fill>
    </dxf>
    <dxf>
      <fill>
        <patternFill>
          <bgColor theme="7"/>
        </patternFill>
      </fill>
    </dxf>
    <dxf>
      <fill>
        <patternFill>
          <bgColor rgb="FFFFAD53"/>
        </patternFill>
      </fill>
    </dxf>
    <dxf>
      <fill>
        <patternFill>
          <bgColor rgb="FF92D050"/>
        </patternFill>
      </fill>
    </dxf>
    <dxf>
      <fill>
        <patternFill>
          <bgColor rgb="FFFF0000"/>
        </patternFill>
      </fill>
    </dxf>
    <dxf>
      <font>
        <color rgb="FF006100"/>
      </font>
      <fill>
        <patternFill>
          <bgColor rgb="FFC6EFCE"/>
        </patternFill>
      </fill>
    </dxf>
    <dxf>
      <fill>
        <patternFill>
          <bgColor rgb="FFC0000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theme="8" tint="0.59996337778862885"/>
        </patternFill>
      </fill>
    </dxf>
    <dxf>
      <fill>
        <patternFill>
          <bgColor rgb="FF92D050"/>
        </patternFill>
      </fill>
    </dxf>
    <dxf>
      <fill>
        <patternFill>
          <bgColor rgb="FFFFC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92D050"/>
        </patternFill>
      </fill>
    </dxf>
    <dxf>
      <font>
        <color theme="0"/>
      </font>
      <fill>
        <patternFill>
          <bgColor theme="7" tint="-0.24994659260841701"/>
        </patternFill>
      </fill>
    </dxf>
    <dxf>
      <fill>
        <patternFill>
          <bgColor rgb="FFFF0000"/>
        </patternFill>
      </fill>
    </dxf>
    <dxf>
      <fill>
        <patternFill>
          <bgColor rgb="FFFFFF00"/>
        </patternFill>
      </fill>
    </dxf>
    <dxf>
      <fill>
        <patternFill>
          <bgColor rgb="FF92D050"/>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ont>
        <color theme="0"/>
      </font>
      <fill>
        <patternFill>
          <bgColor theme="5" tint="-0.24994659260841701"/>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rgb="FFFF0000"/>
        </patternFill>
      </fill>
    </dxf>
    <dxf>
      <fill>
        <patternFill>
          <bgColor theme="5" tint="0.39994506668294322"/>
        </patternFill>
      </fill>
    </dxf>
    <dxf>
      <fill>
        <patternFill>
          <bgColor rgb="FFFFC000"/>
        </patternFill>
      </fill>
    </dxf>
    <dxf>
      <fill>
        <patternFill>
          <bgColor rgb="FF92D050"/>
        </patternFill>
      </fill>
    </dxf>
    <dxf>
      <font>
        <color rgb="FF9C0006"/>
      </font>
      <fill>
        <patternFill>
          <bgColor rgb="FFFFC7CE"/>
        </patternFill>
      </fill>
    </dxf>
    <dxf>
      <font>
        <b/>
        <i val="0"/>
        <color theme="1"/>
      </font>
      <fill>
        <patternFill>
          <bgColor rgb="FF92D050"/>
        </patternFill>
      </fill>
    </dxf>
    <dxf>
      <font>
        <b/>
        <i val="0"/>
        <color theme="0"/>
      </font>
      <fill>
        <patternFill>
          <bgColor rgb="FFFF0000"/>
        </patternFill>
      </fill>
    </dxf>
    <dxf>
      <font>
        <b/>
        <i val="0"/>
      </font>
      <fill>
        <patternFill>
          <bgColor rgb="FFFF0000"/>
        </patternFill>
      </fill>
    </dxf>
    <dxf>
      <font>
        <b/>
        <i val="0"/>
      </font>
      <fill>
        <patternFill>
          <bgColor rgb="FF92D050"/>
        </patternFill>
      </fill>
    </dxf>
    <dxf>
      <fill>
        <patternFill>
          <bgColor rgb="FFFF6600"/>
        </patternFill>
      </fill>
    </dxf>
    <dxf>
      <fill>
        <patternFill>
          <bgColor theme="9" tint="0.3999450666829432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theme="0"/>
      </font>
      <fill>
        <patternFill>
          <bgColor theme="5" tint="-0.24994659260841701"/>
        </patternFill>
      </fill>
    </dxf>
    <dxf>
      <fill>
        <patternFill>
          <bgColor rgb="FF92D050"/>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4" totalsRowShown="0" headerRowDxfId="679" dataDxfId="678" headerRowCellStyle="Énfasis5" dataCellStyle="Normal 2">
  <autoFilter ref="A1:OG4"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4"/>
  <sheetViews>
    <sheetView tabSelected="1" zoomScale="70" zoomScaleNormal="70" zoomScaleSheetLayoutView="76" workbookViewId="0">
      <pane ySplit="1" topLeftCell="A2" activePane="bottomLeft" state="frozen"/>
      <selection pane="bottomLeft" activeCell="J20" sqref="J20"/>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4" ca="1" si="0">IF(M2&gt;0,SUM(TODAY()-M2)/365,"")</f>
        <v>21.857534246575341</v>
      </c>
      <c r="O2" s="35">
        <v>44662</v>
      </c>
      <c r="P2" s="39" t="str">
        <f t="shared" ref="P2:P4" si="1">IF(AND(O2="",R2&gt;0),"ACUDE ESPONTANEAMENTE",IF(AND(AND(O2&gt;0,R2=""),OR(IW2&gt;0,IT2&lt;&gt;"")),"NA",IF(AND(O2&gt;0,IW2="",R2=""),"NO",IF(AND(O2&gt;0,R2&gt;0),"SI",""))))</f>
        <v>SI</v>
      </c>
      <c r="Q2" s="40" t="s">
        <v>875</v>
      </c>
      <c r="R2" s="35">
        <v>44662</v>
      </c>
      <c r="S2" s="31" t="s">
        <v>876</v>
      </c>
      <c r="T2" s="37" t="s">
        <v>800</v>
      </c>
      <c r="U2" s="31" t="s">
        <v>877</v>
      </c>
      <c r="V2" s="31" t="s">
        <v>878</v>
      </c>
      <c r="W2" s="31" t="s">
        <v>879</v>
      </c>
      <c r="X2" s="31" t="s">
        <v>879</v>
      </c>
      <c r="Y2" s="31" t="s">
        <v>880</v>
      </c>
      <c r="Z2" s="31">
        <v>3044779923</v>
      </c>
      <c r="AA2" s="31" t="s">
        <v>881</v>
      </c>
      <c r="AB2" s="41" t="s">
        <v>882</v>
      </c>
      <c r="AC2" s="40" t="s">
        <v>883</v>
      </c>
      <c r="AD2" s="55" t="s">
        <v>884</v>
      </c>
      <c r="AE2" s="40" t="s">
        <v>874</v>
      </c>
      <c r="AF2" s="40" t="s">
        <v>874</v>
      </c>
      <c r="AG2" s="36" t="s">
        <v>885</v>
      </c>
      <c r="AH2" s="36" t="s">
        <v>885</v>
      </c>
      <c r="AI2" s="37" t="s">
        <v>884</v>
      </c>
      <c r="AJ2" s="36" t="s">
        <v>885</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885</v>
      </c>
      <c r="AM2" s="40" t="s">
        <v>885</v>
      </c>
      <c r="AN2" s="40" t="s">
        <v>885</v>
      </c>
      <c r="AO2" s="40" t="s">
        <v>885</v>
      </c>
      <c r="AP2" s="40" t="s">
        <v>885</v>
      </c>
      <c r="AQ2" s="40" t="s">
        <v>885</v>
      </c>
      <c r="AR2" s="31">
        <v>1</v>
      </c>
      <c r="AS2" s="31">
        <v>0</v>
      </c>
      <c r="AT2" s="31">
        <v>1</v>
      </c>
      <c r="AU2" s="40" t="s">
        <v>885</v>
      </c>
      <c r="AV2" s="31">
        <v>0</v>
      </c>
      <c r="AW2" s="40" t="s">
        <v>885</v>
      </c>
      <c r="AX2" s="40" t="s">
        <v>885</v>
      </c>
      <c r="AY2" s="40" t="s">
        <v>885</v>
      </c>
      <c r="AZ2" s="40" t="s">
        <v>885</v>
      </c>
      <c r="BA2" s="40" t="s">
        <v>885</v>
      </c>
      <c r="BB2" s="40" t="s">
        <v>885</v>
      </c>
      <c r="BC2" s="40" t="s">
        <v>885</v>
      </c>
      <c r="BD2" s="40" t="s">
        <v>885</v>
      </c>
      <c r="BE2" s="40" t="s">
        <v>885</v>
      </c>
      <c r="BF2" s="40" t="s">
        <v>885</v>
      </c>
      <c r="BG2" s="40" t="s">
        <v>885</v>
      </c>
      <c r="BH2" s="40" t="s">
        <v>885</v>
      </c>
      <c r="BI2" s="40" t="s">
        <v>885</v>
      </c>
      <c r="BJ2" s="35">
        <v>44053</v>
      </c>
      <c r="BK2" s="35">
        <v>44657</v>
      </c>
      <c r="BL2" s="31" t="s">
        <v>874</v>
      </c>
      <c r="BM2" s="43">
        <f t="shared" ref="BM2:BM4" si="2">IF(OR(BJ2="SD",BK2=""),"",IF(BJ2="",0,SUM(BK2-BJ2)/30))</f>
        <v>20.133333333333333</v>
      </c>
      <c r="BN2" s="57" t="str">
        <f t="shared" ref="BN2:BN4" si="3">IF(BS2&gt;0,SUM(BR2-NQ2),"")</f>
        <v/>
      </c>
      <c r="BO2" s="44">
        <f t="shared" ref="BO2:BO4" si="4">IF(AND(BL2="Corregida",BK2&gt;0,R2&gt;0,ISBLANK(BS2)),"SIN SEMANAS X ECO",IF(AND(BL2="Corregida",BK2&gt;0,R2&gt;0),SUM(R2-BN2)/7,IF(AND(OR(BL2="SI",BL2="NO"),BK2&gt;0,R2&gt;0),SUM(R2-BK2)/7,"")))</f>
        <v>0.7142857142857143</v>
      </c>
      <c r="BP2" s="31" t="str">
        <f t="shared" ref="BP2:BP4" si="5">IF(AND(BO2="",IP2=""),"",IF(AND(BO2="",IP2="DEFINIR FPP POR ECO"),"SIN DATO",IF(BO2&lt;0,"ERROR FUM O INGRESO O ECO",IF(BL2="NO","DEFINIR CON ECO",IF(BO2&lt;12,"I TRIM",IF(BO2&lt;27,"II TRIM",IF(AND(BO2&gt;26,BO2&lt;45),"III TRIM","ERROR FUM O INGRESO O ECO")))))))</f>
        <v>I TRIM</v>
      </c>
      <c r="BQ2" s="39" t="str">
        <f t="shared" ref="BQ2:BQ4" ca="1" si="6">IF(SUM((TODAY()-BK2)/7)&gt;43.1,"",IF(AND(BK2&gt;0,OR(BL2="si",BL2="Corregida",BL2="NO")),SUM((TODAY()-BK2)/7),""))</f>
        <v/>
      </c>
      <c r="BR2" s="35"/>
      <c r="BS2" s="43"/>
      <c r="BT2" s="35"/>
      <c r="BU2" s="31"/>
      <c r="BV2" s="40" t="s">
        <v>885</v>
      </c>
      <c r="BW2" s="40" t="s">
        <v>885</v>
      </c>
      <c r="BX2" s="40" t="s">
        <v>886</v>
      </c>
      <c r="BY2" s="40" t="s">
        <v>886</v>
      </c>
      <c r="BZ2" s="35">
        <v>44662</v>
      </c>
      <c r="CA2" s="31">
        <v>1.6</v>
      </c>
      <c r="CB2" s="31">
        <v>65</v>
      </c>
      <c r="CC2" s="39">
        <f t="shared" ref="CC2:CC4" si="7">IF(AND(OR(O2&gt;0,R2&gt;0),CA2=""),"SD",IF(AND(OR(O2="",R2=""),CA2=""),"",IF(AND(OR(O2&gt;0,R2&gt;0),CA2&gt;0,CB2&gt;0),SUM(CB2)/(CA2*CA2),"X")))</f>
        <v>25.390624999999996</v>
      </c>
      <c r="CD2" s="45" t="str">
        <f t="shared" ref="CD2:CD4"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4" si="9">IF(AND(OR(O2&gt;0,R2&gt;0),CA2=""),"SD",IF(AND(OR(O2="",R2=""),CA2=""),"",IF(AND(OR(O2&gt;0,R2&gt;0),CA2&gt;0),SUM(CF2)/(CA2*CA2),"X")))</f>
        <v>0</v>
      </c>
      <c r="CH2" s="31" t="str">
        <f t="shared" ref="CH2:CH4"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4" si="11">IF(AND(OR(O2&gt;0,R2&gt;0),CA2=""),"SD",IF(AND(OR(O2="",R2=""),CA2=""),"",IF(AND(OR(O2&gt;0,R2&gt;0),CA2&gt;0),SUM(CK2)/(CA2*CA2),"X")))</f>
        <v>0</v>
      </c>
      <c r="CM2" s="31" t="str">
        <f t="shared" ref="CM2:CM4" si="12">IF(AND(CJ2="",BK2=""),"",IF(AND(BK2&gt;0,CJ2=""),"NA",IF(CJ2&lt;BK2,"REVISAR FUM O FECHA PESO",IF(CJ2&gt;0,INT(SUM(CJ2-BK2)/7)))))</f>
        <v>NA</v>
      </c>
      <c r="CN2" s="31" t="str">
        <f>IF(OR(CM2="",CM2="NA"),"",IF(AND(CM2&gt;0,CM2&lt;=28),"REGISTRAR EN  TRIM RESPECTIVO",IF(CM2&gt;0,HLOOKUP(CM2,$OI$1:PK2,OH2),"")))</f>
        <v/>
      </c>
      <c r="CO2" s="31" t="str">
        <f t="shared" ref="CO2:CO4" si="13">IF(AND(OR(O2&gt;0,R2&gt;0),CD2&lt;&gt;"",CI2&lt;&gt;"",CN2&lt;&gt;""),CN2,IF(AND(OR(O2&gt;0,R2&gt;0),CD2&lt;&gt;"",CI2&lt;&gt;"",CN2=""),CI2,IF(AND(OR(O2&gt;0,R2&gt;0),CD2&lt;&gt;"",CI2="",CN2=""),CD2,IF(AND(OR(O2&gt;0,R2&gt;0),CD2&lt;&gt;"",CI2="",CN2&lt;&gt;""),CN2,""))))</f>
        <v>SOBREPESO</v>
      </c>
      <c r="CP2" s="31">
        <v>110</v>
      </c>
      <c r="CQ2" s="31">
        <v>70</v>
      </c>
      <c r="CR2" s="37" t="str">
        <f t="shared" ref="CR2:CR4"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4"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4"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4"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4"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4"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4" si="20">IF(AND(DU2="",BK2="",R2=""),"",IF(AND(R2="",BK2&gt;0,DU2=""),"",IF(AND(R2&gt;0,DU2&lt;BK2),"REVISAR FUM O FECHA PESO",IF(AND(R2&gt;0,DU2&gt;0,BK2=""),"SD",IF(AND(R2&gt;0,DU2&gt;0,BK2&gt;0),INT(SUM(DU2-BK2)/7))))))</f>
        <v>0</v>
      </c>
      <c r="DW2" s="43">
        <f>IF(R2&gt;0,SUM(COUNTA(DC2:DN2)+COUNTA(Tabla1[[#This Row],[FECHA CONSULTA PRIMERA VEZ PROGRAMA CPN ]])),"")</f>
        <v>1</v>
      </c>
      <c r="DX2" s="43" t="str">
        <f t="shared" ref="DX2:DX4" si="21">IF(AND(DW2&gt;=0,DW2&lt;4),"NO",IF(AND(DW2&gt;=4,DW2&lt;12),"SI",""))</f>
        <v>NO</v>
      </c>
      <c r="DY2" s="39">
        <f t="shared" ref="DY2:DY4" si="22">IF(BO2="","",IF(BO2&gt;0,INT(SUM(((40-BO2)/4)+2)),"X"))</f>
        <v>11</v>
      </c>
      <c r="DZ2" s="47">
        <f t="shared" ref="DZ2:DZ4" si="23">IF(DY2="","",IF(DW2&gt;0,SUM(DW2/DY2),"X"))</f>
        <v>9.0909090909090912E-2</v>
      </c>
      <c r="EA2" s="35">
        <v>44662</v>
      </c>
      <c r="EB2" s="35">
        <v>44662</v>
      </c>
      <c r="EC2" s="35">
        <v>44662</v>
      </c>
      <c r="ED2" s="35"/>
      <c r="EE2" s="35">
        <v>44662</v>
      </c>
      <c r="EF2" s="35"/>
      <c r="EG2" s="35"/>
      <c r="EH2" s="31"/>
      <c r="EI2" s="31">
        <v>14</v>
      </c>
      <c r="EJ2" s="35">
        <v>44662</v>
      </c>
      <c r="EK2" s="43">
        <f t="shared" ref="EK2:EK4" si="24">IF(AND(BP2="ERROR FUM O INGRESO",EJ2&gt;0),"ERROR FUM O INGRESO",IF(AND(EJ2="",R2="",O2=""),"",IF(OR(AND(EJ2&lt;&gt;"",EJ2&lt;BK2),AND(EJ2&lt;&gt;"",SUM((EJ2-BK2)/7)&gt;40)),"CORREGIR FECHA RESULTADO",IF(AND(EJ2="",OR(O2&gt;0,R2&gt;0)),"TOMAR EXAMEN",IF(EJ2&gt;0,SUM(EJ2-BK2)/7,"")))))</f>
        <v>0.7142857142857143</v>
      </c>
      <c r="EL2" s="39" t="str">
        <f t="shared" ref="EL2:EL4" si="25">IF(AND(OR(O2&gt;0,R2&gt;0),EI2=""),"",IF(AND(OR(O2&gt;0,R2&gt;0),EI2&gt;0,EI2&lt;11),"MANEJO MD POR ANEMIA FERROPENICA",IF(AND(OR(O2&gt;0,R2&gt;0),EI2&lt;=14),"NORMAL- SUMINISTRAR SULFATO FERROSO",IF(AND(OR(O2&gt;0,R2&gt;0),EI2&lt;20),"NO DAR SULFATO FERROSO",""))))</f>
        <v>NORMAL- SUMINISTRAR SULFATO FERROSO</v>
      </c>
      <c r="EM2" s="31" t="str">
        <f t="shared" ref="EM2:EM4" si="26">IF(AND(EK2="",BP2=""),"",IF(AND(EK2&lt;&gt;"",BP2="SIN DATO"),"SIN DATO",IF(AND(EK2="",BP2&lt;&gt;""),"",IF(AND(EK2&lt;0,BP2&gt;0),"ERROR FUM O INGRESO",IF(EK2&lt;=13,"I TRIM",IF(EK2&lt;28,"II TRIM",IF(AND(EK2&gt;27,EK2&lt;45),"III TRIM","POR DEFINIR")))))))</f>
        <v>I TRIM</v>
      </c>
      <c r="EN2" s="37"/>
      <c r="EO2" s="35"/>
      <c r="EP2" s="44" t="str">
        <f t="shared" ref="EP2:EP4" si="27">IF(AND(BP2="ERROR FUM O INGRESO",EO2&gt;0),"ERROR FUM O INGRESO",IF(AND(EO2="",R2="",O2=""),"",IF(OR(AND(EO2&lt;&gt;"",EO2&lt;BK2),AND(EO2&lt;&gt;"",SUM((EO2-BK2)/7)&gt;40)),"CORREGIR FECHA RESULTADO",IF(AND(EO2="",OR(O2&gt;0,R2&gt;0)),"TOMAR EXAMEN",IF(EO2&gt;0,SUM(EO2-BK2)/7,"")))))</f>
        <v>TOMAR EXAMEN</v>
      </c>
      <c r="EQ2" s="39" t="str">
        <f t="shared" ref="EQ2:EQ4" si="28">IF(AND(OR(O2&gt;0,R2&gt;0),EN2=""),"",IF(AND(OR(O2&gt;0,R2&gt;0),EN2&gt;0,EN2&lt;10.5),"MANEJO MD POR ANEMIA FERROPENICA",IF(AND(OR(O2&gt;0,R2&gt;0),EN2&lt;14),"NORMAL- SUMINISTRAR SULFATO FERROSO",IF(AND(OR(O2&gt;0,R2&gt;0),EN2&lt;20),"NO DAR SULFATO FERROSO",""))))</f>
        <v/>
      </c>
      <c r="ER2" s="37" t="s">
        <v>892</v>
      </c>
      <c r="ES2" s="35">
        <v>44662</v>
      </c>
      <c r="ET2" s="44">
        <f t="shared" ref="ET2:ET4" si="29">IF(AND(BP2="ERROR FUM O INGRESO",ES2&gt;0),"ERROR FUM O INGRESO",IF(AND(ES2="",R2="",O2=""),"",IF(OR(AND(ES2&lt;&gt;"",ES2&lt;BK2),AND(ES2&lt;&gt;"",SUM((ES2-BK2)/7)&gt;40)),"CORREGIR FECHA RESULTADO",IF(AND(ES2="",OR(O2&gt;0,R2&gt;0)),"TOMAR EXAMEN",IF(ES2&gt;0,SUM(ES2-BK2)/7,"")))))</f>
        <v>0.7142857142857143</v>
      </c>
      <c r="EU2" s="39" t="str">
        <f t="shared" ref="EU2:EU4"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4"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4"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4" si="33">IF(AND(BP2="ERROR FUM O INGRESO",FC2&gt;0),"ERROR FUM O INGRESO",IF(AND(FC2="",R2="",O2=""),"",IF(OR(AND(FC2&lt;&gt;"",FC2&lt;BK2),AND(FC2&lt;&gt;"",SUM((FC2-BK2)/7)&gt;40)),"CORREGIR FECHA RESULTADO",IF(AND(FC2="",OR(O2&gt;0,R2&gt;0)),"TOMAR EXAMEN",IF(FC2&gt;0,SUM(FC2-BK2)/7,"")))))</f>
        <v>TOMAR EXAMEN</v>
      </c>
      <c r="FE2" s="35" t="s">
        <v>893</v>
      </c>
      <c r="FF2" s="35">
        <v>44662</v>
      </c>
      <c r="FG2" s="44">
        <f t="shared" ref="FG2:FG4"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4"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4"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4" si="37">IF(AND(BP2="ERROR FUM O INGRESO",FR2&gt;0),"ERROR FUM O INGRESO",IF(AND(FR2="",R2="",O2=""),"",IF(OR(AND(FR2&lt;&gt;"",FR2&lt;BK2),AND(FR2&lt;&gt;"",SUM((FR2-BK2)/7)&gt;40)),"CORREGIR FECHA RESULTADO",IF(AND(FR2="",OR(O2&gt;0,R2&gt;0)),"TOMAR EXAMEN",IF(FR2&gt;0,SUM(FR2-BK2)/7,"")))))</f>
        <v>0.7142857142857143</v>
      </c>
      <c r="FT2" s="43" t="s">
        <v>894</v>
      </c>
      <c r="FU2" s="35">
        <v>44662</v>
      </c>
      <c r="FV2" s="44">
        <f t="shared" ref="FV2:FV4" si="38">IF(AND(BP2="ERROR FUM O INGRESO",FU2&gt;0),"ERROR FUM O INGRESO",IF(AND(FU2="",R2="",O2=""),"",IF(OR(AND(FU2&lt;&gt;"",FU2&lt;BK2),AND(FU2&lt;&gt;"",SUM((FU2-BK2)/7)&gt;40)),"CORREGIR FECHA RESULTADO",IF(AND(FU2="",OR(O2&gt;0,R2&gt;0)),"TOMAR EXAMEN",IF(FU2&gt;0,SUM(FU2-BK2)/7,"")))))</f>
        <v>0.7142857142857143</v>
      </c>
      <c r="FW2" s="35">
        <v>44662</v>
      </c>
      <c r="FX2" s="35">
        <v>44662</v>
      </c>
      <c r="FY2" s="35" t="s">
        <v>895</v>
      </c>
      <c r="FZ2" s="35">
        <v>44662</v>
      </c>
      <c r="GA2" s="44">
        <f t="shared" ref="GA2:GA4"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4"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4"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882</v>
      </c>
      <c r="GK2" s="35"/>
      <c r="GL2" s="35" t="s">
        <v>882</v>
      </c>
      <c r="GM2" s="35"/>
      <c r="GN2" s="43" t="s">
        <v>894</v>
      </c>
      <c r="GO2" s="35">
        <v>44662</v>
      </c>
      <c r="GP2" s="44">
        <f t="shared" ref="GP2:GP4" si="42">IF(AND(BP2="ERROR FUM O INGRESO",GO2&gt;0),"ERROR FUM O INGRESO",IF(AND(GO2="",R2="",O2=""),"",IF(OR(AND(GO2&lt;&gt;"",GO2&lt;BK2),AND(GO2&lt;&gt;"",SUM((GO2-BK2)/7)&gt;40)),"CORREGIR FECHA RESULTADO",IF(AND(GO2="",OR(O2&gt;0,R2&gt;0)),"TOMAR EXAMEN",IF(GO2&gt;0,SUM(GO2-BK2)/7,"")))))</f>
        <v>0.7142857142857143</v>
      </c>
      <c r="GQ2" s="43" t="s">
        <v>894</v>
      </c>
      <c r="GR2" s="43" t="s">
        <v>894</v>
      </c>
      <c r="GS2" s="35" t="str">
        <f t="shared" ref="GS2:GS4" si="43">IF(GQ2="NEGATIVO","CONTROL Igm",IF(AND(GQ2="POSITIVO",GR2="NEGATIVO"),"SE EXCLUYE INFECCION",IF(AND(GQ2="POSITIVO",GR2="POSITIVO"),"TOXOPLASMOSIS, REMITIR PARA MANEJO","")))</f>
        <v>CONTROL Igm</v>
      </c>
      <c r="GT2" s="35">
        <v>44662</v>
      </c>
      <c r="GU2" s="44">
        <f t="shared" ref="GU2:GU4" si="44">IF(AND(BP2="ERROR FUM O INGRESO",GT2&gt;0),"ERROR FUM O INGRESO",IF(AND(GT2="",R2="",O2=""),"",IF(OR(AND(GT2&lt;&gt;"",GT2&lt;BK2),AND(GT2&lt;&gt;"",SUM((GT2-BK2)/7)&gt;40)),"CORREGIR FECHA RESULTADO",IF(AND(GT2="",OR(O2&gt;0,R2&gt;0)),"TOMAR EXAMEN",IF(GT2&gt;0,SUM(GT2-BK2)/7,"")))))</f>
        <v>0.7142857142857143</v>
      </c>
      <c r="GV2" s="31" t="str">
        <f t="shared" ref="GV2:GV4" si="45">IF(AND(GU2="",BP2=""),"",IF(AND(GU2&lt;&gt;"",BP2="SIN DATO"),"SIN DATO",IF(AND(GU2="",BP2&lt;&gt;""),"",IF(AND(GU2&lt;0,BP2&gt;0),"ERROR FUM O INGRESO",IF(GU2&lt;=13,"I TRIM",IF(GU2&lt;28,"II TRIM",IF(AND(GU2&gt;27,GU2&lt;45),"III TRIM","POR DEFINIR")))))))</f>
        <v>I TRIM</v>
      </c>
      <c r="GW2" s="43"/>
      <c r="GX2" s="46"/>
      <c r="GY2" s="31"/>
      <c r="GZ2" s="35"/>
      <c r="HA2" s="43" t="str">
        <f t="shared" ref="HA2:HA4" si="46">IF(GZ2&gt;0,SUM(GZ2-BK2)/7,"")</f>
        <v/>
      </c>
      <c r="HB2" s="31" t="str">
        <f t="shared" ref="HB2:HB4" si="47">IF(HA2&lt;0,"ANTES DEL EMBARAZO",IF(AND(HA2&gt;0,HA2&lt;13),"I TRIM",IF(AND(HA2&gt;12,HA2&lt;28),"II TRIM",IF(AND(HA2&gt;27,HA2&lt;41),"III TRIM",""))))</f>
        <v/>
      </c>
      <c r="HC2" s="31" t="str">
        <f t="shared" ref="HC2:HC4"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896</v>
      </c>
      <c r="HE2" s="31"/>
      <c r="HF2" s="31" t="s">
        <v>897</v>
      </c>
      <c r="HG2" s="31"/>
      <c r="HH2" s="31" t="s">
        <v>898</v>
      </c>
      <c r="HI2" s="31">
        <v>0</v>
      </c>
      <c r="HJ2" s="35" t="s">
        <v>899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4"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4"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4"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4"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4"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4"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4" si="55">IF(AND(R2&lt;&gt;"",IT2="CAMBIO DE RESIDENCIA"),"SEGUIMIENTO REPORTE EPS",IF(AND(R2&lt;&gt;"",OR(IT2&lt;&gt;"",IW2&lt;&gt;"")),"SALIO PROGRAMA",IF(AND(AND(R2="",O2&gt;0),OR(IT2&lt;&gt;"",IW2&lt;&gt;"")),"SALE SIN INGRESO CPN",IF(AND(R2="",O2&gt;0,IT2="",IW2=""),"ACTIVA SIN INGRESO CPN",IF(AND(R2&lt;&gt;"",OR(IT2="",IW2="")),"ACTIVA INGRESO A CPN","")))))</f>
        <v>SEGUIMIENTO REPORTE EPS</v>
      </c>
      <c r="HS2" s="31" t="s">
        <v>874</v>
      </c>
      <c r="HT2" s="31" t="s">
        <v>882</v>
      </c>
      <c r="HU2" s="35"/>
      <c r="HV2" s="35"/>
      <c r="HW2" s="35">
        <v>44662</v>
      </c>
      <c r="HX2" s="35" t="s">
        <v>900</v>
      </c>
      <c r="HY2" s="35">
        <v>44662</v>
      </c>
      <c r="HZ2" s="35" t="s">
        <v>900</v>
      </c>
      <c r="IA2" s="40" t="s">
        <v>886</v>
      </c>
      <c r="IB2" s="35">
        <v>44662</v>
      </c>
      <c r="IC2" s="43">
        <f t="shared" ref="IC2:IC4" si="56">IF(AND(BP2="ERROR FUM O INGRESO",IB2&gt;0),"ERROR FUM O INGRESO",IF(AND(IB2="",R2=""),"",IF(OR(AND(IB2&lt;&gt;"",IB2&lt;BK2),AND(IB2&lt;&gt;"",SUM((IB2-BK2)/7)&gt;40)),"CORREGIR FECHA CONSULTA",IF(AND(IB2="",R2&gt;0),"PENDIENTE CONSULTA",IF(IB2&gt;0,SUM(IB2-BK2)/7,"")))))</f>
        <v>0.7142857142857143</v>
      </c>
      <c r="ID2" s="40" t="s">
        <v>874</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4"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4" si="58">IF(OR(BL2="SI",BL2="Corregida",BL2="NO"),(BK2+280),IF(BL2="Sin Dato","DEFINIR FPP POR ECO",""))</f>
        <v>44937</v>
      </c>
      <c r="IQ2" s="44">
        <f t="shared" ref="IQ2:IQ4" ca="1" si="59">IF(OR(IP2="DEFINIR FPP POR ECO",BP2="ERROR FUM O INGRESO"),"SIN DEFINIR",IF(IP2="","",IF(IP2&gt;0,SUM(IP2-TODAY()),"X")))</f>
        <v>-288</v>
      </c>
      <c r="IR2" s="35" t="str">
        <f t="shared" ref="IR2:IR4" ca="1" si="60">IF(IQ2&lt;0,"POSIBLEMENTE NACIO",IF(IQ2="SIN DEFINIR","SIN DATO",IF(AND(IQ2&gt;=0,IQ2&lt;=7),"SEMANA DE PARTO",IF(AND(IQ2&gt;=8,IQ2&lt;=28),"MENOS DE 4 SEMANAS",IF(AND(IQ2&gt;=29,IQ2&lt;=280),"PENDIENTE","")))))</f>
        <v>POSIBLEMENTE NACIO</v>
      </c>
      <c r="IS2" s="35"/>
      <c r="IT2" s="31" t="s">
        <v>902</v>
      </c>
      <c r="IU2" s="31"/>
      <c r="IV2" s="51"/>
      <c r="IW2" s="35"/>
      <c r="IX2" s="31"/>
      <c r="IY2" s="44" t="str">
        <f t="shared" ref="IY2:IY4" si="61">IF(AND(IW2&gt;0,IT2&lt;&gt;""),SUM(IW2-BK2)/7,"")</f>
        <v/>
      </c>
      <c r="IZ2" s="52"/>
      <c r="JA2" s="31"/>
      <c r="JB2" s="31"/>
      <c r="JC2" s="31"/>
      <c r="JD2" s="31"/>
      <c r="JE2" s="31"/>
      <c r="JF2" s="31"/>
      <c r="JG2" s="31"/>
      <c r="JH2" s="31"/>
      <c r="JI2" s="31"/>
      <c r="JJ2" s="31"/>
      <c r="JK2" s="46"/>
      <c r="JL2" s="31"/>
      <c r="JM2" s="53"/>
      <c r="JN2" s="31" t="str">
        <f t="shared" ref="JN2:JN4"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4"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4" si="64">IF(AND(KF2&lt;&gt;"",KF2&lt;IW2),"INCONSISTENCIA FECHA CONTROL",IF(AND(OR(IT2="Parto",IT2="Cesarea"),KF2&gt;0,IW2&gt;0),SUM(KF2-IW2),IF(AND(OR(IT2="Parto",IT2="Cesarea"),KF2="",IW2&gt;0),"INASISTENTE","")))</f>
        <v/>
      </c>
      <c r="KH2" s="50"/>
      <c r="KI2" s="43" t="str">
        <f t="shared" ref="KI2:KI4"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4" si="66">SUM(COUNTIF(LD2,"PARTERO (A)"),COUNTIF(LH2,"PARTERO (A)"),COUNTIF(LL2,"PARTERO (A)"),COUNTIF(LP2,"PARTERO (A)"),COUNTIF(LT2,"PARTERO (A)"),COUNTIF(LX2,"PARTERO (A)"),COUNTIF(MN2,"PARTERO (A)"))</f>
        <v>0</v>
      </c>
      <c r="MR2" t="str">
        <f t="shared" ref="MR2:MR4" si="67">IF(AND(R2="",O2=""),"",IF(AND(OR(O2&gt;0,R2&gt;0),LC2&gt;0),SUM(LC2-BK2)/7,""))</f>
        <v/>
      </c>
      <c r="MS2" t="str">
        <f t="shared" ref="MS2:MS4" si="68">IF(AND(MR2="",BP2=""),"",IF(AND(MR2&lt;&gt;"",BP2="SIN DATO"),"SIN DATO",IF(AND(MR2="",BP2&lt;&gt;""),"",IF(AND(MR2&lt;0,BP2&gt;0),"ERROR FUM O INGRESO",IF(MR2&lt;=13,"I TRIM",IF(MR2&lt;28,"II TRIM",IF(AND(MR2&gt;27,MR2&lt;45),"III TRIM","POR DEFINIR")))))))</f>
        <v/>
      </c>
      <c r="MT2">
        <f t="shared" ref="MT2:MT4"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4" si="70">IF(AND(O2&gt;0,BK2&gt;0),SUM(O2-BK2)/7,"")</f>
        <v>0.7142857142857143</v>
      </c>
      <c r="MW2">
        <f t="shared" ref="MW2:MW4" si="71">IF(R2&gt;0,MONTH(R2),"")</f>
        <v>4</v>
      </c>
      <c r="MX2">
        <f t="shared" ref="MX2:MX4" si="72">IF(R2&gt;0,YEAR(R2),"")</f>
        <v>2022</v>
      </c>
      <c r="MY2" t="str">
        <f t="shared" ref="MY2:MY4" si="73">IF(AND(MW2&gt;=1,MW2&lt;=3),"I TRIMESTRE AÑO",IF(AND(MW2&gt;=4,MW2&lt;=6),"II TRIMESTRE AÑO",IF(AND(MW2&gt;=7,MW2&lt;=9),"III TRIMESTRE AÑO",IF(AND(MW2&gt;=10,MW2&lt;=12),"IV TRIMESTRE AÑO",""))))</f>
        <v>II TRIMESTRE AÑO</v>
      </c>
      <c r="MZ2">
        <f t="shared" ref="MZ2:MZ4" si="74">IF(AND(M2&gt;0,R2&gt;0),DAYS360(M2,R2)/30.44/12,IF(AND(M2&gt;0,O2&gt;0,R2=""),DAYS360(M2,O2)/30.44/12,""))</f>
        <v>20.009307928164695</v>
      </c>
      <c r="NA2">
        <f t="shared" ref="NA2:NA4" si="75">IF(AND(MZ2&gt;7,MZ2&lt;14),2,IF(MZ2&lt;16,1,IF(MZ2&lt;=35,0,IF(AND(MZ2&gt;35,MZ2&lt;50),2,""))))</f>
        <v>0</v>
      </c>
      <c r="NB2" t="str">
        <f t="shared" ref="NB2:NB4" si="76">+IF(MZ2="","",IF(MZ2&lt;14,"MENOR 14 AÑOS",IF(MZ2&lt;20,"DE 14 A 19AÑOS",IF(MZ2&lt;25," DE 20 A 24 AÑOS",IF(MZ2&lt;30," DE 25 A 29 AÑOS",IF(MZ2&lt;35," DE 30 A 34 AÑOS",IF(MZ2&lt;40," DE 35 A 39 AÑOS"," DE 40 Y MAS")))))))</f>
        <v xml:space="preserve"> DE 20 A 24 AÑOS</v>
      </c>
      <c r="NC2">
        <f t="shared" ref="NC2:NC4" si="77">IF(AW2="SI",1,IF(AW2="NO",0,""))</f>
        <v>0</v>
      </c>
      <c r="ND2">
        <f t="shared" ref="ND2:ND4" si="78">IF(AS2="","",IF(AS2=0,1,IF(AND(AS2&gt;=1,AS2&lt;=4),0,IF(AS2&gt;=5,2,"X"))))</f>
        <v>1</v>
      </c>
      <c r="NE2">
        <f t="shared" ref="NE2:NE4" si="79">IF(AV2="","",IF(AV2=0,0,IF(AV2=1,1,IF(OR(AV2=2,AV2="3 O MAS"),2,"X"))))</f>
        <v>0</v>
      </c>
      <c r="NF2">
        <f t="shared" ref="NF2:NF4" si="80">IF(AX2="SI",1,IF(AX2="NO",0,""))</f>
        <v>0</v>
      </c>
      <c r="NG2" t="str">
        <f t="shared" ref="NG2:NG4" si="81">IF(OR(AND(EI2&gt;0,EI2&lt;11),AND(EN2&gt;0,EN2&lt;10.5)),1,"")</f>
        <v/>
      </c>
      <c r="NH2" t="str">
        <f t="shared" ref="NH2:NH4" ca="1" si="82">IF(AND(AND(BQ2&gt;40.9,BQ2&lt;43),IW2=""),1,"")</f>
        <v/>
      </c>
      <c r="NI2" t="str">
        <f t="shared" ref="NI2:NI4" si="83">IF(AND(FY2="",GB2="",GE2="",GH2=""),"",IF(OR(OR(FY2="P.R REACTIVA",FY2="ELISA REACTIVA"),OR(GB2="P.R REACTIVA",GB2="ELISA REACTIVA"),OR(GE2="P.R REACTIVA",GE2="ELISA REACTIVA"),OR(GH2="P.R REACTIVA",GH2="ELISA REACTIVA")),3,""))</f>
        <v/>
      </c>
      <c r="NJ2">
        <f t="shared" ref="NJ2:NJ4" si="84">IF(BX2="","",IF(OR(BX2="CEFÁLICA",BX2="SD"),0,IF(OR(BX2="PODÁLICA",BX2="TRANSVERSA O DE FRENTE",BX2="OBLICUA"),3,"")))</f>
        <v>0</v>
      </c>
      <c r="NK2" t="str">
        <f t="shared" ref="NK2:NK4" si="85">IF(HD2="","",IF(HD2="POSITIVO",2,"0"))</f>
        <v>0</v>
      </c>
      <c r="NL2">
        <f t="shared" ref="NL2:NL4" si="86">IF(AND(HF2="",HH2=""),"",IF(OR(HF2="POSITIVO",HH2="POSITIVO"),3,0))</f>
        <v>0</v>
      </c>
      <c r="NM2">
        <f t="shared" ref="NM2:NM4"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4" si="88">IF(AND(R2="",O2=""),"",IF(AND(OR(O2&gt;0,R2&gt;0),BK2=""),"SD",IF(AND(OR(O2&gt;0,R2&gt;0),IM2&gt;0),SUM(IM2-BK2)/7,"")))</f>
        <v/>
      </c>
      <c r="NP2">
        <f t="shared" ref="NP2:NP4"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4"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4" si="91">IF(AND(O2&gt;0,R2=""),"NO CPN",IF(AND(O2="",R2=""),"",IF(AND(R2&gt;0,EF2&gt;0,EE2&gt;0),_xlfn.DAYS(EF2,EE2),IF(AND(R2&gt;0,EF2&gt;0,EE2=""),"NO CITA","X"))))</f>
        <v>X</v>
      </c>
      <c r="NV2" t="str">
        <f t="shared" ref="NV2:NV4"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4" si="93">IF(AND(BO2="",IP2=""),"",IF(AND(BO2="",IP2="DEFINIR FPP POR ECO"),"SIN DATO",IF(BO2&lt;0,"ERROR FUM O INGRESO",IF(BL2="NO","DEFINIR CON ECO",IF(BO2&lt;10,"I TRIM",IF(BO2&lt;27,"II TRIM",IF(AND(BO2&gt;26,BO2&lt;45),"III TRIM","ERROR FUM O INGRESO")))))))</f>
        <v>I TRIM</v>
      </c>
      <c r="NZ2" s="1">
        <f t="shared" ref="NZ2:NZ3"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4"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4" ca="1" si="96">COUNT(FG2,FJ2,FM2,FO2)</f>
        <v>1</v>
      </c>
      <c r="OC2" s="1">
        <f t="shared" ref="OC2:OC4" ca="1" si="97">COUNT(GA2,GD2,GG2,GI2)</f>
        <v>1</v>
      </c>
      <c r="OD2" s="1" t="str">
        <f t="shared" ref="OD2:OD4" ca="1" si="98">IF(OA2="","",IF(OA2="REVISAR FUM O FECHA SALIDA PROGRAMA","POR DEFINIR",IF(OR(OA2=OB2,OB2&gt;OA2),"COMPLETO",IF(OB2&lt;OA2,"INCOMPLETO",""))))</f>
        <v>POR DEFINIR</v>
      </c>
      <c r="OE2" s="1" t="str">
        <f t="shared" ref="OE2:OE4"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7" t="str">
        <f t="shared" ref="OG2:OG4"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4" si="101">IF(AND(CH2=$OI$1,CG2&gt;10,CG2&lt;20.8),"BAJO PESO",IF(AND(CH2=$OI$1,CG2&gt;20.7,CG2&lt;25.8),"NORMAL",IF(AND(CH2=$OI$1,CG2&gt;25.7,CG2&lt;30.6),"SOBREPESO",IF(AND(CH2=$OI$1,CG2&gt;30.5,CG2&lt;50),"OBESIDAD",""))))</f>
        <v/>
      </c>
      <c r="OJ2" t="str">
        <f t="shared" ref="OJ2:OJ4" si="102">IF(AND(CH2=$OJ$1,CG2&gt;10,CG2&lt;20.9),"BAJO PESO",IF(AND(CH2=$OJ$1,CG2&gt;20.8,CG2&lt;25.9),"NORMAL",IF(AND(CH2=$OJ$1,CG2&gt;25.8,CG2&lt;30.7),"SOBREPESO",IF(AND(CH2=$OJ$1,CG2&gt;30.6,CG2&lt;50),"OBESIDAD",""))))</f>
        <v/>
      </c>
      <c r="OK2" t="str">
        <f t="shared" ref="OK2:OK4" si="103">IF(AND(CH2=$OK$1,CG2&gt;10,CG2&lt;21.1),"BAJO PESO",IF(AND(CH2=$OK$1,CG2&gt;21,CG2&lt;26),"NORMAL",IF(AND(CH2=$OK$1,CG2&gt;25.9,CG2&lt;30.8),"SOBREPESO",IF(AND(CH2=$OK$1,CG2&gt;30.7,CG2&lt;50),"OBESIDAD",""))))</f>
        <v/>
      </c>
      <c r="OL2" t="str">
        <f t="shared" ref="OL2:OL4" si="104">IF(AND(CH2=$OL$1,CG2&gt;10,CG2&lt;21.2),"BAJO PESO",IF(AND(CH2=$OL$1,CG2&gt;21.1,CG2&lt;26.1),"NORMAL",IF(AND(CH2=$OL$1,CG2&gt;26,CG2&lt;31.9),"SOBREPESO",IF(AND(CH2=$OL$1,CG2&gt;30.8,CG2&lt;50),"OBESIDAD",""))))</f>
        <v/>
      </c>
      <c r="OM2" t="str">
        <f t="shared" ref="OM2:OM4" si="105">IF(AND(CH2=$OM$1,CG2&gt;10,CG2&lt;21.3),"BAJO PESO",IF(AND(CH2=$OM$1,CG2&gt;21.2,CG2&lt;26.2),"NORMAL",IF(AND(CH2=$OM$1,CG2&gt;26.1,CG2&lt;31),"SOBREPESO",IF(AND(CH2=$OM$1,CG2&gt;30.9,CG2&lt;50),"OBESIDAD",""))))</f>
        <v/>
      </c>
      <c r="ON2" t="str">
        <f t="shared" ref="ON2:ON4" si="106">IF(AND(CH2=$ON$1,CG2&gt;10,CG2&lt;21.5),"BAJO PESO",IF(AND(CH2=$ON$1,CG2&gt;21.4,CG2&lt;26.3),"NORMAL",IF(AND(CH2=$ON$1,CG2&gt;26.2,CG2&lt;31),"SOBREPESO",IF(AND(CH2=$ON$1,CG2&gt;30.9,CG2&lt;50),"OBESIDAD",""))))</f>
        <v/>
      </c>
      <c r="OO2" t="str">
        <f t="shared" ref="OO2:OO4" si="107">IF(AND(CH2=$OO$1,CG2&gt;10,CG2&lt;21.6),"BAJO PESO",IF(AND(CH2=$OO$1,CG2&gt;21.5,CG2&lt;26.4),"NORMAL",IF(AND(CH2=$OO$1,CG2&gt;26.3,CG2&lt;31.1),"SOBREPESO",IF(AND(CH2=$OO$1,CG2&gt;31,CG2&lt;50),"OBESIDAD",""))))</f>
        <v/>
      </c>
      <c r="OP2" t="str">
        <f t="shared" ref="OP2:OP4" si="108">IF(AND(CH2=$OP$1,CG2&gt;10,CG2&lt;21.8),"BAJO PESO",IF(AND(CH2=$OP$1,CG2&gt;21.7,CG2&lt;26.5),"NORMAL",IF(AND(CH2=$OP$1,CG2&gt;26.4,CG2&lt;31.2),"SOBREPESO",IF(AND(CH2=$OP$1,CG2&gt;31.1,CG2&lt;50),"OBESIDAD",""))))</f>
        <v/>
      </c>
      <c r="OQ2" t="str">
        <f t="shared" ref="OQ2:OQ4" si="109">IF(AND(CH2=$OQ$1,CG2&gt;10,CG2&lt;21.9),"BAJO PESO",IF(AND(CH2=$OQ$1,CG2&gt;21.8,CG2&lt;26.7),"NORMAL",IF(AND(CH2=$OQ$1,CG2&gt;26.6,CG2&lt;31.3),"SOBREPESO",IF(AND(CH2=$OQ$1,CG2&gt;31.2,CG2&lt;50),"OBESIDAD",""))))</f>
        <v/>
      </c>
      <c r="OR2" t="str">
        <f t="shared" ref="OR2:OR4" si="110">IF(AND(CH2=$OR$1,CG2&gt;10,CG2&lt;22.1),"BAJO PESO",IF(AND(CH2=$OR$1,CG2&gt;22,CG2&lt;26.8),"NORMAL",IF(AND(CH2=$OR$1,CG2&gt;26.7,CG2&lt;31.4),"SOBREPESO",IF(AND(CH2=$OR$1,CG2&gt;31.3,CG2&lt;50),"OBESIDAD",""))))</f>
        <v/>
      </c>
      <c r="OS2" t="str">
        <f t="shared" ref="OS2:OS4" si="111">IF(AND(CH2=$OS$1,CG2&gt;10,CG2&lt;22.3),"BAJO PESO",IF(AND(CH2=$OS$1,CG2&gt;22.2,CG2&lt;27),"NORMAL",IF(AND(CH2=$OS$1,CG2&gt;26.9,CG2&lt;31.6),"SOBREPESO",IF(AND(CH2=$OS$1,CG2&gt;31.5,CG2&lt;50),"OBESIDAD",""))))</f>
        <v/>
      </c>
      <c r="OT2" t="str">
        <f t="shared" ref="OT2:OT4" si="112">IF(AND(CH2=$OT$1,$CG2&gt;10,CG2&lt;22.5),"BAJO PESO",IF(AND(CH2=$OT$1,CG2&gt;22.4,CG2&lt;27.1),"NORMAL",IF(AND(CH2=$OT$1,CG2&gt;27,CG2&lt;31.7),"SOBREPESO",IF(AND(CH2=$OT$1,CG2&gt;31.6,CG2&lt;50),"OBESIDAD",""))))</f>
        <v/>
      </c>
      <c r="OU2" t="str">
        <f t="shared" ref="OU2:OU4" si="113">IF(AND(CH2=$OU$1,CG2&gt;10,CG2&lt;22.7),"BAJO PESO",IF(AND(CH2=$OU$1,CG2&gt;22.6,CG2&lt;27.3),"NORMAL",IF(AND(CH2=$OU$1,CG2&gt;27.1,CG2&lt;31.8),"SOBREPESO",IF(AND(CH2=$OU$1,CG2&gt;31.7,CG2&lt;50),"OBESIDAD",""))))</f>
        <v/>
      </c>
      <c r="OV2" t="str">
        <f t="shared" ref="OV2:OV4" si="114">IF(AND(CH2=$OV$1,CG2&gt;10,CG2&lt;22.8),"BAJO PESO",IF(AND(CH2=$OV$1,CG2&gt;22.7,CG2&lt;27.4),"NORMAL",IF(AND(CH2=$OV$1,CG2&gt;27.3,CG2&lt;31.9),"SOBREPESO",IF(AND(CH2=$OV$1,CG2&gt;31.8,CG2&lt;50),"OBESIDAD",""))))</f>
        <v/>
      </c>
      <c r="OW2" t="str">
        <f t="shared" ref="OW2:OW4" si="115">IF(AND(CH2=$OW$1,CG2&gt;10,CG2&lt;23),"BAJO PESO",IF(AND(CH2=$OW$1,CG2&gt;22.9,CG2&lt;27.6),"NORMAL",IF(AND(CH2=$OW$1,CG2&gt;27.5,CG2&lt;32),"SOBREPESO",IF(AND(CH2=$OW$1,CG2&gt;31.9,CG2&lt;50),"OBESIDAD",""))))</f>
        <v/>
      </c>
      <c r="OX2" t="str">
        <f t="shared" ref="OX2:OX4" si="116">IF(AND(CM2=$OX$1,CL2&gt;10,CL2&lt;23.2),"BAJO PESO",IF(AND(CM2=$OX$1,CL2&gt;23.1,CL2&lt;27.7),"NORMAL",IF(AND(CM2=$OX$1,CL2&gt;27.6,CL2&lt;32.1),"SOBREPESO",IF(AND(CM2=$OX$1,CL2&gt;32,CL2&lt;50),"OBESIDAD",""))))</f>
        <v/>
      </c>
      <c r="OY2" t="str">
        <f t="shared" ref="OY2:OY4" si="117">IF(AND(CM2=$OY$1,CL2&gt;10,CL2&lt;23.4),"BAJO PESO",IF(AND(CM2=$OY$1,CL2&gt;23.3,CL2&lt;27.9),"NORMAL",IF(AND(CM2=$OY$1,CL2&gt;27.8,CL2&lt;32.2),"SOBREPESO",IF(AND(CM2=$OY$1,CL2&gt;32.1,CL2&lt;50),"OBESIDAD",""))))</f>
        <v/>
      </c>
      <c r="OZ2" t="str">
        <f t="shared" ref="OZ2:OZ4" si="118">IF(AND(CM2=$OZ$1,CL2&gt;10,CL2&lt;23.5),"BAJO PESO",IF(AND(CM2=$OZ$1,CL2&gt;23.4,CL2&lt;28),"NORMAL",IF(AND(CM2=$OZ$1,CL2&gt;27.9,CL2&lt;32.1),"SOBREPESO",IF(AND(CM2=$OZ$1,CL2&gt;32.2,CL2&lt;50),"OBESIDAD",""))))</f>
        <v/>
      </c>
      <c r="PA2" t="str">
        <f t="shared" ref="PA2:PA4" si="119">IF(AND(CM2=$PA$1,CL2&gt;10,CL2&lt;23.7),"BAJO PESO",IF(AND(CM2=$PA$1,CL2&gt;23.6,CL2&lt;28.1),"NORMAL",IF(AND(CM2=$PA$1,CL2&gt;28,CL2&lt;33.4),"SOBREPESO",IF(AND(CM2=$PA$1,CL2&gt;33.3,CL2&lt;50),"OBESIDAD",""))))</f>
        <v/>
      </c>
      <c r="PB2" t="str">
        <f t="shared" ref="PB2:PB4" si="120">IF(AND(CM2=$PB$1,CL2&gt;10,CL2&lt;23.9),"BAJO PESO",IF(AND(CM2=$PB$1,CL2&gt;23.8,CL2&lt;28.2),"NORMAL",IF(AND(CM2=$PB$1,CL2&gt;28.1,CL2&lt;33.5),"SOBREPESO",IF(AND(CM2=$PB$1,CL2&gt;33.4,CL2&lt;50),"OBESIDAD",""))))</f>
        <v/>
      </c>
      <c r="PC2" t="str">
        <f t="shared" ref="PC2:PC4" si="121">IF(AND(CM2=$PC$1,CL2&gt;10,CL2&lt;24),"BAJO PESO",IF(AND(CM2=$PC$1,CL2&gt;23.9,CL2&lt;28.4),"NORMAL",IF(AND(CM2=$PC$1,CL2&gt;28.3,CL2&lt;33.6),"SOBREPESO",IF(AND(CM2=$PC$1,CL2&gt;33.5,CL2&lt;50),"OBESIDAD",""))))</f>
        <v/>
      </c>
      <c r="PD2" t="str">
        <f t="shared" ref="PD2:PD4" si="122">IF(AND(CM2=$PD$1,CL2&gt;10,CL2&lt;24.2),"BAJO PESO",IF(AND(CM2=$PD$1,CL2&gt;24.1,CL2&lt;28.5),"NORMAL",IF(AND(CM2=$PD$1,CL2&gt;28.4,CL2&lt;33.7),"SOBREPESO",IF(AND(CM2=$PD$1,CL2&gt;33.6,CL2&lt;50),"OBESIDAD",""))))</f>
        <v/>
      </c>
      <c r="PE2" t="str">
        <f t="shared" ref="PE2:PE4" si="123">IF(AND(CM2=$PE$1,CL2&gt;10,CL2&lt;24.3),"BAJO PESO",IF(AND(CM2=$PE$1,CL2&gt;24.2,CL2&lt;28.6),"NORMAL",IF(AND(CM2=$PE$1,CL2&gt;28.5,CL2&lt;33.8),"SOBREPESO",IF(AND(CM2=$PE$1,CL2&gt;33.7,CL2&lt;50),"OBESIDAD",""))))</f>
        <v/>
      </c>
      <c r="PF2" t="str">
        <f t="shared" ref="PF2:PF4" si="124">IF(AND(CM2=$PF$1,CL2&gt;10,CL2&lt;24.5),"BAJO PESO",IF(AND(CM2=$PF$1,CL2&gt;24.4,CL2&lt;28.8),"NORMAL",IF(AND(CM2=$PF$1,CL2&gt;28.7,CL2&lt;32.9),"SOBREPESO",IF(AND(CM2=$PF$1,CL2&gt;32.8,CL2&lt;50),"OBESIDAD",""))))</f>
        <v/>
      </c>
      <c r="PG2" t="str">
        <f t="shared" ref="PG2:PG4" si="125">IF(AND(CM2=$PG$1,CL2&gt;10,CL2&lt;24.6),"BAJO PESO",IF(AND(CM2=$PG$1,CL2&gt;24.5,CL2&lt;28.9),"NORMAL",IF(AND(CM2=$PG$1,CL2&gt;28.8,CL2&lt;33),"SOBREPESO",IF(AND(CM2=$PG$1,CL2&gt;32.9,CL2&lt;50),"OBESIDAD",""))))</f>
        <v/>
      </c>
      <c r="PH2" t="str">
        <f t="shared" ref="PH2:PH4" si="126">IF(AND(CM2=$PH$1,CL2&gt;10,CL2&lt;24.8),"BAJO PESO",IF(AND(CM2=$PH$1,CL2&gt;24.7,CL2&lt;29),"NORMAL",IF(AND(CM2=$PH$1,CL2&gt;28.9,CL2&lt;33.1),"SOBREPESO",IF(AND(CM2=$PH$1,CL2&gt;33,CL2&lt;50),"OBESIDAD",""))))</f>
        <v/>
      </c>
      <c r="PI2" t="str">
        <f t="shared" ref="PI2:PI4" si="127">IF(AND(CM2=$PI$1,CL2&gt;10,CL2&lt;25),"BAJO PESO",IF(AND(CM2=$PI$1,CL2&gt;24.9,CL2&lt;29.2),"NORMAL",IF(AND(CM2=$PI$1,CL2&gt;29.1,CL2&lt;33.2),"SOBREPESO",IF(AND(CM2=$PI$1,CL2&gt;33.1,CL2&lt;50),"OBESIDAD",""))))</f>
        <v/>
      </c>
      <c r="PJ2" t="str">
        <f t="shared" ref="PJ2:PJ4" si="128">IF(AND(CM2=$PJ$1,CL2&gt;10,CL2&lt;25.1),"BAJO PESO",IF(AND(CM2=$PJ$1,CL2&gt;25,CL2&lt;29.3),"NORMAL",IF(AND(CM2=$PJ$1,CL2&gt;29.2,CL2&lt;33.3),"SOBREPESO",IF(AND(CM2=$PJ$1,CL2&gt;33.2,CL2&lt;50),"OBESIDAD",""))))</f>
        <v/>
      </c>
      <c r="PK2" t="str">
        <f t="shared" ref="PK2:PK4"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4" si="130">IF(AND(R2="",O2=""),"",IF(AND(OR(O2&gt;0,R2&gt;0),BK2=""),"SD",IF(AND(OR(O2&gt;0,R2&gt;0),IF2&gt;0),SUM(IF2-BK2)/7,"")))</f>
        <v/>
      </c>
      <c r="PN2" s="161" t="str">
        <f t="shared" ref="PN2:PN4"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875</v>
      </c>
      <c r="R3" s="35">
        <v>44734</v>
      </c>
      <c r="S3" s="31" t="s">
        <v>876</v>
      </c>
      <c r="T3" s="37" t="s">
        <v>800</v>
      </c>
      <c r="U3" s="31" t="s">
        <v>877</v>
      </c>
      <c r="V3" s="31" t="s">
        <v>878</v>
      </c>
      <c r="W3" s="31" t="s">
        <v>887</v>
      </c>
      <c r="X3" s="31" t="s">
        <v>887</v>
      </c>
      <c r="Y3" s="31" t="s">
        <v>887</v>
      </c>
      <c r="Z3" s="31">
        <v>3175892519</v>
      </c>
      <c r="AA3" s="31" t="s">
        <v>881</v>
      </c>
      <c r="AB3" s="41" t="s">
        <v>882</v>
      </c>
      <c r="AC3" s="40" t="s">
        <v>888</v>
      </c>
      <c r="AD3" s="55" t="s">
        <v>889</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0</v>
      </c>
      <c r="AS3" s="31">
        <v>0</v>
      </c>
      <c r="AT3" s="31">
        <v>0</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c r="BK3" s="35">
        <v>44664</v>
      </c>
      <c r="BL3" s="31" t="s">
        <v>874</v>
      </c>
      <c r="BM3" s="43">
        <f t="shared" si="2"/>
        <v>0</v>
      </c>
      <c r="BN3" s="57">
        <f t="shared" si="3"/>
        <v>44669</v>
      </c>
      <c r="BO3" s="44">
        <f t="shared" si="4"/>
        <v>10</v>
      </c>
      <c r="BP3" s="31" t="str">
        <f t="shared" si="5"/>
        <v>I TRIM</v>
      </c>
      <c r="BQ3" s="39" t="str">
        <f t="shared" ca="1" si="6"/>
        <v/>
      </c>
      <c r="BR3" s="35">
        <v>44767</v>
      </c>
      <c r="BS3" s="43">
        <v>14</v>
      </c>
      <c r="BT3" s="35">
        <v>44823</v>
      </c>
      <c r="BU3" s="31">
        <v>22</v>
      </c>
      <c r="BV3" s="40" t="s">
        <v>885</v>
      </c>
      <c r="BW3" s="40" t="s">
        <v>885</v>
      </c>
      <c r="BX3" s="40" t="s">
        <v>890</v>
      </c>
      <c r="BY3" s="40" t="s">
        <v>885</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892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893</v>
      </c>
      <c r="FF3" s="35">
        <v>44734</v>
      </c>
      <c r="FG3" s="44">
        <f t="shared" ca="1" si="34"/>
        <v>10</v>
      </c>
      <c r="FH3" s="35" t="s">
        <v>893</v>
      </c>
      <c r="FI3" s="49">
        <v>44820</v>
      </c>
      <c r="FJ3" s="44">
        <f t="shared" ca="1" si="35"/>
        <v>22.285714285714285</v>
      </c>
      <c r="FK3" s="35" t="s">
        <v>893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894</v>
      </c>
      <c r="FU3" s="35">
        <v>44734</v>
      </c>
      <c r="FV3" s="44">
        <f t="shared" si="38"/>
        <v>10</v>
      </c>
      <c r="FW3" s="35">
        <v>44734</v>
      </c>
      <c r="FX3" s="35">
        <v>44734</v>
      </c>
      <c r="FY3" s="35" t="s">
        <v>895</v>
      </c>
      <c r="FZ3" s="35">
        <v>44734</v>
      </c>
      <c r="GA3" s="44">
        <f t="shared" ca="1" si="39"/>
        <v>10</v>
      </c>
      <c r="GB3" s="35" t="s">
        <v>895</v>
      </c>
      <c r="GC3" s="35">
        <v>44820</v>
      </c>
      <c r="GD3" s="44">
        <f t="shared" ca="1" si="40"/>
        <v>22.285714285714285</v>
      </c>
      <c r="GE3" s="35" t="s">
        <v>895</v>
      </c>
      <c r="GF3" s="35">
        <v>44883</v>
      </c>
      <c r="GG3" s="44">
        <f t="shared" ca="1" si="41"/>
        <v>31.285714285714285</v>
      </c>
      <c r="GH3" s="35"/>
      <c r="GI3" s="44"/>
      <c r="GJ3" s="35" t="s">
        <v>882</v>
      </c>
      <c r="GK3" s="35"/>
      <c r="GL3" s="35" t="s">
        <v>882</v>
      </c>
      <c r="GM3" s="35"/>
      <c r="GN3" s="43" t="s">
        <v>894</v>
      </c>
      <c r="GO3" s="35">
        <v>44734</v>
      </c>
      <c r="GP3" s="44">
        <f t="shared" si="42"/>
        <v>10</v>
      </c>
      <c r="GQ3" s="43" t="s">
        <v>894</v>
      </c>
      <c r="GR3" s="43" t="s">
        <v>894</v>
      </c>
      <c r="GS3" s="35" t="str">
        <f t="shared" si="43"/>
        <v>CONTROL Igm</v>
      </c>
      <c r="GT3" s="35">
        <v>44734</v>
      </c>
      <c r="GU3" s="44">
        <f t="shared" si="44"/>
        <v>10</v>
      </c>
      <c r="GV3" s="31" t="str">
        <f t="shared" si="45"/>
        <v>I TRIM</v>
      </c>
      <c r="GW3" s="43" t="s">
        <v>894</v>
      </c>
      <c r="GX3" s="46">
        <v>5</v>
      </c>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874</v>
      </c>
      <c r="HT3" s="31" t="s">
        <v>882</v>
      </c>
      <c r="HU3" s="35">
        <v>44848</v>
      </c>
      <c r="HV3" s="35" t="s">
        <v>900</v>
      </c>
      <c r="HW3" s="35">
        <v>44848</v>
      </c>
      <c r="HX3" s="35" t="s">
        <v>900</v>
      </c>
      <c r="HY3" s="35">
        <v>44734</v>
      </c>
      <c r="HZ3" s="35" t="s">
        <v>900</v>
      </c>
      <c r="IA3" s="40" t="s">
        <v>886</v>
      </c>
      <c r="IB3" s="35">
        <v>44734</v>
      </c>
      <c r="IC3" s="43">
        <f t="shared" si="56"/>
        <v>10</v>
      </c>
      <c r="ID3" s="40" t="s">
        <v>874</v>
      </c>
      <c r="IE3" s="40" t="s">
        <v>901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903</v>
      </c>
      <c r="IU3" s="31" t="s">
        <v>904</v>
      </c>
      <c r="IV3" s="51" t="s">
        <v>905</v>
      </c>
      <c r="IW3" s="35">
        <v>44945</v>
      </c>
      <c r="IX3" s="31" t="s">
        <v>906</v>
      </c>
      <c r="IY3" s="44">
        <f t="shared" si="61"/>
        <v>40.142857142857146</v>
      </c>
      <c r="IZ3" s="52" t="s">
        <v>907</v>
      </c>
      <c r="JA3" s="31" t="s">
        <v>908</v>
      </c>
      <c r="JB3" s="31" t="s">
        <v>909</v>
      </c>
      <c r="JC3" s="31" t="s">
        <v>910</v>
      </c>
      <c r="JD3" s="31" t="s">
        <v>886</v>
      </c>
      <c r="JE3" s="31" t="s">
        <v>886</v>
      </c>
      <c r="JF3" s="31" t="s">
        <v>886</v>
      </c>
      <c r="JG3" s="31" t="s">
        <v>886</v>
      </c>
      <c r="JH3" s="31" t="s">
        <v>886</v>
      </c>
      <c r="JI3" s="31" t="s">
        <v>886</v>
      </c>
      <c r="JJ3" s="31" t="s">
        <v>911</v>
      </c>
      <c r="JK3" s="46">
        <v>1</v>
      </c>
      <c r="JL3" s="31" t="s">
        <v>912</v>
      </c>
      <c r="JM3" s="53">
        <v>2970</v>
      </c>
      <c r="JN3" s="31" t="str">
        <f t="shared" si="62"/>
        <v>PESO ADECUADO EDAD GESTACIONAL</v>
      </c>
      <c r="JO3" s="233">
        <v>44945</v>
      </c>
      <c r="JP3" s="31"/>
      <c r="JQ3" s="31"/>
      <c r="JR3" s="31"/>
      <c r="JS3" s="46" t="s">
        <v>892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874</v>
      </c>
      <c r="KK3" s="31" t="s">
        <v>874</v>
      </c>
      <c r="KL3" s="31" t="s">
        <v>874</v>
      </c>
      <c r="KM3" s="54">
        <v>44945</v>
      </c>
      <c r="KN3" s="43" t="s">
        <v>913</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7"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875</v>
      </c>
      <c r="R4" s="35">
        <v>44737</v>
      </c>
      <c r="S4" s="31" t="s">
        <v>876</v>
      </c>
      <c r="T4" s="37" t="s">
        <v>800</v>
      </c>
      <c r="U4" s="31" t="s">
        <v>877</v>
      </c>
      <c r="V4" s="31" t="s">
        <v>878</v>
      </c>
      <c r="W4" s="31" t="s">
        <v>891</v>
      </c>
      <c r="X4" s="31" t="s">
        <v>891</v>
      </c>
      <c r="Y4" s="31" t="s">
        <v>887</v>
      </c>
      <c r="Z4" s="31">
        <v>3148325692</v>
      </c>
      <c r="AA4" s="31" t="s">
        <v>881</v>
      </c>
      <c r="AB4" s="41" t="s">
        <v>882</v>
      </c>
      <c r="AC4" s="40" t="s">
        <v>888</v>
      </c>
      <c r="AD4" s="55" t="s">
        <v>884</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1</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44667</v>
      </c>
      <c r="BL4" s="31" t="s">
        <v>874</v>
      </c>
      <c r="BM4" s="43">
        <f t="shared" si="2"/>
        <v>0</v>
      </c>
      <c r="BN4" s="57">
        <f t="shared" si="3"/>
        <v>44660.6</v>
      </c>
      <c r="BO4" s="44">
        <f t="shared" si="4"/>
        <v>10</v>
      </c>
      <c r="BP4" s="31" t="str">
        <f t="shared" si="5"/>
        <v>I TRIM</v>
      </c>
      <c r="BQ4" s="39" t="str">
        <f t="shared" ca="1" si="6"/>
        <v/>
      </c>
      <c r="BR4" s="35">
        <v>44774</v>
      </c>
      <c r="BS4" s="43">
        <v>16.2</v>
      </c>
      <c r="BT4" s="35"/>
      <c r="BU4" s="31"/>
      <c r="BV4" s="40" t="s">
        <v>885</v>
      </c>
      <c r="BW4" s="40" t="s">
        <v>885</v>
      </c>
      <c r="BX4" s="40" t="s">
        <v>886</v>
      </c>
      <c r="BY4" s="40" t="s">
        <v>886</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892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893</v>
      </c>
      <c r="FF4" s="35">
        <v>44737</v>
      </c>
      <c r="FG4" s="44">
        <f t="shared" ca="1" si="34"/>
        <v>10</v>
      </c>
      <c r="FH4" s="35" t="s">
        <v>893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894</v>
      </c>
      <c r="FU4" s="35">
        <v>44737</v>
      </c>
      <c r="FV4" s="44">
        <f t="shared" si="38"/>
        <v>10</v>
      </c>
      <c r="FW4" s="35">
        <v>44737</v>
      </c>
      <c r="FX4" s="35">
        <v>44737</v>
      </c>
      <c r="FY4" s="35" t="s">
        <v>895</v>
      </c>
      <c r="FZ4" s="35">
        <v>44737</v>
      </c>
      <c r="GA4" s="44">
        <f t="shared" ca="1" si="39"/>
        <v>10</v>
      </c>
      <c r="GB4" s="35" t="s">
        <v>895</v>
      </c>
      <c r="GC4" s="35">
        <v>44803</v>
      </c>
      <c r="GD4" s="44">
        <f t="shared" ca="1" si="40"/>
        <v>19.428571428571427</v>
      </c>
      <c r="GE4" s="35"/>
      <c r="GF4" s="35"/>
      <c r="GG4" s="44" t="str">
        <f t="shared" ca="1" si="41"/>
        <v>PIERDE TOMA DE TAMIZAJE</v>
      </c>
      <c r="GH4" s="35"/>
      <c r="GI4" s="44"/>
      <c r="GJ4" s="35" t="s">
        <v>882</v>
      </c>
      <c r="GK4" s="35"/>
      <c r="GL4" s="35" t="s">
        <v>882</v>
      </c>
      <c r="GM4" s="35"/>
      <c r="GN4" s="43" t="s">
        <v>894</v>
      </c>
      <c r="GO4" s="35">
        <v>44737</v>
      </c>
      <c r="GP4" s="44">
        <f t="shared" si="42"/>
        <v>10</v>
      </c>
      <c r="GQ4" s="43" t="s">
        <v>894</v>
      </c>
      <c r="GR4" s="43" t="s">
        <v>894</v>
      </c>
      <c r="GS4" s="35" t="str">
        <f t="shared" si="43"/>
        <v>CONTROL Igm</v>
      </c>
      <c r="GT4" s="35">
        <v>44737</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874</v>
      </c>
      <c r="HT4" s="31" t="s">
        <v>882</v>
      </c>
      <c r="HU4" s="35">
        <v>44866</v>
      </c>
      <c r="HV4" s="35" t="s">
        <v>900</v>
      </c>
      <c r="HW4" s="35">
        <v>44835</v>
      </c>
      <c r="HX4" s="35" t="s">
        <v>900</v>
      </c>
      <c r="HY4" s="35">
        <v>44866</v>
      </c>
      <c r="HZ4" s="35" t="s">
        <v>900</v>
      </c>
      <c r="IA4" s="40" t="s">
        <v>886</v>
      </c>
      <c r="IB4" s="35">
        <v>44737</v>
      </c>
      <c r="IC4" s="43">
        <f t="shared" si="56"/>
        <v>10</v>
      </c>
      <c r="ID4" s="40" t="s">
        <v>874</v>
      </c>
      <c r="IE4" s="40" t="s">
        <v>901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914</v>
      </c>
      <c r="IU4" s="31" t="s">
        <v>904</v>
      </c>
      <c r="IV4" s="51" t="s">
        <v>915</v>
      </c>
      <c r="IW4" s="35">
        <v>44935</v>
      </c>
      <c r="IX4" s="31" t="s">
        <v>906</v>
      </c>
      <c r="IY4" s="44">
        <f t="shared" si="61"/>
        <v>38.285714285714285</v>
      </c>
      <c r="IZ4" s="52" t="s">
        <v>907</v>
      </c>
      <c r="JA4" s="31" t="s">
        <v>908</v>
      </c>
      <c r="JB4" s="31" t="s">
        <v>909</v>
      </c>
      <c r="JC4" s="31" t="s">
        <v>916</v>
      </c>
      <c r="JD4" s="31" t="s">
        <v>874</v>
      </c>
      <c r="JE4" s="31" t="s">
        <v>874</v>
      </c>
      <c r="JF4" s="31"/>
      <c r="JG4" s="31" t="s">
        <v>874</v>
      </c>
      <c r="JH4" s="31" t="s">
        <v>874</v>
      </c>
      <c r="JI4" s="31"/>
      <c r="JJ4" s="31" t="s">
        <v>917</v>
      </c>
      <c r="JK4" s="46">
        <v>1</v>
      </c>
      <c r="JL4" s="31" t="s">
        <v>918</v>
      </c>
      <c r="JM4" s="53">
        <v>2564</v>
      </c>
      <c r="JN4" s="31" t="str">
        <f t="shared" si="62"/>
        <v>PESO ADECUADO EDAD GESTACIONAL</v>
      </c>
      <c r="JO4" s="233">
        <v>44935</v>
      </c>
      <c r="JP4" s="31"/>
      <c r="JQ4" s="31"/>
      <c r="JR4" s="31"/>
      <c r="JS4" s="46" t="s">
        <v>892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874</v>
      </c>
      <c r="KK4" s="31" t="s">
        <v>874</v>
      </c>
      <c r="KL4" s="31" t="s">
        <v>874</v>
      </c>
      <c r="KM4" s="54">
        <v>44935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7"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1C3E61A0-5E61-4998-8533-BF49B4B8DFBA}"/>
    </customSheetView>
  </customSheetViews>
  <phoneticPr fontId="33" type="noConversion"/>
  <conditionalFormatting sqref="D2:D4">
    <cfRule type="cellIs" dxfId="286" priority="26725" operator="equal">
      <formula>"PROCESO COMPLETO DE ATENCIÓN"</formula>
    </cfRule>
    <cfRule type="cellIs" dxfId="285" priority="26724" operator="equal">
      <formula>"PROCESO PARCIAL DE ATENCIÓN"</formula>
    </cfRule>
    <cfRule type="cellIs" dxfId="284" priority="26723" operator="equal">
      <formula>"SIN ATENCIÓN"</formula>
    </cfRule>
    <cfRule type="cellIs" dxfId="283" priority="26722" operator="equal">
      <formula>"SIN DATO"</formula>
    </cfRule>
  </conditionalFormatting>
  <conditionalFormatting sqref="P2:P4">
    <cfRule type="containsText" dxfId="282" priority="27200" operator="containsText" text="SI">
      <formula>NOT(ISERROR(SEARCH("SI",P2)))</formula>
    </cfRule>
    <cfRule type="containsText" dxfId="281" priority="27201" operator="containsText" text="NO">
      <formula>NOT(ISERROR(SEARCH("NO",P2)))</formula>
    </cfRule>
    <cfRule type="containsText" dxfId="280" priority="27202" operator="containsText" text="NA">
      <formula>NOT(ISERROR(SEARCH("NA",P2)))</formula>
    </cfRule>
  </conditionalFormatting>
  <conditionalFormatting sqref="Q2:Q4">
    <cfRule type="containsText" dxfId="278" priority="27195" operator="containsText" text="NOVEDAD">
      <formula>NOT(ISERROR(SEARCH("NOVEDAD",Q2)))</formula>
    </cfRule>
    <cfRule type="containsText" dxfId="277" priority="27196" operator="containsText" text="IDENTIDAD">
      <formula>NOT(ISERROR(SEARCH("IDENTIDAD",Q2)))</formula>
    </cfRule>
    <cfRule type="containsText" dxfId="276" priority="26906" operator="containsText" text="SE TRASLADO DE EPS">
      <formula>NOT(ISERROR(SEARCH("SE TRASLADO DE EPS",Q2)))</formula>
    </cfRule>
    <cfRule type="containsText" dxfId="275" priority="26911" operator="containsText" text="INMIGRANTE VENEZOLANA">
      <formula>NOT(ISERROR(SEARCH("INMIGRANTE VENEZOLANA",Q2)))</formula>
    </cfRule>
    <cfRule type="containsText" dxfId="274" priority="26912" operator="containsText" text="SIN AFILIACIÓN A EPS">
      <formula>NOT(ISERROR(SEARCH("SIN AFILIACIÓN A EPS",Q2)))</formula>
    </cfRule>
    <cfRule type="containsText" dxfId="273" priority="27197" operator="containsText" text="CPN">
      <formula>NOT(ISERROR(SEARCH("CPN",Q2)))</formula>
    </cfRule>
    <cfRule type="containsText" dxfId="272" priority="27198" operator="containsText" text="VIENE">
      <formula>NOT(ISERROR(SEARCH("VIENE",Q2)))</formula>
    </cfRule>
    <cfRule type="cellIs" dxfId="271" priority="27199" operator="equal">
      <formula>"TRAMITE DE PORTABILIDAD"</formula>
    </cfRule>
  </conditionalFormatting>
  <conditionalFormatting sqref="AC2:AC4">
    <cfRule type="cellIs" dxfId="270" priority="27194" operator="equal">
      <formula>"ANALFABETA"</formula>
    </cfRule>
    <cfRule type="containsText" dxfId="269" priority="27192" operator="containsText" text="SECUNDARIA">
      <formula>NOT(ISERROR(SEARCH("SECUNDARIA",AC2)))</formula>
    </cfRule>
    <cfRule type="containsText" dxfId="268" priority="27191" operator="containsText" text="SABE">
      <formula>NOT(ISERROR(SEARCH("SABE",AC2)))</formula>
    </cfRule>
    <cfRule type="containsText" dxfId="267" priority="27193" operator="containsText" text="PRIMARIA INCOMPLETA">
      <formula>NOT(ISERROR(SEARCH("PRIMARIA INCOMPLETA",AC2)))</formula>
    </cfRule>
  </conditionalFormatting>
  <conditionalFormatting sqref="AE2:AF4">
    <cfRule type="containsText" dxfId="266" priority="26527" operator="containsText" text="SI">
      <formula>NOT(ISERROR(SEARCH("SI",AE2)))</formula>
    </cfRule>
    <cfRule type="containsText" dxfId="265" priority="26526" operator="containsText" text="NO">
      <formula>NOT(ISERROR(SEARCH("NO",AE2)))</formula>
    </cfRule>
  </conditionalFormatting>
  <conditionalFormatting sqref="AG2:AH4 AJ2:AJ4 AL2:BI4 BV2:BW4 BY2:BY4">
    <cfRule type="cellIs" dxfId="264" priority="27267" operator="equal">
      <formula>"SI"</formula>
    </cfRule>
    <cfRule type="cellIs" dxfId="263" priority="27266" operator="equal">
      <formula>"NO"</formula>
    </cfRule>
    <cfRule type="cellIs" dxfId="262" priority="27256" operator="equal">
      <formula>"SD"</formula>
    </cfRule>
  </conditionalFormatting>
  <conditionalFormatting sqref="AI2:AI4">
    <cfRule type="containsText" dxfId="261" priority="26966" operator="containsText" text="NINGUNO">
      <formula>NOT(ISERROR(SEARCH("NINGUNO",AI2)))</formula>
    </cfRule>
    <cfRule type="containsText" dxfId="260" priority="26968" operator="containsText" text="DISCAPACIDAD">
      <formula>NOT(ISERROR(SEARCH("DISCAPACIDAD",AI2)))</formula>
    </cfRule>
    <cfRule type="containsText" dxfId="259" priority="26969" operator="containsText" text="DESPLAZADA">
      <formula>NOT(ISERROR(SEARCH("DESPLAZADA",AI2)))</formula>
    </cfRule>
    <cfRule type="containsText" dxfId="258" priority="26967" operator="containsText" text="MIGRATORIA">
      <formula>NOT(ISERROR(SEARCH("MIGRATORIA",AI2)))</formula>
    </cfRule>
  </conditionalFormatting>
  <conditionalFormatting sqref="AK2:AK4">
    <cfRule type="containsText" dxfId="257" priority="26970" operator="containsText" text="CON RIESGO">
      <formula>NOT(ISERROR(SEARCH("CON RIESGO",AK2)))</formula>
    </cfRule>
    <cfRule type="containsText" dxfId="256" priority="26971" operator="containsText" text="SIN RIESGO">
      <formula>NOT(ISERROR(SEARCH("SIN RIESGO",AK2)))</formula>
    </cfRule>
  </conditionalFormatting>
  <conditionalFormatting sqref="AV2:AV4">
    <cfRule type="cellIs" dxfId="255" priority="27186" operator="equal">
      <formula>1</formula>
    </cfRule>
    <cfRule type="cellIs" dxfId="254" priority="27187" operator="equal">
      <formula>"3 O MAS"</formula>
    </cfRule>
    <cfRule type="cellIs" dxfId="253" priority="27188" operator="equal">
      <formula>2</formula>
    </cfRule>
  </conditionalFormatting>
  <conditionalFormatting sqref="BL2:BL4">
    <cfRule type="cellIs" dxfId="252" priority="27185" operator="equal">
      <formula>"CORREGIDA"</formula>
    </cfRule>
    <cfRule type="cellIs" dxfId="251" priority="27184" operator="equal">
      <formula>"SI"</formula>
    </cfRule>
    <cfRule type="cellIs" dxfId="250" priority="27183" operator="equal">
      <formula>"NO"</formula>
    </cfRule>
  </conditionalFormatting>
  <conditionalFormatting sqref="BO1:BO1048576">
    <cfRule type="cellIs" dxfId="249" priority="26730" operator="equal">
      <formula>"SIN SEMANAS X ECO"</formula>
    </cfRule>
  </conditionalFormatting>
  <conditionalFormatting sqref="BP2:BP4">
    <cfRule type="cellIs" dxfId="248" priority="27178" operator="equal">
      <formula>"DEFINIR CON ECO"</formula>
    </cfRule>
    <cfRule type="cellIs" dxfId="247" priority="27179" operator="equal">
      <formula>"ERROR FUM O INGRESO O ECO"</formula>
    </cfRule>
    <cfRule type="cellIs" dxfId="246" priority="27182" operator="equal">
      <formula>"I TRIM"</formula>
    </cfRule>
    <cfRule type="cellIs" dxfId="245" priority="27181" operator="equal">
      <formula>"II TRIM"</formula>
    </cfRule>
    <cfRule type="cellIs" dxfId="244" priority="27180" operator="equal">
      <formula>"III TRIM"</formula>
    </cfRule>
  </conditionalFormatting>
  <conditionalFormatting sqref="BX2:BX4">
    <cfRule type="cellIs" dxfId="243" priority="26718" operator="equal">
      <formula>"OBLICUA"</formula>
    </cfRule>
    <cfRule type="cellIs" dxfId="242" priority="26717" operator="equal">
      <formula>"SD"</formula>
    </cfRule>
    <cfRule type="cellIs" dxfId="240" priority="26720" operator="equal">
      <formula>"PODÁLICA"</formula>
    </cfRule>
    <cfRule type="cellIs" dxfId="239" priority="26721" operator="equal">
      <formula>"CEFÁLICA"</formula>
    </cfRule>
  </conditionalFormatting>
  <conditionalFormatting sqref="CD2:CD4">
    <cfRule type="containsText" dxfId="238" priority="27177" operator="containsText" text="INGRESAR">
      <formula>NOT(ISERROR(SEARCH("INGRESAR",CD2)))</formula>
    </cfRule>
    <cfRule type="containsText" dxfId="237" priority="27176" operator="containsText" text="PREGESTACION">
      <formula>NOT(ISERROR(SEARCH("PREGESTACION",CD2)))</formula>
    </cfRule>
    <cfRule type="containsText" dxfId="236" priority="27175" operator="containsText" text="BAJO PESO">
      <formula>NOT(ISERROR(SEARCH("BAJO PESO",CD2)))</formula>
    </cfRule>
    <cfRule type="containsText" dxfId="235" priority="27174" operator="containsText" text="OBESIDAD">
      <formula>NOT(ISERROR(SEARCH("OBESIDAD",CD2)))</formula>
    </cfRule>
    <cfRule type="containsText" dxfId="234" priority="27173" operator="containsText" text="NORMAL">
      <formula>NOT(ISERROR(SEARCH("NORMAL",CD2)))</formula>
    </cfRule>
    <cfRule type="containsText" dxfId="233" priority="27172" operator="containsText" text="SOBREPESO">
      <formula>NOT(ISERROR(SEARCH("SOBREPESO",CD2)))</formula>
    </cfRule>
  </conditionalFormatting>
  <conditionalFormatting sqref="CI2:CI4">
    <cfRule type="containsText" dxfId="232" priority="27169" operator="containsText" text="BAJO PESO">
      <formula>NOT(ISERROR(SEARCH("BAJO PESO",CI2)))</formula>
    </cfRule>
    <cfRule type="containsText" dxfId="231" priority="27171" operator="containsText" text="REGISTRAR">
      <formula>NOT(ISERROR(SEARCH("REGISTRAR",CI2)))</formula>
    </cfRule>
    <cfRule type="containsText" dxfId="230" priority="27170" operator="containsText" text="NORMAL">
      <formula>NOT(ISERROR(SEARCH("NORMAL",CI2)))</formula>
    </cfRule>
    <cfRule type="containsText" dxfId="229" priority="27167" operator="containsText" text="SOBREPESO">
      <formula>NOT(ISERROR(SEARCH("SOBREPESO",CI2)))</formula>
    </cfRule>
    <cfRule type="containsText" dxfId="228" priority="27166" operator="containsText" text="REVISAR">
      <formula>NOT(ISERROR(SEARCH("REVISAR",CI2)))</formula>
    </cfRule>
    <cfRule type="containsText" dxfId="227" priority="27168" operator="containsText" text="OBESIDAD">
      <formula>NOT(ISERROR(SEARCH("OBESIDAD",CI2)))</formula>
    </cfRule>
  </conditionalFormatting>
  <conditionalFormatting sqref="CN2:CO4">
    <cfRule type="containsText" dxfId="226" priority="27160" operator="containsText" text="BAJO PESO">
      <formula>NOT(ISERROR(SEARCH("BAJO PESO",CN2)))</formula>
    </cfRule>
    <cfRule type="containsText" dxfId="225" priority="27165" operator="containsText" text="REGISTRAR">
      <formula>NOT(ISERROR(SEARCH("REGISTRAR",CN2)))</formula>
    </cfRule>
    <cfRule type="containsText" dxfId="224" priority="27164" operator="containsText" text="REVISAR">
      <formula>NOT(ISERROR(SEARCH("REVISAR",CN2)))</formula>
    </cfRule>
    <cfRule type="containsText" dxfId="223" priority="27163" operator="containsText" text="SOBREPESO">
      <formula>NOT(ISERROR(SEARCH("SOBREPESO",CN2)))</formula>
    </cfRule>
    <cfRule type="containsText" dxfId="222" priority="27162" operator="containsText" text="OBESIDAD">
      <formula>NOT(ISERROR(SEARCH("OBESIDAD",CN2)))</formula>
    </cfRule>
    <cfRule type="containsText" dxfId="221" priority="27161" operator="containsText" text="NORMAL">
      <formula>NOT(ISERROR(SEARCH("NORMAL",CN2)))</formula>
    </cfRule>
  </conditionalFormatting>
  <conditionalFormatting sqref="CO2:CO4">
    <cfRule type="containsText" dxfId="220" priority="26975" operator="containsText" text="INGRESAR">
      <formula>NOT(ISERROR(SEARCH("INGRESAR",CO2)))</formula>
    </cfRule>
  </conditionalFormatting>
  <conditionalFormatting sqref="CR2:CR4">
    <cfRule type="containsText" dxfId="219" priority="27158" operator="containsText" text="NORMAL">
      <formula>NOT(ISERROR(SEARCH("NORMAL",CR2)))</formula>
    </cfRule>
    <cfRule type="containsText" dxfId="218" priority="27157" operator="containsText" text="HIPOTENSION">
      <formula>NOT(ISERROR(SEARCH("HIPOTENSION",CR2)))</formula>
    </cfRule>
    <cfRule type="containsText" dxfId="217" priority="27159" operator="containsText" text="HTA">
      <formula>NOT(ISERROR(SEARCH("HTA",CR2)))</formula>
    </cfRule>
  </conditionalFormatting>
  <conditionalFormatting sqref="CU2:CU4">
    <cfRule type="containsText" dxfId="216" priority="27153" operator="containsText" text="HIPOTENSION">
      <formula>NOT(ISERROR(SEARCH("HIPOTENSION",CU2)))</formula>
    </cfRule>
    <cfRule type="containsText" dxfId="215" priority="27154" operator="containsText" text="VIGILAR">
      <formula>NOT(ISERROR(SEARCH("VIGILAR",CU2)))</formula>
    </cfRule>
    <cfRule type="containsText" dxfId="214" priority="27155" operator="containsText" text="NORMAL">
      <formula>NOT(ISERROR(SEARCH("NORMAL",CU2)))</formula>
    </cfRule>
    <cfRule type="containsText" dxfId="213" priority="27156" operator="containsText" text="HTA">
      <formula>NOT(ISERROR(SEARCH("HTA",CU2)))</formula>
    </cfRule>
  </conditionalFormatting>
  <conditionalFormatting sqref="CZ2:CZ4 HP2:HP4">
    <cfRule type="containsText" dxfId="212" priority="27150" operator="containsText" text="NORMAL">
      <formula>NOT(ISERROR(SEARCH("NORMAL",CZ2)))</formula>
    </cfRule>
    <cfRule type="containsText" dxfId="211" priority="27151" operator="containsText" text="VIGILAR">
      <formula>NOT(ISERROR(SEARCH("VIGILAR",CZ2)))</formula>
    </cfRule>
    <cfRule type="containsText" dxfId="210" priority="27152" operator="containsText" text="HTA">
      <formula>NOT(ISERROR(SEARCH("HTA",CZ2)))</formula>
    </cfRule>
  </conditionalFormatting>
  <conditionalFormatting sqref="DO2:DO4">
    <cfRule type="cellIs" dxfId="209" priority="26567" operator="between">
      <formula>4</formula>
      <formula>5</formula>
    </cfRule>
    <cfRule type="containsBlanks" priority="26565" stopIfTrue="1">
      <formula>LEN(TRIM(DO2))=0</formula>
    </cfRule>
    <cfRule type="cellIs" dxfId="208" priority="26566" operator="greaterThanOrEqual">
      <formula>6</formula>
    </cfRule>
    <cfRule type="cellIs" dxfId="207" priority="26568" operator="between">
      <formula>0</formula>
      <formula>3</formula>
    </cfRule>
  </conditionalFormatting>
  <conditionalFormatting sqref="DQ2:DQ4">
    <cfRule type="cellIs" dxfId="206" priority="26563" operator="equal">
      <formula>"PLANEAR PLAN DE PARTO"</formula>
    </cfRule>
    <cfRule type="cellIs" dxfId="205" priority="26562" operator="equal">
      <formula>"CONCERTAR PLAN DE PARTO INMEDIATO"</formula>
    </cfRule>
    <cfRule type="cellIs" dxfId="204" priority="26561" operator="equal">
      <formula>"EN ESPERA"</formula>
    </cfRule>
    <cfRule type="cellIs" dxfId="203" priority="26559" operator="equal">
      <formula>"SALE SIN PLAN DE PARTO"</formula>
    </cfRule>
    <cfRule type="cellIs" dxfId="202" priority="26557" operator="between">
      <formula>28</formula>
      <formula>44</formula>
    </cfRule>
    <cfRule type="cellIs" dxfId="201" priority="26560" operator="equal">
      <formula>"SALE PROGRAMA ANTES SEMANA 35"</formula>
    </cfRule>
    <cfRule type="cellIs" dxfId="200" priority="26564" operator="equal">
      <formula>"PLAN REALIZADO ANTES III TRIM"</formula>
    </cfRule>
  </conditionalFormatting>
  <conditionalFormatting sqref="DR2:DR4 HR2:HR4">
    <cfRule type="containsText" dxfId="199" priority="27137" operator="containsText" text="activa sin">
      <formula>NOT(ISERROR(SEARCH("activa sin",DR2)))</formula>
    </cfRule>
    <cfRule type="containsText" dxfId="198" priority="27140" operator="containsText" text="salio">
      <formula>NOT(ISERROR(SEARCH("salio",DR2)))</formula>
    </cfRule>
    <cfRule type="containsText" dxfId="197" priority="27139" operator="containsText" text="seguimiento">
      <formula>NOT(ISERROR(SEARCH("seguimiento",DR2)))</formula>
    </cfRule>
    <cfRule type="containsText" dxfId="196" priority="27138" operator="containsText" text="Activa ingreso">
      <formula>NOT(ISERROR(SEARCH("Activa ingreso",DR2)))</formula>
    </cfRule>
    <cfRule type="containsText" dxfId="195" priority="27141" operator="containsText" text="sale">
      <formula>NOT(ISERROR(SEARCH("sale",DR2)))</formula>
    </cfRule>
  </conditionalFormatting>
  <conditionalFormatting sqref="DT2:DT4 HQ2:HQ4">
    <cfRule type="containsText" dxfId="194" priority="27136" operator="containsText" text="INASISTENTE">
      <formula>NOT(ISERROR(SEARCH("INASISTENTE",DT2)))</formula>
    </cfRule>
    <cfRule type="containsText" dxfId="193" priority="27135" operator="containsText" text="BUSCAR">
      <formula>NOT(ISERROR(SEARCH("BUSCAR",DT2)))</formula>
    </cfRule>
    <cfRule type="containsText" dxfId="192" priority="27134" operator="containsText" text="FUERA">
      <formula>NOT(ISERROR(SEARCH("FUERA",DT2)))</formula>
    </cfRule>
    <cfRule type="containsText" dxfId="191" priority="27133" operator="containsText" text="DIA">
      <formula>NOT(ISERROR(SEARCH("DIA",DT2)))</formula>
    </cfRule>
    <cfRule type="containsText" dxfId="190" priority="26934" operator="containsText" text="DEFINIR">
      <formula>NOT(ISERROR(SEARCH("DEFINIR",DT2)))</formula>
    </cfRule>
    <cfRule type="containsText" dxfId="189" priority="26556" operator="containsText" text="DILIGENCIAR">
      <formula>NOT(ISERROR(SEARCH("DILIGENCIAR",DT2)))</formula>
    </cfRule>
    <cfRule type="containsText" dxfId="188" priority="27131" operator="containsText" text="MES">
      <formula>NOT(ISERROR(SEARCH("MES",DT2)))</formula>
    </cfRule>
    <cfRule type="containsText" dxfId="187" priority="27132" operator="containsText" text="SEMANA">
      <formula>NOT(ISERROR(SEARCH("SEMANA",DT2)))</formula>
    </cfRule>
  </conditionalFormatting>
  <conditionalFormatting sqref="EL2:EL4 EQ2:EQ4">
    <cfRule type="containsText" dxfId="186" priority="27149" operator="containsText" text="ANEMIA">
      <formula>NOT(ISERROR(SEARCH("ANEMIA",EL2)))</formula>
    </cfRule>
    <cfRule type="containsText" dxfId="185" priority="27148" operator="containsText" text="NORMAL">
      <formula>NOT(ISERROR(SEARCH("NORMAL",EL2)))</formula>
    </cfRule>
    <cfRule type="containsText" dxfId="184" priority="27147" operator="containsText" text="DAR">
      <formula>NOT(ISERROR(SEARCH("DAR",EL2)))</formula>
    </cfRule>
  </conditionalFormatting>
  <conditionalFormatting sqref="EU2:EU4">
    <cfRule type="containsText" dxfId="183" priority="27143" operator="containsText" text="RIESGO">
      <formula>NOT(ISERROR(SEARCH("RIESGO",EU2)))</formula>
    </cfRule>
    <cfRule type="containsText" dxfId="182" priority="27142" operator="containsText" text="NO">
      <formula>NOT(ISERROR(SEARCH("NO",EU2)))</formula>
    </cfRule>
  </conditionalFormatting>
  <conditionalFormatting sqref="FB2:FB4">
    <cfRule type="containsText" dxfId="181" priority="26884" operator="containsText" text="COMPLETA">
      <formula>NOT(ISERROR(SEARCH("COMPLETA",FB2)))</formula>
    </cfRule>
    <cfRule type="containsText" dxfId="180" priority="26842" operator="containsText" text="PROGRAMAR">
      <formula>NOT(ISERROR(SEARCH("PROGRAMAR",FB2)))</formula>
    </cfRule>
    <cfRule type="containsText" dxfId="179" priority="26843" operator="containsText" text="NORMAL">
      <formula>NOT(ISERROR(SEARCH("NORMAL",FB2)))</formula>
    </cfRule>
    <cfRule type="containsText" dxfId="178" priority="26844" operator="containsText" text="DIABETES">
      <formula>NOT(ISERROR(SEARCH("DIABETES",FB2)))</formula>
    </cfRule>
    <cfRule type="containsText" dxfId="177" priority="26845" operator="containsText" text="TOMAR">
      <formula>NOT(ISERROR(SEARCH("TOMAR",FB2)))</formula>
    </cfRule>
    <cfRule type="containsText" dxfId="176" priority="26841" operator="containsText" text="NORMAL,">
      <formula>NOT(ISERROR(SEARCH("NORMAL,",FB2)))</formula>
    </cfRule>
  </conditionalFormatting>
  <conditionalFormatting sqref="FE2:FE4">
    <cfRule type="containsText" dxfId="175" priority="26670" operator="containsText" text="NEGATIVA">
      <formula>NOT(ISERROR(SEARCH("NEGATIVA",FE2)))</formula>
    </cfRule>
    <cfRule type="containsText" dxfId="174" priority="26669" operator="containsText" text="POSITIVA CASO SIFILIS">
      <formula>NOT(ISERROR(SEARCH("POSITIVA CASO SIFILIS",FE2)))</formula>
    </cfRule>
    <cfRule type="containsText" dxfId="173" priority="26668" operator="containsText" text="POSITIVA CICATRIZ">
      <formula>NOT(ISERROR(SEARCH("POSITIVA CICATRIZ",FE2)))</formula>
    </cfRule>
  </conditionalFormatting>
  <conditionalFormatting sqref="FG2:FG4">
    <cfRule type="containsText" dxfId="172" priority="26639" operator="containsText" text="INMEDIATA">
      <formula>NOT(ISERROR(SEARCH("INMEDIATA",FG2)))</formula>
    </cfRule>
    <cfRule type="cellIs" dxfId="171" priority="26636" operator="between">
      <formula>0</formula>
      <formula>13</formula>
    </cfRule>
    <cfRule type="containsText" dxfId="170" priority="26633" operator="containsText" text="NO APLICA">
      <formula>NOT(ISERROR(SEARCH("NO APLICA",FG2)))</formula>
    </cfRule>
    <cfRule type="containsText" dxfId="169" priority="26634" operator="containsText" text="PIERDE">
      <formula>NOT(ISERROR(SEARCH("PIERDE",FG2)))</formula>
    </cfRule>
    <cfRule type="containsText" dxfId="168" priority="26635" operator="containsText" text="REGISTRAR">
      <formula>NOT(ISERROR(SEARCH("REGISTRAR",FG2)))</formula>
    </cfRule>
    <cfRule type="containsText" dxfId="167" priority="26637" operator="containsText" text="EN ESPERA">
      <formula>NOT(ISERROR(SEARCH("EN ESPERA",FG2)))</formula>
    </cfRule>
    <cfRule type="containsText" dxfId="166" priority="26638" operator="containsText" text="RANGO">
      <formula>NOT(ISERROR(SEARCH("RANGO",FG2)))</formula>
    </cfRule>
  </conditionalFormatting>
  <conditionalFormatting sqref="FH2:FH4 FK2:FK4 FN2:FN4">
    <cfRule type="containsText" dxfId="165" priority="26632" operator="containsText" text="NEGATIVA">
      <formula>NOT(ISERROR(SEARCH("NEGATIVA",FH2)))</formula>
    </cfRule>
    <cfRule type="containsText" dxfId="164" priority="26631" operator="containsText" text="POSITIVA CASO SIFILIS">
      <formula>NOT(ISERROR(SEARCH("POSITIVA CASO SIFILIS",FH2)))</formula>
    </cfRule>
    <cfRule type="containsText" dxfId="163" priority="26630" operator="containsText" text="POSITIVA CICATRIZ">
      <formula>NOT(ISERROR(SEARCH("POSITIVA CICATRIZ",FH2)))</formula>
    </cfRule>
    <cfRule type="containsText" dxfId="162" priority="26629" operator="containsText" text="DILUCIONES ESTABLES">
      <formula>NOT(ISERROR(SEARCH("DILUCIONES ESTABLES",FH2)))</formula>
    </cfRule>
    <cfRule type="containsText" dxfId="161" priority="26628" operator="containsText" text="DILUCIONES DISMINUYEN">
      <formula>NOT(ISERROR(SEARCH("DILUCIONES DISMINUYEN",FH2)))</formula>
    </cfRule>
    <cfRule type="containsText" dxfId="160" priority="26627" operator="containsText" text="REINFECCIÓN">
      <formula>NOT(ISERROR(SEARCH("REINFECCIÓN",FH2)))</formula>
    </cfRule>
  </conditionalFormatting>
  <conditionalFormatting sqref="FJ2:FJ4 FM2:FM4">
    <cfRule type="containsText" dxfId="159" priority="26622" operator="containsText" text="REGISTRAR">
      <formula>NOT(ISERROR(SEARCH("REGISTRAR",FJ2)))</formula>
    </cfRule>
    <cfRule type="containsText" dxfId="158" priority="26621" operator="containsText" text="PIERDE">
      <formula>NOT(ISERROR(SEARCH("PIERDE",FJ2)))</formula>
    </cfRule>
    <cfRule type="containsText" dxfId="157" priority="26620" operator="containsText" text="NO APLICA">
      <formula>NOT(ISERROR(SEARCH("NO APLICA",FJ2)))</formula>
    </cfRule>
    <cfRule type="containsText" dxfId="156" priority="26626" operator="containsText" text="INMEDIATA">
      <formula>NOT(ISERROR(SEARCH("INMEDIATA",FJ2)))</formula>
    </cfRule>
    <cfRule type="containsText" dxfId="155" priority="26625" operator="containsText" text="RANGO">
      <formula>NOT(ISERROR(SEARCH("RANGO",FJ2)))</formula>
    </cfRule>
  </conditionalFormatting>
  <conditionalFormatting sqref="FJ2:FJ4">
    <cfRule type="cellIs" dxfId="154" priority="26554" operator="between">
      <formula>12</formula>
      <formula>28</formula>
    </cfRule>
  </conditionalFormatting>
  <conditionalFormatting sqref="FM2:FM4 FJ2:FJ4">
    <cfRule type="containsText" dxfId="153" priority="26624" operator="containsText" text="EN ESPERA">
      <formula>NOT(ISERROR(SEARCH("EN ESPERA",FJ2)))</formula>
    </cfRule>
  </conditionalFormatting>
  <conditionalFormatting sqref="FM2:FM4">
    <cfRule type="cellIs" dxfId="152" priority="26623" operator="between">
      <formula>28</formula>
      <formula>44</formula>
    </cfRule>
  </conditionalFormatting>
  <conditionalFormatting sqref="FP2:FP4">
    <cfRule type="containsText" dxfId="151" priority="27102" operator="containsText" text="GESTACIONAL">
      <formula>NOT(ISERROR(SEARCH("GESTACIONAL",FP2)))</formula>
    </cfRule>
  </conditionalFormatting>
  <conditionalFormatting sqref="FT2:FT4 GN2:GN4 GQ2:GR4 GW2:GW4">
    <cfRule type="containsText" dxfId="150" priority="27101" operator="containsText" text="NEGATIVO">
      <formula>NOT(ISERROR(SEARCH("NEGATIVO",FT2)))</formula>
    </cfRule>
    <cfRule type="containsText" dxfId="149" priority="27100" operator="containsText" text="POSITIVO">
      <formula>NOT(ISERROR(SEARCH("POSITIVO",FT2)))</formula>
    </cfRule>
  </conditionalFormatting>
  <conditionalFormatting sqref="FY2:FY4 GB2:GB4 GE2:GE4 GH2:GH4 GJ2:GJ4">
    <cfRule type="containsText" dxfId="148" priority="27097" operator="containsText" text="P.R REACTIVA">
      <formula>NOT(ISERROR(SEARCH("P.R REACTIVA",FY2)))</formula>
    </cfRule>
    <cfRule type="containsText" dxfId="147" priority="27098" operator="containsText" text="NO REACTIVA">
      <formula>NOT(ISERROR(SEARCH("NO REACTIVA",FY2)))</formula>
    </cfRule>
    <cfRule type="containsText" dxfId="146" priority="27099" operator="containsText" text="ELISA REACTIVA">
      <formula>NOT(ISERROR(SEARCH("ELISA REACTIVA",FY2)))</formula>
    </cfRule>
  </conditionalFormatting>
  <conditionalFormatting sqref="GA2:GA4">
    <cfRule type="containsText" dxfId="145" priority="26619" operator="containsText" text="INMEDIATA">
      <formula>NOT(ISERROR(SEARCH("INMEDIATA",GA2)))</formula>
    </cfRule>
    <cfRule type="containsText" dxfId="144" priority="26615" operator="containsText" text="REGISTRAR">
      <formula>NOT(ISERROR(SEARCH("REGISTRAR",GA2)))</formula>
    </cfRule>
    <cfRule type="cellIs" dxfId="143" priority="26616" operator="between">
      <formula>0</formula>
      <formula>13</formula>
    </cfRule>
    <cfRule type="containsText" dxfId="142" priority="26617" operator="containsText" text="EN ESPERA">
      <formula>NOT(ISERROR(SEARCH("EN ESPERA",GA2)))</formula>
    </cfRule>
    <cfRule type="containsText" dxfId="141" priority="26618" operator="containsText" text="RANGO">
      <formula>NOT(ISERROR(SEARCH("RANGO",GA2)))</formula>
    </cfRule>
    <cfRule type="containsText" dxfId="140" priority="26613" operator="containsText" text="NO APLICA">
      <formula>NOT(ISERROR(SEARCH("NO APLICA",GA2)))</formula>
    </cfRule>
    <cfRule type="containsText" dxfId="139" priority="26614" operator="containsText" text="PIERDE">
      <formula>NOT(ISERROR(SEARCH("PIERDE",GA2)))</formula>
    </cfRule>
  </conditionalFormatting>
  <conditionalFormatting sqref="GD2:GD4">
    <cfRule type="containsText" dxfId="138" priority="26606" operator="containsText" text="NO APLICA">
      <formula>NOT(ISERROR(SEARCH("NO APLICA",GD2)))</formula>
    </cfRule>
    <cfRule type="containsText" dxfId="137" priority="26612" operator="containsText" text="INMEDIATA">
      <formula>NOT(ISERROR(SEARCH("INMEDIATA",GD2)))</formula>
    </cfRule>
    <cfRule type="containsText" dxfId="136" priority="26611" operator="containsText" text="RANGO">
      <formula>NOT(ISERROR(SEARCH("RANGO",GD2)))</formula>
    </cfRule>
    <cfRule type="containsText" dxfId="135" priority="26610" operator="containsText" text="EN ESPERA">
      <formula>NOT(ISERROR(SEARCH("EN ESPERA",GD2)))</formula>
    </cfRule>
    <cfRule type="cellIs" dxfId="134" priority="26609" operator="between">
      <formula>12</formula>
      <formula>28</formula>
    </cfRule>
    <cfRule type="containsText" dxfId="133" priority="26607" operator="containsText" text="PIERDE">
      <formula>NOT(ISERROR(SEARCH("PIERDE",GD2)))</formula>
    </cfRule>
    <cfRule type="containsText" dxfId="132" priority="26608" operator="containsText" text="REGISTRAR">
      <formula>NOT(ISERROR(SEARCH("REGISTRAR",GD2)))</formula>
    </cfRule>
  </conditionalFormatting>
  <conditionalFormatting sqref="GG2:GG4">
    <cfRule type="cellIs" dxfId="131" priority="26602" operator="between">
      <formula>28</formula>
      <formula>44</formula>
    </cfRule>
    <cfRule type="containsText" dxfId="130" priority="26603" operator="containsText" text="EN ESPERA">
      <formula>NOT(ISERROR(SEARCH("EN ESPERA",GG2)))</formula>
    </cfRule>
    <cfRule type="containsText" dxfId="129" priority="26604" operator="containsText" text="RANGO">
      <formula>NOT(ISERROR(SEARCH("RANGO",GG2)))</formula>
    </cfRule>
    <cfRule type="containsText" dxfId="128" priority="26600" operator="containsText" text="PIERDE">
      <formula>NOT(ISERROR(SEARCH("PIERDE",GG2)))</formula>
    </cfRule>
    <cfRule type="containsText" dxfId="127" priority="26601" operator="containsText" text="REGISTRAR">
      <formula>NOT(ISERROR(SEARCH("REGISTRAR",GG2)))</formula>
    </cfRule>
    <cfRule type="containsText" dxfId="126" priority="26599" operator="containsText" text="NO APLICA">
      <formula>NOT(ISERROR(SEARCH("NO APLICA",GG2)))</formula>
    </cfRule>
    <cfRule type="containsText" dxfId="125" priority="26605" operator="containsText" text="INMEDIATA">
      <formula>NOT(ISERROR(SEARCH("INMEDIATA",GG2)))</formula>
    </cfRule>
  </conditionalFormatting>
  <conditionalFormatting sqref="GL2:GL4">
    <cfRule type="containsText" dxfId="124" priority="27084" operator="containsText" text="POSITIVA">
      <formula>NOT(ISERROR(SEARCH("POSITIVA",GL2)))</formula>
    </cfRule>
    <cfRule type="containsText" dxfId="123" priority="27081" operator="containsText" text="NO APLICA">
      <formula>NOT(ISERROR(SEARCH("NO APLICA",GL2)))</formula>
    </cfRule>
    <cfRule type="containsText" dxfId="122" priority="27082" operator="containsText" text="NO CONLUYENTE">
      <formula>NOT(ISERROR(SEARCH("NO CONLUYENTE",GL2)))</formula>
    </cfRule>
    <cfRule type="containsText" dxfId="121" priority="27083" operator="containsText" text="NEGATIVA">
      <formula>NOT(ISERROR(SEARCH("NEGATIVA",GL2)))</formula>
    </cfRule>
  </conditionalFormatting>
  <conditionalFormatting sqref="GS2:GS4">
    <cfRule type="containsText" dxfId="120" priority="27072" operator="containsText" text="Igm">
      <formula>NOT(ISERROR(SEARCH("Igm",GS2)))</formula>
    </cfRule>
    <cfRule type="containsText" dxfId="119" priority="27073" operator="containsText" text="REMITIR">
      <formula>NOT(ISERROR(SEARCH("REMITIR",GS2)))</formula>
    </cfRule>
    <cfRule type="containsText" dxfId="118" priority="27074" operator="containsText" text="EXCLUYE">
      <formula>NOT(ISERROR(SEARCH("EXCLUYE",GS2)))</formula>
    </cfRule>
  </conditionalFormatting>
  <conditionalFormatting sqref="GY2:GY4">
    <cfRule type="containsText" dxfId="117" priority="27068" operator="containsText" text="NIC">
      <formula>NOT(ISERROR(SEARCH("NIC",GY2)))</formula>
    </cfRule>
    <cfRule type="containsText" dxfId="116" priority="27069" operator="containsText" text="NEGATIVA">
      <formula>NOT(ISERROR(SEARCH("NEGATIVA",GY2)))</formula>
    </cfRule>
    <cfRule type="containsText" dxfId="115" priority="27067" operator="containsText" text="VPH">
      <formula>NOT(ISERROR(SEARCH("VPH",GY2)))</formula>
    </cfRule>
    <cfRule type="containsText" dxfId="114" priority="27066" operator="containsText" text="CARCINOMA">
      <formula>NOT(ISERROR(SEARCH("CARCINOMA",GY2)))</formula>
    </cfRule>
  </conditionalFormatting>
  <conditionalFormatting sqref="HC2:HC4">
    <cfRule type="containsText" dxfId="113" priority="27064" operator="containsText" text="COLPOSCOPIA">
      <formula>NOT(ISERROR(SEARCH("COLPOSCOPIA",HC2)))</formula>
    </cfRule>
    <cfRule type="containsText" dxfId="112" priority="27065" operator="containsText" text="ESQUEMA">
      <formula>NOT(ISERROR(SEARCH("ESQUEMA",HC2)))</formula>
    </cfRule>
  </conditionalFormatting>
  <conditionalFormatting sqref="HD2:HD4 HF2:HF4 HH2:HH4">
    <cfRule type="cellIs" dxfId="111" priority="26597" operator="equal">
      <formula>"NEGATIVO"</formula>
    </cfRule>
    <cfRule type="containsText" dxfId="109" priority="26595" operator="containsText" text="NO TOMADO">
      <formula>NOT(ISERROR(SEARCH("NO TOMADO",HD2)))</formula>
    </cfRule>
    <cfRule type="containsText" dxfId="108" priority="26594" operator="containsText" text="INDETERMINADO">
      <formula>NOT(ISERROR(SEARCH("INDETERMINADO",HD2)))</formula>
    </cfRule>
    <cfRule type="cellIs" dxfId="107" priority="26598" operator="equal">
      <formula>"POSITIVO"</formula>
    </cfRule>
  </conditionalFormatting>
  <conditionalFormatting sqref="HJ2:HJ4">
    <cfRule type="containsText" dxfId="106" priority="26736" operator="containsText" text="SIN INFECCIÓN">
      <formula>NOT(ISERROR(SEARCH("SIN INFECCIÓN",HJ2)))</formula>
    </cfRule>
    <cfRule type="containsText" dxfId="105" priority="26737" operator="containsText" text="NO SE EVALUA RIESGO INFECCIÓN COVID19">
      <formula>NOT(ISERROR(SEARCH("NO SE EVALUA RIESGO INFECCIÓN COVID19",HJ2)))</formula>
    </cfRule>
    <cfRule type="containsText" dxfId="104" priority="26731" operator="containsText" text="COVID19 PUERPERIO">
      <formula>NOT(ISERROR(SEARCH("COVID19 PUERPERIO",HJ2)))</formula>
    </cfRule>
    <cfRule type="containsText" dxfId="103" priority="26732" operator="containsText" text="COVID19 TERCER TRIMESTRE">
      <formula>NOT(ISERROR(SEARCH("COVID19 TERCER TRIMESTRE",HJ2)))</formula>
    </cfRule>
    <cfRule type="containsText" dxfId="102" priority="26733" operator="containsText" text="COVID19 SEGUNDO TRIMESTRE">
      <formula>NOT(ISERROR(SEARCH("COVID19 SEGUNDO TRIMESTRE",HJ2)))</formula>
    </cfRule>
    <cfRule type="containsText" dxfId="101" priority="26734" operator="containsText" text="COVID19 PRIMER TRIMESTRE">
      <formula>NOT(ISERROR(SEARCH("COVID19 PRIMER TRIMESTRE",HJ2)))</formula>
    </cfRule>
    <cfRule type="containsText" dxfId="100" priority="26735" operator="containsText" text="FACTOR DE RIESGO">
      <formula>NOT(ISERROR(SEARCH("FACTOR DE RIESGO",HJ2)))</formula>
    </cfRule>
  </conditionalFormatting>
  <conditionalFormatting sqref="HK2:HK4">
    <cfRule type="cellIs" dxfId="99" priority="26925" operator="equal">
      <formula>"******"</formula>
    </cfRule>
  </conditionalFormatting>
  <conditionalFormatting sqref="HK2:HL4">
    <cfRule type="notContainsBlanks" dxfId="98" priority="26931">
      <formula>LEN(TRIM(HK2))&gt;0</formula>
    </cfRule>
  </conditionalFormatting>
  <conditionalFormatting sqref="HL2:HL4">
    <cfRule type="cellIs" dxfId="97" priority="26924" operator="equal">
      <formula>"************"</formula>
    </cfRule>
  </conditionalFormatting>
  <conditionalFormatting sqref="HM2:HM4">
    <cfRule type="cellIs" dxfId="96" priority="26926" operator="equal">
      <formula>"CON RIESGO"</formula>
    </cfRule>
    <cfRule type="containsText" dxfId="95" priority="26928" operator="containsText" text="BAJO">
      <formula>NOT(ISERROR(SEARCH("BAJO",HM2)))</formula>
    </cfRule>
    <cfRule type="containsText" dxfId="94" priority="26929" operator="containsText" text="ALTO">
      <formula>NOT(ISERROR(SEARCH("ALTO",HM2)))</formula>
    </cfRule>
  </conditionalFormatting>
  <conditionalFormatting sqref="HN2:HN4">
    <cfRule type="cellIs" dxfId="93" priority="26671" operator="equal">
      <formula>"********************************"</formula>
    </cfRule>
    <cfRule type="notContainsBlanks" dxfId="92" priority="26672">
      <formula>LEN(TRIM(HN2))&gt;0</formula>
    </cfRule>
  </conditionalFormatting>
  <conditionalFormatting sqref="HO2:HO4">
    <cfRule type="cellIs" dxfId="91" priority="26922" operator="equal">
      <formula>"SIN ANTECEDENTES DE RIESGO"</formula>
    </cfRule>
    <cfRule type="containsText" dxfId="90" priority="26930" operator="containsText" text="ASA">
      <formula>NOT(ISERROR(SEARCH("ASA",HO2)))</formula>
    </cfRule>
  </conditionalFormatting>
  <conditionalFormatting sqref="HS2:HT4">
    <cfRule type="cellIs" dxfId="89" priority="27213" operator="equal">
      <formula>"NO"</formula>
    </cfRule>
    <cfRule type="cellIs" dxfId="88" priority="27214" operator="equal">
      <formula>"SI"</formula>
    </cfRule>
    <cfRule type="cellIs" dxfId="87" priority="27211" operator="equal">
      <formula>"SD"</formula>
    </cfRule>
  </conditionalFormatting>
  <conditionalFormatting sqref="HV2:HV4 HX2:HX4 HZ2:HZ4">
    <cfRule type="containsText" dxfId="86" priority="27042" operator="containsText" text="OTRO">
      <formula>NOT(ISERROR(SEARCH("OTRO",HV2)))</formula>
    </cfRule>
    <cfRule type="containsText" dxfId="85" priority="26935" operator="containsText" text="NO SE FORMULA">
      <formula>NOT(ISERROR(SEARCH("NO SE FORMULA",HV2)))</formula>
    </cfRule>
    <cfRule type="containsText" dxfId="84" priority="27043" operator="containsText" text="IRREGULAR">
      <formula>NOT(ISERROR(SEARCH("IRREGULAR",HV2)))</formula>
    </cfRule>
    <cfRule type="containsText" dxfId="83" priority="27044" operator="containsText" text="ADECUADO">
      <formula>NOT(ISERROR(SEARCH("ADECUADO",HV2)))</formula>
    </cfRule>
  </conditionalFormatting>
  <conditionalFormatting sqref="IK2:IK4 AE2:AF4 IA2:IA4 ID2:IE4">
    <cfRule type="cellIs" dxfId="82" priority="27239" operator="equal">
      <formula>"SD"</formula>
    </cfRule>
  </conditionalFormatting>
  <conditionalFormatting sqref="IK2:IK4 IA2:IA4 ID2:IE4">
    <cfRule type="cellIs" dxfId="81" priority="27241" operator="equal">
      <formula>"NO"</formula>
    </cfRule>
    <cfRule type="cellIs" dxfId="80" priority="27240" operator="equal">
      <formula>"SI"</formula>
    </cfRule>
  </conditionalFormatting>
  <conditionalFormatting sqref="IK2:IK4">
    <cfRule type="cellIs" dxfId="79" priority="26727" operator="equal">
      <formula>"NO ACEPTA VACUNA Y NO FIRMA DISCENTIMIENTO"</formula>
    </cfRule>
    <cfRule type="cellIs" dxfId="78" priority="26728" operator="equal">
      <formula>"CON REFUERZO"</formula>
    </cfRule>
    <cfRule type="cellIs" dxfId="77" priority="26729" operator="equal">
      <formula>"FIRMA DISENTIMIENTO"</formula>
    </cfRule>
    <cfRule type="containsText" dxfId="76" priority="26553" operator="containsText" text="PROGRAMAR">
      <formula>NOT(ISERROR(SEARCH("PROGRAMAR",IK2)))</formula>
    </cfRule>
    <cfRule type="containsText" dxfId="75" priority="26552" operator="containsText" text="PENDIENTE">
      <formula>NOT(ISERROR(SEARCH("PENDIENTE",IK2)))</formula>
    </cfRule>
    <cfRule type="cellIs" dxfId="74" priority="26726" operator="equal">
      <formula>"Error en Fecha x No Acepta no Firma"</formula>
    </cfRule>
  </conditionalFormatting>
  <conditionalFormatting sqref="IN2:IN4">
    <cfRule type="containsText" dxfId="73" priority="26860" operator="containsText" text="COLOCACIÓN">
      <formula>NOT(ISERROR(SEARCH("COLOCACIÓN",IN2)))</formula>
    </cfRule>
    <cfRule type="containsText" dxfId="72" priority="26855" operator="containsText" text="EDAD">
      <formula>NOT(ISERROR(SEARCH("EDAD",IN2)))</formula>
    </cfRule>
    <cfRule type="containsText" dxfId="71" priority="26854" operator="containsText" text="APLICADA ANTES">
      <formula>NOT(ISERROR(SEARCH("APLICADA ANTES",IN2)))</formula>
    </cfRule>
    <cfRule type="containsText" dxfId="70" priority="26861" operator="containsText" text="ESPERA">
      <formula>NOT(ISERROR(SEARCH("ESPERA",IN2)))</formula>
    </cfRule>
    <cfRule type="containsText" dxfId="69" priority="26859" operator="containsText" text="INASISTENTE">
      <formula>NOT(ISERROR(SEARCH("INASISTENTE",IN2)))</formula>
    </cfRule>
    <cfRule type="containsText" dxfId="68" priority="26858" operator="containsText" text="SEMANA 27">
      <formula>NOT(ISERROR(SEARCH("SEMANA 27",IN2)))</formula>
    </cfRule>
    <cfRule type="containsText" dxfId="67" priority="26857" operator="containsText" text="SEMANA 26">
      <formula>NOT(ISERROR(SEARCH("SEMANA 26",IN2)))</formula>
    </cfRule>
    <cfRule type="containsText" dxfId="66" priority="26856" operator="containsText" text="SALE">
      <formula>NOT(ISERROR(SEARCH("SALE",IN2)))</formula>
    </cfRule>
  </conditionalFormatting>
  <conditionalFormatting sqref="IR2:IR4">
    <cfRule type="containsText" dxfId="65" priority="27037" operator="containsText" text="POSIBLEMENTE">
      <formula>NOT(ISERROR(SEARCH("POSIBLEMENTE",IR2)))</formula>
    </cfRule>
    <cfRule type="containsText" dxfId="64" priority="27036" operator="containsText" text="MENOS">
      <formula>NOT(ISERROR(SEARCH("MENOS",IR2)))</formula>
    </cfRule>
    <cfRule type="containsText" dxfId="63" priority="27035" operator="containsText" text="SEMANA">
      <formula>NOT(ISERROR(SEARCH("SEMANA",IR2)))</formula>
    </cfRule>
    <cfRule type="containsText" dxfId="62" priority="27034" operator="containsText" text="PENDIENTE">
      <formula>NOT(ISERROR(SEARCH("PENDIENTE",IR2)))</formula>
    </cfRule>
  </conditionalFormatting>
  <conditionalFormatting sqref="IT2:IT4">
    <cfRule type="containsText" dxfId="61" priority="27033" operator="containsText" text="PARTO">
      <formula>NOT(ISERROR(SEARCH("PARTO",IT2)))</formula>
    </cfRule>
    <cfRule type="containsText" dxfId="60" priority="27028" operator="containsText" text="CAMBIO">
      <formula>NOT(ISERROR(SEARCH("CAMBIO",IT2)))</formula>
    </cfRule>
    <cfRule type="containsText" dxfId="59" priority="27029" operator="containsText" text="NEGACION">
      <formula>NOT(ISERROR(SEARCH("NEGACION",IT2)))</formula>
    </cfRule>
    <cfRule type="containsText" dxfId="58" priority="27030" operator="containsText" text="IVE">
      <formula>NOT(ISERROR(SEARCH("IVE",IT2)))</formula>
    </cfRule>
    <cfRule type="containsText" dxfId="57" priority="27031" operator="containsText" text="ABORTO">
      <formula>NOT(ISERROR(SEARCH("ABORTO",IT2)))</formula>
    </cfRule>
    <cfRule type="containsText" dxfId="56" priority="27032" operator="containsText" text="CESAREA">
      <formula>NOT(ISERROR(SEARCH("CESAREA",IT2)))</formula>
    </cfRule>
  </conditionalFormatting>
  <conditionalFormatting sqref="IU2:IU4">
    <cfRule type="cellIs" dxfId="55" priority="26541" operator="equal">
      <formula>"MORBILIDAD MATERNA EXTREMA"</formula>
    </cfRule>
    <cfRule type="containsText" dxfId="54" priority="27027" operator="containsText" text="SANA">
      <formula>NOT(ISERROR(SEARCH("SANA",IU2)))</formula>
    </cfRule>
    <cfRule type="containsText" dxfId="53" priority="27026" operator="containsText" text="MUERTE">
      <formula>NOT(ISERROR(SEARCH("MUERTE",IU2)))</formula>
    </cfRule>
    <cfRule type="cellIs" dxfId="52" priority="27025" operator="equal">
      <formula>"MUERTE Y MORBILIDAD MATERNA EXTREMA"</formula>
    </cfRule>
    <cfRule type="containsText" dxfId="51" priority="27024" operator="containsText" text="MME">
      <formula>NOT(ISERROR(SEARCH("MME",IU2)))</formula>
    </cfRule>
  </conditionalFormatting>
  <conditionalFormatting sqref="IV2:IV4">
    <cfRule type="cellIs" dxfId="50" priority="26540" operator="equal">
      <formula>"MUERTE PERINATAL Y MALFORMACIÓN CONGÉNITA"</formula>
    </cfRule>
    <cfRule type="containsText" dxfId="49" priority="27020" operator="containsText" text="MUERTE">
      <formula>NOT(ISERROR(SEARCH("MUERTE",IV2)))</formula>
    </cfRule>
    <cfRule type="containsText" dxfId="48" priority="27019" operator="containsText" text="MALFORMACIÓN">
      <formula>NOT(ISERROR(SEARCH("MALFORMACIÓN",IV2)))</formula>
    </cfRule>
    <cfRule type="containsText" dxfId="47" priority="27018" operator="containsText" text="SIFILIS">
      <formula>NOT(ISERROR(SEARCH("SIFILIS",IV2)))</formula>
    </cfRule>
    <cfRule type="containsText" dxfId="46" priority="27023" operator="containsText" text="SANO">
      <formula>NOT(ISERROR(SEARCH("SANO",IV2)))</formula>
    </cfRule>
    <cfRule type="containsText" dxfId="45" priority="27022" operator="containsText" text="HOSPITALIZACION">
      <formula>NOT(ISERROR(SEARCH("HOSPITALIZACION",IV2)))</formula>
    </cfRule>
    <cfRule type="containsText" dxfId="44" priority="27021" operator="containsText" text="UCI">
      <formula>NOT(ISERROR(SEARCH("UCI",IV2)))</formula>
    </cfRule>
  </conditionalFormatting>
  <conditionalFormatting sqref="IX2:IX4">
    <cfRule type="containsText" dxfId="43" priority="27016" operator="containsText" text="DOMICILIO">
      <formula>NOT(ISERROR(SEARCH("DOMICILIO",IX2)))</formula>
    </cfRule>
    <cfRule type="containsText" dxfId="42" priority="27014" operator="containsText" text="NO APLICA">
      <formula>NOT(ISERROR(SEARCH("NO APLICA",IX2)))</formula>
    </cfRule>
    <cfRule type="containsText" dxfId="41" priority="27015" operator="containsText" text="OTRO">
      <formula>NOT(ISERROR(SEARCH("OTRO",IX2)))</formula>
    </cfRule>
    <cfRule type="containsText" dxfId="40" priority="27017" operator="containsText" text="INSTITUCIONAL">
      <formula>NOT(ISERROR(SEARCH("INSTITUCIONAL",IX2)))</formula>
    </cfRule>
  </conditionalFormatting>
  <conditionalFormatting sqref="IY2:IY4">
    <cfRule type="containsBlanks" priority="26539" stopIfTrue="1">
      <formula>LEN(TRIM(IY2))=0</formula>
    </cfRule>
    <cfRule type="cellIs" dxfId="39" priority="26551" operator="between">
      <formula>1</formula>
      <formula>21</formula>
    </cfRule>
    <cfRule type="cellIs" dxfId="38" priority="26550" operator="between">
      <formula>22</formula>
      <formula>"&lt;33"</formula>
    </cfRule>
    <cfRule type="cellIs" dxfId="37" priority="26549" operator="between">
      <formula>33</formula>
      <formula>"&lt;37"</formula>
    </cfRule>
    <cfRule type="cellIs" dxfId="36" priority="26548" operator="between">
      <formula>"&gt;40,5"</formula>
      <formula>42</formula>
    </cfRule>
    <cfRule type="cellIs" dxfId="35" priority="26547" operator="between">
      <formula>37</formula>
      <formula>40.5</formula>
    </cfRule>
    <cfRule type="cellIs" dxfId="34" priority="26546" operator="greaterThanOrEqual">
      <formula>43</formula>
    </cfRule>
  </conditionalFormatting>
  <conditionalFormatting sqref="JA2:JA4">
    <cfRule type="containsText" dxfId="33" priority="27013" operator="containsText" text="BAJA">
      <formula>NOT(ISERROR(SEARCH("BAJA",JA2)))</formula>
    </cfRule>
    <cfRule type="containsText" dxfId="32" priority="27012" operator="containsText" text="MEDIANA">
      <formula>NOT(ISERROR(SEARCH("MEDIANA",JA2)))</formula>
    </cfRule>
    <cfRule type="containsText" dxfId="31" priority="27011" operator="containsText" text="ALTA">
      <formula>NOT(ISERROR(SEARCH("ALTA",JA2)))</formula>
    </cfRule>
    <cfRule type="containsText" dxfId="30" priority="27010" operator="containsText" text="NO APLICA">
      <formula>NOT(ISERROR(SEARCH("NO APLICA",JA2)))</formula>
    </cfRule>
  </conditionalFormatting>
  <conditionalFormatting sqref="JB2:JC4">
    <cfRule type="containsText" dxfId="29" priority="27009" operator="containsText" text="PROFESIONAL">
      <formula>NOT(ISERROR(SEARCH("PROFESIONAL",JB2)))</formula>
    </cfRule>
    <cfRule type="containsText" dxfId="28" priority="27008" operator="containsText" text="TÉCNICO">
      <formula>NOT(ISERROR(SEARCH("TÉCNICO",JB2)))</formula>
    </cfRule>
    <cfRule type="containsText" dxfId="27" priority="27007" operator="containsText" text="PARTERA">
      <formula>NOT(ISERROR(SEARCH("PARTERA",JB2)))</formula>
    </cfRule>
    <cfRule type="containsText" dxfId="26" priority="27006" operator="containsText" text="MEDICO TRADICIONAL">
      <formula>NOT(ISERROR(SEARCH("MEDICO TRADICIONAL",JB2)))</formula>
    </cfRule>
    <cfRule type="containsText" dxfId="25" priority="27005" operator="containsText" text="EQUIPO">
      <formula>NOT(ISERROR(SEARCH("EQUIPO",JB2)))</formula>
    </cfRule>
    <cfRule type="containsText" dxfId="24" priority="27004" operator="containsText" text="SIN">
      <formula>NOT(ISERROR(SEARCH("SIN",JB2)))</formula>
    </cfRule>
    <cfRule type="containsText" dxfId="23" priority="27003" operator="containsText" text="NO APLICA">
      <formula>NOT(ISERROR(SEARCH("NO APLICA",JB2)))</formula>
    </cfRule>
  </conditionalFormatting>
  <conditionalFormatting sqref="JC2:JC4">
    <cfRule type="containsText" dxfId="22" priority="26545" operator="containsText" text="ESPONTÁNEO">
      <formula>NOT(ISERROR(SEARCH("ESPONTÁNEO",JC2)))</formula>
    </cfRule>
    <cfRule type="containsText" dxfId="21" priority="26544" operator="containsText" text="LE HACEN INDUCCIÓN">
      <formula>NOT(ISERROR(SEARCH("LE HACEN INDUCCIÓN",JC2)))</formula>
    </cfRule>
    <cfRule type="containsText" dxfId="20" priority="26543" operator="containsText" text="LE HACEN CESÁREA SIN INICIO TRABAJO DE PARTO">
      <formula>NOT(ISERROR(SEARCH("LE HACEN CESÁREA SIN INICIO TRABAJO DE PARTO",JC2)))</formula>
    </cfRule>
  </conditionalFormatting>
  <conditionalFormatting sqref="JD2:JI4 KJ2:KL4">
    <cfRule type="cellIs" dxfId="19" priority="27229" operator="equal">
      <formula>"SD"</formula>
    </cfRule>
    <cfRule type="cellIs" dxfId="18" priority="27230" operator="equal">
      <formula>"NO APLICA"</formula>
    </cfRule>
    <cfRule type="cellIs" dxfId="17" priority="27231" operator="equal">
      <formula>"NO"</formula>
    </cfRule>
    <cfRule type="cellIs" dxfId="16" priority="27232" operator="equal">
      <formula>"SI"</formula>
    </cfRule>
  </conditionalFormatting>
  <conditionalFormatting sqref="JJ2:JJ4">
    <cfRule type="notContainsBlanks" dxfId="15" priority="27277">
      <formula>LEN(TRIM(JJ2))&gt;0</formula>
    </cfRule>
    <cfRule type="containsText" dxfId="14" priority="27001" operator="containsText" text="SIN COMPLICACION">
      <formula>NOT(ISERROR(SEARCH("SIN COMPLICACION",JJ2)))</formula>
    </cfRule>
    <cfRule type="containsText" dxfId="13" priority="27000" operator="containsText" text="SIN DATO">
      <formula>NOT(ISERROR(SEARCH("SIN DATO",JJ2)))</formula>
    </cfRule>
  </conditionalFormatting>
  <conditionalFormatting sqref="JN2:JN4 JX2:JX4">
    <cfRule type="containsText" dxfId="12" priority="26998" operator="containsText" text="ADECUADO">
      <formula>NOT(ISERROR(SEARCH("ADECUADO",JN2)))</formula>
    </cfRule>
    <cfRule type="containsText" dxfId="11" priority="26997" operator="containsText" text="GRANDE">
      <formula>NOT(ISERROR(SEARCH("GRANDE",JN2)))</formula>
    </cfRule>
    <cfRule type="containsText" dxfId="10" priority="26999" operator="containsText" text="BAJO">
      <formula>NOT(ISERROR(SEARCH("BAJO",JN2)))</formula>
    </cfRule>
    <cfRule type="containsText" dxfId="9" priority="26996" operator="containsText" text="PREMATURO">
      <formula>NOT(ISERROR(SEARCH("PREMATURO",JN2)))</formula>
    </cfRule>
  </conditionalFormatting>
  <conditionalFormatting sqref="JP2:JP4 JZ2:JZ4">
    <cfRule type="containsText" dxfId="8" priority="26991" operator="containsText" text="NORMAL">
      <formula>NOT(ISERROR(SEARCH("NORMAL",JP2)))</formula>
    </cfRule>
    <cfRule type="containsText" dxfId="7" priority="26990" operator="containsText" text="ANORMAL">
      <formula>NOT(ISERROR(SEARCH("ANORMAL",JP2)))</formula>
    </cfRule>
    <cfRule type="containsText" dxfId="6" priority="26989" operator="containsText" text="SIN DATO">
      <formula>NOT(ISERROR(SEARCH("SIN DATO",JP2)))</formula>
    </cfRule>
  </conditionalFormatting>
  <conditionalFormatting sqref="JR2:JR4 KB2:KB4">
    <cfRule type="containsText" dxfId="5" priority="26986" operator="containsText" text="SIN DATO">
      <formula>NOT(ISERROR(SEARCH("SIN DATO",JR2)))</formula>
    </cfRule>
    <cfRule type="containsText" dxfId="4" priority="26987" operator="containsText" text="NO">
      <formula>NOT(ISERROR(SEARCH("NO",JR2)))</formula>
    </cfRule>
    <cfRule type="containsText" dxfId="3" priority="26985" operator="containsText" text="NO APLICA">
      <formula>NOT(ISERROR(SEARCH("NO APLICA",JR2)))</formula>
    </cfRule>
    <cfRule type="containsText" dxfId="2" priority="26988" operator="containsText" text="SI">
      <formula>NOT(ISERROR(SEARCH("SI",JR2)))</formula>
    </cfRule>
  </conditionalFormatting>
  <conditionalFormatting sqref="KG2:KG4 KI2:KI4">
    <cfRule type="containsText" dxfId="1" priority="26905" operator="containsText" text="INASISTENTE">
      <formula>NOT(ISERROR(SEARCH("INASISTENTE",KG2)))</formula>
    </cfRule>
    <cfRule type="containsText" dxfId="0" priority="26529" operator="containsText" text="INCONSISTENCIA">
      <formula>NOT(ISERROR(SEARCH("INCONSISTENCIA",KG2)))</formula>
    </cfRule>
  </conditionalFormatting>
  <dataValidations xWindow="988" yWindow="739" count="90">
    <dataValidation type="list" allowBlank="1" showInputMessage="1" showErrorMessage="1" sqref="HX2:HX4" xr:uid="{00000000-0002-0000-0200-000009000000}">
      <formula1>"ADECUADO SEGÚN GPC,SUMINISTRO IRREGULAR,NO SE FORMULA,SUMINISTRO OTRO COMPLEMENTO NUTRICIONAL, SIN DATO"</formula1>
    </dataValidation>
    <dataValidation type="list" allowBlank="1" showInputMessage="1" showErrorMessage="1" sqref="BX2:BX4" xr:uid="{00000000-0002-0000-0200-00004C000000}">
      <formula1>"CEFÁLICA,PODÁLICA,TRANSVERSA,OBLICUA,SD"</formula1>
    </dataValidation>
    <dataValidation type="date" operator="greaterThan" allowBlank="1" showInputMessage="1" showErrorMessage="1" error="SOLO FECHA" sqref="DD2:DN4 GK2:GK4 GM2:GM4 DA2:DB4" xr:uid="{00000000-0002-0000-0200-000000000000}">
      <formula1>43191</formula1>
    </dataValidation>
    <dataValidation type="list" showInputMessage="1" showErrorMessage="1" sqref="HT2:HT4" xr:uid="{00000000-0002-0000-0200-000004000000}">
      <formula1>"SI, SUMINISTRO IRREGULAR,NO,SD,NO APLICA"</formula1>
    </dataValidation>
    <dataValidation type="list" allowBlank="1" showInputMessage="1" showErrorMessage="1" sqref="JR2:JR4 KB2:KB4" xr:uid="{00000000-0002-0000-0200-000005000000}">
      <formula1>"SI,NO,SIN DATO,NO APLICA"</formula1>
    </dataValidation>
    <dataValidation type="list" allowBlank="1" showInputMessage="1" showErrorMessage="1" sqref="JS2:JS4 KC2:KC4" xr:uid="{00000000-0002-0000-0200-000006000000}">
      <formula1>"O+,O-,A+,A-,B+,B-,AB+,AB-,SIN DATO,NO APLICA"</formula1>
    </dataValidation>
    <dataValidation type="list" allowBlank="1" showInputMessage="1" showErrorMessage="1" sqref="D2:D4" xr:uid="{00000000-0002-0000-0200-000007000000}">
      <formula1>"PROCESO COMPLETO DE ATENCIÓN,PROCESO PARCIAL DE ATENCIÓN, SIN ATENCIÓN, SIN DATO"</formula1>
    </dataValidation>
    <dataValidation type="date" operator="greaterThan" allowBlank="1" showInputMessage="1" showErrorMessage="1" error="VERFICAR FECHA" sqref="O2:O4" xr:uid="{00000000-0002-0000-0200-00000A000000}">
      <formula1>43101</formula1>
    </dataValidation>
    <dataValidation type="date" operator="greaterThan" allowBlank="1" showInputMessage="1" showErrorMessage="1" error="SOLO FECHA" sqref="GT2:GT4 GO2:GO4" xr:uid="{00000000-0002-0000-0200-00000B000000}">
      <formula1>43556</formula1>
    </dataValidation>
    <dataValidation type="list" allowBlank="1" showInputMessage="1" showErrorMessage="1" sqref="LP2:LP4 LD2:LD4 LT2:LT4 LX2:LX4 LH2:LH4 LL2:LL4 MN2:MN4" xr:uid="{00000000-0002-0000-0200-00000C000000}">
      <formula1>"MEDICO (A) TRADICIONAL,PARTERO (A),PULESEADOR (A),SOBANDERO (A),YERBATERO (A),OTRO "</formula1>
    </dataValidation>
    <dataValidation type="date" operator="greaterThan" allowBlank="1" showInputMessage="1" showErrorMessage="1" sqref="IL2:IM4" xr:uid="{00000000-0002-0000-0200-00000D000000}">
      <formula1>43556</formula1>
    </dataValidation>
    <dataValidation type="date" operator="greaterThan" allowBlank="1" showInputMessage="1" showErrorMessage="1" error="SOLO FECHA" sqref="IW2:IW4" xr:uid="{00000000-0002-0000-0200-00000E000000}">
      <formula1>43831</formula1>
    </dataValidation>
    <dataValidation type="date" operator="greaterThan" allowBlank="1" showInputMessage="1" showErrorMessage="1" error="SOLO FECHA" prompt="COLOCAR FECHA SEGUNDO CONTROL, NO REPETIR LA FECHA DE INGRESO" sqref="DC2:DC4" xr:uid="{00000000-0002-0000-0200-00000F000000}">
      <formula1>43191</formula1>
    </dataValidation>
    <dataValidation type="list" allowBlank="1" showInputMessage="1" showErrorMessage="1" sqref="JP2:JP4" xr:uid="{00000000-0002-0000-0200-000010000000}">
      <formula1>"NORMAL,ANORMAL,NO APLICA,SIN DATO"</formula1>
    </dataValidation>
    <dataValidation type="list" allowBlank="1" showInputMessage="1" showErrorMessage="1" sqref="AS2:AS4" xr:uid="{00000000-0002-0000-0200-000011000000}">
      <formula1>"0,1,2,3,4,5,6,7,8,9,10,11,12,13,14,15"</formula1>
    </dataValidation>
    <dataValidation type="list" allowBlank="1" showInputMessage="1" showErrorMessage="1" sqref="AR2:AR4" xr:uid="{00000000-0002-0000-0200-000012000000}">
      <formula1>"0,1,2,3,4,5,6,7,8,9,10,11,12,13,14,15,16"</formula1>
    </dataValidation>
    <dataValidation type="list" allowBlank="1" showInputMessage="1" showErrorMessage="1" sqref="AV2:AV4" xr:uid="{00000000-0002-0000-0200-000013000000}">
      <formula1>"0,1,2,3 o MAS"</formula1>
    </dataValidation>
    <dataValidation type="list" allowBlank="1" showInputMessage="1" showErrorMessage="1" sqref="AT2:AT4" xr:uid="{00000000-0002-0000-0200-000014000000}">
      <formula1>"0,1,2,3,4,5,6"</formula1>
    </dataValidation>
    <dataValidation type="list" allowBlank="1" showInputMessage="1" showErrorMessage="1" sqref="K2:K4" xr:uid="{00000000-0002-0000-0200-000015000000}">
      <formula1>"SOLTERA,UNION LIBRE, CASADA, VIUDA, SEPARADA, "</formula1>
    </dataValidation>
    <dataValidation type="list" allowBlank="1" showInputMessage="1" showErrorMessage="1" sqref="KS2:KS4 KV2:KV4" xr:uid="{00000000-0002-0000-0200-000016000000}">
      <formula1>"0,1,2,3,4,5,6,7,8,9,10,11,12,13,14,15,SD"</formula1>
    </dataValidation>
    <dataValidation type="list" allowBlank="1" showInputMessage="1" showErrorMessage="1" sqref="ER2:ER4" xr:uid="{00000000-0002-0000-0200-000017000000}">
      <formula1>"O+,O-,O--,A+,A-,A--,B+,B-,B--,AB+,AB-,AB--"</formula1>
    </dataValidation>
    <dataValidation type="list" allowBlank="1" showInputMessage="1" showErrorMessage="1" sqref="KJ2:KL4 JD2:JI4" xr:uid="{00000000-0002-0000-0200-000018000000}">
      <formula1>"SI, NO, NO APLICA, SD"</formula1>
    </dataValidation>
    <dataValidation type="list" allowBlank="1" showInputMessage="1" showErrorMessage="1" sqref="JK2:JK4" xr:uid="{00000000-0002-0000-0200-000019000000}">
      <formula1>"0,1,2,3,4,SIN DATO,NO APLICA"</formula1>
    </dataValidation>
    <dataValidation type="list" allowBlank="1" showInputMessage="1" showErrorMessage="1" sqref="AI2:AI4"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4 GX2:GX4" xr:uid="{00000000-0002-0000-0200-00001B000000}">
      <formula1>"0,1,2,3,4,5,6,7,8,9,NO APLICA"</formula1>
    </dataValidation>
    <dataValidation type="list" allowBlank="1" showInputMessage="1" showErrorMessage="1" sqref="BL2:BL4" xr:uid="{00000000-0002-0000-0200-00001C000000}">
      <formula1>"SI,NO,SD,CORREGIDA"</formula1>
    </dataValidation>
    <dataValidation type="list" allowBlank="1" showInputMessage="1" showErrorMessage="1" sqref="AW2:BI4 IA2:IA4 AU2:AU4 AL2:AQ4 AJ2:AJ4 AE2:AH4 ID2:ID4 BY2:BY4 BV2:BW4" xr:uid="{00000000-0002-0000-0200-00001D000000}">
      <formula1>"SI,NO,SD"</formula1>
    </dataValidation>
    <dataValidation type="list" allowBlank="1" showInputMessage="1" showErrorMessage="1" sqref="AD2:AD4" xr:uid="{00000000-0002-0000-0200-00001E000000}">
      <formula1>"SEMILLAS DE VIDA,CERO A SIEMPRE, RED UNIDOS,PROGRAMA ICBF, FAMILIAS ACCIÓN, OTRO, NINGUNO, SIN DATO"</formula1>
    </dataValidation>
    <dataValidation type="list" allowBlank="1" showInputMessage="1" showErrorMessage="1" sqref="I2:I4"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4" xr:uid="{00000000-0002-0000-0200-000020000000}">
      <formula1>"INSTITUCIONAL,DOMICILIO,OTRO,NO APLICA,SIN DATO"</formula1>
    </dataValidation>
    <dataValidation type="list" allowBlank="1" showInputMessage="1" showErrorMessage="1" sqref="EH2:EH4" xr:uid="{00000000-0002-0000-0200-000021000000}">
      <formula1>"0,1,2,3,4,5,6,7,8,9,SIN DATO"</formula1>
    </dataValidation>
    <dataValidation type="list" allowBlank="1" showInputMessage="1" showErrorMessage="1" sqref="AA2:AA4" xr:uid="{00000000-0002-0000-0200-000022000000}">
      <formula1>"INDIGENA,ROM-GITANO,RAIZAL,PALENQUERO,AFRODESCENDIENTE,MESTIZA,OTRO"</formula1>
    </dataValidation>
    <dataValidation type="list" allowBlank="1" showInputMessage="1" showErrorMessage="1" sqref="V2:V4" xr:uid="{00000000-0002-0000-0200-000023000000}">
      <formula1>"URBANO,RURAL,SIN DATO"</formula1>
    </dataValidation>
    <dataValidation type="list" allowBlank="1" showInputMessage="1" showErrorMessage="1" sqref="S2:S4" xr:uid="{00000000-0002-0000-0200-000024000000}">
      <formula1>"SUBSIDIADO,CONTRIBUTIVO,REGIMEN ESPECIAL,PARTICULAR,NO AFILIADO,SIN DATO"</formula1>
    </dataValidation>
    <dataValidation type="list" allowBlank="1" showInputMessage="1" showErrorMessage="1" sqref="AC2:AC4"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4 GN2:GN4 GQ2:GR4" xr:uid="{00000000-0002-0000-0200-000026000000}">
      <formula1>"NEGATIVO,POSITIVO,SIN DATO"</formula1>
    </dataValidation>
    <dataValidation type="list" allowBlank="1" showInputMessage="1" showErrorMessage="1" sqref="JV2:JV4 JL2:JL4" xr:uid="{00000000-0002-0000-0200-000027000000}">
      <formula1>"FEMENINO,MASCULINO,NO APLICA,SIN DATO"</formula1>
    </dataValidation>
    <dataValidation type="list" allowBlank="1" showInputMessage="1" showErrorMessage="1" sqref="JZ2:JZ4" xr:uid="{00000000-0002-0000-0200-000028000000}">
      <formula1>"NORMAL,ANORMAL,SIN DATO,NO APLICA"</formula1>
    </dataValidation>
    <dataValidation type="list" allowBlank="1" showInputMessage="1" showErrorMessage="1" sqref="AB2:AB4"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4"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4" xr:uid="{00000000-0002-0000-0200-00002B000000}">
      <formula1>1</formula1>
      <formula2>3</formula2>
    </dataValidation>
    <dataValidation type="list" allowBlank="1" showInputMessage="1" showErrorMessage="1" sqref="GH2:GH4 GB2:GB4 GE2:GE4 GJ2:GJ4 FY2:FY4" xr:uid="{00000000-0002-0000-0200-00002C000000}">
      <formula1>"P.R REACTIVA,P.R NO REACTIVA,ELISA REACTIVA,ELISA NO REACTIVA,SIN DATO,NO APLICA"</formula1>
    </dataValidation>
    <dataValidation type="list" allowBlank="1" showInputMessage="1" showErrorMessage="1" sqref="GL2:GL4" xr:uid="{00000000-0002-0000-0200-00002D000000}">
      <formula1>"POSITIVA,NEGATIVA,NO CONCLUYENTE, SIN DATO, NO APLICA"</formula1>
    </dataValidation>
    <dataValidation type="list" allowBlank="1" showInputMessage="1" showErrorMessage="1" sqref="HS2:HS4" xr:uid="{00000000-0002-0000-0200-00002E000000}">
      <formula1>"SI, NO,SD"</formula1>
    </dataValidation>
    <dataValidation type="list" allowBlank="1" showInputMessage="1" showErrorMessage="1" sqref="JA2:JA4" xr:uid="{00000000-0002-0000-0200-00002F000000}">
      <formula1>"BAJA,MEDIANA,ALTA,NO APLICA,SIN DATO"</formula1>
    </dataValidation>
    <dataValidation type="list" allowBlank="1" showInputMessage="1" showErrorMessage="1" sqref="JJ2:JJ4"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4"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4" xr:uid="{00000000-0002-0000-0200-000032000000}">
      <formula1>0.1</formula1>
      <formula2>42</formula2>
    </dataValidation>
    <dataValidation type="whole" allowBlank="1" showInputMessage="1" showErrorMessage="1" error="SOLO NÚMERO ENTERO" sqref="CP2:CQ4 CS2:CT4" xr:uid="{00000000-0002-0000-0200-000033000000}">
      <formula1>40</formula1>
      <formula2>200</formula2>
    </dataValidation>
    <dataValidation type="whole" allowBlank="1" showInputMessage="1" showErrorMessage="1" error="DIGITE NÚMERO ENTERO" sqref="CV2:CY4" xr:uid="{00000000-0002-0000-0200-000034000000}">
      <formula1>40</formula1>
      <formula2>250</formula2>
    </dataValidation>
    <dataValidation type="decimal" allowBlank="1" showInputMessage="1" showErrorMessage="1" error="SOLO NÚMERO" sqref="EI2:EI4" xr:uid="{00000000-0002-0000-0200-000035000000}">
      <formula1>1</formula1>
      <formula2>20</formula2>
    </dataValidation>
    <dataValidation type="list" allowBlank="1" showInputMessage="1" showErrorMessage="1" sqref="GW2:GW4" xr:uid="{00000000-0002-0000-0200-000036000000}">
      <formula1>"NEGATIVO,POSITIVO,NO APLICA,SIN DATO"</formula1>
    </dataValidation>
    <dataValidation type="date" operator="greaterThan" allowBlank="1" showInputMessage="1" showErrorMessage="1" error="SOLO FECHA VIGENTE UN AÑO" sqref="GZ2:GZ4" xr:uid="{00000000-0002-0000-0200-000037000000}">
      <formula1>42370</formula1>
    </dataValidation>
    <dataValidation type="list" allowBlank="1" showInputMessage="1" showErrorMessage="1" sqref="GY2:GY4"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4" xr:uid="{00000000-0002-0000-0200-000039000000}">
      <formula1>36526</formula1>
    </dataValidation>
    <dataValidation type="date" operator="greaterThan" allowBlank="1" showInputMessage="1" showErrorMessage="1" error="SOLO FECHA" sqref="IS2:IS4" xr:uid="{00000000-0002-0000-0200-00003A000000}">
      <formula1>42736</formula1>
    </dataValidation>
    <dataValidation type="list" allowBlank="1" showInputMessage="1" showErrorMessage="1" sqref="KO2:KP4"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4" xr:uid="{00000000-0002-0000-0200-00003C000000}">
      <formula1>40909</formula1>
    </dataValidation>
    <dataValidation type="whole" allowBlank="1" showInputMessage="1" showErrorMessage="1" error="SOLO NÚMEROS " promptTitle="ADVERTENCIA" prompt="SOLO ESCRIBIR NÚMEROS " sqref="EY2:EY4"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4" xr:uid="{00000000-0002-0000-0200-00003E000000}">
      <formula1>0</formula1>
      <formula2>700</formula2>
    </dataValidation>
    <dataValidation type="list" allowBlank="1" showInputMessage="1" showErrorMessage="1" prompt="REVISAR LISTA DESPLEGABLE, SE AUMENTAN NOVEDADES" sqref="Q2:Q4"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4" xr:uid="{00000000-0002-0000-0200-000040000000}">
      <formula1>44561</formula1>
    </dataValidation>
    <dataValidation type="date" operator="greaterThan" allowBlank="1" showInputMessage="1" showErrorMessage="1" error="VERIFICAR FECHA" sqref="R2:R4" xr:uid="{00000000-0002-0000-0200-000041000000}">
      <formula1>43831</formula1>
    </dataValidation>
    <dataValidation type="date" operator="greaterThan" allowBlank="1" showInputMessage="1" showErrorMessage="1" error="DIGITE FECHA" sqref="BZ2:BZ4" xr:uid="{00000000-0002-0000-0200-000042000000}">
      <formula1>43831</formula1>
    </dataValidation>
    <dataValidation type="date" operator="greaterThan" allowBlank="1" showInputMessage="1" showErrorMessage="1" error="DIGITE FECHA " sqref="CE2:CE4" xr:uid="{00000000-0002-0000-0200-000043000000}">
      <formula1>43831</formula1>
    </dataValidation>
    <dataValidation type="date" operator="greaterThan" allowBlank="1" showInputMessage="1" showErrorMessage="1" error="DIGITE SOLO FECHA" sqref="FC2:FC4" xr:uid="{00000000-0002-0000-0200-000044000000}">
      <formula1>43831</formula1>
    </dataValidation>
    <dataValidation type="date" operator="lessThanOrEqual" allowBlank="1" showInputMessage="1" showErrorMessage="1" error="INGRESE SOLO FECHA" sqref="BR2:BR4 BK2:BK4" xr:uid="{00000000-0002-0000-0200-000045000000}">
      <formula1>45013</formula1>
    </dataValidation>
    <dataValidation type="list" allowBlank="1" showInputMessage="1" showErrorMessage="1" sqref="HJ2:HJ4"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4 IF2:IF4 IH2:IH4" xr:uid="{00000000-0002-0000-0200-000047000000}">
      <formula1>44255</formula1>
    </dataValidation>
    <dataValidation type="list" allowBlank="1" showInputMessage="1" showErrorMessage="1" sqref="IE2:IE4" xr:uid="{00000000-0002-0000-0200-000048000000}">
      <formula1>"Astrazeneca,Firma Disentimiento,Janssen,Moderna,No Acepta y No Firma Disentimiento,Pfizer,Sinovac"</formula1>
    </dataValidation>
    <dataValidation type="list" operator="greaterThan" allowBlank="1" showInputMessage="1" showErrorMessage="1" sqref="II2:II4 IG2:IG4" xr:uid="{00000000-0002-0000-0200-000049000000}">
      <formula1>"Astrazeneca,Firma Disentimiento,Janssen,Moderna,No Acepta y No Firma Disentimiento,Pfizer,Sinovac"</formula1>
    </dataValidation>
    <dataValidation type="list" allowBlank="1" showInputMessage="1" showErrorMessage="1" sqref="HH2:HH4" xr:uid="{00000000-0002-0000-0200-00004D000000}">
      <formula1>"NO APLICA (Sin factor de riesgo - no zona endémica),NEGATIVO, POSITIVO,SOLICITADO NO TOMADO"</formula1>
    </dataValidation>
    <dataValidation type="list" allowBlank="1" showInputMessage="1" showErrorMessage="1" sqref="HD2:HD4" xr:uid="{00000000-0002-0000-0200-00004E000000}">
      <formula1>"NO APLICA (Sin factor de riesgo),NEGATIVO,POSITIVO,INDETERMINADO,SOLICITADO Y NO TOMADO"</formula1>
    </dataValidation>
    <dataValidation type="list" allowBlank="1" showInputMessage="1" showErrorMessage="1" sqref="FH2:FH4 FK2:FK4 FN2:FN4"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4" xr:uid="{00000000-0002-0000-0200-000050000000}">
      <formula1>"INICIO ESPONTÁNEO, LE HACEN INDUCCIÓN, LE HACEN CESÁREA SIN INICIO TRABAJO DE PARTO,SIN DATO"</formula1>
    </dataValidation>
    <dataValidation type="list" allowBlank="1" showInputMessage="1" showErrorMessage="1" sqref="FE2:FE4" xr:uid="{00000000-0002-0000-0200-000051000000}">
      <formula1>"P. R NEGATIVA,P. R POSITIVA CASO SIFILIS,P.R POSITIVA CICATRIZ"</formula1>
    </dataValidation>
    <dataValidation type="list" allowBlank="1" showInputMessage="1" showErrorMessage="1" sqref="HF2:HF4" xr:uid="{00000000-0002-0000-0200-000052000000}">
      <formula1>"NO APLICA (Sin factor de riesgo - No zona endémica),NEGATIVO, POSITIVO,SOLICITADO NO TOMADO"</formula1>
    </dataValidation>
    <dataValidation type="list" allowBlank="1" showInputMessage="1" showErrorMessage="1" sqref="T2:T4"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4" xr:uid="{00000000-0002-0000-0200-000055000000}">
      <formula1>"MADRE SANA, MORBILIDAD MATERNA EXTREMA, MUERTE MATERNA, MUERTE Y MORBILIDAD MATERNA EXTREMA, MADRE HOSPITALIZADA SIN MME,SIN DATO"</formula1>
    </dataValidation>
    <dataValidation type="list" allowBlank="1" showInputMessage="1" showErrorMessage="1" sqref="IV2:IV4"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4"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4" xr:uid="{00000000-0002-0000-0200-000059000000}"/>
    <dataValidation type="list" allowBlank="1" showInputMessage="1" showErrorMessage="1" sqref="HV2:HV4" xr:uid="{00000000-0002-0000-0200-00005A000000}">
      <formula1>"ADECUADO SEGÚN GPC, SUMINISTRO IRREGULAR, NO SE FORMULA, SUMINISTRO OTRO COMPLEMENTO NUTRICIONAL, NO APLICA, SIN DATO"</formula1>
    </dataValidation>
    <dataValidation type="list" allowBlank="1" showInputMessage="1" showErrorMessage="1" sqref="HZ2:HZ4"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4 KF2:KF4" xr:uid="{00000000-0002-0000-0200-00005C000000}">
      <formula1>44561</formula1>
    </dataValidation>
    <dataValidation type="list" operator="greaterThan" allowBlank="1" showInputMessage="1" showErrorMessage="1" error="SOLO FECHA" sqref="DO2:DO4" xr:uid="{00000000-0002-0000-0200-00004A000000}">
      <formula1>"0,1,2,3,4,5,6,7"</formula1>
    </dataValidation>
    <dataValidation operator="greaterThan" allowBlank="1" showInputMessage="1" showErrorMessage="1" error="SOLO FECHA" sqref="DP2:DQ4" xr:uid="{00000000-0002-0000-0200-00004B000000}"/>
    <dataValidation type="date" operator="greaterThanOrEqual" allowBlank="1" showInputMessage="1" showErrorMessage="1" error="REVISAR FECHA INGRESO CPN" sqref="HU2:HU4" xr:uid="{00000000-0002-0000-0200-000001000000}">
      <formula1>R2</formula1>
    </dataValidation>
    <dataValidation type="date" operator="greaterThanOrEqual" allowBlank="1" showInputMessage="1" showErrorMessage="1" error="REVISAR FECHA INGRESO CPN" sqref="HW2:HW4" xr:uid="{00000000-0002-0000-0200-000002000000}">
      <formula1>R2</formula1>
    </dataValidation>
    <dataValidation type="date" operator="greaterThanOrEqual" allowBlank="1" showInputMessage="1" showErrorMessage="1" error="REVISAR FECHA INGRESO CPN" sqref="HY2:HY4"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P2:P4</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BX2:BX4</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HD2:HD4 HF2:HF4 HH2:HH4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7" t="s">
        <v>475</v>
      </c>
      <c r="B1" s="237"/>
      <c r="C1" s="237"/>
      <c r="D1" s="237"/>
      <c r="E1" s="237"/>
      <c r="F1" s="237"/>
    </row>
    <row r="2" spans="1:342" ht="44.25" customHeight="1" x14ac:dyDescent="0.3">
      <c r="A2" s="238" t="s">
        <v>637</v>
      </c>
      <c r="B2" s="238"/>
      <c r="C2" s="238"/>
      <c r="D2" s="238"/>
      <c r="E2" s="238"/>
      <c r="F2" s="238"/>
    </row>
    <row r="3" spans="1:342" ht="44.25" customHeight="1" x14ac:dyDescent="0.3">
      <c r="A3" s="238" t="s">
        <v>531</v>
      </c>
      <c r="B3" s="238"/>
      <c r="C3" s="238"/>
      <c r="D3" s="238"/>
      <c r="E3" s="238"/>
      <c r="F3" s="238"/>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9" t="s">
        <v>211</v>
      </c>
      <c r="AM5" s="239"/>
      <c r="AN5" s="239"/>
      <c r="AO5" s="239"/>
      <c r="AP5" s="239"/>
      <c r="AQ5" s="239"/>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4" t="s">
        <v>533</v>
      </c>
      <c r="DD5" s="235"/>
      <c r="DE5" s="235"/>
      <c r="DF5" s="235"/>
      <c r="DG5" s="235"/>
      <c r="DH5" s="235"/>
      <c r="DI5" s="235"/>
      <c r="DJ5" s="235"/>
      <c r="DK5" s="235"/>
      <c r="DL5" s="235"/>
      <c r="DM5" s="235"/>
      <c r="DN5" s="236"/>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40" t="s">
        <v>244</v>
      </c>
      <c r="EB5" s="241"/>
      <c r="EC5" s="241"/>
      <c r="ED5" s="241"/>
      <c r="EE5" s="242"/>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4" t="s">
        <v>281</v>
      </c>
      <c r="JW5" s="235"/>
      <c r="JX5" s="235"/>
      <c r="JY5" s="235"/>
      <c r="JZ5" s="235"/>
      <c r="KA5" s="235"/>
      <c r="KB5" s="235"/>
      <c r="KC5" s="235"/>
      <c r="KD5" s="235"/>
      <c r="KE5" s="236"/>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07" priority="5">
      <formula>LEN(TRIM(IY4))&gt;0</formula>
    </cfRule>
  </conditionalFormatting>
  <conditionalFormatting sqref="JN4">
    <cfRule type="notContainsBlanks" dxfId="306" priority="4">
      <formula>LEN(TRIM(JN4))&gt;0</formula>
    </cfRule>
  </conditionalFormatting>
  <conditionalFormatting sqref="JX4">
    <cfRule type="notContainsBlanks" dxfId="305" priority="3">
      <formula>LEN(TRIM(JX4))&gt;0</formula>
    </cfRule>
  </conditionalFormatting>
  <conditionalFormatting sqref="KG4">
    <cfRule type="notContainsBlanks" dxfId="304" priority="2">
      <formula>LEN(TRIM(KG4))&gt;0</formula>
    </cfRule>
  </conditionalFormatting>
  <conditionalFormatting sqref="KI4">
    <cfRule type="notContainsBlanks" dxfId="303"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55" t="s">
        <v>812</v>
      </c>
      <c r="C13" s="256"/>
      <c r="D13" s="257" t="s">
        <v>833</v>
      </c>
      <c r="E13" s="258"/>
      <c r="F13" s="103"/>
      <c r="G13" s="103"/>
      <c r="H13" s="103"/>
      <c r="I13" s="103"/>
      <c r="J13" s="103"/>
      <c r="K13" s="103"/>
      <c r="L13" s="103"/>
      <c r="M13" s="103"/>
    </row>
    <row r="14" spans="1:13" ht="26.25" thickBot="1" x14ac:dyDescent="0.3">
      <c r="A14" s="221" t="s">
        <v>803</v>
      </c>
      <c r="B14" s="224">
        <f>COUNTIFS(Tabla1[GESTANTES ACTUALES],"ACTIVA INGRESO A CPN",Tabla1[RIESGO BIOPSICOSOCIAL],"ALTO RIESGO",Tabla1[FECHA ASISTENCIA PRIMERA VEZ CON GINECOLOGÍA],"&lt;&gt;",Tabla1[ASEGURADORA],$A$13)</f>
        <v>0</v>
      </c>
      <c r="C14" s="251" t="str">
        <f>IFERROR((SUM(B14/B15)),"")</f>
        <v/>
      </c>
      <c r="D14" s="224">
        <f>COUNTIFS(Tabla1[GESTANTES ACTUALES],"ACTIVA INGRESO A CPN",Tabla1[RIESGO BIOPSICOSOCIAL],"ALTO RIESGO",Tabla1[FECHA ASISTENCIA PRIMERA VEZ CON GINECOLOGÍA],"&lt;&gt;")</f>
        <v>0</v>
      </c>
      <c r="E14" s="251" t="str">
        <f>IFERROR(SUM(D14/D15),"")</f>
        <v/>
      </c>
      <c r="F14" s="103"/>
      <c r="G14" s="103"/>
      <c r="H14" s="103"/>
      <c r="I14" s="103"/>
      <c r="J14" s="103"/>
      <c r="K14" s="103"/>
      <c r="L14" s="103"/>
      <c r="M14" s="103"/>
    </row>
    <row r="15" spans="1:13" ht="23.25" customHeight="1" thickBot="1" x14ac:dyDescent="0.3">
      <c r="A15" s="221" t="s">
        <v>802</v>
      </c>
      <c r="B15" s="224">
        <f>COUNTIFS(Tabla1[GESTANTES ACTUALES],"ACTIVA INGRESO A CPN",Tabla1[RIESGO BIOPSICOSOCIAL],"ALTO RIESGO",Tabla1[ASEGURADORA],$A$13)</f>
        <v>0</v>
      </c>
      <c r="C15" s="252"/>
      <c r="D15" s="224">
        <f>COUNTIFS(Tabla1[GESTANTES ACTUALES],"ACTIVA INGRESO A CPN",Tabla1[RIESGO BIOPSICOSOCIAL],"ALTO RIESGO")</f>
        <v>0</v>
      </c>
      <c r="E15" s="252"/>
      <c r="F15" s="103"/>
      <c r="G15" s="103"/>
      <c r="H15" s="103"/>
      <c r="I15" s="103"/>
      <c r="J15" s="103"/>
      <c r="K15" s="103"/>
      <c r="L15" s="103"/>
      <c r="M15" s="103"/>
    </row>
    <row r="16" spans="1:13" ht="19.5" thickBot="1" x14ac:dyDescent="0.35">
      <c r="B16" s="255" t="s">
        <v>812</v>
      </c>
      <c r="C16" s="256"/>
      <c r="D16" s="257" t="s">
        <v>833</v>
      </c>
      <c r="E16" s="258"/>
      <c r="F16" s="103"/>
      <c r="G16" s="103"/>
      <c r="H16" s="103"/>
      <c r="I16" s="103"/>
      <c r="J16" s="103"/>
      <c r="K16" s="103"/>
      <c r="L16" s="103"/>
      <c r="M16" s="103"/>
    </row>
    <row r="17" spans="1:13" ht="26.25" thickBot="1" x14ac:dyDescent="0.3">
      <c r="A17" s="221" t="s">
        <v>811</v>
      </c>
      <c r="B17" s="224">
        <f>COUNTIFS(Tabla1[GESTANTES ACTUALES],"ACTIVA INGRESO A CPN",Tabla1['# DE MUJERES CON SUMINISTRO ADECUADO DE MICRONUTRIENTES],"COMPLETO",Tabla1[ASEGURADORA],$A$13)</f>
        <v>0</v>
      </c>
      <c r="C17" s="253" t="str">
        <f>IFERROR(SUM(B17/B18),"")</f>
        <v/>
      </c>
      <c r="D17" s="224">
        <f>COUNTIFS(Tabla1[GESTANTES ACTUALES],"ACTIVA INGRESO A CPN",Tabla1['# DE MUJERES CON SUMINISTRO ADECUADO DE MICRONUTRIENTES],"COMPLETO")</f>
        <v>0</v>
      </c>
      <c r="E17" s="253"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4"/>
      <c r="D18" s="224">
        <f>COUNTIFS(Tabla1[GESTANTES ACTUALES],"ACTIVA INGRESO A CPN")</f>
        <v>0</v>
      </c>
      <c r="E18" s="254"/>
      <c r="F18" s="103"/>
      <c r="G18" s="103"/>
      <c r="H18" s="103"/>
      <c r="I18" s="103"/>
      <c r="J18" s="103"/>
      <c r="K18" s="103"/>
      <c r="L18" s="103"/>
      <c r="M18" s="103"/>
    </row>
    <row r="19" spans="1:13" ht="19.5" thickBot="1" x14ac:dyDescent="0.35">
      <c r="B19" s="255" t="s">
        <v>812</v>
      </c>
      <c r="C19" s="256"/>
      <c r="D19" s="257" t="s">
        <v>833</v>
      </c>
      <c r="E19" s="258"/>
      <c r="F19" s="103"/>
      <c r="G19" s="103"/>
      <c r="H19" s="103"/>
      <c r="I19" s="103"/>
      <c r="J19" s="103"/>
      <c r="K19" s="103"/>
      <c r="L19" s="103"/>
      <c r="M19" s="103"/>
    </row>
    <row r="20" spans="1:13" ht="26.25" thickBot="1" x14ac:dyDescent="0.3">
      <c r="A20" s="221" t="s">
        <v>832</v>
      </c>
      <c r="B20" s="224">
        <f>COUNTIFS(Tabla1[GESTANTES ACTUALES],"ACTIVA INGRESO A CPN",Tabla1[Alarma de apoyo Tamizaje Sífilis],"COMPLETO",Tabla1[ASEGURADORA],$A$13)</f>
        <v>0</v>
      </c>
      <c r="C20" s="259" t="str">
        <f>IFERROR(SUM(B20/B21),"")</f>
        <v/>
      </c>
      <c r="D20" s="224">
        <f>COUNTIFS(Tabla1[GESTANTES ACTUALES],"ACTIVA INGRESO A CPN",Tabla1[Alarma de apoyo Tamizaje Sífilis],"COMPLETO")</f>
        <v>0</v>
      </c>
      <c r="E20" s="259"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60"/>
      <c r="D21" s="224">
        <f>COUNTIFS(Tabla1[GESTANTES ACTUALES],"ACTIVA INGRESO A CPN")</f>
        <v>0</v>
      </c>
      <c r="E21" s="260"/>
      <c r="F21" s="103"/>
      <c r="G21" s="103"/>
      <c r="H21" s="103"/>
      <c r="I21" s="103"/>
      <c r="J21" s="103"/>
      <c r="K21" s="103"/>
      <c r="L21" s="103"/>
      <c r="M21" s="103"/>
    </row>
    <row r="22" spans="1:13" ht="19.5" thickBot="1" x14ac:dyDescent="0.35">
      <c r="B22" s="255" t="s">
        <v>812</v>
      </c>
      <c r="C22" s="256"/>
      <c r="D22" s="257" t="s">
        <v>833</v>
      </c>
      <c r="E22" s="258"/>
      <c r="F22" s="103"/>
      <c r="G22" s="103"/>
      <c r="H22" s="103"/>
      <c r="I22" s="103"/>
      <c r="J22" s="103"/>
      <c r="K22" s="103"/>
      <c r="L22" s="103"/>
      <c r="M22" s="103"/>
    </row>
    <row r="23" spans="1:13" ht="26.25" thickBot="1" x14ac:dyDescent="0.3">
      <c r="A23" s="221" t="s">
        <v>836</v>
      </c>
      <c r="B23" s="224">
        <f>COUNTIFS(Tabla1[GESTANTES ACTUALES],"ACTIVA INGRESO A CPN",Tabla1[Alarma de apoyo Tamizaje VIH],"COMPLETO",Tabla1[ASEGURADORA],$A$13)</f>
        <v>0</v>
      </c>
      <c r="C23" s="259" t="str">
        <f>IFERROR(SUM(B23/B24),"")</f>
        <v/>
      </c>
      <c r="D23" s="224">
        <f>COUNTIFS(Tabla1[GESTANTES ACTUALES],"ACTIVA INGRESO A CPN",Tabla1[Alarma de apoyo Tamizaje VIH],"COMPLETO")</f>
        <v>0</v>
      </c>
      <c r="E23" s="259"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60"/>
      <c r="D24" s="224">
        <f>COUNTIFS(Tabla1[GESTANTES ACTUALES],"ACTIVA INGRESO A CPN")</f>
        <v>0</v>
      </c>
      <c r="E24" s="260"/>
      <c r="F24" s="103"/>
      <c r="G24" s="103"/>
      <c r="H24" s="103"/>
      <c r="I24" s="103"/>
      <c r="J24" s="103"/>
      <c r="K24" s="103"/>
      <c r="L24" s="103"/>
      <c r="M24" s="103"/>
    </row>
    <row r="25" spans="1:13" ht="19.5" thickBot="1" x14ac:dyDescent="0.35">
      <c r="B25" s="255" t="s">
        <v>812</v>
      </c>
      <c r="C25" s="256"/>
      <c r="D25" s="257" t="s">
        <v>833</v>
      </c>
      <c r="E25" s="258"/>
      <c r="F25" s="103"/>
      <c r="G25" s="103"/>
      <c r="H25" s="103"/>
      <c r="I25" s="103"/>
      <c r="J25" s="103"/>
      <c r="K25" s="103"/>
      <c r="L25" s="103"/>
      <c r="M25" s="103"/>
    </row>
    <row r="26" spans="1:13" ht="26.25" thickBot="1" x14ac:dyDescent="0.3">
      <c r="A26" s="221" t="s">
        <v>835</v>
      </c>
      <c r="B26" s="224">
        <f>COUNTIFS(Tabla1[GESTANTES ACTUALES],"ACTIVA INGRESO A CPN",Tabla1[SEMANAS DE GESTACION ACTUALIZADAS],"&gt;36",Tabla1[SEMANAS DE GESTACION ACTUALIZADAS],"&lt;44",Tabla1[FECHA DE CONCERTACIÓN PLAN DE PARTO (Soporte HC)],"&lt;&gt;",Tabla1[ASEGURADORA],$A$13)</f>
        <v>0</v>
      </c>
      <c r="C26" s="259" t="str">
        <f>IFERROR(SUM(B26/B27),"")</f>
        <v/>
      </c>
      <c r="D26" s="224">
        <f>COUNTIFS(Tabla1[GESTANTES ACTUALES],"ACTIVA INGRESO A CPN",Tabla1[SEMANAS DE GESTACION ACTUALIZADAS],"&gt;36",Tabla1[SEMANAS DE GESTACION ACTUALIZADAS],"&lt;44",Tabla1[FECHA DE CONCERTACIÓN PLAN DE PARTO (Soporte HC)],"&lt;&gt;")</f>
        <v>0</v>
      </c>
      <c r="E26" s="259" t="str">
        <f>IFERROR(SUM(D26/D27),"")</f>
        <v/>
      </c>
      <c r="F26" s="103"/>
      <c r="G26" s="103"/>
      <c r="H26" s="103"/>
      <c r="I26" s="103"/>
      <c r="J26" s="103"/>
      <c r="K26" s="103"/>
      <c r="L26" s="103"/>
      <c r="M26" s="103"/>
    </row>
    <row r="27" spans="1:13" ht="15.75" thickBot="1" x14ac:dyDescent="0.3">
      <c r="A27" s="75" t="s">
        <v>834</v>
      </c>
      <c r="B27" s="224">
        <f>COUNTIFS(Tabla1[GESTANTES ACTUALES],"ACTIVA INGRESO A CPN",Tabla1[SEMANAS DE GESTACION ACTUALIZADAS],"&gt;36",Tabla1[SEMANAS DE GESTACION ACTUALIZADAS],"&lt;44",Tabla1[ASEGURADORA],$A$13)</f>
        <v>0</v>
      </c>
      <c r="C27" s="260"/>
      <c r="D27" s="224">
        <f>COUNTIFS(Tabla1[GESTANTES ACTUALES],"ACTIVA INGRESO A CPN",Tabla1[SEMANAS DE GESTACION ACTUALIZADAS],"&gt;36",Tabla1[SEMANAS DE GESTACION ACTUALIZADAS],"&lt;44")</f>
        <v>0</v>
      </c>
      <c r="E27" s="260"/>
      <c r="F27" s="103"/>
      <c r="G27" s="103"/>
      <c r="H27" s="103"/>
      <c r="I27" s="103"/>
      <c r="J27" s="103"/>
      <c r="K27" s="103"/>
      <c r="L27" s="103"/>
      <c r="M27" s="103"/>
    </row>
    <row r="28" spans="1:13" ht="19.5" thickBot="1" x14ac:dyDescent="0.35">
      <c r="B28" s="255" t="s">
        <v>812</v>
      </c>
      <c r="C28" s="256"/>
      <c r="D28" s="257" t="s">
        <v>833</v>
      </c>
      <c r="E28" s="258"/>
      <c r="F28" s="103"/>
      <c r="G28" s="103"/>
      <c r="H28" s="103"/>
      <c r="I28" s="103"/>
      <c r="J28" s="103"/>
      <c r="K28" s="103"/>
      <c r="L28" s="103"/>
      <c r="M28" s="103"/>
    </row>
    <row r="29" spans="1:13" ht="26.25" thickBot="1" x14ac:dyDescent="0.3">
      <c r="A29" s="232" t="s">
        <v>850</v>
      </c>
      <c r="B29" s="224">
        <f>COUNTIFS(Tabla1[GESTANTES ACTUALES],"ACTIVA INGRESO A CPN",Tabla1[SEMANAS DE GESTACION ACTUALIZADAS],"&gt;36",Tabla1[SEMANAS DE GESTACION ACTUALIZADAS],"&lt;44",Tabla1[FECHA VACUNA DPT ACELULAR],"&lt;&gt;",Tabla1[ASEGURADORA],$A$13)</f>
        <v>0</v>
      </c>
      <c r="C29" s="259" t="str">
        <f>IFERROR(SUM(B29/B30),"")</f>
        <v/>
      </c>
      <c r="D29" s="224">
        <f>COUNTIFS(Tabla1[GESTANTES ACTUALES],"ACTIVA INGRESO A CPN",Tabla1[SEMANAS DE GESTACION ACTUALIZADAS],"&gt;36",Tabla1[SEMANAS DE GESTACION ACTUALIZADAS],"&lt;44",Tabla1[FECHA VACUNA DPT ACELULAR],"&lt;&gt;")</f>
        <v>0</v>
      </c>
      <c r="E29" s="259" t="str">
        <f>IFERROR(SUM(D29/D30),"")</f>
        <v/>
      </c>
      <c r="F29" s="103"/>
      <c r="G29" s="103"/>
      <c r="H29" s="103"/>
      <c r="I29" s="103"/>
      <c r="J29" s="103"/>
      <c r="K29" s="103"/>
      <c r="L29" s="103"/>
      <c r="M29" s="103"/>
    </row>
    <row r="30" spans="1:13" ht="15.75" thickBot="1" x14ac:dyDescent="0.3">
      <c r="A30" s="75" t="s">
        <v>834</v>
      </c>
      <c r="B30" s="224">
        <f>COUNTIFS(Tabla1[GESTANTES ACTUALES],"ACTIVA INGRESO A CPN",Tabla1[SEMANAS DE GESTACION ACTUALIZADAS],"&gt;36",Tabla1[SEMANAS DE GESTACION ACTUALIZADAS],"&lt;44",Tabla1[ASEGURADORA],$A$13)</f>
        <v>0</v>
      </c>
      <c r="C30" s="260"/>
      <c r="D30" s="224">
        <f>COUNTIFS(Tabla1[GESTANTES ACTUALES],"ACTIVA INGRESO A CPN",Tabla1[SEMANAS DE GESTACION ACTUALIZADAS],"&gt;36",Tabla1[SEMANAS DE GESTACION ACTUALIZADAS],"&lt;44")</f>
        <v>0</v>
      </c>
      <c r="E30" s="260"/>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5"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6"/>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47"/>
      <c r="C133" s="248"/>
      <c r="D133" s="248"/>
      <c r="E133" s="248"/>
      <c r="F133" s="248"/>
      <c r="G133" s="248"/>
      <c r="H133" s="248"/>
      <c r="I133" s="248"/>
      <c r="J133" s="248"/>
      <c r="K133" s="248"/>
      <c r="L133" s="248"/>
      <c r="M133" s="248"/>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47"/>
      <c r="C135" s="248"/>
      <c r="D135" s="248"/>
      <c r="E135" s="248"/>
      <c r="F135" s="248"/>
      <c r="G135" s="248"/>
      <c r="H135" s="248"/>
      <c r="I135" s="248"/>
      <c r="J135" s="248"/>
      <c r="K135" s="248"/>
      <c r="L135" s="248"/>
      <c r="M135" s="248"/>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49"/>
      <c r="C137" s="250"/>
      <c r="D137" s="250"/>
      <c r="E137" s="250"/>
      <c r="F137" s="250"/>
      <c r="G137" s="250"/>
      <c r="H137" s="250"/>
      <c r="I137" s="250"/>
      <c r="J137" s="250"/>
      <c r="K137" s="250"/>
      <c r="L137" s="250"/>
      <c r="M137" s="250"/>
      <c r="N137" s="202" t="str">
        <f>IF(N$128=0,"",SUM((N136/N$128)*100000))</f>
        <v/>
      </c>
    </row>
    <row r="138" spans="1:14" ht="26.25" thickBot="1" x14ac:dyDescent="0.3">
      <c r="A138" s="198" t="s">
        <v>746</v>
      </c>
      <c r="B138" s="249" t="str">
        <f t="shared" ref="B138:N138" si="45">IF(B$136=0,"",SUM(B134/B136))</f>
        <v/>
      </c>
      <c r="C138" s="250" t="str">
        <f t="shared" si="45"/>
        <v/>
      </c>
      <c r="D138" s="250" t="str">
        <f t="shared" si="45"/>
        <v/>
      </c>
      <c r="E138" s="250" t="str">
        <f t="shared" si="45"/>
        <v/>
      </c>
      <c r="F138" s="250" t="str">
        <f t="shared" si="45"/>
        <v/>
      </c>
      <c r="G138" s="250" t="str">
        <f t="shared" si="45"/>
        <v/>
      </c>
      <c r="H138" s="250" t="str">
        <f t="shared" si="45"/>
        <v/>
      </c>
      <c r="I138" s="250" t="str">
        <f t="shared" si="45"/>
        <v/>
      </c>
      <c r="J138" s="250" t="str">
        <f t="shared" si="45"/>
        <v/>
      </c>
      <c r="K138" s="250" t="str">
        <f t="shared" si="45"/>
        <v/>
      </c>
      <c r="L138" s="250" t="str">
        <f t="shared" si="45"/>
        <v/>
      </c>
      <c r="M138" s="250"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43" t="str">
        <f>IF(B$139=0,"",SUM(B136/B139))</f>
        <v/>
      </c>
      <c r="C140" s="244"/>
      <c r="D140" s="244"/>
      <c r="E140" s="244"/>
      <c r="F140" s="244"/>
      <c r="G140" s="244"/>
      <c r="H140" s="244"/>
      <c r="I140" s="244"/>
      <c r="J140" s="244"/>
      <c r="K140" s="244"/>
      <c r="L140" s="244"/>
      <c r="M140" s="244"/>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02" priority="45" operator="containsText" text="SE TRASLADO DE EPS">
      <formula>NOT(ISERROR(SEARCH("SE TRASLADO DE EPS",A33)))</formula>
    </cfRule>
    <cfRule type="containsText" dxfId="301" priority="46" operator="containsText" text="INMIGRANTE VENEZOLANA">
      <formula>NOT(ISERROR(SEARCH("INMIGRANTE VENEZOLANA",A33)))</formula>
    </cfRule>
    <cfRule type="containsText" dxfId="300" priority="47" operator="containsText" text="SIN AFILIACIÓN A EPS">
      <formula>NOT(ISERROR(SEARCH("SIN AFILIACIÓN A EPS",A33)))</formula>
    </cfRule>
    <cfRule type="containsText" dxfId="299" priority="48" operator="containsText" text="NOVEDAD">
      <formula>NOT(ISERROR(SEARCH("NOVEDAD",A33)))</formula>
    </cfRule>
    <cfRule type="containsText" dxfId="298" priority="49" operator="containsText" text="IDENTIDAD">
      <formula>NOT(ISERROR(SEARCH("IDENTIDAD",A33)))</formula>
    </cfRule>
    <cfRule type="containsText" dxfId="297" priority="50" operator="containsText" text="CPN">
      <formula>NOT(ISERROR(SEARCH("CPN",A33)))</formula>
    </cfRule>
    <cfRule type="containsText" dxfId="296" priority="51" operator="containsText" text="VIENE">
      <formula>NOT(ISERROR(SEARCH("VIENE",A33)))</formula>
    </cfRule>
    <cfRule type="cellIs" dxfId="295" priority="52" operator="equal">
      <formula>"TRAMITE DE PORTABILIDAD"</formula>
    </cfRule>
  </conditionalFormatting>
  <conditionalFormatting sqref="A39">
    <cfRule type="containsText" dxfId="294" priority="9" operator="containsText" text="SE TRASLADO DE EPS">
      <formula>NOT(ISERROR(SEARCH("SE TRASLADO DE EPS",A39)))</formula>
    </cfRule>
    <cfRule type="containsText" dxfId="293" priority="10" operator="containsText" text="INMIGRANTE VENEZOLANA">
      <formula>NOT(ISERROR(SEARCH("INMIGRANTE VENEZOLANA",A39)))</formula>
    </cfRule>
    <cfRule type="containsText" dxfId="292" priority="11" operator="containsText" text="SIN AFILIACIÓN A EPS">
      <formula>NOT(ISERROR(SEARCH("SIN AFILIACIÓN A EPS",A39)))</formula>
    </cfRule>
    <cfRule type="containsText" dxfId="291" priority="12" operator="containsText" text="NOVEDAD">
      <formula>NOT(ISERROR(SEARCH("NOVEDAD",A39)))</formula>
    </cfRule>
    <cfRule type="containsText" dxfId="290" priority="13" operator="containsText" text="IDENTIDAD">
      <formula>NOT(ISERROR(SEARCH("IDENTIDAD",A39)))</formula>
    </cfRule>
    <cfRule type="containsText" dxfId="289" priority="14" operator="containsText" text="CPN">
      <formula>NOT(ISERROR(SEARCH("CPN",A39)))</formula>
    </cfRule>
    <cfRule type="containsText" dxfId="288" priority="15" operator="containsText" text="VIENE">
      <formula>NOT(ISERROR(SEARCH("VIENE",A39)))</formula>
    </cfRule>
    <cfRule type="cellIs" dxfId="28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