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ml.chartshap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7.xml" ContentType="application/vnd.openxmlformats-officedocument.drawingml.chartshapes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ml.chartshapes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ml.chartshapes+xml"/>
  <Override PartName="/xl/charts/chart6.xml" ContentType="application/vnd.openxmlformats-officedocument.drawingml.chart+xml"/>
  <Override PartName="/xl/drawings/drawing12.xml" ContentType="application/vnd.openxmlformats-officedocument.drawing+xml"/>
  <Override PartName="/xl/worksheets/sheet11.xml" ContentType="application/vnd.openxmlformats-officedocument.spreadsheetml.worksheet+xml"/>
  <Override PartName="/xl/drawings/drawing13.xml" ContentType="application/vnd.openxmlformats-officedocument.drawingml.chartshapes+xml"/>
  <Override PartName="/xl/charts/chart7.xml" ContentType="application/vnd.openxmlformats-officedocument.drawingml.chart+xml"/>
  <Override PartName="/xl/drawings/drawing14.xml" ContentType="application/vnd.openxmlformats-officedocument.drawing+xml"/>
  <Override PartName="/xl/worksheets/sheet12.xml" ContentType="application/vnd.openxmlformats-officedocument.spreadsheetml.worksheet+xml"/>
  <Override PartName="/xl/drawings/drawing1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userName="אסף בן ציון - טייס" algorithmName="SHA-512" hashValue="IJ00ctE3hjVemBZ+86L6qNEasAjc89V8Kh2MFRNi3GP8AK/ZVcbeOyLY9vwP3MKOTXcVMKlDtO3G3sNzsxhOgQ==" saltValue="NyNAJoG3ADRHdTC2N4bMQw==" spinCount="100000"/>
  <workbookPr updateLinks="never"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prfs13\agam\Avirit\DB\weight&amp;balance\"/>
    </mc:Choice>
  </mc:AlternateContent>
  <bookViews>
    <workbookView xWindow="-105" yWindow="-105" windowWidth="23250" windowHeight="12435" activeTab="0"/>
  </bookViews>
  <sheets>
    <sheet name="ראשי" sheetId="2" r:id="rId3"/>
    <sheet name="תמונות" sheetId="20" r:id="rId4"/>
    <sheet name="נתונים" sheetId="1" r:id="rId5"/>
    <sheet name="תצורות" sheetId="7" r:id="rId6"/>
    <sheet name="CARGO" sheetId="8" r:id="rId7"/>
    <sheet name="ברזל" sheetId="4" r:id="rId8"/>
    <sheet name="משקל מערכות" sheetId="6" r:id="rId9"/>
    <sheet name="דלק" sheetId="3" r:id="rId10"/>
    <sheet name="CARGO70" sheetId="13" state="hidden" r:id="rId11"/>
    <sheet name="CARGO80" sheetId="14" state="hidden" r:id="rId12"/>
    <sheet name="CARGO90" sheetId="15" state="hidden" r:id="rId13"/>
    <sheet name="CARGO100" sheetId="16" state="hidden" r:id="rId14"/>
    <sheet name="FR" sheetId="17" r:id="rId15"/>
    <sheet name="גרסאות" sheetId="18" r:id="rId16"/>
  </sheets>
  <externalReferences>
    <externalReference r:id="rId18"/>
  </externalReferences>
  <definedNames>
    <definedName name="ACT_tempK">CARGO!$K$3</definedName>
    <definedName name="AFTtst">נתונים!$AP$58</definedName>
    <definedName name="avgEQIPaftARM">נתונים!$AR$54</definedName>
    <definedName name="avgEQIPfwdARM">נתונים!$AR$53</definedName>
    <definedName name="cargoLIMITarea" localSheetId="11">CARGO100!$R$31</definedName>
    <definedName name="cargoLIMITarea" localSheetId="8">CARGO70!$R$31</definedName>
    <definedName name="cargoLIMITarea" localSheetId="9">CARGO80!$R$31</definedName>
    <definedName name="cargoLIMITarea" localSheetId="10">CARGO90!$R$31</definedName>
    <definedName name="cargoLIMITarea">CARGO!$R$31</definedName>
    <definedName name="cargoLMT">CARGO!$G$63</definedName>
    <definedName name="cargoLMTat140">CARGO!$G$65</definedName>
    <definedName name="cargoLMTfuel">CARGO!$AN$15:$AN$78</definedName>
    <definedName name="choose_pic">INDEX(תמונות!$B$2:$B$28,MATCH(תמונות!$C$2,תמונות!$A$2:$A$28,0))</definedName>
    <definedName name="choose_pic_main">INDEX(תמונות!$B$2:$B$28,MATCH(ראשי!$D$7,תמונות!$A$2:$A$28,0))</definedName>
    <definedName name="DensityAlt">CARGO!$J$6</definedName>
    <definedName name="externalLOADmoment">נתונים!$N$23:$N$25</definedName>
    <definedName name="externalLOADwt">נתונים!$L$23:$L$25</definedName>
    <definedName name="EXTtst">נתונים!$AP$57</definedName>
    <definedName name="FRconfig">FR!$D$23</definedName>
    <definedName name="FUEL100">נתונים!$S$91</definedName>
    <definedName name="FUEL70">נתונים!$S$88</definedName>
    <definedName name="FUEL80">נתונים!$S$89</definedName>
    <definedName name="FUEL90">נתונים!$S$90</definedName>
    <definedName name="FWDtst">נתונים!$AP$56</definedName>
    <definedName name="INPUT11">ראשי!$M$7</definedName>
    <definedName name="INPUT12">ראשי!$M$9</definedName>
    <definedName name="INPUT13">ראשי!$M$11</definedName>
    <definedName name="INPUT14">ראשי!$M$13</definedName>
    <definedName name="INPUT15">ראשי!$M$15</definedName>
    <definedName name="INPUT21">ראשי!$J$7</definedName>
    <definedName name="INPUT22">ראשי!$J$9</definedName>
    <definedName name="INPUT23">ראשי!$J$11</definedName>
    <definedName name="INPUT24">ראשי!$J$13</definedName>
    <definedName name="INPUT25">ראשי!$J$15</definedName>
    <definedName name="ISA_35">CARGO!$J$5</definedName>
    <definedName name="LAT_LOADING_TABLE">נתונים!$AP$46:$AQ$48</definedName>
    <definedName name="LEFTtst">נתונים!$AP$65</definedName>
    <definedName name="LONG_LOADING_TABLE">נתונים!$AP$38:$AR$43</definedName>
    <definedName name="MAX_LATdevFUEL">נתונים!$AP$69</definedName>
    <definedName name="MAX_LONGdevFUEL">נתונים!$AP$62</definedName>
    <definedName name="maxAllowedAftArm">נתונים!$AR$62</definedName>
    <definedName name="MAXallowedFUEL">נתונים!$T$81</definedName>
    <definedName name="maxAllowedFwdArm">נתונים!$AR$58</definedName>
    <definedName name="maxCARGO" localSheetId="11">CARGO100!$G$62</definedName>
    <definedName name="maxCARGO" localSheetId="8">CARGO70!$G$62</definedName>
    <definedName name="maxCARGO" localSheetId="9">CARGO80!$G$62</definedName>
    <definedName name="maxCARGO" localSheetId="10">CARGO90!$G$62</definedName>
    <definedName name="maxCARGO">CARGO!$G$62</definedName>
    <definedName name="maxGRAPH" localSheetId="11">CARGO100!$R$32</definedName>
    <definedName name="maxGRAPH" localSheetId="8">CARGO70!$R$32</definedName>
    <definedName name="maxGRAPH" localSheetId="9">CARGO80!$R$32</definedName>
    <definedName name="maxGRAPH" localSheetId="10">CARGO90!$R$32</definedName>
    <definedName name="maxGRAPH">CARGO!$R$32</definedName>
    <definedName name="MAXGROSS" localSheetId="11">CARGO100!$K$22</definedName>
    <definedName name="MAXGROSS" localSheetId="8">CARGO70!$K$22</definedName>
    <definedName name="MAXGROSS" localSheetId="9">CARGO80!$K$22</definedName>
    <definedName name="MAXGROSS" localSheetId="10">CARGO90!$K$22</definedName>
    <definedName name="MAXGROSS">CARGO!$K$22</definedName>
    <definedName name="MIN_LATdevFUEL">נתונים!$AP$68</definedName>
    <definedName name="MIN_LONGdevFUEL">נתונים!$AP$61</definedName>
    <definedName name="MINUS100">CARGO!$K$21</definedName>
    <definedName name="mostFWDarm">נתונים!$AC$19</definedName>
    <definedName name="mostFWDwt">נתונים!$AB$19</definedName>
    <definedName name="noCARGOwt" localSheetId="11">CARGO100!$D$31</definedName>
    <definedName name="noCARGOwt" localSheetId="8">CARGO70!$D$31</definedName>
    <definedName name="noCARGOwt" localSheetId="9">CARGO80!$D$31</definedName>
    <definedName name="noCARGOwt" localSheetId="10">CARGO90!$D$31</definedName>
    <definedName name="noCARGOwt">CARGO!$D$31</definedName>
    <definedName name="ogeCALC">נתונים!$BE$4</definedName>
    <definedName name="OGEtable" localSheetId="11">CARGO100!$F$5:$L$13</definedName>
    <definedName name="OGEtable" localSheetId="8">CARGO70!$F$5:$L$13</definedName>
    <definedName name="OGEtable" localSheetId="9">CARGO80!$F$5:$L$13</definedName>
    <definedName name="OGEtable" localSheetId="10">CARGO90!$F$5:$L$13</definedName>
    <definedName name="OGEtable">CARGO!$F$5:$L$13</definedName>
    <definedName name="PAXandEQUIP">ראשי!$F$49</definedName>
    <definedName name="payload" localSheetId="11">CARGO100!$J$59</definedName>
    <definedName name="payload" localSheetId="8">CARGO70!$J$59</definedName>
    <definedName name="payload" localSheetId="9">CARGO80!$J$59</definedName>
    <definedName name="payload" localSheetId="10">CARGO90!$J$59</definedName>
    <definedName name="payload">CARGO!$J$59</definedName>
    <definedName name="RIGHTtst">נתונים!$AP$64</definedName>
    <definedName name="ST_tempK">CARGO!$K$4</definedName>
    <definedName name="sum_chairs">נתונים!$E$52</definedName>
    <definedName name="sum_palsivs">נתונים!$E$53</definedName>
    <definedName name="takeoffARM1">נתונים!$U$78</definedName>
    <definedName name="takeoffARM2">נתונים!$AC$78</definedName>
    <definedName name="takeoffWT1">נתונים!$T$78</definedName>
    <definedName name="takeoffWT2">נתונים!$AB$78</definedName>
    <definedName name="takeoffWT2_140KG">נתונים!$AB$19</definedName>
    <definedName name="takoffweight">ראשי!$F$52</definedName>
    <definedName name="TOarm100_1">נתונים!$V$91</definedName>
    <definedName name="TOarm100_2">נתונים!$AD$91</definedName>
    <definedName name="TOarm70_1">נתונים!$V$88</definedName>
    <definedName name="TOarm70_2">נתונים!$AD$88</definedName>
    <definedName name="TOarm80_1">נתונים!$V$89</definedName>
    <definedName name="TOarm80_2">נתונים!$AD$89</definedName>
    <definedName name="TOarm90_1">נתונים!$V$90</definedName>
    <definedName name="TOarm90_2">נתונים!$AD$90</definedName>
    <definedName name="totalEQIPweight">נתונים!$AQ$53</definedName>
    <definedName name="TOwt100">נתונים!$T$91</definedName>
    <definedName name="TOwt70">נתונים!$T$88</definedName>
    <definedName name="TOwt80">נתונים!$T$89</definedName>
    <definedName name="TOwt90">נתונים!$T$90</definedName>
    <definedName name="userALT">ראשי!$D$41</definedName>
    <definedName name="userBAMBI">ראשי!$D$17</definedName>
    <definedName name="userCARGO">ראשי!$D$15</definedName>
    <definedName name="userCARGOwt">ראשי!$H$15</definedName>
    <definedName name="userCONFIG">ראשי!$D$7</definedName>
    <definedName name="userFLIR">ראשי!$D$9</definedName>
    <definedName name="userFR">ראשי!$D$19</definedName>
    <definedName name="userFRside">ראשי!$H$19</definedName>
    <definedName name="userFUEL">ראשי!$F$51</definedName>
    <definedName name="userMAXGROSS">ראשי!$L$41</definedName>
    <definedName name="userPA">ראשי!$D$13</definedName>
    <definedName name="userTEMP">ראשי!$G$41</definedName>
    <definedName name="userWATER">ראשי!$D$50</definedName>
    <definedName name="userXP">ראשי!$D$11</definedName>
    <definedName name="_xlnm.Print_Area" localSheetId="0">ראשי!$A$1:$M$59</definedName>
    <definedName name="zerofuelWT">נתונים!$T$5</definedName>
    <definedName name="דלק">נתונים!$BB$3:$BB$77</definedName>
    <definedName name="מערכת___SHAPO">ראשי!$J$28</definedName>
    <definedName name="מרכז_כובד_אורכי">נתונים!$AQ$5:$AR$9</definedName>
    <definedName name="מרכז_כובד_רוחבי">נתונים!$AQ$14:$AR$23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</calcChain>
</file>

<file path=xl/sharedStrings.xml><?xml version="1.0" encoding="utf-8"?>
<sst xmlns="http://schemas.openxmlformats.org/spreadsheetml/2006/main" count="1121" uniqueCount="390">
  <si>
    <t>משקל</t>
  </si>
  <si>
    <t>מומנט</t>
  </si>
  <si>
    <t>ציוד</t>
  </si>
  <si>
    <t>מומנט אורכי</t>
  </si>
  <si>
    <t>מומנט רוחבי</t>
  </si>
  <si>
    <t>BMO</t>
  </si>
  <si>
    <t>BMP</t>
  </si>
  <si>
    <t>EMPTY WEIGHT</t>
  </si>
  <si>
    <t>מסוק</t>
  </si>
  <si>
    <t>CREW</t>
  </si>
  <si>
    <t>טייס ימין</t>
  </si>
  <si>
    <t>טייס שמאל</t>
  </si>
  <si>
    <t>חישוב מרכז כובד רוחבי</t>
  </si>
  <si>
    <t>משקל ללא דלק</t>
  </si>
  <si>
    <t>LONG ARM</t>
  </si>
  <si>
    <t>LAT ARM</t>
  </si>
  <si>
    <t>MASS</t>
  </si>
  <si>
    <t>FUEL TABLE CG</t>
  </si>
  <si>
    <t>ACTUAL FUEL TABLE</t>
  </si>
  <si>
    <t>תאריך</t>
  </si>
  <si>
    <t>שקילה</t>
  </si>
  <si>
    <t xml:space="preserve"> Aircraft weighed full of Oils, empty of Fuel, 3 Flight Manuals, Pilots Blue Flight Log, Dual Flight Controls, Cargo Hook Removed,  </t>
  </si>
  <si>
    <t xml:space="preserve">2 Mid Fwd Club Passenger Seats, 3 Aft Fwd Club Passenger Seats,  Traffic Flight Officer Station (Stowed),  Controp DSP-HD Camera,  </t>
  </si>
  <si>
    <t xml:space="preserve">Nightsun XP Search Light, Controp and Nightsun Hand Controller, PA Speakers, LH &amp; RH Skid deflectors removed.  </t>
  </si>
  <si>
    <r>
      <t xml:space="preserve">No Headsets, No ICS Patch cords, No Fly Away Gear or Loose Equipment installed at this time.  </t>
    </r>
    <r>
      <rPr>
        <b/>
        <sz val="8"/>
        <rFont val="Arial"/>
        <family val="2"/>
      </rPr>
      <t xml:space="preserve">See equipment list section of Flight </t>
    </r>
  </si>
  <si>
    <t>KG</t>
  </si>
  <si>
    <t>תאור</t>
  </si>
  <si>
    <t>Traffic Flight Officer Station (Stowed)</t>
  </si>
  <si>
    <t>Controp DSP-HD Camera</t>
  </si>
  <si>
    <t xml:space="preserve">CONTROP IMAGER SHAPO     </t>
  </si>
  <si>
    <t>Controp Hand Controller</t>
  </si>
  <si>
    <t>Nightsun XP Search Light</t>
  </si>
  <si>
    <t>Nightsun Hand Controller</t>
  </si>
  <si>
    <t>PA Speakers</t>
  </si>
  <si>
    <t>CARGO HOOK DOUBLE DET PROVISIONS</t>
  </si>
  <si>
    <t>Description</t>
  </si>
  <si>
    <t>Offshore Configuration - Variant 7</t>
  </si>
  <si>
    <t>Offshore Configuration - Variant 8</t>
  </si>
  <si>
    <t>תצורת כסאות</t>
  </si>
  <si>
    <t>מערכת</t>
  </si>
  <si>
    <t>זרקור</t>
  </si>
  <si>
    <t>כריזה</t>
  </si>
  <si>
    <t>כסא נוסע ימין - שורה קדמית - פונה אחורה</t>
  </si>
  <si>
    <t>כסא נוסע אמצעי - שורה קדמית - פונה אחורה</t>
  </si>
  <si>
    <t>כסא נוסע שמאל - שורה קדמית - פונה אחורה</t>
  </si>
  <si>
    <t>כסא נוסע ימין - שורה אמצעית - פונה קדימה</t>
  </si>
  <si>
    <t>כסא נוסע שמאל - שורה אמצעית - פונה קדימה</t>
  </si>
  <si>
    <t>כסא נוסע ימין - שורה אחורית - פונה קדימה</t>
  </si>
  <si>
    <t>כסא נוסע אמצעי - שורה אחורית - פונה קדימה</t>
  </si>
  <si>
    <t>כסא נוסע שמאל - שורה אחורית - פונה קדימה</t>
  </si>
  <si>
    <t>כסא נוסע ימין - שורה קדמית - פונה קדימה</t>
  </si>
  <si>
    <t>כסא נוסע אמצעי - שורה קדמית - פונה קדימה</t>
  </si>
  <si>
    <t>כסא נוסע שמאל - שורה קדמית - פונה קדימה</t>
  </si>
  <si>
    <t>עמדת חפק</t>
  </si>
  <si>
    <t>כסא עמדת חפק - מצב אמצע</t>
  </si>
  <si>
    <t>חפק מוטס - התקנה קדמית - 5 כסאות</t>
  </si>
  <si>
    <t>חפק מוטס - התקנה קדמית - שורה קדמית ואמצעית</t>
  </si>
  <si>
    <t>חפק מוטס - התקנה קדמית - שורה קדמית ואחורית</t>
  </si>
  <si>
    <t>חפק מוטס - התקנה אחורית - 4 כסאות</t>
  </si>
  <si>
    <t>הפחתת ציוד</t>
  </si>
  <si>
    <t>משקל ברזל אמיתי</t>
  </si>
  <si>
    <t>SEAT CONFIGURATION</t>
  </si>
  <si>
    <t>REMOVABLE EQUIPMENT</t>
  </si>
  <si>
    <t>LAT CG ENV</t>
  </si>
  <si>
    <t>WEIGHT WITHOUT FUEL</t>
  </si>
  <si>
    <t>כמות</t>
  </si>
  <si>
    <t>ללא</t>
  </si>
  <si>
    <t>SHAPO</t>
  </si>
  <si>
    <t>DSP</t>
  </si>
  <si>
    <t>לא</t>
  </si>
  <si>
    <t>כן</t>
  </si>
  <si>
    <t>זיהוי כסא</t>
  </si>
  <si>
    <t>קוד תצורה</t>
  </si>
  <si>
    <t>טבלת קוד תצורת כסאות</t>
  </si>
  <si>
    <t>קוד</t>
  </si>
  <si>
    <t>כסא</t>
  </si>
  <si>
    <t>צוות</t>
  </si>
  <si>
    <t>דלק</t>
  </si>
  <si>
    <t>משקל בהמראה</t>
  </si>
  <si>
    <t>LONG</t>
  </si>
  <si>
    <t>LAT</t>
  </si>
  <si>
    <t>MANUALLY ADDED EQUIPMENT</t>
  </si>
  <si>
    <t>1)</t>
  </si>
  <si>
    <t>2)</t>
  </si>
  <si>
    <t>3)</t>
  </si>
  <si>
    <t>4)</t>
  </si>
  <si>
    <t>יש להזין משקל וCG</t>
  </si>
  <si>
    <t>תא נוסעים</t>
  </si>
  <si>
    <t>a</t>
  </si>
  <si>
    <t>b</t>
  </si>
  <si>
    <t>FWD</t>
  </si>
  <si>
    <t>AFT</t>
  </si>
  <si>
    <t>LONG CG EXEED</t>
  </si>
  <si>
    <t>CG LIMIT GRAPH</t>
  </si>
  <si>
    <t>LHS Mid Fwd Club Passenger Seat</t>
  </si>
  <si>
    <t>RHS Mid Fwd Club Passenger Seat</t>
  </si>
  <si>
    <t>LHS Aft Fwd Club Passenger Seat</t>
  </si>
  <si>
    <t>MID Aft Fwd Club Passenger Seat</t>
  </si>
  <si>
    <t>RHS Aft Fwd Club Passenger Seat</t>
  </si>
  <si>
    <t>מקרא</t>
  </si>
  <si>
    <t>ניתן לעריכה</t>
  </si>
  <si>
    <t>נתון מאסטר</t>
  </si>
  <si>
    <t>kg</t>
  </si>
  <si>
    <t>גרסה</t>
  </si>
  <si>
    <t>תצורה והתקנות</t>
  </si>
  <si>
    <t>מטען מועיל</t>
  </si>
  <si>
    <t>מסוק ריק</t>
  </si>
  <si>
    <t>מסוק וצוות</t>
  </si>
  <si>
    <t>+</t>
  </si>
  <si>
    <r>
      <t xml:space="preserve">ברזל </t>
    </r>
    <r>
      <rPr>
        <b/>
        <sz val="10"/>
        <color theme="1"/>
        <rFont val="Arial"/>
        <family val="2"/>
        <scheme val="minor"/>
      </rPr>
      <t>HELIONIX</t>
    </r>
  </si>
  <si>
    <t>משקל מירבי</t>
  </si>
  <si>
    <t>כסא עמדת חפק - צד ימין מצב אמצע</t>
  </si>
  <si>
    <t>כסא עמדת חפק - צד שמאל מצב אמצע</t>
  </si>
  <si>
    <t>נוסעים וציוד</t>
  </si>
  <si>
    <t>בטן חלקה</t>
  </si>
  <si>
    <t>MAX ALLOWED FUEL</t>
  </si>
  <si>
    <t>קבועה - 4 כסאות</t>
  </si>
  <si>
    <t>LONG1 ARM</t>
  </si>
  <si>
    <t>LONG2 ARM</t>
  </si>
  <si>
    <t>מומנט אורכי2</t>
  </si>
  <si>
    <t>ACTUAL FUEL TABLE2</t>
  </si>
  <si>
    <t>LONG CG EXEED2</t>
  </si>
  <si>
    <t>FWD1</t>
  </si>
  <si>
    <t>FWD2</t>
  </si>
  <si>
    <t>MID1</t>
  </si>
  <si>
    <t>MID2</t>
  </si>
  <si>
    <t>AFT1</t>
  </si>
  <si>
    <t>AFT2</t>
  </si>
  <si>
    <t>MAX FWD</t>
  </si>
  <si>
    <t>קו אחורי</t>
  </si>
  <si>
    <t>קו קדמי</t>
  </si>
  <si>
    <t>TOTAL EQUIP</t>
  </si>
  <si>
    <t>WEIGHT</t>
  </si>
  <si>
    <t>AVG ARM</t>
  </si>
  <si>
    <t>WEIGHT WITHOUT FUEL2</t>
  </si>
  <si>
    <t>MAX AFT</t>
  </si>
  <si>
    <t>מטען נוסף</t>
  </si>
  <si>
    <t>01</t>
  </si>
  <si>
    <t>תצורה #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</si>
  <si>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</si>
  <si>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</si>
  <si>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</si>
  <si>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</si>
  <si>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</si>
  <si>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</si>
  <si>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</si>
  <si>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</si>
  <si>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</si>
  <si>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</si>
  <si>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</si>
  <si>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</si>
  <si>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</si>
  <si>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</si>
  <si>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</si>
  <si>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</si>
  <si>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</si>
  <si>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5)</t>
  </si>
  <si>
    <t>6)</t>
  </si>
  <si>
    <t>LAT CG EXEED</t>
  </si>
  <si>
    <t>RT</t>
  </si>
  <si>
    <t>LT</t>
  </si>
  <si>
    <t>תובלה - 7 כסאות</t>
  </si>
  <si>
    <t>RIGHT</t>
  </si>
  <si>
    <t>CENTER</t>
  </si>
  <si>
    <t>LEFT</t>
  </si>
  <si>
    <t>LONG LOADING TABLE</t>
  </si>
  <si>
    <t>LAT LOADING TABLE</t>
  </si>
  <si>
    <t>+ CARGO MOST AFT CG</t>
  </si>
  <si>
    <t>+ CARGO MOST FWD CG</t>
  </si>
  <si>
    <t>W FWD CARGO</t>
  </si>
  <si>
    <t>W AFT CARGO</t>
  </si>
  <si>
    <t>גובה</t>
  </si>
  <si>
    <t>טמפ</t>
  </si>
  <si>
    <t>גובה נבחר</t>
  </si>
  <si>
    <t>גובה מתחת</t>
  </si>
  <si>
    <t>גובה מעל</t>
  </si>
  <si>
    <t>טמפ נבחרת</t>
  </si>
  <si>
    <t>טמפ מתחת</t>
  </si>
  <si>
    <t>טמפ מעל</t>
  </si>
  <si>
    <t>סופי</t>
  </si>
  <si>
    <t>X</t>
  </si>
  <si>
    <t>Y</t>
  </si>
  <si>
    <t>טמפ'</t>
  </si>
  <si>
    <t>TOP OF LON CG GRAPH</t>
  </si>
  <si>
    <t>CALC CG ENV</t>
  </si>
  <si>
    <t>ORIGINAL CG ENV</t>
  </si>
  <si>
    <t>פירוט תצורה</t>
  </si>
  <si>
    <t>XP</t>
  </si>
  <si>
    <t>מתלה מטען + מראות</t>
  </si>
  <si>
    <t>במבי</t>
  </si>
  <si>
    <t>מחובר</t>
  </si>
  <si>
    <t>בבטן</t>
  </si>
  <si>
    <t>BAMBI BUCKET IN CABIN</t>
  </si>
  <si>
    <t>BAMBI BUCKET ON HOOK</t>
  </si>
  <si>
    <t>פריסטים לגיחה</t>
  </si>
  <si>
    <t>מים</t>
  </si>
  <si>
    <t>70% (476 ל')</t>
  </si>
  <si>
    <t>80% (544 ל')</t>
  </si>
  <si>
    <t>90% (612 ל')</t>
  </si>
  <si>
    <t>100% (680 ל')</t>
  </si>
  <si>
    <t>MAXGROSS</t>
  </si>
  <si>
    <t>מירבי מינוס 100</t>
  </si>
  <si>
    <t>מים (%)</t>
  </si>
  <si>
    <t>WEIGHT ON HOOK</t>
  </si>
  <si>
    <t>משקל על הוו</t>
  </si>
  <si>
    <t>EXTERNAL LOAD</t>
  </si>
  <si>
    <t>WEIGHT WITHOUT CARGO1</t>
  </si>
  <si>
    <t>WEIGHT WITHOUT CARGO2</t>
  </si>
  <si>
    <t>MAX CARGO CHECK</t>
  </si>
  <si>
    <t>CARGO 400KG</t>
  </si>
  <si>
    <t>CARGO 500KG</t>
  </si>
  <si>
    <t>CARGO 600KG</t>
  </si>
  <si>
    <t>CARGO 700KG</t>
  </si>
  <si>
    <t>CHECK GRAPH</t>
  </si>
  <si>
    <t>A</t>
  </si>
  <si>
    <t>B</t>
  </si>
  <si>
    <t>C</t>
  </si>
  <si>
    <t>D</t>
  </si>
  <si>
    <t>x</t>
  </si>
  <si>
    <t>OK FOR CARGO</t>
  </si>
  <si>
    <t>APPROVED FOR CARGO - UP TO</t>
  </si>
  <si>
    <t>PAYLOAD</t>
  </si>
  <si>
    <t>AVAILABLE CARGO WEIGHT</t>
  </si>
  <si>
    <t>DUE TO</t>
  </si>
  <si>
    <t>MAX GRAPH</t>
  </si>
  <si>
    <t>CARGO LIMIT AREA</t>
  </si>
  <si>
    <t>CARGO 100KG</t>
  </si>
  <si>
    <t>CARGO 200KG</t>
  </si>
  <si>
    <t>CARGO 300KG</t>
  </si>
  <si>
    <t>GO 70</t>
  </si>
  <si>
    <t>GO 80</t>
  </si>
  <si>
    <t>GO 90</t>
  </si>
  <si>
    <t>GO 100</t>
  </si>
  <si>
    <t>GO/NOGO</t>
  </si>
  <si>
    <t>CARGO 800KG</t>
  </si>
  <si>
    <t>משקל מירבי לחישוב</t>
  </si>
  <si>
    <t>מהק מינוס ----</t>
  </si>
  <si>
    <t>FR</t>
  </si>
  <si>
    <t>צד</t>
  </si>
  <si>
    <t>FR side</t>
  </si>
  <si>
    <t>ימין+שמאל</t>
  </si>
  <si>
    <t>שמאל</t>
  </si>
  <si>
    <t>ימין</t>
  </si>
  <si>
    <t>מתקן גלישה</t>
  </si>
  <si>
    <t>EXTENDED FWD RIGHT</t>
  </si>
  <si>
    <t>EXTENDED FWD LEFT</t>
  </si>
  <si>
    <t>CALCULATED SUMMARY</t>
  </si>
  <si>
    <t>FAST ROPE / RAPPELLING CONFIGURATION</t>
  </si>
  <si>
    <t>מירבי מינוס 100kg?</t>
  </si>
  <si>
    <t>EXTENDED ENV</t>
  </si>
  <si>
    <t>EXT</t>
  </si>
  <si>
    <t>EXT FUEL</t>
  </si>
  <si>
    <t>AFT FUEL</t>
  </si>
  <si>
    <t>FWD CG TEST</t>
  </si>
  <si>
    <t>EXT CG TST</t>
  </si>
  <si>
    <t>AFT CG TST</t>
  </si>
  <si>
    <t>MIN MAX FUEL OUTSIDE ENV</t>
  </si>
  <si>
    <t>MIN</t>
  </si>
  <si>
    <t>MAX</t>
  </si>
  <si>
    <t>FWD FUEL</t>
  </si>
  <si>
    <t>LAT FUEL</t>
  </si>
  <si>
    <t>RIGHT CG TEST</t>
  </si>
  <si>
    <t>LEFT CG TEST</t>
  </si>
  <si>
    <t>19</t>
  </si>
  <si>
    <t>מהות העדכון</t>
  </si>
  <si>
    <t>הוספת גרף EXTENDED והצגת טווח דלקים שחורג</t>
  </si>
  <si>
    <t>הוספת תצורת לוחמים משני הצדדים</t>
  </si>
  <si>
    <t>ע"י</t>
  </si>
  <si>
    <t>בנצי</t>
  </si>
  <si>
    <t>הזנה חופשית</t>
  </si>
  <si>
    <t>{</t>
  </si>
  <si>
    <t>LongSt</t>
  </si>
  <si>
    <t>LatSt</t>
  </si>
  <si>
    <t>פריסטים קבועים</t>
  </si>
  <si>
    <t>הזנה ידנית</t>
  </si>
  <si>
    <t>הוספת הזנת נתוני תחנה אורכית/רוחבית ידניים</t>
  </si>
  <si>
    <t>הוספת הערה 3800 בה"ק; תיקון גרף מהק מינוס 100</t>
  </si>
  <si>
    <t>FAST ROPE SYSTEM R</t>
  </si>
  <si>
    <t>FAST ROPE SYSTEM L</t>
  </si>
  <si>
    <t xml:space="preserve">FIXED FWD RIGHT </t>
  </si>
  <si>
    <t xml:space="preserve">FIXED FWD LEFT </t>
  </si>
  <si>
    <t xml:space="preserve">FIXED AFT RIGHT </t>
  </si>
  <si>
    <t xml:space="preserve">FIXED AFT LEFT </t>
  </si>
  <si>
    <t>NOTE: 2 OPTIONS AVAILABE - FIA04 IN CLOSED (FIXED) POSITION OR RIA04 IN EXTENDED POSITION</t>
  </si>
  <si>
    <t>עדכון נתוני מתקן FR ; הסרת שורת MISSION EQUIP</t>
  </si>
  <si>
    <t>מתלה מטען</t>
  </si>
  <si>
    <t>ללא מראות</t>
  </si>
  <si>
    <t>עם מראות</t>
  </si>
  <si>
    <t>CARGO EXTERNAL MIRRORS</t>
  </si>
  <si>
    <t>הוספת אופציה להסרת מראות CARGO</t>
  </si>
  <si>
    <t>פינוי בהיטס</t>
  </si>
  <si>
    <t>גלישה - תנינים</t>
  </si>
  <si>
    <t>פרננדו</t>
  </si>
  <si>
    <t>טיסה כבדה</t>
  </si>
  <si>
    <t>20</t>
  </si>
  <si>
    <t>כיבוי אש</t>
  </si>
  <si>
    <t>21</t>
  </si>
  <si>
    <t>22</t>
  </si>
  <si>
    <t>23</t>
  </si>
  <si>
    <t>24</t>
  </si>
  <si>
    <t>25</t>
  </si>
  <si>
    <t>26</t>
  </si>
  <si>
    <t>27</t>
  </si>
  <si>
    <t>תצורה</t>
  </si>
  <si>
    <t>שרטוט</t>
  </si>
  <si>
    <t>28</t>
  </si>
  <si>
    <t>פלסיב ימין</t>
  </si>
  <si>
    <t>לוחם ימני קדמי</t>
  </si>
  <si>
    <t>לוחם ימני מרכזי</t>
  </si>
  <si>
    <t>לוחם ימני אחורי</t>
  </si>
  <si>
    <t>פלסיב שמאל</t>
  </si>
  <si>
    <t>לוחם שמאלי קדמי</t>
  </si>
  <si>
    <t>לוחם שמאלי מרכזי</t>
  </si>
  <si>
    <t>לוחם שמאלי אחורי</t>
  </si>
  <si>
    <t>ציוד קדמי</t>
  </si>
  <si>
    <t>ציוד אחורי</t>
  </si>
  <si>
    <t>אלונקה עם פצוע</t>
  </si>
  <si>
    <t>רופא מטפל</t>
  </si>
  <si>
    <t>משלח ימין</t>
  </si>
  <si>
    <t>משלח שמאל</t>
  </si>
  <si>
    <t>גולש ימין קדמי</t>
  </si>
  <si>
    <t>גולש ימין אחורי</t>
  </si>
  <si>
    <t>גולש שמאל קדמי</t>
  </si>
  <si>
    <t>גולש שמאל אחורי</t>
  </si>
  <si>
    <t>DA</t>
  </si>
  <si>
    <t>PROHIBITED</t>
  </si>
  <si>
    <t>PROHIBITED FOR TAKEOFF AND LANDING</t>
  </si>
  <si>
    <t>TRUE?</t>
  </si>
  <si>
    <t>משקל מירבי מותר</t>
  </si>
  <si>
    <t>ACTUAL</t>
  </si>
  <si>
    <t>SANDARD</t>
  </si>
  <si>
    <t>משקל מירבי רצוי</t>
  </si>
  <si>
    <t>לוחם ימין קדמי</t>
  </si>
  <si>
    <t>לוחם ימין אחורי</t>
  </si>
  <si>
    <t>לוחם שמאל קדמי</t>
  </si>
  <si>
    <t>לוחם שמאל אחורי</t>
  </si>
  <si>
    <t>צניחה עם פלסיב</t>
  </si>
  <si>
    <t>מפקד הכח</t>
  </si>
  <si>
    <t>לוחם ימין קדמי (פלסיב)</t>
  </si>
  <si>
    <t>לוחם ימין מרכזי (פלסיב)</t>
  </si>
  <si>
    <t>לוחם ימין אחורי (פלסיב)</t>
  </si>
  <si>
    <t>לוחם שמאל קדמי (רצפה)</t>
  </si>
  <si>
    <t>לוחם שמאל מרכזי (רצפה)</t>
  </si>
  <si>
    <t>לוחם שמאל אחורי (רצפה)</t>
  </si>
  <si>
    <t>פלסיב</t>
  </si>
  <si>
    <t>ציוד פרננדו</t>
  </si>
  <si>
    <t>דיוק חישוב 3800 לפי טמפ וגובה; בחירת 3800 במסך ראשי</t>
  </si>
  <si>
    <t>2 כסאות / מתנא</t>
  </si>
  <si>
    <t>תובלה 6 כסאות</t>
  </si>
  <si>
    <t>תובלה - 8 כסאות</t>
  </si>
  <si>
    <t>שתפ לוחמים - ללא פלסיב</t>
  </si>
  <si>
    <t>שתפ לוחמים - עם פלסיב</t>
  </si>
  <si>
    <t>11: גלישה - תנינים</t>
  </si>
  <si>
    <t>כסא נוסע שמאל - שורה אמצעית</t>
  </si>
  <si>
    <t>כסא נוסע ימין - שורה אמצעית</t>
  </si>
  <si>
    <t>כסא מתנא שמאל - שורה אמצעית - פונה קדימה</t>
  </si>
  <si>
    <t>כסא מתנא ימין - שורה אמצעית - פונה קדימה</t>
  </si>
  <si>
    <t>שקי חול</t>
  </si>
  <si>
    <t>PASSENGER AND CARGO WEIGHT</t>
  </si>
  <si>
    <t>מותקן</t>
  </si>
  <si>
    <t>תצורת FR</t>
  </si>
  <si>
    <t>FRconfig</t>
  </si>
  <si>
    <t xml:space="preserve">הוספת תמונות והזנה ויזואלית; </t>
  </si>
  <si>
    <t>תיקון תצורת שתפ לוחמים עם פלסיב - הזזת לוחמים קדימה</t>
  </si>
  <si>
    <t>תיקון באג משקל FR עדיין מוצג - הפיכה לאדום</t>
  </si>
  <si>
    <t>IS DA &gt; 8000</t>
  </si>
  <si>
    <t>ISA+35</t>
  </si>
  <si>
    <t>IS OAT &gt; ISA35?</t>
  </si>
  <si>
    <t xml:space="preserve">עדכון גרף 3800 עפ"י עדכון SUP REV3 </t>
  </si>
  <si>
    <t>תיקון דלק לחריגה קופץ כשמחוץ לטווח, באג מתלה מטען</t>
  </si>
  <si>
    <t>הוספת התראה אדומה  על הגבלת מתלה מטען ממרכז כובד</t>
  </si>
  <si>
    <t>FWD FUEL TABLE</t>
  </si>
  <si>
    <t>EXCL. CARGO WEIGHT</t>
  </si>
  <si>
    <t>LONG MM</t>
  </si>
  <si>
    <t>CARGO PAYLOAD</t>
  </si>
  <si>
    <t>LIMITING FUEL</t>
  </si>
  <si>
    <t>BELOW MIN FUEL</t>
  </si>
  <si>
    <t>ACTUAL FUEL (USER INPUTED) CHECK - FWD &amp; AFT</t>
  </si>
  <si>
    <t>הוספת בדיקת מגבלת CARGO והצגת דלק חורג</t>
  </si>
  <si>
    <t>MAX ALLOWABLE EXT CARGO PER FUEL WEIGHT</t>
  </si>
  <si>
    <t>תיקון באג דיוק התראת CG מתלה מטען</t>
  </si>
  <si>
    <t>כסאות</t>
  </si>
  <si>
    <t>פירוט תצורה - הצגת מספר כסאות או פסליב</t>
  </si>
  <si>
    <t>הוספת תצורת לונגליין</t>
  </si>
  <si>
    <t>להבה - 4 לוחמים + ציוד + 2 כסאות</t>
  </si>
  <si>
    <t>לוחם שמאלי דלת שמאל</t>
  </si>
  <si>
    <t>שינוי סדר והסתרת לשוניות, עדכון תצורת לונגליין (2 כסאות)</t>
  </si>
  <si>
    <t>להבה - LONGLINE + כסאות</t>
  </si>
  <si>
    <t>01: קבועה - 4 כסאות</t>
  </si>
  <si>
    <t>הערה : בוצעה שקילה ב 17.09.2025 לאוסקר. תוצאות השקילה בהבדל של כ 1 ק"ג. לא בוצעו שינויים בטבלאות. טופס נמצא בתיקיית משקלים.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</si>
</sst>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color theme="1"/>
      <name val="Arial"/>
      <family val="2"/>
      <scheme val="minor"/>
    </font>
    <font>
      <u val="single"/>
      <sz val="11"/>
      <color theme="10"/>
      <name val="Arial"/>
      <family val="2"/>
      <charset val="177"/>
      <scheme val="minor"/>
    </font>
    <font>
      <sz val="14"/>
      <color theme="1"/>
      <name val="Arial"/>
      <family val="2"/>
      <charset val="177"/>
      <scheme val="minor"/>
    </font>
    <font>
      <sz val="11"/>
      <color theme="1" tint="0.349990010261536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1"/>
      <color theme="0" tint="-0.149959996342659"/>
      <name val="Arial"/>
      <family val="2"/>
      <scheme val="minor"/>
    </font>
    <font>
      <sz val="11"/>
      <color theme="1"/>
      <name val="Arial"/>
      <family val="2"/>
      <charset val="177"/>
    </font>
    <font>
      <b/>
      <sz val="11"/>
      <color rgb="FF000000"/>
      <name val="Arial"/>
      <family val="2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color theme="0" tint="-0.499940007925034"/>
      <name val="Arial"/>
      <family val="2"/>
      <charset val="177"/>
      <scheme val="minor"/>
    </font>
    <font>
      <sz val="11"/>
      <color theme="0" tint="-0.149959996342659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28"/>
      <color theme="1"/>
      <name val="Arial"/>
      <family val="2"/>
      <charset val="177"/>
      <scheme val="minor"/>
    </font>
    <font>
      <b/>
      <sz val="10"/>
      <name val="Arial"/>
      <family val="2"/>
      <scheme val="minor"/>
    </font>
    <font>
      <sz val="11"/>
      <color theme="0" tint="-0.499969989061356"/>
      <name val="Arial"/>
      <family val="2"/>
      <charset val="177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0" tint="-0.14995999634265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4" tint="0.7999500036239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 tint="-0.249939993023872"/>
        <bgColor indexed="64"/>
      </patternFill>
    </fill>
    <fill>
      <patternFill patternType="solid">
        <fgColor theme="2" tint="-0.0999400019645691"/>
        <bgColor indexed="64"/>
      </patternFill>
    </fill>
    <fill>
      <patternFill patternType="solid">
        <fgColor theme="5" tint="0.599960029125214"/>
        <bgColor indexed="64"/>
      </patternFill>
    </fill>
    <fill>
      <patternFill patternType="solid">
        <fgColor theme="3" tint="0.79995000362396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0" tint="-0.149990007281303"/>
        <bgColor indexed="64"/>
      </patternFill>
    </fill>
  </fills>
  <borders count="7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/>
      <bottom style="double">
        <color auto="1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theme="1" tint="0.249950006604195"/>
      </left>
      <right style="thin">
        <color theme="1" tint="0.249950006604195"/>
      </right>
      <top style="thin">
        <color theme="1" tint="0.249950006604195"/>
      </top>
      <bottom/>
    </border>
    <border>
      <left style="thin">
        <color theme="1" tint="0.249950006604195"/>
      </left>
      <right style="thin">
        <color theme="1" tint="0.249950006604195"/>
      </right>
      <top/>
      <bottom/>
    </border>
    <border>
      <left style="thin">
        <color theme="1" tint="0.349990010261536"/>
      </left>
      <right style="thin">
        <color theme="1" tint="0.349990010261536"/>
      </right>
      <top style="thin">
        <color theme="1" tint="0.349990010261536"/>
      </top>
      <bottom/>
    </border>
    <border>
      <left style="thin">
        <color theme="1" tint="0.349990010261536"/>
      </left>
      <right style="thin">
        <color theme="1" tint="0.349990010261536"/>
      </right>
      <top/>
      <bottom style="thin">
        <color theme="1" tint="0.349990010261536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/>
      <right style="medium">
        <color auto="1"/>
      </right>
      <top/>
      <bottom style="thin">
        <color auto="1"/>
      </bottom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</border>
    <border>
      <left/>
      <right style="thin">
        <color auto="1"/>
      </right>
      <top/>
      <bottom style="medium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thin">
        <color theme="1" tint="0.349990010261536"/>
      </left>
      <right style="thin">
        <color theme="1" tint="0.349990010261536"/>
      </right>
      <top/>
      <bottom/>
    </border>
    <border>
      <left style="thin">
        <color theme="1" tint="0.349990010261536"/>
      </left>
      <right style="thin">
        <color theme="1" tint="0.349990010261536"/>
      </right>
      <top/>
      <bottom style="double">
        <color theme="1" tint="0.349990010261536"/>
      </bottom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medium">
        <color auto="1"/>
      </left>
      <right/>
      <top/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/>
      <right/>
      <top/>
      <bottom style="medium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/>
      <bottom/>
    </border>
  </borders>
  <cellStyleXfs count="9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7" fillId="0" borderId="0" applyNumberFormat="0" applyFill="0" applyBorder="0" applyAlignment="0" applyProtection="0">
      <alignment/>
    </xf>
    <xf numFmtId="0" fontId="0" fillId="2" borderId="1" applyNumberFormat="0" applyFont="0" applyAlignment="0" applyProtection="0">
      <alignment/>
    </xf>
  </cellStyleXfs>
  <cellXfs count="450">
    <xf numFmtId="0" fontId="0" fillId="0" borderId="0" xfId="0">
      <alignment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readingOrder="2"/>
    </xf>
    <xf numFmtId="0" fontId="0" fillId="0" borderId="6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4" borderId="0" xfId="0" applyFill="1">
      <alignment/>
    </xf>
    <xf numFmtId="0" fontId="2" fillId="4" borderId="0" xfId="0" applyFont="1" applyFill="1">
      <alignment/>
    </xf>
    <xf numFmtId="0" fontId="0" fillId="5" borderId="7" xfId="0" applyFill="1" applyBorder="1">
      <alignment/>
    </xf>
    <xf numFmtId="0" fontId="0" fillId="0" borderId="5" xfId="0" applyBorder="1">
      <alignment/>
    </xf>
    <xf numFmtId="0" fontId="0" fillId="0" borderId="4" xfId="0" applyBorder="1">
      <alignment/>
    </xf>
    <xf numFmtId="0" fontId="0" fillId="0" borderId="6" xfId="0" applyBorder="1">
      <alignment/>
    </xf>
    <xf numFmtId="0" fontId="2" fillId="3" borderId="5" xfId="0" applyFont="1" applyFill="1" applyBorder="1" applyAlignment="1">
      <alignment horizontal="center"/>
    </xf>
    <xf numFmtId="0" fontId="4" fillId="6" borderId="8" xfId="6" applyFont="1" applyFill="1" applyBorder="1">
      <alignment/>
      <protection/>
    </xf>
    <xf numFmtId="0" fontId="4" fillId="6" borderId="9" xfId="6" applyFont="1" applyFill="1" applyBorder="1">
      <alignment/>
      <protection/>
    </xf>
    <xf numFmtId="0" fontId="4" fillId="6" borderId="10" xfId="6" applyFont="1" applyFill="1" applyBorder="1">
      <alignment/>
      <protection/>
    </xf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right" readingOrder="2"/>
    </xf>
    <xf numFmtId="0" fontId="0" fillId="0" borderId="4" xfId="0" applyBorder="1" applyAlignment="1">
      <alignment horizontal="right"/>
    </xf>
    <xf numFmtId="0" fontId="0" fillId="0" borderId="2" xfId="0" applyBorder="1">
      <alignment/>
    </xf>
    <xf numFmtId="0" fontId="0" fillId="0" borderId="11" xfId="0" applyBorder="1">
      <alignment/>
    </xf>
    <xf numFmtId="0" fontId="0" fillId="0" borderId="3" xfId="0" applyBorder="1">
      <alignment/>
    </xf>
    <xf numFmtId="2" fontId="0" fillId="0" borderId="5" xfId="0" applyNumberFormat="1" applyBorder="1">
      <alignment/>
    </xf>
    <xf numFmtId="2" fontId="0" fillId="0" borderId="11" xfId="0" applyNumberFormat="1" applyBorder="1">
      <alignment/>
    </xf>
    <xf numFmtId="2" fontId="0" fillId="0" borderId="2" xfId="0" applyNumberFormat="1" applyBorder="1">
      <alignment/>
    </xf>
    <xf numFmtId="2" fontId="0" fillId="0" borderId="3" xfId="0" applyNumberFormat="1" applyBorder="1">
      <alignment/>
    </xf>
    <xf numFmtId="2" fontId="0" fillId="5" borderId="5" xfId="0" applyNumberFormat="1" applyFill="1" applyBorder="1">
      <alignment/>
    </xf>
    <xf numFmtId="2" fontId="0" fillId="5" borderId="2" xfId="0" applyNumberFormat="1" applyFill="1" applyBorder="1">
      <alignment/>
    </xf>
    <xf numFmtId="2" fontId="0" fillId="0" borderId="5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4" borderId="0" xfId="0" applyFill="1" applyAlignment="1">
      <alignment readingOrder="2"/>
    </xf>
    <xf numFmtId="2" fontId="0" fillId="0" borderId="7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0" xfId="0" applyNumberFormat="1">
      <alignment/>
    </xf>
    <xf numFmtId="2" fontId="0" fillId="3" borderId="7" xfId="0" applyNumberFormat="1" applyFill="1" applyBorder="1" applyAlignment="1">
      <alignment horizontal="center"/>
    </xf>
    <xf numFmtId="2" fontId="0" fillId="0" borderId="4" xfId="0" applyNumberFormat="1" applyBorder="1">
      <alignment/>
    </xf>
    <xf numFmtId="2" fontId="0" fillId="5" borderId="4" xfId="0" applyNumberFormat="1" applyFill="1" applyBorder="1">
      <alignment/>
    </xf>
    <xf numFmtId="2" fontId="0" fillId="0" borderId="6" xfId="0" applyNumberFormat="1" applyBorder="1">
      <alignment/>
    </xf>
    <xf numFmtId="0" fontId="0" fillId="8" borderId="13" xfId="0" applyFill="1" applyBorder="1">
      <alignment/>
    </xf>
    <xf numFmtId="0" fontId="0" fillId="8" borderId="14" xfId="0" applyFill="1" applyBorder="1">
      <alignment/>
    </xf>
    <xf numFmtId="0" fontId="0" fillId="8" borderId="15" xfId="0" applyFill="1" applyBorder="1">
      <alignment/>
    </xf>
    <xf numFmtId="0" fontId="0" fillId="8" borderId="16" xfId="0" applyFill="1" applyBorder="1">
      <alignment/>
    </xf>
    <xf numFmtId="164" fontId="0" fillId="0" borderId="0" xfId="0" applyNumberFormat="1">
      <alignment/>
    </xf>
    <xf numFmtId="2" fontId="0" fillId="3" borderId="5" xfId="0" applyNumberFormat="1" applyFill="1" applyBorder="1" applyAlignment="1">
      <alignment horizontal="center"/>
    </xf>
    <xf numFmtId="164" fontId="0" fillId="0" borderId="4" xfId="0" applyNumberFormat="1" applyBorder="1">
      <alignment/>
    </xf>
    <xf numFmtId="1" fontId="0" fillId="0" borderId="2" xfId="0" applyNumberFormat="1" applyBorder="1">
      <alignment/>
    </xf>
    <xf numFmtId="1" fontId="0" fillId="0" borderId="3" xfId="0" applyNumberFormat="1" applyBorder="1">
      <alignment/>
    </xf>
    <xf numFmtId="0" fontId="0" fillId="4" borderId="0" xfId="0" applyFill="1" applyAlignment="1">
      <alignment horizontal="center"/>
    </xf>
    <xf numFmtId="1" fontId="2" fillId="4" borderId="0" xfId="0" applyNumberFormat="1" applyFont="1" applyFill="1">
      <alignment/>
    </xf>
    <xf numFmtId="0" fontId="0" fillId="4" borderId="17" xfId="0" applyFill="1" applyBorder="1">
      <alignment/>
    </xf>
    <xf numFmtId="0" fontId="7" fillId="0" borderId="0" xfId="7">
      <alignment/>
    </xf>
    <xf numFmtId="0" fontId="2" fillId="4" borderId="0" xfId="0" applyFont="1" applyFill="1" applyAlignment="1">
      <alignment horizontal="center"/>
    </xf>
    <xf numFmtId="0" fontId="2" fillId="4" borderId="18" xfId="0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 readingOrder="2"/>
    </xf>
    <xf numFmtId="2" fontId="0" fillId="3" borderId="2" xfId="0" applyNumberFormat="1" applyFill="1" applyBorder="1" applyAlignment="1">
      <alignment horizontal="center" readingOrder="2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 readingOrder="2"/>
    </xf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6" xfId="0" applyFill="1" applyBorder="1" applyAlignment="1">
      <alignment horizontal="center"/>
    </xf>
    <xf numFmtId="0" fontId="0" fillId="9" borderId="5" xfId="0" applyFill="1" applyBorder="1" applyProtection="1">
      <alignment/>
      <protection locked="0"/>
    </xf>
    <xf numFmtId="0" fontId="0" fillId="9" borderId="5" xfId="0" applyFill="1" applyBorder="1" applyAlignment="1" applyProtection="1">
      <alignment horizontal="center"/>
      <protection locked="0"/>
    </xf>
    <xf numFmtId="2" fontId="2" fillId="3" borderId="5" xfId="0" applyNumberFormat="1" applyFont="1" applyFill="1" applyBorder="1">
      <alignment/>
    </xf>
    <xf numFmtId="2" fontId="2" fillId="3" borderId="11" xfId="0" applyNumberFormat="1" applyFont="1" applyFill="1" applyBorder="1">
      <alignment/>
    </xf>
    <xf numFmtId="0" fontId="2" fillId="9" borderId="5" xfId="0" applyFont="1" applyFill="1" applyBorder="1" applyAlignment="1" applyProtection="1">
      <alignment horizontal="center"/>
      <protection locked="0"/>
    </xf>
    <xf numFmtId="0" fontId="0" fillId="9" borderId="2" xfId="0" applyFill="1" applyBorder="1" applyAlignment="1" applyProtection="1">
      <alignment horizontal="center"/>
      <protection locked="0"/>
    </xf>
    <xf numFmtId="0" fontId="0" fillId="9" borderId="11" xfId="0" applyFill="1" applyBorder="1" applyAlignment="1" applyProtection="1">
      <alignment horizontal="center"/>
      <protection locked="0"/>
    </xf>
    <xf numFmtId="0" fontId="2" fillId="9" borderId="11" xfId="0" applyFont="1" applyFill="1" applyBorder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/>
      <protection locked="0"/>
    </xf>
    <xf numFmtId="14" fontId="0" fillId="9" borderId="5" xfId="0" applyNumberFormat="1" applyFill="1" applyBorder="1" applyAlignment="1" applyProtection="1">
      <alignment horizontal="center"/>
      <protection locked="0"/>
    </xf>
    <xf numFmtId="14" fontId="0" fillId="9" borderId="11" xfId="0" applyNumberFormat="1" applyFill="1" applyBorder="1" applyAlignment="1" applyProtection="1">
      <alignment horizontal="center"/>
      <protection locked="0"/>
    </xf>
    <xf numFmtId="0" fontId="0" fillId="10" borderId="5" xfId="0" applyFill="1" applyBorder="1">
      <alignment/>
    </xf>
    <xf numFmtId="0" fontId="0" fillId="10" borderId="5" xfId="0" applyFill="1" applyBorder="1" applyAlignment="1">
      <alignment horizontal="center"/>
    </xf>
    <xf numFmtId="0" fontId="0" fillId="10" borderId="2" xfId="0" applyFill="1" applyBorder="1">
      <alignment/>
    </xf>
    <xf numFmtId="0" fontId="0" fillId="10" borderId="4" xfId="0" applyFill="1" applyBorder="1">
      <alignment/>
    </xf>
    <xf numFmtId="0" fontId="0" fillId="10" borderId="7" xfId="0" applyFill="1" applyBorder="1">
      <alignment/>
    </xf>
    <xf numFmtId="0" fontId="9" fillId="4" borderId="0" xfId="0" applyFont="1" applyFill="1" applyAlignment="1">
      <alignment horizontal="left"/>
    </xf>
    <xf numFmtId="0" fontId="9" fillId="4" borderId="0" xfId="0" applyFont="1" applyFill="1">
      <alignment/>
    </xf>
    <xf numFmtId="1" fontId="0" fillId="4" borderId="0" xfId="0" applyNumberFormat="1" applyFill="1">
      <alignment/>
    </xf>
    <xf numFmtId="1" fontId="9" fillId="4" borderId="0" xfId="0" applyNumberFormat="1" applyFont="1" applyFill="1">
      <alignment/>
    </xf>
    <xf numFmtId="0" fontId="0" fillId="4" borderId="19" xfId="0" applyFill="1" applyBorder="1">
      <alignment/>
    </xf>
    <xf numFmtId="1" fontId="0" fillId="4" borderId="19" xfId="0" applyNumberFormat="1" applyFill="1" applyBorder="1">
      <alignment/>
    </xf>
    <xf numFmtId="0" fontId="0" fillId="4" borderId="20" xfId="0" applyFill="1" applyBorder="1">
      <alignment/>
    </xf>
    <xf numFmtId="0" fontId="0" fillId="4" borderId="21" xfId="0" applyFill="1" applyBorder="1" applyAlignment="1">
      <alignment horizontal="center"/>
    </xf>
    <xf numFmtId="1" fontId="0" fillId="4" borderId="21" xfId="0" applyNumberFormat="1" applyFill="1" applyBorder="1" applyAlignment="1">
      <alignment horizontal="center"/>
    </xf>
    <xf numFmtId="0" fontId="0" fillId="4" borderId="21" xfId="0" applyFill="1" applyBorder="1">
      <alignment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1" fontId="0" fillId="6" borderId="24" xfId="0" applyNumberFormat="1" applyFill="1" applyBorder="1" applyProtection="1">
      <alignment/>
      <protection locked="0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5" xfId="0" applyFill="1" applyBorder="1">
      <alignment/>
    </xf>
    <xf numFmtId="0" fontId="0" fillId="3" borderId="8" xfId="0" applyFill="1" applyBorder="1">
      <alignment/>
    </xf>
    <xf numFmtId="0" fontId="0" fillId="3" borderId="26" xfId="0" applyFill="1" applyBorder="1">
      <alignment/>
    </xf>
    <xf numFmtId="0" fontId="0" fillId="3" borderId="13" xfId="0" applyFill="1" applyBorder="1" applyAlignment="1">
      <alignment horizontal="center"/>
    </xf>
    <xf numFmtId="0" fontId="0" fillId="0" borderId="14" xfId="0" applyBorder="1">
      <alignment/>
    </xf>
    <xf numFmtId="0" fontId="0" fillId="0" borderId="15" xfId="0" applyBorder="1">
      <alignment/>
    </xf>
    <xf numFmtId="0" fontId="0" fillId="3" borderId="27" xfId="0" applyFill="1" applyBorder="1" applyAlignment="1">
      <alignment horizontal="center"/>
    </xf>
    <xf numFmtId="0" fontId="0" fillId="0" borderId="10" xfId="0" applyBorder="1">
      <alignment/>
    </xf>
    <xf numFmtId="0" fontId="0" fillId="0" borderId="28" xfId="0" applyBorder="1">
      <alignment/>
    </xf>
    <xf numFmtId="0" fontId="0" fillId="3" borderId="25" xfId="0" applyFill="1" applyBorder="1" applyAlignment="1">
      <alignment horizontal="center"/>
    </xf>
    <xf numFmtId="0" fontId="0" fillId="0" borderId="8" xfId="0" applyBorder="1">
      <alignment/>
    </xf>
    <xf numFmtId="0" fontId="0" fillId="0" borderId="26" xfId="0" applyBorder="1">
      <alignment/>
    </xf>
    <xf numFmtId="0" fontId="0" fillId="3" borderId="4" xfId="0" applyFill="1" applyBorder="1">
      <alignment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9" borderId="5" xfId="0" applyFill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2" fillId="7" borderId="29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12" fillId="0" borderId="0" xfId="0" applyFont="1">
      <alignment/>
    </xf>
    <xf numFmtId="0" fontId="12" fillId="11" borderId="0" xfId="0" applyFont="1" applyFill="1">
      <alignment/>
    </xf>
    <xf numFmtId="2" fontId="12" fillId="0" borderId="36" xfId="0" applyNumberFormat="1" applyFont="1" applyBorder="1" applyAlignment="1">
      <alignment horizontal="center" vertical="center"/>
    </xf>
    <xf numFmtId="1" fontId="12" fillId="0" borderId="37" xfId="0" applyNumberFormat="1" applyFont="1" applyBorder="1" applyAlignment="1">
      <alignment horizontal="center"/>
    </xf>
    <xf numFmtId="0" fontId="12" fillId="0" borderId="37" xfId="0" applyFont="1" applyBorder="1">
      <alignment/>
    </xf>
    <xf numFmtId="0" fontId="12" fillId="0" borderId="38" xfId="0" applyFont="1" applyBorder="1">
      <alignment/>
    </xf>
    <xf numFmtId="0" fontId="12" fillId="12" borderId="0" xfId="0" applyFont="1" applyFill="1">
      <alignment/>
    </xf>
    <xf numFmtId="0" fontId="12" fillId="0" borderId="39" xfId="0" applyFont="1" applyBorder="1">
      <alignment/>
    </xf>
    <xf numFmtId="1" fontId="13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 applyProtection="1">
      <alignment horizontal="center"/>
      <protection locked="0"/>
    </xf>
    <xf numFmtId="1" fontId="12" fillId="0" borderId="0" xfId="0" applyNumberFormat="1" applyFont="1" applyAlignment="1">
      <alignment horizontal="center" vertical="center"/>
    </xf>
    <xf numFmtId="0" fontId="12" fillId="0" borderId="40" xfId="0" applyFont="1" applyBorder="1">
      <alignment/>
    </xf>
    <xf numFmtId="0" fontId="12" fillId="12" borderId="18" xfId="0" applyFont="1" applyFill="1" applyBorder="1">
      <alignment/>
    </xf>
    <xf numFmtId="0" fontId="12" fillId="0" borderId="18" xfId="0" applyFont="1" applyBorder="1">
      <alignment/>
    </xf>
    <xf numFmtId="2" fontId="0" fillId="3" borderId="2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 readingOrder="2"/>
    </xf>
    <xf numFmtId="2" fontId="0" fillId="0" borderId="6" xfId="0" applyNumberFormat="1" applyBorder="1" applyAlignment="1">
      <alignment horizontal="center" readingOrder="2"/>
    </xf>
    <xf numFmtId="0" fontId="0" fillId="13" borderId="41" xfId="0" applyFill="1" applyBorder="1" applyAlignment="1">
      <alignment horizontal="center" vertical="center"/>
    </xf>
    <xf numFmtId="0" fontId="12" fillId="0" borderId="42" xfId="0" applyFont="1" applyBorder="1">
      <alignment/>
    </xf>
    <xf numFmtId="0" fontId="0" fillId="13" borderId="43" xfId="0" applyFill="1" applyBorder="1" applyAlignment="1">
      <alignment horizontal="center" vertical="center"/>
    </xf>
    <xf numFmtId="0" fontId="0" fillId="2" borderId="44" xfId="8" applyFont="1" applyBorder="1" applyAlignment="1">
      <alignment horizontal="center" vertical="center"/>
    </xf>
    <xf numFmtId="0" fontId="0" fillId="2" borderId="1" xfId="8" applyFont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2" borderId="46" xfId="8" applyFont="1" applyBorder="1" applyAlignment="1">
      <alignment horizontal="center" vertical="center"/>
    </xf>
    <xf numFmtId="0" fontId="0" fillId="2" borderId="47" xfId="8" applyFont="1" applyBorder="1" applyAlignment="1">
      <alignment horizontal="center" vertical="center"/>
    </xf>
    <xf numFmtId="0" fontId="14" fillId="14" borderId="5" xfId="0" applyFont="1" applyFill="1" applyBorder="1" applyAlignment="1">
      <alignment vertical="center"/>
    </xf>
    <xf numFmtId="0" fontId="2" fillId="13" borderId="5" xfId="0" applyFont="1" applyFill="1" applyBorder="1" applyAlignment="1" applyProtection="1">
      <alignment vertical="center"/>
      <protection locked="0"/>
    </xf>
    <xf numFmtId="0" fontId="13" fillId="0" borderId="41" xfId="0" applyFont="1" applyBorder="1">
      <alignment/>
    </xf>
    <xf numFmtId="1" fontId="0" fillId="0" borderId="5" xfId="0" applyNumberFormat="1" applyBorder="1">
      <alignment/>
    </xf>
    <xf numFmtId="1" fontId="0" fillId="0" borderId="11" xfId="0" applyNumberFormat="1" applyBorder="1">
      <alignment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 applyProtection="1">
      <alignment horizontal="center" readingOrder="2"/>
      <protection locked="0"/>
    </xf>
    <xf numFmtId="0" fontId="17" fillId="4" borderId="0" xfId="0" applyFont="1" applyFill="1">
      <alignment/>
    </xf>
    <xf numFmtId="0" fontId="14" fillId="14" borderId="7" xfId="0" applyFont="1" applyFill="1" applyBorder="1" applyAlignment="1">
      <alignment vertical="center"/>
    </xf>
    <xf numFmtId="0" fontId="0" fillId="14" borderId="19" xfId="0" applyFill="1" applyBorder="1">
      <alignment/>
    </xf>
    <xf numFmtId="0" fontId="2" fillId="13" borderId="5" xfId="0" applyFont="1" applyFill="1" applyBorder="1" applyAlignment="1" applyProtection="1">
      <alignment horizontal="center" vertical="center"/>
      <protection locked="0"/>
    </xf>
    <xf numFmtId="0" fontId="2" fillId="13" borderId="48" xfId="0" applyFont="1" applyFill="1" applyBorder="1">
      <alignment/>
    </xf>
    <xf numFmtId="1" fontId="0" fillId="4" borderId="49" xfId="0" applyNumberForma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1" fontId="0" fillId="4" borderId="50" xfId="0" applyNumberFormat="1" applyFill="1" applyBorder="1" applyAlignment="1">
      <alignment horizontal="center"/>
    </xf>
    <xf numFmtId="9" fontId="0" fillId="4" borderId="0" xfId="1" applyFont="1" applyFill="1" applyBorder="1" applyAlignment="1">
      <alignment horizontal="center" readingOrder="2"/>
    </xf>
    <xf numFmtId="9" fontId="0" fillId="0" borderId="0" xfId="1" applyFont="1">
      <alignment/>
    </xf>
    <xf numFmtId="0" fontId="0" fillId="10" borderId="8" xfId="0" applyFill="1" applyBorder="1">
      <alignment/>
    </xf>
    <xf numFmtId="0" fontId="15" fillId="10" borderId="8" xfId="0" applyFont="1" applyFill="1" applyBorder="1">
      <alignment/>
    </xf>
    <xf numFmtId="0" fontId="0" fillId="10" borderId="36" xfId="0" applyFill="1" applyBorder="1">
      <alignment/>
    </xf>
    <xf numFmtId="0" fontId="0" fillId="10" borderId="26" xfId="0" applyFill="1" applyBorder="1">
      <alignment/>
    </xf>
    <xf numFmtId="0" fontId="0" fillId="15" borderId="13" xfId="0" applyFill="1" applyBorder="1">
      <alignment/>
    </xf>
    <xf numFmtId="0" fontId="0" fillId="15" borderId="14" xfId="0" applyFill="1" applyBorder="1">
      <alignment/>
    </xf>
    <xf numFmtId="0" fontId="0" fillId="15" borderId="15" xfId="0" applyFill="1" applyBorder="1">
      <alignment/>
    </xf>
    <xf numFmtId="0" fontId="0" fillId="15" borderId="4" xfId="0" applyFill="1" applyBorder="1">
      <alignment/>
    </xf>
    <xf numFmtId="0" fontId="0" fillId="15" borderId="5" xfId="0" applyFill="1" applyBorder="1">
      <alignment/>
    </xf>
    <xf numFmtId="0" fontId="0" fillId="15" borderId="2" xfId="0" applyFill="1" applyBorder="1">
      <alignment/>
    </xf>
    <xf numFmtId="0" fontId="0" fillId="15" borderId="6" xfId="0" applyFill="1" applyBorder="1">
      <alignment/>
    </xf>
    <xf numFmtId="0" fontId="0" fillId="15" borderId="11" xfId="0" applyFill="1" applyBorder="1">
      <alignment/>
    </xf>
    <xf numFmtId="0" fontId="0" fillId="15" borderId="3" xfId="0" applyFill="1" applyBorder="1">
      <alignment/>
    </xf>
    <xf numFmtId="0" fontId="0" fillId="10" borderId="25" xfId="0" applyFill="1" applyBorder="1">
      <alignment/>
    </xf>
    <xf numFmtId="1" fontId="0" fillId="0" borderId="7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9" borderId="5" xfId="0" applyFill="1" applyBorder="1" applyAlignment="1" applyProtection="1">
      <alignment horizontal="right"/>
      <protection locked="0"/>
    </xf>
    <xf numFmtId="9" fontId="18" fillId="4" borderId="0" xfId="1" applyFont="1" applyFill="1" applyBorder="1" applyProtection="1">
      <alignment/>
      <protection locked="0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5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" fontId="0" fillId="0" borderId="0" xfId="0" applyNumberFormat="1">
      <alignment/>
    </xf>
    <xf numFmtId="0" fontId="0" fillId="4" borderId="5" xfId="0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7" borderId="2" xfId="0" applyNumberFormat="1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16" fillId="4" borderId="0" xfId="0" applyFont="1" applyFill="1">
      <alignment/>
    </xf>
    <xf numFmtId="0" fontId="16" fillId="10" borderId="4" xfId="0" applyFont="1" applyFill="1" applyBorder="1">
      <alignment/>
    </xf>
    <xf numFmtId="0" fontId="0" fillId="0" borderId="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8" borderId="51" xfId="0" applyFont="1" applyFill="1" applyBorder="1" applyAlignment="1">
      <alignment horizontal="left"/>
    </xf>
    <xf numFmtId="0" fontId="2" fillId="16" borderId="52" xfId="0" applyFont="1" applyFill="1" applyBorder="1" applyAlignment="1">
      <alignment horizontal="center"/>
    </xf>
    <xf numFmtId="1" fontId="16" fillId="0" borderId="4" xfId="0" applyNumberFormat="1" applyFont="1" applyBorder="1" applyAlignment="1">
      <alignment horizontal="center"/>
    </xf>
    <xf numFmtId="1" fontId="16" fillId="0" borderId="6" xfId="0" applyNumberFormat="1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2" fillId="16" borderId="52" xfId="0" applyFont="1" applyFill="1" applyBorder="1">
      <alignment/>
    </xf>
    <xf numFmtId="0" fontId="2" fillId="16" borderId="53" xfId="0" applyFont="1" applyFill="1" applyBorder="1">
      <alignment/>
    </xf>
    <xf numFmtId="2" fontId="0" fillId="3" borderId="28" xfId="0" applyNumberFormat="1" applyFill="1" applyBorder="1" applyAlignment="1">
      <alignment horizontal="center" readingOrder="2"/>
    </xf>
    <xf numFmtId="0" fontId="2" fillId="16" borderId="54" xfId="0" applyFont="1" applyFill="1" applyBorder="1">
      <alignment/>
    </xf>
    <xf numFmtId="0" fontId="2" fillId="16" borderId="55" xfId="0" applyFont="1" applyFill="1" applyBorder="1">
      <alignment/>
    </xf>
    <xf numFmtId="2" fontId="0" fillId="3" borderId="41" xfId="0" applyNumberFormat="1" applyFill="1" applyBorder="1" applyAlignment="1">
      <alignment horizontal="center" readingOrder="2"/>
    </xf>
    <xf numFmtId="0" fontId="0" fillId="0" borderId="56" xfId="0" applyBorder="1">
      <alignment/>
    </xf>
    <xf numFmtId="0" fontId="0" fillId="0" borderId="57" xfId="0" applyBorder="1">
      <alignment/>
    </xf>
    <xf numFmtId="0" fontId="2" fillId="16" borderId="58" xfId="0" applyFont="1" applyFill="1" applyBorder="1" applyAlignment="1">
      <alignment horizontal="center"/>
    </xf>
    <xf numFmtId="0" fontId="0" fillId="0" borderId="34" xfId="0" applyBorder="1">
      <alignment/>
    </xf>
    <xf numFmtId="0" fontId="0" fillId="0" borderId="35" xfId="0" applyBorder="1">
      <alignment/>
    </xf>
    <xf numFmtId="2" fontId="16" fillId="3" borderId="59" xfId="0" applyNumberFormat="1" applyFont="1" applyFill="1" applyBorder="1" applyAlignment="1">
      <alignment horizontal="center" readingOrder="2"/>
    </xf>
    <xf numFmtId="0" fontId="0" fillId="0" borderId="60" xfId="0" applyBorder="1">
      <alignment/>
    </xf>
    <xf numFmtId="0" fontId="0" fillId="0" borderId="61" xfId="0" applyBorder="1">
      <alignment/>
    </xf>
    <xf numFmtId="2" fontId="0" fillId="3" borderId="62" xfId="0" applyNumberFormat="1" applyFill="1" applyBorder="1" applyAlignment="1">
      <alignment horizontal="center" readingOrder="2"/>
    </xf>
    <xf numFmtId="2" fontId="0" fillId="3" borderId="7" xfId="0" applyNumberFormat="1" applyFill="1" applyBorder="1" applyAlignment="1">
      <alignment horizontal="center" readingOrder="2"/>
    </xf>
    <xf numFmtId="0" fontId="0" fillId="0" borderId="7" xfId="0" applyBorder="1">
      <alignment/>
    </xf>
    <xf numFmtId="0" fontId="0" fillId="0" borderId="12" xfId="0" applyBorder="1">
      <alignment/>
    </xf>
    <xf numFmtId="0" fontId="0" fillId="3" borderId="13" xfId="0" applyFill="1" applyBorder="1">
      <alignment/>
    </xf>
    <xf numFmtId="0" fontId="0" fillId="3" borderId="6" xfId="0" applyFill="1" applyBorder="1">
      <alignment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2" fontId="2" fillId="17" borderId="13" xfId="0" applyNumberFormat="1" applyFont="1" applyFill="1" applyBorder="1" applyAlignment="1">
      <alignment horizontal="center" vertical="center"/>
    </xf>
    <xf numFmtId="14" fontId="2" fillId="17" borderId="14" xfId="0" applyNumberFormat="1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5" borderId="5" xfId="0" applyFill="1" applyBorder="1" applyProtection="1">
      <alignment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49" fontId="0" fillId="4" borderId="0" xfId="0" applyNumberFormat="1" applyFill="1" applyAlignment="1">
      <alignment horizontal="center"/>
    </xf>
    <xf numFmtId="0" fontId="0" fillId="0" borderId="0" xfId="0" applyAlignment="1">
      <alignment horizontal="center" vertical="center" readingOrder="2"/>
    </xf>
    <xf numFmtId="0" fontId="0" fillId="0" borderId="0" xfId="0" applyAlignment="1">
      <alignment horizontal="right" readingOrder="2"/>
    </xf>
    <xf numFmtId="0" fontId="0" fillId="18" borderId="0" xfId="0" applyFill="1">
      <alignment/>
    </xf>
    <xf numFmtId="0" fontId="0" fillId="6" borderId="0" xfId="0" applyFill="1">
      <alignment/>
    </xf>
    <xf numFmtId="0" fontId="2" fillId="4" borderId="0" xfId="0" applyFont="1" applyFill="1" applyAlignment="1">
      <alignment horizontal="center" readingOrder="2"/>
    </xf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9" borderId="0" xfId="0" applyFill="1">
      <alignment/>
    </xf>
    <xf numFmtId="0" fontId="0" fillId="0" borderId="12" xfId="0" applyBorder="1" applyAlignment="1">
      <alignment horizontal="center"/>
    </xf>
    <xf numFmtId="0" fontId="0" fillId="4" borderId="0" xfId="0" applyFill="1" applyAlignment="1">
      <alignment horizontal="left"/>
    </xf>
    <xf numFmtId="0" fontId="0" fillId="7" borderId="5" xfId="0" applyFill="1" applyBorder="1">
      <alignment/>
    </xf>
    <xf numFmtId="0" fontId="0" fillId="0" borderId="0" xfId="0" applyAlignment="1">
      <alignment horizontal="center"/>
    </xf>
    <xf numFmtId="0" fontId="22" fillId="0" borderId="0" xfId="0" applyFont="1">
      <alignment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>
      <alignment/>
    </xf>
    <xf numFmtId="2" fontId="0" fillId="0" borderId="4" xfId="0" applyNumberFormat="1" applyFill="1" applyBorder="1">
      <alignment/>
    </xf>
    <xf numFmtId="2" fontId="0" fillId="0" borderId="5" xfId="0" applyNumberFormat="1" applyFill="1" applyBorder="1">
      <alignment/>
    </xf>
    <xf numFmtId="2" fontId="0" fillId="0" borderId="2" xfId="0" applyNumberFormat="1" applyFill="1" applyBorder="1">
      <alignment/>
    </xf>
    <xf numFmtId="2" fontId="0" fillId="0" borderId="0" xfId="0" applyNumberFormat="1" applyFill="1">
      <alignment/>
    </xf>
    <xf numFmtId="0" fontId="2" fillId="0" borderId="0" xfId="0" applyFont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63" xfId="0" applyFill="1" applyBorder="1" applyAlignment="1">
      <alignment horizontal="center"/>
    </xf>
    <xf numFmtId="0" fontId="2" fillId="0" borderId="0" xfId="0" applyFont="1" applyFill="1" applyAlignment="1">
      <alignment horizontal="right" readingOrder="2"/>
    </xf>
    <xf numFmtId="0" fontId="4" fillId="6" borderId="0" xfId="6" applyFont="1" applyFill="1" applyBorder="1">
      <alignment/>
      <protection/>
    </xf>
    <xf numFmtId="0" fontId="2" fillId="19" borderId="64" xfId="0" applyFont="1" applyFill="1" applyBorder="1" applyAlignment="1">
      <alignment horizontal="center"/>
    </xf>
    <xf numFmtId="0" fontId="2" fillId="19" borderId="65" xfId="0" applyFont="1" applyFill="1" applyBorder="1" applyAlignment="1">
      <alignment horizontal="center"/>
    </xf>
    <xf numFmtId="0" fontId="2" fillId="19" borderId="59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20" fillId="4" borderId="3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right" vertical="center" wrapText="1"/>
    </xf>
    <xf numFmtId="0" fontId="10" fillId="4" borderId="63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20" borderId="4" xfId="0" applyFill="1" applyBorder="1" applyAlignment="1">
      <alignment horizontal="right" readingOrder="2"/>
    </xf>
    <xf numFmtId="0" fontId="0" fillId="20" borderId="5" xfId="0" applyFill="1" applyBorder="1" applyAlignment="1">
      <alignment horizontal="right" readingOrder="2"/>
    </xf>
    <xf numFmtId="0" fontId="0" fillId="20" borderId="2" xfId="0" applyFill="1" applyBorder="1" applyAlignment="1">
      <alignment horizontal="right" readingOrder="2"/>
    </xf>
    <xf numFmtId="0" fontId="0" fillId="20" borderId="4" xfId="0" applyFill="1" applyBorder="1" applyAlignment="1">
      <alignment horizontal="right"/>
    </xf>
    <xf numFmtId="0" fontId="0" fillId="20" borderId="5" xfId="0" applyFill="1" applyBorder="1" applyAlignment="1">
      <alignment horizontal="right"/>
    </xf>
    <xf numFmtId="0" fontId="0" fillId="20" borderId="2" xfId="0" applyFill="1" applyBorder="1" applyAlignment="1">
      <alignment horizontal="right"/>
    </xf>
    <xf numFmtId="0" fontId="0" fillId="20" borderId="15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19" fillId="19" borderId="13" xfId="0" applyFont="1" applyFill="1" applyBorder="1" applyAlignment="1">
      <alignment horizontal="center" vertical="center" wrapText="1"/>
    </xf>
    <xf numFmtId="0" fontId="19" fillId="19" borderId="14" xfId="0" applyFont="1" applyFill="1" applyBorder="1" applyAlignment="1">
      <alignment horizontal="center" vertical="center" wrapText="1"/>
    </xf>
    <xf numFmtId="0" fontId="19" fillId="19" borderId="4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0" fontId="19" fillId="19" borderId="6" xfId="0" applyFont="1" applyFill="1" applyBorder="1" applyAlignment="1">
      <alignment horizontal="center" vertical="center" wrapText="1"/>
    </xf>
    <xf numFmtId="0" fontId="19" fillId="19" borderId="11" xfId="0" applyFont="1" applyFill="1" applyBorder="1" applyAlignment="1">
      <alignment horizontal="center" vertical="center" wrapText="1"/>
    </xf>
    <xf numFmtId="0" fontId="2" fillId="21" borderId="13" xfId="0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0" fontId="2" fillId="21" borderId="15" xfId="0" applyFont="1" applyFill="1" applyBorder="1" applyAlignment="1">
      <alignment horizontal="center"/>
    </xf>
    <xf numFmtId="9" fontId="0" fillId="22" borderId="4" xfId="1" applyFont="1" applyFill="1" applyBorder="1" applyAlignment="1">
      <alignment horizontal="center" vertical="center" readingOrder="2"/>
    </xf>
    <xf numFmtId="9" fontId="0" fillId="22" borderId="5" xfId="1" applyFont="1" applyFill="1" applyBorder="1" applyAlignment="1">
      <alignment horizontal="center" vertical="center" readingOrder="2"/>
    </xf>
    <xf numFmtId="9" fontId="0" fillId="23" borderId="4" xfId="1" applyFont="1" applyFill="1" applyBorder="1" applyAlignment="1">
      <alignment horizontal="center" vertical="center" readingOrder="2"/>
    </xf>
    <xf numFmtId="9" fontId="0" fillId="23" borderId="5" xfId="1" applyFont="1" applyFill="1" applyBorder="1" applyAlignment="1">
      <alignment horizontal="center" vertical="center" readingOrder="2"/>
    </xf>
    <xf numFmtId="9" fontId="0" fillId="24" borderId="6" xfId="1" applyFont="1" applyFill="1" applyBorder="1" applyAlignment="1">
      <alignment horizontal="center" readingOrder="2"/>
    </xf>
    <xf numFmtId="9" fontId="0" fillId="24" borderId="11" xfId="1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9" fontId="0" fillId="17" borderId="4" xfId="1" applyFont="1" applyFill="1" applyBorder="1" applyAlignment="1">
      <alignment horizontal="center" readingOrder="2"/>
    </xf>
    <xf numFmtId="9" fontId="0" fillId="17" borderId="5" xfId="1" applyFont="1" applyFill="1" applyBorder="1" applyAlignment="1">
      <alignment horizontal="center" readingOrder="2"/>
    </xf>
    <xf numFmtId="0" fontId="0" fillId="20" borderId="66" xfId="0" applyFill="1" applyBorder="1" applyAlignment="1" applyProtection="1">
      <alignment horizontal="right"/>
      <protection locked="0"/>
    </xf>
    <xf numFmtId="0" fontId="0" fillId="20" borderId="67" xfId="0" applyFill="1" applyBorder="1" applyAlignment="1" applyProtection="1">
      <alignment horizontal="right"/>
      <protection locked="0"/>
    </xf>
    <xf numFmtId="0" fontId="0" fillId="20" borderId="61" xfId="0" applyFill="1" applyBorder="1" applyAlignment="1" applyProtection="1">
      <alignment horizontal="right"/>
      <protection locked="0"/>
    </xf>
    <xf numFmtId="2" fontId="9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right" vertical="center"/>
    </xf>
    <xf numFmtId="0" fontId="2" fillId="25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8" fillId="9" borderId="8" xfId="0" applyFont="1" applyFill="1" applyBorder="1" applyAlignment="1" applyProtection="1">
      <alignment horizontal="center" vertical="center"/>
      <protection locked="0"/>
    </xf>
    <xf numFmtId="0" fontId="8" fillId="9" borderId="10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wrapText="1"/>
    </xf>
    <xf numFmtId="0" fontId="0" fillId="9" borderId="7" xfId="0" applyFill="1" applyBorder="1" applyAlignment="1" applyProtection="1">
      <alignment horizontal="center" readingOrder="2"/>
      <protection locked="0"/>
    </xf>
    <xf numFmtId="0" fontId="0" fillId="9" borderId="19" xfId="0" applyFill="1" applyBorder="1" applyAlignment="1" applyProtection="1">
      <alignment horizontal="center" readingOrder="2"/>
      <protection locked="0"/>
    </xf>
    <xf numFmtId="0" fontId="0" fillId="9" borderId="56" xfId="0" applyFill="1" applyBorder="1" applyAlignment="1" applyProtection="1">
      <alignment horizontal="center" readingOrder="2"/>
      <protection locked="0"/>
    </xf>
    <xf numFmtId="0" fontId="21" fillId="4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64" xfId="0" applyFont="1" applyFill="1" applyBorder="1" applyAlignment="1">
      <alignment horizontal="center"/>
    </xf>
    <xf numFmtId="0" fontId="2" fillId="8" borderId="65" xfId="0" applyFont="1" applyFill="1" applyBorder="1" applyAlignment="1">
      <alignment horizontal="center"/>
    </xf>
    <xf numFmtId="0" fontId="2" fillId="8" borderId="59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1" xfId="0" applyBorder="1" applyAlignment="1">
      <alignment horizontal="center"/>
    </xf>
    <xf numFmtId="2" fontId="2" fillId="16" borderId="64" xfId="0" applyNumberFormat="1" applyFont="1" applyFill="1" applyBorder="1" applyAlignment="1">
      <alignment horizontal="center"/>
    </xf>
    <xf numFmtId="2" fontId="2" fillId="16" borderId="65" xfId="0" applyNumberFormat="1" applyFont="1" applyFill="1" applyBorder="1" applyAlignment="1">
      <alignment horizontal="center"/>
    </xf>
    <xf numFmtId="2" fontId="2" fillId="16" borderId="59" xfId="0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16" borderId="64" xfId="0" applyFont="1" applyFill="1" applyBorder="1" applyAlignment="1">
      <alignment horizontal="center"/>
    </xf>
    <xf numFmtId="0" fontId="2" fillId="16" borderId="5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16" borderId="64" xfId="0" applyFont="1" applyFill="1" applyBorder="1" applyAlignment="1">
      <alignment horizontal="center"/>
    </xf>
    <xf numFmtId="0" fontId="19" fillId="16" borderId="59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16" borderId="52" xfId="0" applyFont="1" applyFill="1" applyBorder="1" applyAlignment="1">
      <alignment horizontal="center"/>
    </xf>
    <xf numFmtId="0" fontId="2" fillId="16" borderId="53" xfId="0" applyFont="1" applyFill="1" applyBorder="1" applyAlignment="1">
      <alignment horizontal="center"/>
    </xf>
    <xf numFmtId="49" fontId="2" fillId="16" borderId="69" xfId="0" applyNumberFormat="1" applyFont="1" applyFill="1" applyBorder="1" applyAlignment="1">
      <alignment horizontal="center"/>
    </xf>
    <xf numFmtId="49" fontId="2" fillId="16" borderId="18" xfId="0" applyNumberFormat="1" applyFont="1" applyFill="1" applyBorder="1" applyAlignment="1">
      <alignment horizontal="center"/>
    </xf>
    <xf numFmtId="49" fontId="2" fillId="16" borderId="43" xfId="0" applyNumberFormat="1" applyFont="1" applyFill="1" applyBorder="1" applyAlignment="1">
      <alignment horizontal="center"/>
    </xf>
    <xf numFmtId="0" fontId="2" fillId="16" borderId="69" xfId="0" applyFont="1" applyFill="1" applyBorder="1" applyAlignment="1">
      <alignment horizontal="center"/>
    </xf>
    <xf numFmtId="0" fontId="2" fillId="16" borderId="43" xfId="0" applyFont="1" applyFill="1" applyBorder="1" applyAlignment="1">
      <alignment horizontal="center"/>
    </xf>
    <xf numFmtId="2" fontId="2" fillId="16" borderId="52" xfId="0" applyNumberFormat="1" applyFont="1" applyFill="1" applyBorder="1" applyAlignment="1">
      <alignment horizontal="center"/>
    </xf>
    <xf numFmtId="2" fontId="2" fillId="16" borderId="63" xfId="0" applyNumberFormat="1" applyFont="1" applyFill="1" applyBorder="1" applyAlignment="1">
      <alignment horizontal="center"/>
    </xf>
    <xf numFmtId="2" fontId="2" fillId="16" borderId="53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2" fillId="16" borderId="13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73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1" fontId="0" fillId="0" borderId="66" xfId="0" applyNumberFormat="1" applyBorder="1" applyAlignment="1">
      <alignment horizontal="center"/>
    </xf>
    <xf numFmtId="1" fontId="0" fillId="0" borderId="57" xfId="0" applyNumberFormat="1" applyBorder="1" applyAlignment="1">
      <alignment horizontal="center"/>
    </xf>
    <xf numFmtId="2" fontId="2" fillId="16" borderId="13" xfId="0" applyNumberFormat="1" applyFont="1" applyFill="1" applyBorder="1" applyAlignment="1">
      <alignment horizontal="center"/>
    </xf>
    <xf numFmtId="2" fontId="2" fillId="16" borderId="14" xfId="0" applyNumberFormat="1" applyFont="1" applyFill="1" applyBorder="1" applyAlignment="1">
      <alignment horizontal="center"/>
    </xf>
    <xf numFmtId="2" fontId="2" fillId="16" borderId="15" xfId="0" applyNumberFormat="1" applyFont="1" applyFill="1" applyBorder="1" applyAlignment="1">
      <alignment horizontal="center"/>
    </xf>
    <xf numFmtId="0" fontId="19" fillId="8" borderId="74" xfId="0" applyFont="1" applyFill="1" applyBorder="1" applyAlignment="1">
      <alignment horizontal="center"/>
    </xf>
    <xf numFmtId="0" fontId="16" fillId="8" borderId="75" xfId="0" applyFont="1" applyFill="1" applyBorder="1" applyAlignment="1">
      <alignment horizontal="center"/>
    </xf>
    <xf numFmtId="0" fontId="16" fillId="8" borderId="48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60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61" xfId="0" applyNumberFormat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2" fillId="8" borderId="32" xfId="0" applyFont="1" applyFill="1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13" borderId="74" xfId="0" applyFont="1" applyFill="1" applyBorder="1" applyAlignment="1">
      <alignment horizontal="center"/>
    </xf>
    <xf numFmtId="0" fontId="2" fillId="13" borderId="75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0" borderId="73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5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8" borderId="13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</cellXfs>
  <cellStyles count="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2" xfId="6"/>
    <cellStyle name="היפר-קישור" xfId="7" builtinId="8"/>
    <cellStyle name="הערה" xfId="8" builtinId="10"/>
  </cellStyles>
  <dxfs count="55"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0.399949997663498"/>
        </patternFill>
      </fill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249909996986389"/>
      </font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 tint="-0.149930000305176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 tint="-0.149959996342659"/>
      </font>
    </dxf>
    <dxf>
      <fill>
        <patternFill>
          <bgColor theme="5" tint="0.399949997663498"/>
        </patternFill>
      </fill>
    </dxf>
    <dxf>
      <font>
        <color rgb="FFFF0000"/>
      </font>
      <fill>
        <patternFill>
          <bgColor theme="0" tint="-0.149930000305176"/>
        </patternFill>
      </fill>
      <border>
        <left/>
        <right/>
        <top/>
        <bottom/>
      </border>
    </dxf>
    <dxf>
      <fill>
        <patternFill>
          <bgColor theme="5" tint="0.399949997663498"/>
        </patternFill>
      </fill>
    </dxf>
    <dxf>
      <fill>
        <patternFill>
          <bgColor theme="5" tint="0.399949997663498"/>
        </patternFill>
      </fill>
    </dxf>
    <dxf>
      <font>
        <color rgb="FFFF0000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rgb="FFFF0000"/>
      </font>
      <fill>
        <patternFill>
          <bgColor theme="0" tint="-0.149930000305176"/>
        </patternFill>
      </fill>
      <border>
        <left/>
        <right/>
        <top/>
        <bottom/>
      </border>
    </dxf>
    <dxf>
      <fill>
        <patternFill>
          <bgColor theme="5" tint="0.399949997663498"/>
        </patternFill>
      </fill>
    </dxf>
    <dxf>
      <fill>
        <patternFill>
          <bgColor theme="5" tint="0.399949997663498"/>
        </patternFill>
      </fill>
    </dxf>
    <dxf>
      <font>
        <b/>
        <i val="0"/>
        <strike val="0"/>
        <color theme="0" tint="-0.149930000305176"/>
      </font>
    </dxf>
    <dxf>
      <fill>
        <patternFill>
          <bgColor rgb="FFFF0000"/>
        </patternFill>
      </fill>
    </dxf>
    <dxf>
      <fill>
        <patternFill patternType="lightUp">
          <fgColor rgb="FFFF0000"/>
        </patternFill>
      </fill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b/>
        <i val="0"/>
      </font>
      <fill>
        <patternFill>
          <bgColor rgb="FFFF0000"/>
        </patternFill>
      </fill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149930000305176"/>
      </font>
      <fill>
        <patternFill>
          <bgColor theme="0" tint="-0.149930000305176"/>
        </patternFill>
      </fill>
    </dxf>
    <dxf>
      <font>
        <strike val="0"/>
        <color auto="1"/>
      </font>
      <fill>
        <patternFill>
          <bgColor theme="6" tint="0.39994999766349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0.599929988384247"/>
        </patternFill>
      </fill>
    </dxf>
    <dxf>
      <fill>
        <patternFill>
          <bgColor theme="5" tint="0.599929988384247"/>
        </patternFill>
      </fill>
    </dxf>
    <dxf>
      <fill>
        <patternFill>
          <bgColor theme="5" tint="0.599929988384247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149930000305176"/>
      </font>
    </dxf>
    <dxf>
      <font>
        <color theme="0" tint="-0.149930000305176"/>
      </font>
      <fill>
        <patternFill>
          <bgColor theme="0" tint="-0.149930000305176"/>
        </patternFill>
      </fill>
      <border>
        <left/>
        <right/>
        <top/>
        <bottom/>
      </border>
    </dxf>
    <dxf>
      <font>
        <color theme="0" tint="-0.249909996986389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19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6" Type="http://schemas.openxmlformats.org/officeDocument/2006/relationships/worksheet" Target="worksheets/sheet14.xml" /><Relationship Id="rId6" Type="http://schemas.openxmlformats.org/officeDocument/2006/relationships/worksheet" Target="worksheets/sheet4.xml" /><Relationship Id="rId13" Type="http://schemas.openxmlformats.org/officeDocument/2006/relationships/worksheet" Target="worksheets/sheet11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8" Type="http://schemas.openxmlformats.org/officeDocument/2006/relationships/externalLink" Target="externalLinks/externalLink1.xml" /><Relationship Id="rId5" Type="http://schemas.openxmlformats.org/officeDocument/2006/relationships/worksheet" Target="worksheets/sheet3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7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.xml" /></Relationships>
</file>

<file path=xl/charts/_rels/chart3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5.xml" /></Relationships>
</file>

<file path=xl/charts/_rels/chart4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7.xml" /></Relationships>
</file>

<file path=xl/charts/_rels/chart5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9.xml" /></Relationships>
</file>

<file path=xl/charts/_rels/chart6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1.xml" /></Relationships>
</file>

<file path=xl/charts/_rels/chart7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4"/>
          <c:order val="0"/>
          <c:tx>
            <c:v>EXTENDED ENV</c:v>
          </c:tx>
          <c:spPr>
            <a:ln w="28575" cmpd="sng">
              <a:solidFill>
                <a:schemeClr val="accent6">
                  <a:lumMod val="75000"/>
                </a:schemeClr>
              </a:solidFill>
            </a:ln>
            <a:effectLst/>
          </c:spPr>
          <c:marker>
            <c:symbol val="none"/>
          </c:marker>
          <c:xVal>
            <c:numRef>
              <c:f>נתונים!$AT$18:$AT$22</c:f>
              <c:numCache>
                <c:formatCode>0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4380</c:v>
                </c:pt>
                <c:pt idx="3">
                  <c:v>4347</c:v>
                </c:pt>
                <c:pt idx="4">
                  <c:v>4250</c:v>
                </c:pt>
              </c:numCache>
            </c:numRef>
          </c:xVal>
          <c:yVal>
            <c:numRef>
              <c:f>נתונים!$AU$18:$AU$22</c:f>
              <c:numCache>
                <c:formatCode>General</c:formatCode>
                <c:ptCount val="5"/>
                <c:pt idx="0">
                  <c:v>3000</c:v>
                </c:pt>
                <c:pt idx="1">
                  <c:v>3700</c:v>
                </c:pt>
                <c:pt idx="2">
                  <c:v>3700</c:v>
                </c:pt>
                <c:pt idx="3">
                  <c:v>2400</c:v>
                </c:pt>
                <c:pt idx="4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07-4841-8EF7-4036DB492DD2}"/>
            </c:ext>
          </c:extLst>
        </c:ser>
        <c:ser>
          <c:idx val="3"/>
          <c:order val="1"/>
          <c:tx>
            <c:v>מירבי מינוס 100</c:v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xVal>
            <c:numRef>
              <c:f>נתונים!$AT$13:$AT$14</c:f>
              <c:numCache>
                <c:formatCode>0</c:formatCode>
                <c:ptCount val="2"/>
                <c:pt idx="0">
                  <c:v>4380</c:v>
                </c:pt>
                <c:pt idx="1">
                  <c:v>4535</c:v>
                </c:pt>
              </c:numCache>
            </c:numRef>
          </c:xVal>
          <c:yVal>
            <c:numRef>
              <c:f>נתונים!$AU$13:$AU$14</c:f>
              <c:numCache>
                <c:formatCode>0</c:formatCode>
                <c:ptCount val="2"/>
                <c:pt idx="0">
                  <c:v>3700</c:v>
                </c:pt>
                <c:pt idx="1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07-4841-8EF7-4036DB492DD2}"/>
            </c:ext>
          </c:extLst>
        </c:ser>
        <c:ser>
          <c:idx val="0"/>
          <c:order val="2"/>
          <c:tx>
            <c:v>LONG CG LIMIT</c:v>
          </c:tx>
          <c:spPr>
            <a:ln w="28575" cmpd="sng">
              <a:solidFill>
                <a:srgbClr val="4F81BD"/>
              </a:solidFill>
            </a:ln>
            <a:effectLst/>
          </c:spPr>
          <c:marker>
            <c:symbol val="none"/>
          </c:marker>
          <c:xVal>
            <c:numRef>
              <c:f>נתונים!$AQ$5:$AQ$9</c:f>
              <c:numCache>
                <c:formatCode>General</c:formatCode>
                <c:ptCount val="5"/>
                <c:pt idx="0">
                  <c:v>4380</c:v>
                </c:pt>
                <c:pt idx="1">
                  <c:v>4535</c:v>
                </c:pt>
                <c:pt idx="2">
                  <c:v>4700</c:v>
                </c:pt>
                <c:pt idx="3">
                  <c:v>4347</c:v>
                </c:pt>
                <c:pt idx="4">
                  <c:v>4380</c:v>
                </c:pt>
              </c:numCache>
            </c:numRef>
          </c:xVal>
          <c:yVal>
            <c:numRef>
              <c:f>נתונים!$AR$5:$AR$9</c:f>
              <c:numCache>
                <c:formatCode>General</c:formatCode>
                <c:ptCount val="5"/>
                <c:pt idx="0">
                  <c:v>3700</c:v>
                </c:pt>
                <c:pt idx="1">
                  <c:v>3700</c:v>
                </c:pt>
                <c:pt idx="2">
                  <c:v>2000</c:v>
                </c:pt>
                <c:pt idx="3">
                  <c:v>2400</c:v>
                </c:pt>
                <c:pt idx="4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1"/>
          <c:order val="3"/>
          <c:tx>
            <c:v>CG בפועל</c:v>
          </c:tx>
          <c:spPr>
            <a:ln w="28575" cmpd="sng"/>
            <a:effectLst/>
          </c:spPr>
          <c:marker>
            <c:symbol val="none"/>
          </c:marker>
          <c:xVal>
            <c:numRef>
              <c:f>נתונים!$U$5:$U$76</c:f>
              <c:numCache>
                <c:formatCode>0.00</c:formatCode>
                <c:ptCount val="72"/>
                <c:pt idx="0">
                  <c:v>4505.10751393724</c:v>
                </c:pt>
                <c:pt idx="1">
                  <c:v>4501.77821497032</c:v>
                </c:pt>
                <c:pt idx="2">
                  <c:v>4498.45869169092</c:v>
                </c:pt>
                <c:pt idx="3">
                  <c:v>4495.13784604496</c:v>
                </c:pt>
                <c:pt idx="4">
                  <c:v>4491.81934267824</c:v>
                </c:pt>
                <c:pt idx="5">
                  <c:v>4488.52134048491</c:v>
                </c:pt>
                <c:pt idx="6">
                  <c:v>4485.21100319539</c:v>
                </c:pt>
                <c:pt idx="7">
                  <c:v>4481.90290693031</c:v>
                </c:pt>
                <c:pt idx="8">
                  <c:v>4478.5970275025</c:v>
                </c:pt>
                <c:pt idx="9">
                  <c:v>4475.32560373845</c:v>
                </c:pt>
                <c:pt idx="10">
                  <c:v>4472.06326286379</c:v>
                </c:pt>
                <c:pt idx="11">
                  <c:v>4468.8490593472</c:v>
                </c:pt>
                <c:pt idx="12">
                  <c:v>4465.6080024202</c:v>
                </c:pt>
                <c:pt idx="13">
                  <c:v>4462.42166030417</c:v>
                </c:pt>
                <c:pt idx="14">
                  <c:v>4461.76515400398</c:v>
                </c:pt>
                <c:pt idx="15">
                  <c:v>4461.83265411801</c:v>
                </c:pt>
                <c:pt idx="16">
                  <c:v>4461.96262796012</c:v>
                </c:pt>
                <c:pt idx="17">
                  <c:v>4462.03245427066</c:v>
                </c:pt>
                <c:pt idx="18">
                  <c:v>4462.15735884334</c:v>
                </c:pt>
                <c:pt idx="19">
                  <c:v>4462.29524164227</c:v>
                </c:pt>
                <c:pt idx="20">
                  <c:v>4462.47355838491</c:v>
                </c:pt>
                <c:pt idx="21">
                  <c:v>4462.66096010382</c:v>
                </c:pt>
                <c:pt idx="22">
                  <c:v>4462.82652732804</c:v>
                </c:pt>
                <c:pt idx="23">
                  <c:v>4465.29503148892</c:v>
                </c:pt>
                <c:pt idx="24">
                  <c:v>4468.1957812112</c:v>
                </c:pt>
                <c:pt idx="25">
                  <c:v>4471.11076505915</c:v>
                </c:pt>
                <c:pt idx="26">
                  <c:v>4473.73574380609</c:v>
                </c:pt>
                <c:pt idx="27">
                  <c:v>4474.91187534222</c:v>
                </c:pt>
                <c:pt idx="28">
                  <c:v>4476.05997540611</c:v>
                </c:pt>
                <c:pt idx="29">
                  <c:v>4477.25725860499</c:v>
                </c:pt>
                <c:pt idx="30">
                  <c:v>4478.39321844698</c:v>
                </c:pt>
                <c:pt idx="31">
                  <c:v>4479.55153367123</c:v>
                </c:pt>
                <c:pt idx="32">
                  <c:v>4480.72204709097</c:v>
                </c:pt>
                <c:pt idx="33">
                  <c:v>4481.89473562534</c:v>
                </c:pt>
                <c:pt idx="34">
                  <c:v>4482.9478513437</c:v>
                </c:pt>
                <c:pt idx="35">
                  <c:v>4484.09243397663</c:v>
                </c:pt>
                <c:pt idx="36">
                  <c:v>4485.20992431042</c:v>
                </c:pt>
                <c:pt idx="37">
                  <c:v>4485.56759307558</c:v>
                </c:pt>
                <c:pt idx="38">
                  <c:v>4485.72161429951</c:v>
                </c:pt>
                <c:pt idx="39">
                  <c:v>4485.90700512234</c:v>
                </c:pt>
                <c:pt idx="40">
                  <c:v>4485.60726662326</c:v>
                </c:pt>
                <c:pt idx="41">
                  <c:v>4485.31588764093</c:v>
                </c:pt>
                <c:pt idx="42">
                  <c:v>4484.89815522621</c:v>
                </c:pt>
                <c:pt idx="43">
                  <c:v>4484.62049003036</c:v>
                </c:pt>
                <c:pt idx="44">
                  <c:v>4484.35096386102</c:v>
                </c:pt>
                <c:pt idx="45">
                  <c:v>4484.08949919387</c:v>
                </c:pt>
                <c:pt idx="46">
                  <c:v>4483.69043152903</c:v>
                </c:pt>
                <c:pt idx="47">
                  <c:v>4483.44216555896</c:v>
                </c:pt>
                <c:pt idx="48">
                  <c:v>4483.20175130095</c:v>
                </c:pt>
                <c:pt idx="49">
                  <c:v>4482.81549072267</c:v>
                </c:pt>
                <c:pt idx="50">
                  <c:v>4482.5879140093</c:v>
                </c:pt>
                <c:pt idx="51">
                  <c:v>4482.5879140093</c:v>
                </c:pt>
                <c:pt idx="52">
                  <c:v>4482.5879140093</c:v>
                </c:pt>
                <c:pt idx="53">
                  <c:v>4482.5879140093</c:v>
                </c:pt>
                <c:pt idx="54">
                  <c:v>4482.5879140093</c:v>
                </c:pt>
                <c:pt idx="55">
                  <c:v>4482.5879140093</c:v>
                </c:pt>
                <c:pt idx="56">
                  <c:v>4482.5879140093</c:v>
                </c:pt>
                <c:pt idx="57">
                  <c:v>4482.5879140093</c:v>
                </c:pt>
                <c:pt idx="58">
                  <c:v>4482.5879140093</c:v>
                </c:pt>
                <c:pt idx="59">
                  <c:v>4482.5879140093</c:v>
                </c:pt>
                <c:pt idx="60">
                  <c:v>4482.5879140093</c:v>
                </c:pt>
                <c:pt idx="61">
                  <c:v>4482.5879140093</c:v>
                </c:pt>
                <c:pt idx="62">
                  <c:v>4482.5879140093</c:v>
                </c:pt>
                <c:pt idx="63">
                  <c:v>4482.5879140093</c:v>
                </c:pt>
                <c:pt idx="64">
                  <c:v>4482.5879140093</c:v>
                </c:pt>
                <c:pt idx="65">
                  <c:v>4482.5879140093</c:v>
                </c:pt>
                <c:pt idx="66">
                  <c:v>4482.5879140093</c:v>
                </c:pt>
                <c:pt idx="67">
                  <c:v>4482.5879140093</c:v>
                </c:pt>
                <c:pt idx="68">
                  <c:v>4482.5879140093</c:v>
                </c:pt>
                <c:pt idx="69">
                  <c:v>4482.5879140093</c:v>
                </c:pt>
                <c:pt idx="70">
                  <c:v>4482.5879140093</c:v>
                </c:pt>
                <c:pt idx="71">
                  <c:v>4482.5879140093</c:v>
                </c:pt>
              </c:numCache>
            </c:numRef>
          </c:xVal>
          <c:yVal>
            <c:numRef>
              <c:f>נתונים!$T$5:$T$76</c:f>
              <c:numCache>
                <c:formatCode>0.00</c:formatCode>
                <c:ptCount val="72"/>
                <c:pt idx="0">
                  <c:v>2699.602</c:v>
                </c:pt>
                <c:pt idx="1">
                  <c:v>2709.602</c:v>
                </c:pt>
                <c:pt idx="2">
                  <c:v>2719.602</c:v>
                </c:pt>
                <c:pt idx="3">
                  <c:v>2729.602</c:v>
                </c:pt>
                <c:pt idx="4">
                  <c:v>2739.602</c:v>
                </c:pt>
                <c:pt idx="5">
                  <c:v>2749.602</c:v>
                </c:pt>
                <c:pt idx="6">
                  <c:v>2759.602</c:v>
                </c:pt>
                <c:pt idx="7">
                  <c:v>2769.602</c:v>
                </c:pt>
                <c:pt idx="8">
                  <c:v>2779.602</c:v>
                </c:pt>
                <c:pt idx="9">
                  <c:v>2789.602</c:v>
                </c:pt>
                <c:pt idx="10">
                  <c:v>2799.602</c:v>
                </c:pt>
                <c:pt idx="11">
                  <c:v>2809.602</c:v>
                </c:pt>
                <c:pt idx="12">
                  <c:v>2819.602</c:v>
                </c:pt>
                <c:pt idx="13">
                  <c:v>2829.602</c:v>
                </c:pt>
                <c:pt idx="14">
                  <c:v>2839.602</c:v>
                </c:pt>
                <c:pt idx="15">
                  <c:v>2849.602</c:v>
                </c:pt>
                <c:pt idx="16">
                  <c:v>2859.602</c:v>
                </c:pt>
                <c:pt idx="17">
                  <c:v>2869.602</c:v>
                </c:pt>
                <c:pt idx="18">
                  <c:v>2879.602</c:v>
                </c:pt>
                <c:pt idx="19">
                  <c:v>2889.602</c:v>
                </c:pt>
                <c:pt idx="20">
                  <c:v>2899.602</c:v>
                </c:pt>
                <c:pt idx="21">
                  <c:v>2909.602</c:v>
                </c:pt>
                <c:pt idx="22">
                  <c:v>2919.602</c:v>
                </c:pt>
                <c:pt idx="23">
                  <c:v>2929.602</c:v>
                </c:pt>
                <c:pt idx="24">
                  <c:v>2939.602</c:v>
                </c:pt>
                <c:pt idx="25">
                  <c:v>2949.602</c:v>
                </c:pt>
                <c:pt idx="26">
                  <c:v>2959.602</c:v>
                </c:pt>
                <c:pt idx="27">
                  <c:v>2969.602</c:v>
                </c:pt>
                <c:pt idx="28">
                  <c:v>2979.602</c:v>
                </c:pt>
                <c:pt idx="29">
                  <c:v>2989.602</c:v>
                </c:pt>
                <c:pt idx="30">
                  <c:v>2999.602</c:v>
                </c:pt>
                <c:pt idx="31">
                  <c:v>3009.602</c:v>
                </c:pt>
                <c:pt idx="32">
                  <c:v>3019.602</c:v>
                </c:pt>
                <c:pt idx="33">
                  <c:v>3029.602</c:v>
                </c:pt>
                <c:pt idx="34">
                  <c:v>3039.602</c:v>
                </c:pt>
                <c:pt idx="35">
                  <c:v>3049.602</c:v>
                </c:pt>
                <c:pt idx="36">
                  <c:v>3059.602</c:v>
                </c:pt>
                <c:pt idx="37">
                  <c:v>3069.602</c:v>
                </c:pt>
                <c:pt idx="38">
                  <c:v>3079.602</c:v>
                </c:pt>
                <c:pt idx="39">
                  <c:v>3089.602</c:v>
                </c:pt>
                <c:pt idx="40">
                  <c:v>3099.602</c:v>
                </c:pt>
                <c:pt idx="41">
                  <c:v>3109.602</c:v>
                </c:pt>
                <c:pt idx="42">
                  <c:v>3119.602</c:v>
                </c:pt>
                <c:pt idx="43">
                  <c:v>3129.602</c:v>
                </c:pt>
                <c:pt idx="44">
                  <c:v>3139.602</c:v>
                </c:pt>
                <c:pt idx="45">
                  <c:v>3149.602</c:v>
                </c:pt>
                <c:pt idx="46">
                  <c:v>3159.602</c:v>
                </c:pt>
                <c:pt idx="47">
                  <c:v>3169.602</c:v>
                </c:pt>
                <c:pt idx="48">
                  <c:v>3179.602</c:v>
                </c:pt>
                <c:pt idx="49">
                  <c:v>3189.602</c:v>
                </c:pt>
                <c:pt idx="50">
                  <c:v>3199.602</c:v>
                </c:pt>
                <c:pt idx="51">
                  <c:v>3200</c:v>
                </c:pt>
                <c:pt idx="52">
                  <c:v>3200</c:v>
                </c:pt>
                <c:pt idx="53">
                  <c:v>3200</c:v>
                </c:pt>
                <c:pt idx="54">
                  <c:v>3200</c:v>
                </c:pt>
                <c:pt idx="55">
                  <c:v>3200</c:v>
                </c:pt>
                <c:pt idx="56">
                  <c:v>3200</c:v>
                </c:pt>
                <c:pt idx="57">
                  <c:v>3200</c:v>
                </c:pt>
                <c:pt idx="58">
                  <c:v>3200</c:v>
                </c:pt>
                <c:pt idx="59">
                  <c:v>3200</c:v>
                </c:pt>
                <c:pt idx="60">
                  <c:v>3200</c:v>
                </c:pt>
                <c:pt idx="61">
                  <c:v>3200</c:v>
                </c:pt>
                <c:pt idx="62">
                  <c:v>3200</c:v>
                </c:pt>
                <c:pt idx="63">
                  <c:v>3200</c:v>
                </c:pt>
                <c:pt idx="64">
                  <c:v>3200</c:v>
                </c:pt>
                <c:pt idx="65">
                  <c:v>3200</c:v>
                </c:pt>
                <c:pt idx="66">
                  <c:v>3200</c:v>
                </c:pt>
                <c:pt idx="67">
                  <c:v>3200</c:v>
                </c:pt>
                <c:pt idx="68">
                  <c:v>3200</c:v>
                </c:pt>
                <c:pt idx="69">
                  <c:v>3200</c:v>
                </c:pt>
                <c:pt idx="70">
                  <c:v>3200</c:v>
                </c:pt>
                <c:pt idx="71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4-4148-9D70-7C0D9C3325BE}"/>
            </c:ext>
          </c:extLst>
        </c:ser>
        <c:ser>
          <c:idx val="2"/>
          <c:order val="4"/>
          <c:tx>
            <c:v>CG בפועל 2</c:v>
          </c:tx>
          <c:spPr>
            <a:ln w="28575" cmpd="sng">
              <a:solidFill>
                <a:schemeClr val="accent2"/>
              </a:solidFill>
            </a:ln>
            <a:effectLst/>
          </c:spPr>
          <c:marker>
            <c:symbol val="none"/>
          </c:marker>
          <c:xVal>
            <c:numRef>
              <c:f>נתונים!$AC$5:$AC$78</c:f>
              <c:numCache>
                <c:formatCode>0.00</c:formatCode>
                <c:ptCount val="74"/>
                <c:pt idx="0">
                  <c:v>4505.10751393724</c:v>
                </c:pt>
                <c:pt idx="1">
                  <c:v>4501.77821497032</c:v>
                </c:pt>
                <c:pt idx="2">
                  <c:v>4498.45869169092</c:v>
                </c:pt>
                <c:pt idx="3">
                  <c:v>4495.13784604496</c:v>
                </c:pt>
                <c:pt idx="4">
                  <c:v>4491.81934267824</c:v>
                </c:pt>
                <c:pt idx="5">
                  <c:v>4488.52134048491</c:v>
                </c:pt>
                <c:pt idx="6">
                  <c:v>4485.21100319539</c:v>
                </c:pt>
                <c:pt idx="7">
                  <c:v>4481.90290693031</c:v>
                </c:pt>
                <c:pt idx="8">
                  <c:v>4478.5970275025</c:v>
                </c:pt>
                <c:pt idx="9">
                  <c:v>4475.32560373845</c:v>
                </c:pt>
                <c:pt idx="10">
                  <c:v>4472.06326286379</c:v>
                </c:pt>
                <c:pt idx="11">
                  <c:v>4468.8490593472</c:v>
                </c:pt>
                <c:pt idx="12">
                  <c:v>4465.6080024202</c:v>
                </c:pt>
                <c:pt idx="13">
                  <c:v>4462.42166030417</c:v>
                </c:pt>
                <c:pt idx="14">
                  <c:v>4461.76515400398</c:v>
                </c:pt>
                <c:pt idx="15">
                  <c:v>4461.83265411801</c:v>
                </c:pt>
                <c:pt idx="16">
                  <c:v>4461.96262796012</c:v>
                </c:pt>
                <c:pt idx="17">
                  <c:v>4462.03245427066</c:v>
                </c:pt>
                <c:pt idx="18">
                  <c:v>4462.15735884334</c:v>
                </c:pt>
                <c:pt idx="19">
                  <c:v>4462.29524164227</c:v>
                </c:pt>
                <c:pt idx="20">
                  <c:v>4462.47355838491</c:v>
                </c:pt>
                <c:pt idx="21">
                  <c:v>4462.66096010382</c:v>
                </c:pt>
                <c:pt idx="22">
                  <c:v>4462.82652732804</c:v>
                </c:pt>
                <c:pt idx="23">
                  <c:v>4465.29503148892</c:v>
                </c:pt>
                <c:pt idx="24">
                  <c:v>4468.1957812112</c:v>
                </c:pt>
                <c:pt idx="25">
                  <c:v>4471.11076505915</c:v>
                </c:pt>
                <c:pt idx="26">
                  <c:v>4473.73574380609</c:v>
                </c:pt>
                <c:pt idx="27">
                  <c:v>4474.91187534222</c:v>
                </c:pt>
                <c:pt idx="28">
                  <c:v>4476.05997540611</c:v>
                </c:pt>
                <c:pt idx="29">
                  <c:v>4477.25725860499</c:v>
                </c:pt>
                <c:pt idx="30">
                  <c:v>4478.39321844698</c:v>
                </c:pt>
                <c:pt idx="31">
                  <c:v>4479.55153367123</c:v>
                </c:pt>
                <c:pt idx="32">
                  <c:v>4480.72204709097</c:v>
                </c:pt>
                <c:pt idx="33">
                  <c:v>4481.89473562534</c:v>
                </c:pt>
                <c:pt idx="34">
                  <c:v>4482.9478513437</c:v>
                </c:pt>
                <c:pt idx="35">
                  <c:v>4484.09243397663</c:v>
                </c:pt>
                <c:pt idx="36">
                  <c:v>4485.20992431042</c:v>
                </c:pt>
                <c:pt idx="37">
                  <c:v>4485.56759307558</c:v>
                </c:pt>
                <c:pt idx="38">
                  <c:v>4485.72161429951</c:v>
                </c:pt>
                <c:pt idx="39">
                  <c:v>4485.90700512234</c:v>
                </c:pt>
                <c:pt idx="40">
                  <c:v>4485.60726662326</c:v>
                </c:pt>
                <c:pt idx="41">
                  <c:v>4485.31588764093</c:v>
                </c:pt>
                <c:pt idx="42">
                  <c:v>4484.89815522621</c:v>
                </c:pt>
                <c:pt idx="43">
                  <c:v>4484.62049003036</c:v>
                </c:pt>
                <c:pt idx="44">
                  <c:v>4484.35096386102</c:v>
                </c:pt>
                <c:pt idx="45">
                  <c:v>4484.08949919387</c:v>
                </c:pt>
                <c:pt idx="46">
                  <c:v>4483.69043152903</c:v>
                </c:pt>
                <c:pt idx="47">
                  <c:v>4483.44216555896</c:v>
                </c:pt>
                <c:pt idx="48">
                  <c:v>4483.20175130095</c:v>
                </c:pt>
                <c:pt idx="49">
                  <c:v>4482.81549072267</c:v>
                </c:pt>
                <c:pt idx="50">
                  <c:v>4482.5879140093</c:v>
                </c:pt>
                <c:pt idx="51">
                  <c:v>4482.5879140093</c:v>
                </c:pt>
                <c:pt idx="52">
                  <c:v>4482.5879140093</c:v>
                </c:pt>
                <c:pt idx="53">
                  <c:v>4482.5879140093</c:v>
                </c:pt>
                <c:pt idx="54">
                  <c:v>4482.5879140093</c:v>
                </c:pt>
                <c:pt idx="55">
                  <c:v>4482.5879140093</c:v>
                </c:pt>
                <c:pt idx="56">
                  <c:v>4482.5879140093</c:v>
                </c:pt>
                <c:pt idx="57">
                  <c:v>4482.5879140093</c:v>
                </c:pt>
                <c:pt idx="58">
                  <c:v>4482.5879140093</c:v>
                </c:pt>
                <c:pt idx="59">
                  <c:v>4482.5879140093</c:v>
                </c:pt>
                <c:pt idx="60">
                  <c:v>4482.5879140093</c:v>
                </c:pt>
                <c:pt idx="61">
                  <c:v>4482.5879140093</c:v>
                </c:pt>
                <c:pt idx="62">
                  <c:v>4482.5879140093</c:v>
                </c:pt>
                <c:pt idx="63">
                  <c:v>4482.5879140093</c:v>
                </c:pt>
                <c:pt idx="64">
                  <c:v>4482.5879140093</c:v>
                </c:pt>
                <c:pt idx="65">
                  <c:v>4482.5879140093</c:v>
                </c:pt>
                <c:pt idx="66">
                  <c:v>4482.5879140093</c:v>
                </c:pt>
                <c:pt idx="67">
                  <c:v>4482.5879140093</c:v>
                </c:pt>
                <c:pt idx="68">
                  <c:v>4482.5879140093</c:v>
                </c:pt>
                <c:pt idx="69">
                  <c:v>4482.5879140093</c:v>
                </c:pt>
                <c:pt idx="70">
                  <c:v>4482.5879140093</c:v>
                </c:pt>
                <c:pt idx="71">
                  <c:v>4482.5879140093</c:v>
                </c:pt>
                <c:pt idx="72">
                  <c:v>4482.5879140093</c:v>
                </c:pt>
                <c:pt idx="73">
                  <c:v>4482.5879140093</c:v>
                </c:pt>
              </c:numCache>
            </c:numRef>
          </c:xVal>
          <c:yVal>
            <c:numRef>
              <c:f>נתונים!$AB$5:$AB$78</c:f>
              <c:numCache>
                <c:formatCode>0.00</c:formatCode>
                <c:ptCount val="74"/>
                <c:pt idx="0">
                  <c:v>2699.602</c:v>
                </c:pt>
                <c:pt idx="1">
                  <c:v>2709.602</c:v>
                </c:pt>
                <c:pt idx="2">
                  <c:v>2719.602</c:v>
                </c:pt>
                <c:pt idx="3">
                  <c:v>2729.602</c:v>
                </c:pt>
                <c:pt idx="4">
                  <c:v>2739.602</c:v>
                </c:pt>
                <c:pt idx="5">
                  <c:v>2749.602</c:v>
                </c:pt>
                <c:pt idx="6">
                  <c:v>2759.602</c:v>
                </c:pt>
                <c:pt idx="7">
                  <c:v>2769.602</c:v>
                </c:pt>
                <c:pt idx="8">
                  <c:v>2779.602</c:v>
                </c:pt>
                <c:pt idx="9">
                  <c:v>2789.602</c:v>
                </c:pt>
                <c:pt idx="10">
                  <c:v>2799.602</c:v>
                </c:pt>
                <c:pt idx="11">
                  <c:v>2809.602</c:v>
                </c:pt>
                <c:pt idx="12">
                  <c:v>2819.602</c:v>
                </c:pt>
                <c:pt idx="13">
                  <c:v>2829.602</c:v>
                </c:pt>
                <c:pt idx="14">
                  <c:v>2839.602</c:v>
                </c:pt>
                <c:pt idx="15">
                  <c:v>2849.602</c:v>
                </c:pt>
                <c:pt idx="16">
                  <c:v>2859.602</c:v>
                </c:pt>
                <c:pt idx="17">
                  <c:v>2869.602</c:v>
                </c:pt>
                <c:pt idx="18">
                  <c:v>2879.602</c:v>
                </c:pt>
                <c:pt idx="19">
                  <c:v>2889.602</c:v>
                </c:pt>
                <c:pt idx="20">
                  <c:v>2899.602</c:v>
                </c:pt>
                <c:pt idx="21">
                  <c:v>2909.602</c:v>
                </c:pt>
                <c:pt idx="22">
                  <c:v>2919.602</c:v>
                </c:pt>
                <c:pt idx="23">
                  <c:v>2929.602</c:v>
                </c:pt>
                <c:pt idx="24">
                  <c:v>2939.602</c:v>
                </c:pt>
                <c:pt idx="25">
                  <c:v>2949.602</c:v>
                </c:pt>
                <c:pt idx="26">
                  <c:v>2959.602</c:v>
                </c:pt>
                <c:pt idx="27">
                  <c:v>2969.602</c:v>
                </c:pt>
                <c:pt idx="28">
                  <c:v>2979.602</c:v>
                </c:pt>
                <c:pt idx="29">
                  <c:v>2989.602</c:v>
                </c:pt>
                <c:pt idx="30">
                  <c:v>2999.602</c:v>
                </c:pt>
                <c:pt idx="31">
                  <c:v>3009.602</c:v>
                </c:pt>
                <c:pt idx="32">
                  <c:v>3019.602</c:v>
                </c:pt>
                <c:pt idx="33">
                  <c:v>3029.602</c:v>
                </c:pt>
                <c:pt idx="34">
                  <c:v>3039.602</c:v>
                </c:pt>
                <c:pt idx="35">
                  <c:v>3049.602</c:v>
                </c:pt>
                <c:pt idx="36">
                  <c:v>3059.602</c:v>
                </c:pt>
                <c:pt idx="37">
                  <c:v>3069.602</c:v>
                </c:pt>
                <c:pt idx="38">
                  <c:v>3079.602</c:v>
                </c:pt>
                <c:pt idx="39">
                  <c:v>3089.602</c:v>
                </c:pt>
                <c:pt idx="40">
                  <c:v>3099.602</c:v>
                </c:pt>
                <c:pt idx="41">
                  <c:v>3109.602</c:v>
                </c:pt>
                <c:pt idx="42">
                  <c:v>3119.602</c:v>
                </c:pt>
                <c:pt idx="43">
                  <c:v>3129.602</c:v>
                </c:pt>
                <c:pt idx="44">
                  <c:v>3139.602</c:v>
                </c:pt>
                <c:pt idx="45">
                  <c:v>3149.602</c:v>
                </c:pt>
                <c:pt idx="46">
                  <c:v>3159.602</c:v>
                </c:pt>
                <c:pt idx="47">
                  <c:v>3169.602</c:v>
                </c:pt>
                <c:pt idx="48">
                  <c:v>3179.602</c:v>
                </c:pt>
                <c:pt idx="49">
                  <c:v>3189.602</c:v>
                </c:pt>
                <c:pt idx="50">
                  <c:v>3199.602</c:v>
                </c:pt>
                <c:pt idx="51">
                  <c:v>3200</c:v>
                </c:pt>
                <c:pt idx="52">
                  <c:v>3200</c:v>
                </c:pt>
                <c:pt idx="53">
                  <c:v>3200</c:v>
                </c:pt>
                <c:pt idx="54">
                  <c:v>3200</c:v>
                </c:pt>
                <c:pt idx="55">
                  <c:v>3200</c:v>
                </c:pt>
                <c:pt idx="56">
                  <c:v>3200</c:v>
                </c:pt>
                <c:pt idx="57">
                  <c:v>3200</c:v>
                </c:pt>
                <c:pt idx="58">
                  <c:v>3200</c:v>
                </c:pt>
                <c:pt idx="59">
                  <c:v>3200</c:v>
                </c:pt>
                <c:pt idx="60">
                  <c:v>3200</c:v>
                </c:pt>
                <c:pt idx="61">
                  <c:v>3200</c:v>
                </c:pt>
                <c:pt idx="62">
                  <c:v>3200</c:v>
                </c:pt>
                <c:pt idx="63">
                  <c:v>3200</c:v>
                </c:pt>
                <c:pt idx="64">
                  <c:v>3200</c:v>
                </c:pt>
                <c:pt idx="65">
                  <c:v>3200</c:v>
                </c:pt>
                <c:pt idx="66">
                  <c:v>3200</c:v>
                </c:pt>
                <c:pt idx="67">
                  <c:v>3200</c:v>
                </c:pt>
                <c:pt idx="68">
                  <c:v>3200</c:v>
                </c:pt>
                <c:pt idx="69">
                  <c:v>3200</c:v>
                </c:pt>
                <c:pt idx="70">
                  <c:v>3200</c:v>
                </c:pt>
                <c:pt idx="71">
                  <c:v>3200</c:v>
                </c:pt>
                <c:pt idx="72">
                  <c:v>3200</c:v>
                </c:pt>
                <c:pt idx="7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07-4841-8EF7-4036DB492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65681104"/>
        <c:axId val="2859687"/>
      </c:scatterChart>
      <c:valAx>
        <c:axId val="65681104"/>
        <c:scaling>
          <c:orientation val="minMax"/>
          <c:max val="4800"/>
          <c:min val="420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0" sourceLinked="1"/>
        <c:majorTickMark val="out"/>
        <c:minorTickMark val="none"/>
        <c:tickLblPos val="nextTo"/>
        <c:spPr>
          <a:ln w="9525" cap="flat" cmpd="sng"/>
          <a:effectLst/>
        </c:spPr>
        <c:crossAx val="2859687"/>
        <c:crosses val="autoZero"/>
        <c:crossBetween val="midCat"/>
      </c:valAx>
      <c:valAx>
        <c:axId val="2859687"/>
        <c:scaling>
          <c:orientation val="minMax"/>
          <c:max val="3900"/>
          <c:min val="1800"/>
        </c:scaling>
        <c:delete val="0"/>
        <c:axPos val="l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5681104"/>
        <c:crosses val="autoZero"/>
        <c:crossBetween val="midCat"/>
        <c:majorUnit val="100"/>
        <c:minorUnit val="100"/>
      </c:valAx>
      <c:spPr>
        <a:ln w="9525">
          <a:noFill/>
        </a:ln>
        <a:effectLst/>
      </c:spPr>
    </c:plotArea>
    <c:legend>
      <c:legendPos val="b"/>
      <c:legendEntry>
        <c:idx val="4"/>
        <c:delete val="1"/>
      </c:legendEntry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v>LAT CG LIMIT</c:v>
          </c:tx>
          <c:spPr>
            <a:ln w="28575" cmpd="sng">
              <a:solidFill>
                <a:srgbClr val="4F81BD"/>
              </a:solidFill>
            </a:ln>
            <a:effectLst/>
          </c:spPr>
          <c:marker>
            <c:symbol val="none"/>
          </c:marker>
          <c:xVal>
            <c:numRef>
              <c:f>נתונים!$AQ$14:$AQ$22</c:f>
              <c:numCache>
                <c:formatCode>General</c:formatCode>
                <c:ptCount val="9"/>
                <c:pt idx="0">
                  <c:v>-80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100</c:v>
                </c:pt>
                <c:pt idx="5">
                  <c:v>-100</c:v>
                </c:pt>
                <c:pt idx="6">
                  <c:v>-100</c:v>
                </c:pt>
                <c:pt idx="7">
                  <c:v>-80</c:v>
                </c:pt>
                <c:pt idx="8">
                  <c:v>-80</c:v>
                </c:pt>
              </c:numCache>
            </c:numRef>
          </c:xVal>
          <c:yVal>
            <c:numRef>
              <c:f>נתונים!$AR$14:$AR$22</c:f>
              <c:numCache>
                <c:formatCode>General</c:formatCode>
                <c:ptCount val="9"/>
                <c:pt idx="0">
                  <c:v>3700</c:v>
                </c:pt>
                <c:pt idx="1">
                  <c:v>3700</c:v>
                </c:pt>
                <c:pt idx="2">
                  <c:v>3000</c:v>
                </c:pt>
                <c:pt idx="3">
                  <c:v>3000</c:v>
                </c:pt>
                <c:pt idx="4">
                  <c:v>2000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  <c:pt idx="8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A-462B-A3F8-50206752C4E2}"/>
            </c:ext>
          </c:extLst>
        </c:ser>
        <c:ser>
          <c:idx val="1"/>
          <c:order val="1"/>
          <c:tx>
            <c:v>CG בפועל</c:v>
          </c:tx>
          <c:spPr>
            <a:ln w="28575" cmpd="sng">
              <a:solidFill>
                <a:srgbClr val="C0504D"/>
              </a:solidFill>
            </a:ln>
            <a:effectLst/>
          </c:spPr>
          <c:marker>
            <c:symbol val="none"/>
          </c:marker>
          <c:xVal>
            <c:numRef>
              <c:f>נתונים!$V$5:$V$78</c:f>
              <c:numCache>
                <c:formatCode>0.00</c:formatCode>
                <c:ptCount val="74"/>
                <c:pt idx="0">
                  <c:v>-5.88285873250946</c:v>
                </c:pt>
                <c:pt idx="1">
                  <c:v>-5.35922884615527</c:v>
                </c:pt>
                <c:pt idx="2">
                  <c:v>-5.27333676030537</c:v>
                </c:pt>
                <c:pt idx="3">
                  <c:v>-5.21371877658355</c:v>
                </c:pt>
                <c:pt idx="4">
                  <c:v>-5.18373734578964</c:v>
                </c:pt>
                <c:pt idx="5">
                  <c:v>-5.15761088332057</c:v>
                </c:pt>
                <c:pt idx="6">
                  <c:v>-5.14616861416972</c:v>
                </c:pt>
                <c:pt idx="7">
                  <c:v>-5.12758771837975</c:v>
                </c:pt>
                <c:pt idx="8">
                  <c:v>-5.10914051723952</c:v>
                </c:pt>
                <c:pt idx="9">
                  <c:v>-5.08007135068013</c:v>
                </c:pt>
                <c:pt idx="10">
                  <c:v>-5.06549759572968</c:v>
                </c:pt>
                <c:pt idx="11">
                  <c:v>-5.06526447518189</c:v>
                </c:pt>
                <c:pt idx="12">
                  <c:v>-5.03666020949056</c:v>
                </c:pt>
                <c:pt idx="13">
                  <c:v>-5.01532625436369</c:v>
                </c:pt>
                <c:pt idx="14">
                  <c:v>-5.00118579998183</c:v>
                </c:pt>
                <c:pt idx="15">
                  <c:v>-4.99416311470865</c:v>
                </c:pt>
                <c:pt idx="16">
                  <c:v>-4.93823168398959</c:v>
                </c:pt>
                <c:pt idx="17">
                  <c:v>-4.94193173826893</c:v>
                </c:pt>
                <c:pt idx="18">
                  <c:v>-4.95255149843624</c:v>
                </c:pt>
                <c:pt idx="19">
                  <c:v>-4.90426612384681</c:v>
                </c:pt>
                <c:pt idx="20">
                  <c:v>-4.85631379754877</c:v>
                </c:pt>
                <c:pt idx="21">
                  <c:v>-4.88086590537125</c:v>
                </c:pt>
                <c:pt idx="22">
                  <c:v>-4.83674733747956</c:v>
                </c:pt>
                <c:pt idx="23">
                  <c:v>-4.87143891900675</c:v>
                </c:pt>
                <c:pt idx="24">
                  <c:v>-4.83105440804571</c:v>
                </c:pt>
                <c:pt idx="25">
                  <c:v>-4.79094372732321</c:v>
                </c:pt>
                <c:pt idx="26">
                  <c:v>-4.75110410115955</c:v>
                </c:pt>
                <c:pt idx="27">
                  <c:v>-4.80245406623514</c:v>
                </c:pt>
                <c:pt idx="28">
                  <c:v>-4.76619937830623</c:v>
                </c:pt>
                <c:pt idx="29">
                  <c:v>-4.73018722893549</c:v>
                </c:pt>
                <c:pt idx="30">
                  <c:v>-4.69441519241553</c:v>
                </c:pt>
                <c:pt idx="31">
                  <c:v>-4.65888087527853</c:v>
                </c:pt>
                <c:pt idx="32">
                  <c:v>-4.72955614680345</c:v>
                </c:pt>
                <c:pt idx="33">
                  <c:v>-4.69744118204305</c:v>
                </c:pt>
                <c:pt idx="34">
                  <c:v>-4.66553752761052</c:v>
                </c:pt>
                <c:pt idx="35">
                  <c:v>-4.63384310477236</c:v>
                </c:pt>
                <c:pt idx="36">
                  <c:v>-4.60235586197159</c:v>
                </c:pt>
                <c:pt idx="37">
                  <c:v>-4.81214737285159</c:v>
                </c:pt>
                <c:pt idx="38">
                  <c:v>-5.03356511653129</c:v>
                </c:pt>
                <c:pt idx="39">
                  <c:v>-5.14026635145886</c:v>
                </c:pt>
                <c:pt idx="40">
                  <c:v>-5.12368271797476</c:v>
                </c:pt>
                <c:pt idx="41">
                  <c:v>-5.10720574530117</c:v>
                </c:pt>
                <c:pt idx="42">
                  <c:v>-5.09083440772252</c:v>
                </c:pt>
                <c:pt idx="43">
                  <c:v>-5.07456769263312</c:v>
                </c:pt>
                <c:pt idx="44">
                  <c:v>-5.05840460032832</c:v>
                </c:pt>
                <c:pt idx="45">
                  <c:v>-5.04234414379976</c:v>
                </c:pt>
                <c:pt idx="46">
                  <c:v>-5.0263853485344</c:v>
                </c:pt>
                <c:pt idx="47">
                  <c:v>-5.01052725231748</c:v>
                </c:pt>
                <c:pt idx="48">
                  <c:v>-4.99476890503906</c:v>
                </c:pt>
                <c:pt idx="49">
                  <c:v>-4.97910936850428</c:v>
                </c:pt>
                <c:pt idx="50">
                  <c:v>-5.11981715225831</c:v>
                </c:pt>
                <c:pt idx="51">
                  <c:v>-5.11981715225831</c:v>
                </c:pt>
                <c:pt idx="52">
                  <c:v>-5.11981715225831</c:v>
                </c:pt>
                <c:pt idx="53">
                  <c:v>-5.11981715225831</c:v>
                </c:pt>
                <c:pt idx="54">
                  <c:v>-5.11981715225831</c:v>
                </c:pt>
                <c:pt idx="55">
                  <c:v>-5.11981715225831</c:v>
                </c:pt>
                <c:pt idx="56">
                  <c:v>-5.11981715225831</c:v>
                </c:pt>
                <c:pt idx="57">
                  <c:v>-5.11981715225831</c:v>
                </c:pt>
                <c:pt idx="58">
                  <c:v>-5.11981715225831</c:v>
                </c:pt>
                <c:pt idx="59">
                  <c:v>-5.11981715225831</c:v>
                </c:pt>
                <c:pt idx="60">
                  <c:v>-5.11981715225831</c:v>
                </c:pt>
                <c:pt idx="61">
                  <c:v>-5.11981715225831</c:v>
                </c:pt>
                <c:pt idx="62">
                  <c:v>-5.11981715225831</c:v>
                </c:pt>
                <c:pt idx="63">
                  <c:v>-5.11981715225831</c:v>
                </c:pt>
                <c:pt idx="64">
                  <c:v>-5.11981715225831</c:v>
                </c:pt>
                <c:pt idx="65">
                  <c:v>-5.11981715225831</c:v>
                </c:pt>
                <c:pt idx="66">
                  <c:v>-5.11981715225831</c:v>
                </c:pt>
                <c:pt idx="67">
                  <c:v>-5.11981715225831</c:v>
                </c:pt>
                <c:pt idx="68">
                  <c:v>-5.11981715225831</c:v>
                </c:pt>
                <c:pt idx="69">
                  <c:v>-5.11981715225831</c:v>
                </c:pt>
                <c:pt idx="70">
                  <c:v>-5.11981715225831</c:v>
                </c:pt>
                <c:pt idx="71">
                  <c:v>-5.11981715225831</c:v>
                </c:pt>
                <c:pt idx="72">
                  <c:v>-5.11981715225831</c:v>
                </c:pt>
                <c:pt idx="73">
                  <c:v>-5.11981715225831</c:v>
                </c:pt>
              </c:numCache>
            </c:numRef>
          </c:xVal>
          <c:yVal>
            <c:numRef>
              <c:f>נתונים!$T$5:$T$78</c:f>
              <c:numCache>
                <c:formatCode>0.00</c:formatCode>
                <c:ptCount val="74"/>
                <c:pt idx="0">
                  <c:v>2699.602</c:v>
                </c:pt>
                <c:pt idx="1">
                  <c:v>2709.602</c:v>
                </c:pt>
                <c:pt idx="2">
                  <c:v>2719.602</c:v>
                </c:pt>
                <c:pt idx="3">
                  <c:v>2729.602</c:v>
                </c:pt>
                <c:pt idx="4">
                  <c:v>2739.602</c:v>
                </c:pt>
                <c:pt idx="5">
                  <c:v>2749.602</c:v>
                </c:pt>
                <c:pt idx="6">
                  <c:v>2759.602</c:v>
                </c:pt>
                <c:pt idx="7">
                  <c:v>2769.602</c:v>
                </c:pt>
                <c:pt idx="8">
                  <c:v>2779.602</c:v>
                </c:pt>
                <c:pt idx="9">
                  <c:v>2789.602</c:v>
                </c:pt>
                <c:pt idx="10">
                  <c:v>2799.602</c:v>
                </c:pt>
                <c:pt idx="11">
                  <c:v>2809.602</c:v>
                </c:pt>
                <c:pt idx="12">
                  <c:v>2819.602</c:v>
                </c:pt>
                <c:pt idx="13">
                  <c:v>2829.602</c:v>
                </c:pt>
                <c:pt idx="14">
                  <c:v>2839.602</c:v>
                </c:pt>
                <c:pt idx="15">
                  <c:v>2849.602</c:v>
                </c:pt>
                <c:pt idx="16">
                  <c:v>2859.602</c:v>
                </c:pt>
                <c:pt idx="17">
                  <c:v>2869.602</c:v>
                </c:pt>
                <c:pt idx="18">
                  <c:v>2879.602</c:v>
                </c:pt>
                <c:pt idx="19">
                  <c:v>2889.602</c:v>
                </c:pt>
                <c:pt idx="20">
                  <c:v>2899.602</c:v>
                </c:pt>
                <c:pt idx="21">
                  <c:v>2909.602</c:v>
                </c:pt>
                <c:pt idx="22">
                  <c:v>2919.602</c:v>
                </c:pt>
                <c:pt idx="23">
                  <c:v>2929.602</c:v>
                </c:pt>
                <c:pt idx="24">
                  <c:v>2939.602</c:v>
                </c:pt>
                <c:pt idx="25">
                  <c:v>2949.602</c:v>
                </c:pt>
                <c:pt idx="26">
                  <c:v>2959.602</c:v>
                </c:pt>
                <c:pt idx="27">
                  <c:v>2969.602</c:v>
                </c:pt>
                <c:pt idx="28">
                  <c:v>2979.602</c:v>
                </c:pt>
                <c:pt idx="29">
                  <c:v>2989.602</c:v>
                </c:pt>
                <c:pt idx="30">
                  <c:v>2999.602</c:v>
                </c:pt>
                <c:pt idx="31">
                  <c:v>3009.602</c:v>
                </c:pt>
                <c:pt idx="32">
                  <c:v>3019.602</c:v>
                </c:pt>
                <c:pt idx="33">
                  <c:v>3029.602</c:v>
                </c:pt>
                <c:pt idx="34">
                  <c:v>3039.602</c:v>
                </c:pt>
                <c:pt idx="35">
                  <c:v>3049.602</c:v>
                </c:pt>
                <c:pt idx="36">
                  <c:v>3059.602</c:v>
                </c:pt>
                <c:pt idx="37">
                  <c:v>3069.602</c:v>
                </c:pt>
                <c:pt idx="38">
                  <c:v>3079.602</c:v>
                </c:pt>
                <c:pt idx="39">
                  <c:v>3089.602</c:v>
                </c:pt>
                <c:pt idx="40">
                  <c:v>3099.602</c:v>
                </c:pt>
                <c:pt idx="41">
                  <c:v>3109.602</c:v>
                </c:pt>
                <c:pt idx="42">
                  <c:v>3119.602</c:v>
                </c:pt>
                <c:pt idx="43">
                  <c:v>3129.602</c:v>
                </c:pt>
                <c:pt idx="44">
                  <c:v>3139.602</c:v>
                </c:pt>
                <c:pt idx="45">
                  <c:v>3149.602</c:v>
                </c:pt>
                <c:pt idx="46">
                  <c:v>3159.602</c:v>
                </c:pt>
                <c:pt idx="47">
                  <c:v>3169.602</c:v>
                </c:pt>
                <c:pt idx="48">
                  <c:v>3179.602</c:v>
                </c:pt>
                <c:pt idx="49">
                  <c:v>3189.602</c:v>
                </c:pt>
                <c:pt idx="50">
                  <c:v>3199.602</c:v>
                </c:pt>
                <c:pt idx="51">
                  <c:v>3200</c:v>
                </c:pt>
                <c:pt idx="52">
                  <c:v>3200</c:v>
                </c:pt>
                <c:pt idx="53">
                  <c:v>3200</c:v>
                </c:pt>
                <c:pt idx="54">
                  <c:v>3200</c:v>
                </c:pt>
                <c:pt idx="55">
                  <c:v>3200</c:v>
                </c:pt>
                <c:pt idx="56">
                  <c:v>3200</c:v>
                </c:pt>
                <c:pt idx="57">
                  <c:v>3200</c:v>
                </c:pt>
                <c:pt idx="58">
                  <c:v>3200</c:v>
                </c:pt>
                <c:pt idx="59">
                  <c:v>3200</c:v>
                </c:pt>
                <c:pt idx="60">
                  <c:v>3200</c:v>
                </c:pt>
                <c:pt idx="61">
                  <c:v>3200</c:v>
                </c:pt>
                <c:pt idx="62">
                  <c:v>3200</c:v>
                </c:pt>
                <c:pt idx="63">
                  <c:v>3200</c:v>
                </c:pt>
                <c:pt idx="64">
                  <c:v>3200</c:v>
                </c:pt>
                <c:pt idx="65">
                  <c:v>3200</c:v>
                </c:pt>
                <c:pt idx="66">
                  <c:v>3200</c:v>
                </c:pt>
                <c:pt idx="67">
                  <c:v>3200</c:v>
                </c:pt>
                <c:pt idx="68">
                  <c:v>3200</c:v>
                </c:pt>
                <c:pt idx="69">
                  <c:v>3200</c:v>
                </c:pt>
                <c:pt idx="70">
                  <c:v>3200</c:v>
                </c:pt>
                <c:pt idx="71">
                  <c:v>3200</c:v>
                </c:pt>
                <c:pt idx="72">
                  <c:v>3200</c:v>
                </c:pt>
                <c:pt idx="7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A-462B-A3F8-50206752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37679679"/>
        <c:axId val="17863969"/>
      </c:scatterChart>
      <c:valAx>
        <c:axId val="37679679"/>
        <c:scaling>
          <c:orientation val="minMax"/>
          <c:max val="150"/>
          <c:min val="-15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17863969"/>
        <c:crosses val="autoZero"/>
        <c:crossBetween val="midCat"/>
        <c:majorUnit val="50"/>
      </c:valAx>
      <c:valAx>
        <c:axId val="17863969"/>
        <c:scaling>
          <c:orientation val="minMax"/>
          <c:max val="3850"/>
          <c:min val="1800"/>
        </c:scaling>
        <c:delete val="0"/>
        <c:axPos val="l"/>
        <c:majorGridlines>
          <c:spPr>
            <a:ln w="9525" cap="flat" cmpd="sng">
              <a:solidFill>
                <a:srgbClr val="898989"/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7679679"/>
        <c:crossesAt val="-150"/>
        <c:crossBetween val="midCat"/>
        <c:majorUnit val="200"/>
      </c:valAx>
      <c:spPr>
        <a:ln w="9525">
          <a:noFill/>
        </a:ln>
        <a:effectLst/>
      </c:spPr>
    </c:plotArea>
    <c:legend>
      <c:legendPos val="l"/>
      <c:legendEntry>
        <c:idx val="0"/>
        <c:delete val="1"/>
      </c:legendEntry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9"/>
          <c:order val="0"/>
          <c:tx>
            <c:v>CARGO 100</c:v>
          </c:tx>
          <c:spPr>
            <a:ln w="19050" cmpd="sng"/>
            <a:effectLst/>
          </c:spPr>
          <c:marker>
            <c:symbol val="none"/>
          </c:marker>
          <c:xVal>
            <c:numRef>
              <c:f>CARGO!$D$47:$D$50</c:f>
              <c:numCache>
                <c:formatCode>General</c:formatCode>
                <c:ptCount val="4"/>
                <c:pt idx="0">
                  <c:v>4347</c:v>
                </c:pt>
                <c:pt idx="1">
                  <c:v>4378</c:v>
                </c:pt>
                <c:pt idx="2">
                  <c:v>4535</c:v>
                </c:pt>
                <c:pt idx="3">
                  <c:v>4630</c:v>
                </c:pt>
              </c:numCache>
            </c:numRef>
          </c:xVal>
          <c:yVal>
            <c:numRef>
              <c:f>CARGO!$E$47:$E$50</c:f>
              <c:numCache>
                <c:formatCode>General</c:formatCode>
                <c:ptCount val="4"/>
                <c:pt idx="0">
                  <c:v>2400</c:v>
                </c:pt>
                <c:pt idx="1">
                  <c:v>3600</c:v>
                </c:pt>
                <c:pt idx="2">
                  <c:v>3600</c:v>
                </c:pt>
                <c:pt idx="3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F-4120-8F6A-A407BC3A1B37}"/>
            </c:ext>
          </c:extLst>
        </c:ser>
        <c:ser>
          <c:idx val="8"/>
          <c:order val="1"/>
          <c:tx>
            <c:v>CARGO 200</c:v>
          </c:tx>
          <c:spPr>
            <a:ln w="19050" cmpd="sng"/>
            <a:effectLst/>
          </c:spPr>
          <c:marker>
            <c:symbol val="none"/>
          </c:marker>
          <c:xVal>
            <c:numRef>
              <c:f>CARGO!$D$54:$D$57</c:f>
              <c:numCache>
                <c:formatCode>General</c:formatCode>
                <c:ptCount val="4"/>
                <c:pt idx="0">
                  <c:v>4347</c:v>
                </c:pt>
                <c:pt idx="1">
                  <c:v>4377</c:v>
                </c:pt>
                <c:pt idx="2">
                  <c:v>4541</c:v>
                </c:pt>
                <c:pt idx="3">
                  <c:v>4653</c:v>
                </c:pt>
              </c:numCache>
            </c:numRef>
          </c:xVal>
          <c:yVal>
            <c:numRef>
              <c:f>CARGO!$E$54:$E$57</c:f>
              <c:numCache>
                <c:formatCode>General</c:formatCode>
                <c:ptCount val="4"/>
                <c:pt idx="0">
                  <c:v>2400</c:v>
                </c:pt>
                <c:pt idx="1">
                  <c:v>3500</c:v>
                </c:pt>
                <c:pt idx="2">
                  <c:v>3500</c:v>
                </c:pt>
                <c:pt idx="3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F-4120-8F6A-A407BC3A1B37}"/>
            </c:ext>
          </c:extLst>
        </c:ser>
        <c:ser>
          <c:idx val="7"/>
          <c:order val="2"/>
          <c:tx>
            <c:v>CARGO 300</c:v>
          </c:tx>
          <c:spPr>
            <a:ln w="19050" cmpd="sng"/>
            <a:effectLst/>
          </c:spPr>
          <c:marker>
            <c:symbol val="none"/>
          </c:marker>
          <c:xVal>
            <c:numRef>
              <c:f>CARGO!$D$61:$D$64</c:f>
              <c:numCache>
                <c:formatCode>General</c:formatCode>
                <c:ptCount val="4"/>
                <c:pt idx="0">
                  <c:v>4347</c:v>
                </c:pt>
                <c:pt idx="1">
                  <c:v>4376</c:v>
                </c:pt>
                <c:pt idx="2">
                  <c:v>4543</c:v>
                </c:pt>
                <c:pt idx="3">
                  <c:v>4663</c:v>
                </c:pt>
              </c:numCache>
            </c:numRef>
          </c:xVal>
          <c:yVal>
            <c:numRef>
              <c:f>CARGO!$E$61:$E$64</c:f>
              <c:numCache>
                <c:formatCode>General</c:formatCode>
                <c:ptCount val="4"/>
                <c:pt idx="0">
                  <c:v>2400</c:v>
                </c:pt>
                <c:pt idx="1">
                  <c:v>3400</c:v>
                </c:pt>
                <c:pt idx="2">
                  <c:v>3400</c:v>
                </c:pt>
                <c:pt idx="3">
                  <c:v>2350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6F-4120-8F6A-A407BC3A1B37}"/>
            </c:ext>
          </c:extLst>
        </c:ser>
        <c:ser>
          <c:idx val="10"/>
          <c:order val="3"/>
          <c:tx>
            <c:v>CARGO800</c:v>
          </c:tx>
          <c:spPr>
            <a:ln w="19050" cmpd="sng"/>
            <a:effectLst/>
          </c:spPr>
          <c:marker>
            <c:symbol val="none"/>
          </c:marker>
          <c:xVal>
            <c:numRef>
              <c:f>CARGO!$D$96:$D$99</c:f>
              <c:numCache>
                <c:formatCode>General</c:formatCode>
                <c:ptCount val="4"/>
                <c:pt idx="0">
                  <c:v>4350</c:v>
                </c:pt>
                <c:pt idx="1">
                  <c:v>4367</c:v>
                </c:pt>
                <c:pt idx="2">
                  <c:v>4564</c:v>
                </c:pt>
                <c:pt idx="3">
                  <c:v>4700</c:v>
                </c:pt>
              </c:numCache>
            </c:numRef>
          </c:xVal>
          <c:yVal>
            <c:numRef>
              <c:f>CARGO!$E$96:$E$99</c:f>
              <c:numCache>
                <c:formatCode>General</c:formatCode>
                <c:ptCount val="4"/>
                <c:pt idx="0">
                  <c:v>2400</c:v>
                </c:pt>
                <c:pt idx="1">
                  <c:v>2900</c:v>
                </c:pt>
                <c:pt idx="2">
                  <c:v>2900</c:v>
                </c:pt>
                <c:pt idx="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6F-4120-8F6A-A407BC3A1B37}"/>
            </c:ext>
          </c:extLst>
        </c:ser>
        <c:ser>
          <c:idx val="1"/>
          <c:order val="4"/>
          <c:spPr>
            <a:ln w="19050" cmpd="sng"/>
            <a:effectLst/>
          </c:spPr>
          <c:marker>
            <c:symbol val="none"/>
          </c:marker>
          <c:xVal>
            <c:numRef>
              <c:f>CARGO!$D$68:$D$71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4549</c:v>
                </c:pt>
                <c:pt idx="3">
                  <c:v>4674</c:v>
                </c:pt>
              </c:numCache>
            </c:numRef>
          </c:xVal>
          <c:yVal>
            <c:numRef>
              <c:f>CARGO!$E$68:$E$71</c:f>
              <c:numCache>
                <c:formatCode>General</c:formatCode>
                <c:ptCount val="4"/>
                <c:pt idx="0">
                  <c:v>2400</c:v>
                </c:pt>
                <c:pt idx="1">
                  <c:v>3300</c:v>
                </c:pt>
                <c:pt idx="2">
                  <c:v>3300</c:v>
                </c:pt>
                <c:pt idx="3">
                  <c:v>2260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6F-4120-8F6A-A407BC3A1B37}"/>
            </c:ext>
          </c:extLst>
        </c:ser>
        <c:ser>
          <c:idx val="2"/>
          <c:order val="5"/>
          <c:spPr>
            <a:ln w="19050" cmpd="sng"/>
            <a:effectLst/>
          </c:spPr>
          <c:marker>
            <c:symbol val="none"/>
          </c:marker>
          <c:xVal>
            <c:numRef>
              <c:f>CARGO!$D$75:$D$78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4552</c:v>
                </c:pt>
                <c:pt idx="3">
                  <c:v>4682</c:v>
                </c:pt>
              </c:numCache>
            </c:numRef>
          </c:xVal>
          <c:yVal>
            <c:numRef>
              <c:f>CARGO!$E$75:$E$78</c:f>
              <c:numCache>
                <c:formatCode>General</c:formatCode>
                <c:ptCount val="4"/>
                <c:pt idx="0">
                  <c:v>2400</c:v>
                </c:pt>
                <c:pt idx="1">
                  <c:v>3200</c:v>
                </c:pt>
                <c:pt idx="2">
                  <c:v>3200</c:v>
                </c:pt>
                <c:pt idx="3">
                  <c:v>2190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6F-4120-8F6A-A407BC3A1B37}"/>
            </c:ext>
          </c:extLst>
        </c:ser>
        <c:ser>
          <c:idx val="4"/>
          <c:order val="6"/>
          <c:spPr>
            <a:ln w="19050" cmpd="sng"/>
            <a:effectLst/>
          </c:spPr>
          <c:marker>
            <c:symbol val="none"/>
          </c:marker>
          <c:xVal>
            <c:numRef>
              <c:f>CARGO!$D$82:$D$85</c:f>
              <c:numCache>
                <c:formatCode>General</c:formatCode>
                <c:ptCount val="4"/>
                <c:pt idx="0">
                  <c:v>4350</c:v>
                </c:pt>
                <c:pt idx="1">
                  <c:v>4372</c:v>
                </c:pt>
                <c:pt idx="2">
                  <c:v>4557</c:v>
                </c:pt>
                <c:pt idx="3">
                  <c:v>4690</c:v>
                </c:pt>
              </c:numCache>
            </c:numRef>
          </c:xVal>
          <c:yVal>
            <c:numRef>
              <c:f>CARGO!$E$82:$E$85</c:f>
              <c:numCache>
                <c:formatCode>General</c:formatCode>
                <c:ptCount val="4"/>
                <c:pt idx="0">
                  <c:v>2400</c:v>
                </c:pt>
                <c:pt idx="1">
                  <c:v>3100</c:v>
                </c:pt>
                <c:pt idx="2">
                  <c:v>3100</c:v>
                </c:pt>
                <c:pt idx="3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6F-4120-8F6A-A407BC3A1B37}"/>
            </c:ext>
          </c:extLst>
        </c:ser>
        <c:ser>
          <c:idx val="5"/>
          <c:order val="7"/>
          <c:spPr>
            <a:ln w="19050" cmpd="sng"/>
            <a:effectLst/>
          </c:spPr>
          <c:marker>
            <c:symbol val="none"/>
          </c:marker>
          <c:xVal>
            <c:numRef>
              <c:f>CARGO!$D$89:$D$92</c:f>
              <c:numCache>
                <c:formatCode>General</c:formatCode>
                <c:ptCount val="4"/>
                <c:pt idx="0">
                  <c:v>4350</c:v>
                </c:pt>
                <c:pt idx="1">
                  <c:v>4370</c:v>
                </c:pt>
                <c:pt idx="2">
                  <c:v>4560</c:v>
                </c:pt>
                <c:pt idx="3">
                  <c:v>4695</c:v>
                </c:pt>
              </c:numCache>
            </c:numRef>
          </c:xVal>
          <c:yVal>
            <c:numRef>
              <c:f>CARGO!$E$89:$E$92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3000</c:v>
                </c:pt>
                <c:pt idx="3">
                  <c:v>2050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6F-4120-8F6A-A407BC3A1B37}"/>
            </c:ext>
          </c:extLst>
        </c:ser>
        <c:ser>
          <c:idx val="0"/>
          <c:order val="8"/>
          <c:tx>
            <c:v>LONG CG LIMIT</c:v>
          </c:tx>
          <c:spPr>
            <a:ln w="28575" cmpd="sng">
              <a:solidFill>
                <a:srgbClr val="4572A7"/>
              </a:solidFill>
            </a:ln>
            <a:effectLst/>
          </c:spPr>
          <c:marker>
            <c:symbol val="none"/>
          </c:marker>
          <c:xVal>
            <c:numRef>
              <c:f>נתונים!$AQ$5:$AQ$9</c:f>
              <c:numCache>
                <c:formatCode>General</c:formatCode>
                <c:ptCount val="5"/>
                <c:pt idx="0">
                  <c:v>4380</c:v>
                </c:pt>
                <c:pt idx="1">
                  <c:v>4535</c:v>
                </c:pt>
                <c:pt idx="2">
                  <c:v>4700</c:v>
                </c:pt>
                <c:pt idx="3">
                  <c:v>4347</c:v>
                </c:pt>
                <c:pt idx="4">
                  <c:v>4380</c:v>
                </c:pt>
              </c:numCache>
            </c:numRef>
          </c:xVal>
          <c:yVal>
            <c:numRef>
              <c:f>נתונים!$AR$5:$AR$9</c:f>
              <c:numCache>
                <c:formatCode>General</c:formatCode>
                <c:ptCount val="5"/>
                <c:pt idx="0">
                  <c:v>3700</c:v>
                </c:pt>
                <c:pt idx="1">
                  <c:v>3700</c:v>
                </c:pt>
                <c:pt idx="2">
                  <c:v>2000</c:v>
                </c:pt>
                <c:pt idx="3">
                  <c:v>2400</c:v>
                </c:pt>
                <c:pt idx="4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3"/>
          <c:order val="9"/>
          <c:tx>
            <c:v>מגבלת 3700</c:v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4380</c:v>
              </c:pt>
              <c:pt idx="1">
                <c:v>4535</c:v>
              </c:pt>
            </c:numLit>
          </c:xVal>
          <c:yVal>
            <c:numLit>
              <c:formatCode>General</c:formatCode>
              <c:ptCount val="2"/>
              <c:pt idx="0">
                <c:v>3700</c:v>
              </c:pt>
              <c:pt idx="1">
                <c:v>3700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F46F-4120-8F6A-A407BC3A1B37}"/>
            </c:ext>
          </c:extLst>
        </c:ser>
        <c:ser>
          <c:idx val="11"/>
          <c:order val="10"/>
          <c:tx>
            <c:v>FWD FUEL WITHOUT CARGO</c:v>
          </c:tx>
          <c:spPr>
            <a:ln w="28575" cmpd="sng">
              <a:solidFill>
                <a:srgbClr val="000000"/>
              </a:solidFill>
            </a:ln>
            <a:effectLst/>
          </c:spPr>
          <c:marker>
            <c:symbol val="none"/>
          </c:marker>
          <c:xVal>
            <c:numRef>
              <c:f>CARGO!$AC$5:$AC$78</c:f>
              <c:numCache>
                <c:formatCode>0.00</c:formatCode>
                <c:ptCount val="74"/>
                <c:pt idx="0">
                  <c:v>4505.10751393724</c:v>
                </c:pt>
                <c:pt idx="1">
                  <c:v>4501.77821497032</c:v>
                </c:pt>
                <c:pt idx="2">
                  <c:v>4498.45869169092</c:v>
                </c:pt>
                <c:pt idx="3">
                  <c:v>4495.13784604496</c:v>
                </c:pt>
                <c:pt idx="4">
                  <c:v>4491.81934267824</c:v>
                </c:pt>
                <c:pt idx="5">
                  <c:v>4488.52134048491</c:v>
                </c:pt>
                <c:pt idx="6">
                  <c:v>4485.21100319539</c:v>
                </c:pt>
                <c:pt idx="7">
                  <c:v>4481.90290693031</c:v>
                </c:pt>
                <c:pt idx="8">
                  <c:v>4478.5970275025</c:v>
                </c:pt>
                <c:pt idx="9">
                  <c:v>4475.32560373845</c:v>
                </c:pt>
                <c:pt idx="10">
                  <c:v>4472.06326286379</c:v>
                </c:pt>
                <c:pt idx="11">
                  <c:v>4468.8490593472</c:v>
                </c:pt>
                <c:pt idx="12">
                  <c:v>4465.6080024202</c:v>
                </c:pt>
                <c:pt idx="13">
                  <c:v>4462.42166030417</c:v>
                </c:pt>
                <c:pt idx="14">
                  <c:v>4461.76515400398</c:v>
                </c:pt>
                <c:pt idx="15">
                  <c:v>4461.83265411801</c:v>
                </c:pt>
                <c:pt idx="16">
                  <c:v>4461.96262796012</c:v>
                </c:pt>
                <c:pt idx="17">
                  <c:v>4462.03245427066</c:v>
                </c:pt>
                <c:pt idx="18">
                  <c:v>4462.15735884334</c:v>
                </c:pt>
                <c:pt idx="19">
                  <c:v>4462.29524164227</c:v>
                </c:pt>
                <c:pt idx="20">
                  <c:v>4462.47355838491</c:v>
                </c:pt>
                <c:pt idx="21">
                  <c:v>4462.66096010382</c:v>
                </c:pt>
                <c:pt idx="22">
                  <c:v>4462.82652732804</c:v>
                </c:pt>
                <c:pt idx="23">
                  <c:v>4465.29503148892</c:v>
                </c:pt>
                <c:pt idx="24">
                  <c:v>4468.1957812112</c:v>
                </c:pt>
                <c:pt idx="25">
                  <c:v>4471.11076505915</c:v>
                </c:pt>
                <c:pt idx="26">
                  <c:v>4473.73574380609</c:v>
                </c:pt>
                <c:pt idx="27">
                  <c:v>4474.91187534222</c:v>
                </c:pt>
                <c:pt idx="28">
                  <c:v>4476.05997540611</c:v>
                </c:pt>
                <c:pt idx="29">
                  <c:v>4477.25725860499</c:v>
                </c:pt>
                <c:pt idx="30">
                  <c:v>4478.39321844698</c:v>
                </c:pt>
                <c:pt idx="31">
                  <c:v>4479.55153367123</c:v>
                </c:pt>
                <c:pt idx="32">
                  <c:v>4480.72204709097</c:v>
                </c:pt>
                <c:pt idx="33">
                  <c:v>4481.89473562534</c:v>
                </c:pt>
                <c:pt idx="34">
                  <c:v>4482.9478513437</c:v>
                </c:pt>
                <c:pt idx="35">
                  <c:v>4484.09243397663</c:v>
                </c:pt>
                <c:pt idx="36">
                  <c:v>4485.20992431042</c:v>
                </c:pt>
                <c:pt idx="37">
                  <c:v>4485.56759307558</c:v>
                </c:pt>
                <c:pt idx="38">
                  <c:v>4485.72161429951</c:v>
                </c:pt>
                <c:pt idx="39">
                  <c:v>4485.90700512234</c:v>
                </c:pt>
                <c:pt idx="40">
                  <c:v>4485.60726662326</c:v>
                </c:pt>
                <c:pt idx="41">
                  <c:v>4485.31588764093</c:v>
                </c:pt>
                <c:pt idx="42">
                  <c:v>4484.89815522621</c:v>
                </c:pt>
                <c:pt idx="43">
                  <c:v>4484.62049003036</c:v>
                </c:pt>
                <c:pt idx="44">
                  <c:v>4484.35096386102</c:v>
                </c:pt>
                <c:pt idx="45">
                  <c:v>4484.08949919387</c:v>
                </c:pt>
                <c:pt idx="46">
                  <c:v>4483.69043152903</c:v>
                </c:pt>
                <c:pt idx="47">
                  <c:v>4483.44216555896</c:v>
                </c:pt>
                <c:pt idx="48">
                  <c:v>4483.20175130095</c:v>
                </c:pt>
                <c:pt idx="49">
                  <c:v>4482.81549072267</c:v>
                </c:pt>
                <c:pt idx="50">
                  <c:v>4482.5879140093</c:v>
                </c:pt>
                <c:pt idx="51">
                  <c:v>4482.5879140093</c:v>
                </c:pt>
                <c:pt idx="52">
                  <c:v>4482.5879140093</c:v>
                </c:pt>
                <c:pt idx="53">
                  <c:v>4482.5879140093</c:v>
                </c:pt>
                <c:pt idx="54">
                  <c:v>4482.5879140093</c:v>
                </c:pt>
                <c:pt idx="55">
                  <c:v>4482.5879140093</c:v>
                </c:pt>
                <c:pt idx="56">
                  <c:v>4482.5879140093</c:v>
                </c:pt>
                <c:pt idx="57">
                  <c:v>4482.5879140093</c:v>
                </c:pt>
                <c:pt idx="58">
                  <c:v>4482.5879140093</c:v>
                </c:pt>
                <c:pt idx="59">
                  <c:v>4482.5879140093</c:v>
                </c:pt>
                <c:pt idx="60">
                  <c:v>4482.5879140093</c:v>
                </c:pt>
                <c:pt idx="61">
                  <c:v>4482.5879140093</c:v>
                </c:pt>
                <c:pt idx="62">
                  <c:v>4482.5879140093</c:v>
                </c:pt>
                <c:pt idx="63">
                  <c:v>4482.5879140093</c:v>
                </c:pt>
                <c:pt idx="64">
                  <c:v>4482.5879140093</c:v>
                </c:pt>
                <c:pt idx="65">
                  <c:v>4482.5879140093</c:v>
                </c:pt>
                <c:pt idx="66">
                  <c:v>4482.5879140093</c:v>
                </c:pt>
                <c:pt idx="67">
                  <c:v>4482.5879140093</c:v>
                </c:pt>
                <c:pt idx="68">
                  <c:v>4482.5879140093</c:v>
                </c:pt>
                <c:pt idx="69">
                  <c:v>4482.5879140093</c:v>
                </c:pt>
                <c:pt idx="70">
                  <c:v>4482.5879140093</c:v>
                </c:pt>
                <c:pt idx="71">
                  <c:v>4482.5879140093</c:v>
                </c:pt>
                <c:pt idx="72">
                  <c:v>4482.5879140093</c:v>
                </c:pt>
                <c:pt idx="73">
                  <c:v>4482.5879140093</c:v>
                </c:pt>
              </c:numCache>
            </c:numRef>
          </c:xVal>
          <c:yVal>
            <c:numRef>
              <c:f>CARGO!$AB$5:$AB$78</c:f>
              <c:numCache>
                <c:formatCode>0.00</c:formatCode>
                <c:ptCount val="74"/>
                <c:pt idx="0">
                  <c:v>2699.602</c:v>
                </c:pt>
                <c:pt idx="1">
                  <c:v>2709.602</c:v>
                </c:pt>
                <c:pt idx="2">
                  <c:v>2719.602</c:v>
                </c:pt>
                <c:pt idx="3">
                  <c:v>2729.602</c:v>
                </c:pt>
                <c:pt idx="4">
                  <c:v>2739.602</c:v>
                </c:pt>
                <c:pt idx="5">
                  <c:v>2749.602</c:v>
                </c:pt>
                <c:pt idx="6">
                  <c:v>2759.602</c:v>
                </c:pt>
                <c:pt idx="7">
                  <c:v>2769.602</c:v>
                </c:pt>
                <c:pt idx="8">
                  <c:v>2779.602</c:v>
                </c:pt>
                <c:pt idx="9">
                  <c:v>2789.602</c:v>
                </c:pt>
                <c:pt idx="10">
                  <c:v>2799.602</c:v>
                </c:pt>
                <c:pt idx="11">
                  <c:v>2809.602</c:v>
                </c:pt>
                <c:pt idx="12">
                  <c:v>2819.602</c:v>
                </c:pt>
                <c:pt idx="13">
                  <c:v>2829.602</c:v>
                </c:pt>
                <c:pt idx="14">
                  <c:v>2839.602</c:v>
                </c:pt>
                <c:pt idx="15">
                  <c:v>2849.602</c:v>
                </c:pt>
                <c:pt idx="16">
                  <c:v>2859.602</c:v>
                </c:pt>
                <c:pt idx="17">
                  <c:v>2869.602</c:v>
                </c:pt>
                <c:pt idx="18">
                  <c:v>2879.602</c:v>
                </c:pt>
                <c:pt idx="19">
                  <c:v>2889.602</c:v>
                </c:pt>
                <c:pt idx="20">
                  <c:v>2899.602</c:v>
                </c:pt>
                <c:pt idx="21">
                  <c:v>2909.602</c:v>
                </c:pt>
                <c:pt idx="22">
                  <c:v>2919.602</c:v>
                </c:pt>
                <c:pt idx="23">
                  <c:v>2929.602</c:v>
                </c:pt>
                <c:pt idx="24">
                  <c:v>2939.602</c:v>
                </c:pt>
                <c:pt idx="25">
                  <c:v>2949.602</c:v>
                </c:pt>
                <c:pt idx="26">
                  <c:v>2959.602</c:v>
                </c:pt>
                <c:pt idx="27">
                  <c:v>2969.602</c:v>
                </c:pt>
                <c:pt idx="28">
                  <c:v>2979.602</c:v>
                </c:pt>
                <c:pt idx="29">
                  <c:v>2989.602</c:v>
                </c:pt>
                <c:pt idx="30">
                  <c:v>2999.602</c:v>
                </c:pt>
                <c:pt idx="31">
                  <c:v>3009.602</c:v>
                </c:pt>
                <c:pt idx="32">
                  <c:v>3019.602</c:v>
                </c:pt>
                <c:pt idx="33">
                  <c:v>3029.602</c:v>
                </c:pt>
                <c:pt idx="34">
                  <c:v>3039.602</c:v>
                </c:pt>
                <c:pt idx="35">
                  <c:v>3049.602</c:v>
                </c:pt>
                <c:pt idx="36">
                  <c:v>3059.602</c:v>
                </c:pt>
                <c:pt idx="37">
                  <c:v>3069.602</c:v>
                </c:pt>
                <c:pt idx="38">
                  <c:v>3079.602</c:v>
                </c:pt>
                <c:pt idx="39">
                  <c:v>3089.602</c:v>
                </c:pt>
                <c:pt idx="40">
                  <c:v>3099.602</c:v>
                </c:pt>
                <c:pt idx="41">
                  <c:v>3109.602</c:v>
                </c:pt>
                <c:pt idx="42">
                  <c:v>3119.602</c:v>
                </c:pt>
                <c:pt idx="43">
                  <c:v>3129.602</c:v>
                </c:pt>
                <c:pt idx="44">
                  <c:v>3139.602</c:v>
                </c:pt>
                <c:pt idx="45">
                  <c:v>3149.602</c:v>
                </c:pt>
                <c:pt idx="46">
                  <c:v>3159.602</c:v>
                </c:pt>
                <c:pt idx="47">
                  <c:v>3169.602</c:v>
                </c:pt>
                <c:pt idx="48">
                  <c:v>3179.602</c:v>
                </c:pt>
                <c:pt idx="49">
                  <c:v>3189.602</c:v>
                </c:pt>
                <c:pt idx="50">
                  <c:v>3199.602</c:v>
                </c:pt>
                <c:pt idx="51">
                  <c:v>3200</c:v>
                </c:pt>
                <c:pt idx="52">
                  <c:v>3200</c:v>
                </c:pt>
                <c:pt idx="53">
                  <c:v>3200</c:v>
                </c:pt>
                <c:pt idx="54">
                  <c:v>3200</c:v>
                </c:pt>
                <c:pt idx="55">
                  <c:v>3200</c:v>
                </c:pt>
                <c:pt idx="56">
                  <c:v>3200</c:v>
                </c:pt>
                <c:pt idx="57">
                  <c:v>3200</c:v>
                </c:pt>
                <c:pt idx="58">
                  <c:v>3200</c:v>
                </c:pt>
                <c:pt idx="59">
                  <c:v>3200</c:v>
                </c:pt>
                <c:pt idx="60">
                  <c:v>3200</c:v>
                </c:pt>
                <c:pt idx="61">
                  <c:v>3200</c:v>
                </c:pt>
                <c:pt idx="62">
                  <c:v>3200</c:v>
                </c:pt>
                <c:pt idx="63">
                  <c:v>3200</c:v>
                </c:pt>
                <c:pt idx="64">
                  <c:v>3200</c:v>
                </c:pt>
                <c:pt idx="65">
                  <c:v>3200</c:v>
                </c:pt>
                <c:pt idx="66">
                  <c:v>3200</c:v>
                </c:pt>
                <c:pt idx="67">
                  <c:v>3200</c:v>
                </c:pt>
                <c:pt idx="68">
                  <c:v>3200</c:v>
                </c:pt>
                <c:pt idx="69">
                  <c:v>3200</c:v>
                </c:pt>
                <c:pt idx="70">
                  <c:v>3200</c:v>
                </c:pt>
                <c:pt idx="71">
                  <c:v>3200</c:v>
                </c:pt>
                <c:pt idx="72">
                  <c:v>3200</c:v>
                </c:pt>
                <c:pt idx="7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488-4A3F-8159-0AC1CE6BD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0226903"/>
        <c:axId val="65380210"/>
      </c:scatterChart>
      <c:valAx>
        <c:axId val="40226903"/>
        <c:scaling>
          <c:orientation val="minMax"/>
          <c:max val="4800"/>
          <c:min val="430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5380210"/>
        <c:crosses val="autoZero"/>
        <c:crossBetween val="midCat"/>
      </c:valAx>
      <c:valAx>
        <c:axId val="65380210"/>
        <c:scaling>
          <c:orientation val="minMax"/>
          <c:max val="3900"/>
          <c:min val="1800"/>
        </c:scaling>
        <c:delete val="0"/>
        <c:axPos val="l"/>
        <c:majorGridlines>
          <c:spPr>
            <a:ln w="9525" cap="flat" cmpd="sng">
              <a:solidFill>
                <a:schemeClr val="accent1">
                  <a:alpha val="50000"/>
                </a:schemeClr>
              </a:solidFill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40226903"/>
        <c:crosses val="autoZero"/>
        <c:crossBetween val="midCat"/>
        <c:majorUnit val="100"/>
        <c:minorUnit val="100"/>
      </c:valAx>
      <c:spPr>
        <a:noFill/>
        <a:ln w="9525" cap="flat" cmpd="sng">
          <a:solidFill>
            <a:schemeClr val="accent1"/>
          </a:solidFill>
        </a:ln>
        <a:effectLst/>
      </c:spPr>
    </c:plotArea>
    <c:legend>
      <c:legendPos val="l"/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9"/>
          <c:order val="0"/>
          <c:tx>
            <c:v>CARGO 100</c:v>
          </c:tx>
          <c:spPr>
            <a:ln w="19050" cmpd="sng"/>
            <a:effectLst/>
          </c:spPr>
          <c:marker>
            <c:symbol val="none"/>
          </c:marker>
          <c:xVal>
            <c:numRef>
              <c:f>CARGO70!$D$47:$D$50</c:f>
              <c:numCache>
                <c:formatCode>General</c:formatCode>
                <c:ptCount val="4"/>
                <c:pt idx="0">
                  <c:v>4347</c:v>
                </c:pt>
                <c:pt idx="1">
                  <c:v>4378</c:v>
                </c:pt>
                <c:pt idx="2">
                  <c:v>4535</c:v>
                </c:pt>
                <c:pt idx="3">
                  <c:v>4630</c:v>
                </c:pt>
              </c:numCache>
            </c:numRef>
          </c:xVal>
          <c:yVal>
            <c:numRef>
              <c:f>CARGO70!$E$47:$E$50</c:f>
              <c:numCache>
                <c:formatCode>General</c:formatCode>
                <c:ptCount val="4"/>
                <c:pt idx="0">
                  <c:v>2400</c:v>
                </c:pt>
                <c:pt idx="1">
                  <c:v>3600</c:v>
                </c:pt>
                <c:pt idx="2">
                  <c:v>3600</c:v>
                </c:pt>
                <c:pt idx="3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3-4989-93F0-7178F138CCFD}"/>
            </c:ext>
          </c:extLst>
        </c:ser>
        <c:ser>
          <c:idx val="8"/>
          <c:order val="1"/>
          <c:tx>
            <c:v>CARGO 200</c:v>
          </c:tx>
          <c:spPr>
            <a:ln w="19050" cmpd="sng"/>
            <a:effectLst/>
          </c:spPr>
          <c:marker>
            <c:symbol val="none"/>
          </c:marker>
          <c:xVal>
            <c:numRef>
              <c:f>CARGO70!$D$54:$D$57</c:f>
              <c:numCache>
                <c:formatCode>General</c:formatCode>
                <c:ptCount val="4"/>
                <c:pt idx="0">
                  <c:v>4347</c:v>
                </c:pt>
                <c:pt idx="1">
                  <c:v>4377</c:v>
                </c:pt>
                <c:pt idx="2">
                  <c:v>4541</c:v>
                </c:pt>
                <c:pt idx="3">
                  <c:v>4653</c:v>
                </c:pt>
              </c:numCache>
            </c:numRef>
          </c:xVal>
          <c:yVal>
            <c:numRef>
              <c:f>CARGO70!$E$54:$E$57</c:f>
              <c:numCache>
                <c:formatCode>General</c:formatCode>
                <c:ptCount val="4"/>
                <c:pt idx="0">
                  <c:v>2400</c:v>
                </c:pt>
                <c:pt idx="1">
                  <c:v>3500</c:v>
                </c:pt>
                <c:pt idx="2">
                  <c:v>3500</c:v>
                </c:pt>
                <c:pt idx="3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3-4989-93F0-7178F138CCFD}"/>
            </c:ext>
          </c:extLst>
        </c:ser>
        <c:ser>
          <c:idx val="7"/>
          <c:order val="2"/>
          <c:tx>
            <c:v>CARGO 300</c:v>
          </c:tx>
          <c:spPr>
            <a:ln w="19050" cmpd="sng"/>
            <a:effectLst/>
          </c:spPr>
          <c:marker>
            <c:symbol val="none"/>
          </c:marker>
          <c:xVal>
            <c:numRef>
              <c:f>CARGO70!$D$61:$D$64</c:f>
              <c:numCache>
                <c:formatCode>General</c:formatCode>
                <c:ptCount val="4"/>
                <c:pt idx="0">
                  <c:v>4347</c:v>
                </c:pt>
                <c:pt idx="1">
                  <c:v>4376</c:v>
                </c:pt>
                <c:pt idx="2">
                  <c:v>4543</c:v>
                </c:pt>
                <c:pt idx="3">
                  <c:v>4663</c:v>
                </c:pt>
              </c:numCache>
            </c:numRef>
          </c:xVal>
          <c:yVal>
            <c:numRef>
              <c:f>CARGO70!$E$61:$E$64</c:f>
              <c:numCache>
                <c:formatCode>General</c:formatCode>
                <c:ptCount val="4"/>
                <c:pt idx="0">
                  <c:v>2400</c:v>
                </c:pt>
                <c:pt idx="1">
                  <c:v>3400</c:v>
                </c:pt>
                <c:pt idx="2">
                  <c:v>3400</c:v>
                </c:pt>
                <c:pt idx="3">
                  <c:v>2350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73-4989-93F0-7178F138CCFD}"/>
            </c:ext>
          </c:extLst>
        </c:ser>
        <c:ser>
          <c:idx val="1"/>
          <c:order val="3"/>
          <c:spPr>
            <a:ln w="19050" cmpd="sng"/>
            <a:effectLst/>
          </c:spPr>
          <c:marker>
            <c:symbol val="none"/>
          </c:marker>
          <c:xVal>
            <c:numRef>
              <c:f>CARGO70!$D$68:$D$71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4549</c:v>
                </c:pt>
                <c:pt idx="3">
                  <c:v>4674</c:v>
                </c:pt>
              </c:numCache>
            </c:numRef>
          </c:xVal>
          <c:yVal>
            <c:numRef>
              <c:f>CARGO70!$E$68:$E$71</c:f>
              <c:numCache>
                <c:formatCode>General</c:formatCode>
                <c:ptCount val="4"/>
                <c:pt idx="0">
                  <c:v>2400</c:v>
                </c:pt>
                <c:pt idx="1">
                  <c:v>3300</c:v>
                </c:pt>
                <c:pt idx="2">
                  <c:v>3300</c:v>
                </c:pt>
                <c:pt idx="3">
                  <c:v>2260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73-4989-93F0-7178F138CCFD}"/>
            </c:ext>
          </c:extLst>
        </c:ser>
        <c:ser>
          <c:idx val="2"/>
          <c:order val="4"/>
          <c:spPr>
            <a:ln w="19050" cmpd="sng"/>
            <a:effectLst/>
          </c:spPr>
          <c:marker>
            <c:symbol val="none"/>
          </c:marker>
          <c:xVal>
            <c:numRef>
              <c:f>CARGO70!$D$75:$D$78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4552</c:v>
                </c:pt>
                <c:pt idx="3">
                  <c:v>4682</c:v>
                </c:pt>
              </c:numCache>
            </c:numRef>
          </c:xVal>
          <c:yVal>
            <c:numRef>
              <c:f>CARGO70!$E$75:$E$78</c:f>
              <c:numCache>
                <c:formatCode>General</c:formatCode>
                <c:ptCount val="4"/>
                <c:pt idx="0">
                  <c:v>2400</c:v>
                </c:pt>
                <c:pt idx="1">
                  <c:v>3200</c:v>
                </c:pt>
                <c:pt idx="2">
                  <c:v>3200</c:v>
                </c:pt>
                <c:pt idx="3">
                  <c:v>2190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73-4989-93F0-7178F138CCFD}"/>
            </c:ext>
          </c:extLst>
        </c:ser>
        <c:ser>
          <c:idx val="4"/>
          <c:order val="5"/>
          <c:spPr>
            <a:ln w="19050" cmpd="sng"/>
            <a:effectLst/>
          </c:spPr>
          <c:marker>
            <c:symbol val="none"/>
          </c:marker>
          <c:xVal>
            <c:numRef>
              <c:f>CARGO70!$D$82:$D$85</c:f>
              <c:numCache>
                <c:formatCode>General</c:formatCode>
                <c:ptCount val="4"/>
                <c:pt idx="0">
                  <c:v>4350</c:v>
                </c:pt>
                <c:pt idx="1">
                  <c:v>4372</c:v>
                </c:pt>
                <c:pt idx="2">
                  <c:v>4557</c:v>
                </c:pt>
                <c:pt idx="3">
                  <c:v>4690</c:v>
                </c:pt>
              </c:numCache>
            </c:numRef>
          </c:xVal>
          <c:yVal>
            <c:numRef>
              <c:f>CARGO70!$E$82:$E$85</c:f>
              <c:numCache>
                <c:formatCode>General</c:formatCode>
                <c:ptCount val="4"/>
                <c:pt idx="0">
                  <c:v>2400</c:v>
                </c:pt>
                <c:pt idx="1">
                  <c:v>3100</c:v>
                </c:pt>
                <c:pt idx="2">
                  <c:v>3100</c:v>
                </c:pt>
                <c:pt idx="3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73-4989-93F0-7178F138CCFD}"/>
            </c:ext>
          </c:extLst>
        </c:ser>
        <c:ser>
          <c:idx val="5"/>
          <c:order val="6"/>
          <c:spPr>
            <a:ln w="19050" cmpd="sng"/>
            <a:effectLst/>
          </c:spPr>
          <c:marker>
            <c:symbol val="none"/>
          </c:marker>
          <c:xVal>
            <c:numRef>
              <c:f>CARGO70!$D$89:$D$92</c:f>
              <c:numCache>
                <c:formatCode>General</c:formatCode>
                <c:ptCount val="4"/>
                <c:pt idx="0">
                  <c:v>4350</c:v>
                </c:pt>
                <c:pt idx="1">
                  <c:v>4370</c:v>
                </c:pt>
                <c:pt idx="2">
                  <c:v>4560</c:v>
                </c:pt>
                <c:pt idx="3">
                  <c:v>4695</c:v>
                </c:pt>
              </c:numCache>
            </c:numRef>
          </c:xVal>
          <c:yVal>
            <c:numRef>
              <c:f>CARGO70!$E$89:$E$92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3000</c:v>
                </c:pt>
                <c:pt idx="3">
                  <c:v>2050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73-4989-93F0-7178F138CCFD}"/>
            </c:ext>
          </c:extLst>
        </c:ser>
        <c:ser>
          <c:idx val="0"/>
          <c:order val="7"/>
          <c:tx>
            <c:v>LONG CG LIMIT</c:v>
          </c:tx>
          <c:spPr>
            <a:ln w="28575" cmpd="sng">
              <a:solidFill>
                <a:srgbClr val="4572A7"/>
              </a:solidFill>
            </a:ln>
            <a:effectLst/>
          </c:spPr>
          <c:marker>
            <c:symbol val="none"/>
          </c:marker>
          <c:xVal>
            <c:numRef>
              <c:f>נתונים!$AT$5:$AT$9</c:f>
              <c:numCache>
                <c:formatCode>0</c:formatCode>
                <c:ptCount val="5"/>
                <c:pt idx="0">
                  <c:v>4380</c:v>
                </c:pt>
                <c:pt idx="1">
                  <c:v>4535</c:v>
                </c:pt>
                <c:pt idx="2">
                  <c:v>4700</c:v>
                </c:pt>
                <c:pt idx="3">
                  <c:v>4347</c:v>
                </c:pt>
                <c:pt idx="4">
                  <c:v>4380</c:v>
                </c:pt>
              </c:numCache>
            </c:numRef>
          </c:xVal>
          <c:yVal>
            <c:numRef>
              <c:f>נתונים!$AU$5:$AU$9</c:f>
              <c:numCache>
                <c:formatCode>0</c:formatCode>
                <c:ptCount val="5"/>
                <c:pt idx="0">
                  <c:v>3700</c:v>
                </c:pt>
                <c:pt idx="1">
                  <c:v>3700</c:v>
                </c:pt>
                <c:pt idx="2">
                  <c:v>2000</c:v>
                </c:pt>
                <c:pt idx="3">
                  <c:v>2400</c:v>
                </c:pt>
                <c:pt idx="4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3"/>
          <c:order val="8"/>
          <c:tx>
            <c:v>מגבלת 3700</c:v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4380</c:v>
              </c:pt>
              <c:pt idx="1">
                <c:v>4535</c:v>
              </c:pt>
            </c:numLit>
          </c:xVal>
          <c:yVal>
            <c:numLit>
              <c:formatCode>General</c:formatCode>
              <c:ptCount val="2"/>
              <c:pt idx="0">
                <c:v>3700</c:v>
              </c:pt>
              <c:pt idx="1">
                <c:v>3700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F273-4989-93F0-7178F138CCFD}"/>
            </c:ext>
          </c:extLst>
        </c:ser>
        <c:ser>
          <c:idx val="6"/>
          <c:order val="9"/>
          <c:tx>
            <c:v>CHECK</c:v>
          </c:tx>
          <c:spPr>
            <a:ln w="19050" cmpd="sng">
              <a:solidFill>
                <a:srgbClr val="000000"/>
              </a:solidFill>
            </a:ln>
            <a:effectLst/>
          </c:spPr>
          <c:marker>
            <c:symbol val="none"/>
          </c:marker>
          <c:xVal>
            <c:numRef>
              <c:f>CARGO70!$D$39:$D$43</c:f>
              <c:numCache>
                <c:formatCode>0</c:formatCode>
                <c:ptCount val="5"/>
                <c:pt idx="0">
                  <c:v>4483.20175130095</c:v>
                </c:pt>
                <c:pt idx="1">
                  <c:v>4483.20175130095</c:v>
                </c:pt>
                <c:pt idx="2">
                  <c:v>4483.20175130095</c:v>
                </c:pt>
                <c:pt idx="3">
                  <c:v>4483.20175130095</c:v>
                </c:pt>
                <c:pt idx="4">
                  <c:v>4483.20175130095</c:v>
                </c:pt>
              </c:numCache>
            </c:numRef>
          </c:xVal>
          <c:yVal>
            <c:numRef>
              <c:f>CARGO70!$E$39:$E$43</c:f>
              <c:numCache>
                <c:formatCode>0</c:formatCode>
                <c:ptCount val="5"/>
                <c:pt idx="0">
                  <c:v>3179.602</c:v>
                </c:pt>
                <c:pt idx="1">
                  <c:v>3179.602</c:v>
                </c:pt>
                <c:pt idx="2">
                  <c:v>1800</c:v>
                </c:pt>
                <c:pt idx="3">
                  <c:v>1800</c:v>
                </c:pt>
                <c:pt idx="4">
                  <c:v>3179.602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73-4989-93F0-7178F138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5050364"/>
        <c:axId val="6177770"/>
      </c:scatterChart>
      <c:valAx>
        <c:axId val="15050364"/>
        <c:scaling>
          <c:orientation val="minMax"/>
          <c:max val="4800"/>
          <c:min val="430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177770"/>
        <c:crosses val="autoZero"/>
        <c:crossBetween val="midCat"/>
      </c:valAx>
      <c:valAx>
        <c:axId val="6177770"/>
        <c:scaling>
          <c:orientation val="minMax"/>
          <c:max val="3900"/>
          <c:min val="1800"/>
        </c:scaling>
        <c:delete val="0"/>
        <c:axPos val="l"/>
        <c:majorGridlines>
          <c:spPr>
            <a:ln w="9525" cap="flat" cmpd="sng">
              <a:solidFill>
                <a:schemeClr val="accent1">
                  <a:alpha val="50000"/>
                </a:schemeClr>
              </a:solidFill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15050364"/>
        <c:crosses val="autoZero"/>
        <c:crossBetween val="midCat"/>
        <c:majorUnit val="100"/>
        <c:minorUnit val="100"/>
      </c:valAx>
      <c:spPr>
        <a:noFill/>
        <a:ln w="9525" cap="flat" cmpd="sng">
          <a:solidFill>
            <a:schemeClr val="accent1"/>
          </a:solidFill>
        </a:ln>
        <a:effectLst/>
      </c:spPr>
    </c:plotArea>
    <c:legend>
      <c:legendPos val="l"/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9"/>
          <c:order val="0"/>
          <c:tx>
            <c:v>CARGO 100</c:v>
          </c:tx>
          <c:spPr>
            <a:ln w="19050" cmpd="sng"/>
            <a:effectLst/>
          </c:spPr>
          <c:marker>
            <c:symbol val="none"/>
          </c:marker>
          <c:xVal>
            <c:numRef>
              <c:f>CARGO80!$D$47:$D$50</c:f>
              <c:numCache>
                <c:formatCode>General</c:formatCode>
                <c:ptCount val="4"/>
                <c:pt idx="0">
                  <c:v>4347</c:v>
                </c:pt>
                <c:pt idx="1">
                  <c:v>4378</c:v>
                </c:pt>
                <c:pt idx="2">
                  <c:v>4535</c:v>
                </c:pt>
                <c:pt idx="3">
                  <c:v>4630</c:v>
                </c:pt>
              </c:numCache>
            </c:numRef>
          </c:xVal>
          <c:yVal>
            <c:numRef>
              <c:f>CARGO80!$E$47:$E$50</c:f>
              <c:numCache>
                <c:formatCode>General</c:formatCode>
                <c:ptCount val="4"/>
                <c:pt idx="0">
                  <c:v>2400</c:v>
                </c:pt>
                <c:pt idx="1">
                  <c:v>3600</c:v>
                </c:pt>
                <c:pt idx="2">
                  <c:v>3600</c:v>
                </c:pt>
                <c:pt idx="3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7-4BA1-AFC3-5E194ACE58D9}"/>
            </c:ext>
          </c:extLst>
        </c:ser>
        <c:ser>
          <c:idx val="8"/>
          <c:order val="1"/>
          <c:tx>
            <c:v>CARGO 200</c:v>
          </c:tx>
          <c:spPr>
            <a:ln w="19050" cmpd="sng"/>
            <a:effectLst/>
          </c:spPr>
          <c:marker>
            <c:symbol val="none"/>
          </c:marker>
          <c:xVal>
            <c:numRef>
              <c:f>CARGO80!$D$54:$D$57</c:f>
              <c:numCache>
                <c:formatCode>General</c:formatCode>
                <c:ptCount val="4"/>
                <c:pt idx="0">
                  <c:v>4347</c:v>
                </c:pt>
                <c:pt idx="1">
                  <c:v>4377</c:v>
                </c:pt>
                <c:pt idx="2">
                  <c:v>4541</c:v>
                </c:pt>
                <c:pt idx="3">
                  <c:v>4653</c:v>
                </c:pt>
              </c:numCache>
            </c:numRef>
          </c:xVal>
          <c:yVal>
            <c:numRef>
              <c:f>CARGO80!$E$54:$E$57</c:f>
              <c:numCache>
                <c:formatCode>General</c:formatCode>
                <c:ptCount val="4"/>
                <c:pt idx="0">
                  <c:v>2400</c:v>
                </c:pt>
                <c:pt idx="1">
                  <c:v>3500</c:v>
                </c:pt>
                <c:pt idx="2">
                  <c:v>3500</c:v>
                </c:pt>
                <c:pt idx="3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27-4BA1-AFC3-5E194ACE58D9}"/>
            </c:ext>
          </c:extLst>
        </c:ser>
        <c:ser>
          <c:idx val="7"/>
          <c:order val="2"/>
          <c:tx>
            <c:v>CARGO 300</c:v>
          </c:tx>
          <c:spPr>
            <a:ln w="19050" cmpd="sng"/>
            <a:effectLst/>
          </c:spPr>
          <c:marker>
            <c:symbol val="none"/>
          </c:marker>
          <c:xVal>
            <c:numRef>
              <c:f>CARGO80!$D$61:$D$64</c:f>
              <c:numCache>
                <c:formatCode>General</c:formatCode>
                <c:ptCount val="4"/>
                <c:pt idx="0">
                  <c:v>4347</c:v>
                </c:pt>
                <c:pt idx="1">
                  <c:v>4376</c:v>
                </c:pt>
                <c:pt idx="2">
                  <c:v>4543</c:v>
                </c:pt>
                <c:pt idx="3">
                  <c:v>4663</c:v>
                </c:pt>
              </c:numCache>
            </c:numRef>
          </c:xVal>
          <c:yVal>
            <c:numRef>
              <c:f>CARGO80!$E$61:$E$64</c:f>
              <c:numCache>
                <c:formatCode>General</c:formatCode>
                <c:ptCount val="4"/>
                <c:pt idx="0">
                  <c:v>2400</c:v>
                </c:pt>
                <c:pt idx="1">
                  <c:v>3400</c:v>
                </c:pt>
                <c:pt idx="2">
                  <c:v>3400</c:v>
                </c:pt>
                <c:pt idx="3">
                  <c:v>2350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27-4BA1-AFC3-5E194ACE58D9}"/>
            </c:ext>
          </c:extLst>
        </c:ser>
        <c:ser>
          <c:idx val="1"/>
          <c:order val="3"/>
          <c:spPr>
            <a:ln w="19050" cmpd="sng"/>
            <a:effectLst/>
          </c:spPr>
          <c:marker>
            <c:symbol val="none"/>
          </c:marker>
          <c:xVal>
            <c:numRef>
              <c:f>CARGO80!$D$68:$D$71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4549</c:v>
                </c:pt>
                <c:pt idx="3">
                  <c:v>4674</c:v>
                </c:pt>
              </c:numCache>
            </c:numRef>
          </c:xVal>
          <c:yVal>
            <c:numRef>
              <c:f>CARGO80!$E$68:$E$71</c:f>
              <c:numCache>
                <c:formatCode>General</c:formatCode>
                <c:ptCount val="4"/>
                <c:pt idx="0">
                  <c:v>2400</c:v>
                </c:pt>
                <c:pt idx="1">
                  <c:v>3300</c:v>
                </c:pt>
                <c:pt idx="2">
                  <c:v>3300</c:v>
                </c:pt>
                <c:pt idx="3">
                  <c:v>2260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27-4BA1-AFC3-5E194ACE58D9}"/>
            </c:ext>
          </c:extLst>
        </c:ser>
        <c:ser>
          <c:idx val="2"/>
          <c:order val="4"/>
          <c:spPr>
            <a:ln w="19050" cmpd="sng"/>
            <a:effectLst/>
          </c:spPr>
          <c:marker>
            <c:symbol val="none"/>
          </c:marker>
          <c:xVal>
            <c:numRef>
              <c:f>CARGO80!$D$75:$D$78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4552</c:v>
                </c:pt>
                <c:pt idx="3">
                  <c:v>4682</c:v>
                </c:pt>
              </c:numCache>
            </c:numRef>
          </c:xVal>
          <c:yVal>
            <c:numRef>
              <c:f>CARGO80!$E$75:$E$78</c:f>
              <c:numCache>
                <c:formatCode>General</c:formatCode>
                <c:ptCount val="4"/>
                <c:pt idx="0">
                  <c:v>2400</c:v>
                </c:pt>
                <c:pt idx="1">
                  <c:v>3200</c:v>
                </c:pt>
                <c:pt idx="2">
                  <c:v>3200</c:v>
                </c:pt>
                <c:pt idx="3">
                  <c:v>2190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27-4BA1-AFC3-5E194ACE58D9}"/>
            </c:ext>
          </c:extLst>
        </c:ser>
        <c:ser>
          <c:idx val="4"/>
          <c:order val="5"/>
          <c:spPr>
            <a:ln w="19050" cmpd="sng"/>
            <a:effectLst/>
          </c:spPr>
          <c:marker>
            <c:symbol val="none"/>
          </c:marker>
          <c:xVal>
            <c:numRef>
              <c:f>CARGO80!$D$82:$D$85</c:f>
              <c:numCache>
                <c:formatCode>General</c:formatCode>
                <c:ptCount val="4"/>
                <c:pt idx="0">
                  <c:v>4350</c:v>
                </c:pt>
                <c:pt idx="1">
                  <c:v>4372</c:v>
                </c:pt>
                <c:pt idx="2">
                  <c:v>4557</c:v>
                </c:pt>
                <c:pt idx="3">
                  <c:v>4690</c:v>
                </c:pt>
              </c:numCache>
            </c:numRef>
          </c:xVal>
          <c:yVal>
            <c:numRef>
              <c:f>CARGO80!$E$82:$E$85</c:f>
              <c:numCache>
                <c:formatCode>General</c:formatCode>
                <c:ptCount val="4"/>
                <c:pt idx="0">
                  <c:v>2400</c:v>
                </c:pt>
                <c:pt idx="1">
                  <c:v>3100</c:v>
                </c:pt>
                <c:pt idx="2">
                  <c:v>3100</c:v>
                </c:pt>
                <c:pt idx="3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27-4BA1-AFC3-5E194ACE58D9}"/>
            </c:ext>
          </c:extLst>
        </c:ser>
        <c:ser>
          <c:idx val="5"/>
          <c:order val="6"/>
          <c:spPr>
            <a:ln w="19050" cmpd="sng"/>
            <a:effectLst/>
          </c:spPr>
          <c:marker>
            <c:symbol val="none"/>
          </c:marker>
          <c:xVal>
            <c:numRef>
              <c:f>CARGO80!$D$89:$D$92</c:f>
              <c:numCache>
                <c:formatCode>General</c:formatCode>
                <c:ptCount val="4"/>
                <c:pt idx="0">
                  <c:v>4350</c:v>
                </c:pt>
                <c:pt idx="1">
                  <c:v>4370</c:v>
                </c:pt>
                <c:pt idx="2">
                  <c:v>4560</c:v>
                </c:pt>
                <c:pt idx="3">
                  <c:v>4695</c:v>
                </c:pt>
              </c:numCache>
            </c:numRef>
          </c:xVal>
          <c:yVal>
            <c:numRef>
              <c:f>CARGO80!$E$89:$E$92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3000</c:v>
                </c:pt>
                <c:pt idx="3">
                  <c:v>2050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27-4BA1-AFC3-5E194ACE58D9}"/>
            </c:ext>
          </c:extLst>
        </c:ser>
        <c:ser>
          <c:idx val="0"/>
          <c:order val="7"/>
          <c:tx>
            <c:v>LONG CG LIMIT</c:v>
          </c:tx>
          <c:spPr>
            <a:ln w="28575" cmpd="sng">
              <a:solidFill>
                <a:srgbClr val="4572A7"/>
              </a:solidFill>
            </a:ln>
            <a:effectLst/>
          </c:spPr>
          <c:marker>
            <c:symbol val="none"/>
          </c:marker>
          <c:xVal>
            <c:numRef>
              <c:f>נתונים!$AT$5:$AT$9</c:f>
              <c:numCache>
                <c:formatCode>0</c:formatCode>
                <c:ptCount val="5"/>
                <c:pt idx="0">
                  <c:v>4380</c:v>
                </c:pt>
                <c:pt idx="1">
                  <c:v>4535</c:v>
                </c:pt>
                <c:pt idx="2">
                  <c:v>4700</c:v>
                </c:pt>
                <c:pt idx="3">
                  <c:v>4347</c:v>
                </c:pt>
                <c:pt idx="4">
                  <c:v>4380</c:v>
                </c:pt>
              </c:numCache>
            </c:numRef>
          </c:xVal>
          <c:yVal>
            <c:numRef>
              <c:f>נתונים!$AU$5:$AU$9</c:f>
              <c:numCache>
                <c:formatCode>0</c:formatCode>
                <c:ptCount val="5"/>
                <c:pt idx="0">
                  <c:v>3700</c:v>
                </c:pt>
                <c:pt idx="1">
                  <c:v>3700</c:v>
                </c:pt>
                <c:pt idx="2">
                  <c:v>2000</c:v>
                </c:pt>
                <c:pt idx="3">
                  <c:v>2400</c:v>
                </c:pt>
                <c:pt idx="4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3"/>
          <c:order val="8"/>
          <c:tx>
            <c:v>מגבלת 3700</c:v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4380</c:v>
              </c:pt>
              <c:pt idx="1">
                <c:v>4535</c:v>
              </c:pt>
            </c:numLit>
          </c:xVal>
          <c:yVal>
            <c:numLit>
              <c:formatCode>General</c:formatCode>
              <c:ptCount val="2"/>
              <c:pt idx="0">
                <c:v>3700</c:v>
              </c:pt>
              <c:pt idx="1">
                <c:v>3700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B627-4BA1-AFC3-5E194ACE58D9}"/>
            </c:ext>
          </c:extLst>
        </c:ser>
        <c:ser>
          <c:idx val="6"/>
          <c:order val="9"/>
          <c:tx>
            <c:v>CHECK</c:v>
          </c:tx>
          <c:spPr>
            <a:ln w="19050" cmpd="sng">
              <a:solidFill>
                <a:srgbClr val="000000"/>
              </a:solidFill>
            </a:ln>
            <a:effectLst/>
          </c:spPr>
          <c:marker>
            <c:symbol val="none"/>
          </c:marker>
          <c:xVal>
            <c:numRef>
              <c:f>CARGO80!$D$39:$D$43</c:f>
              <c:numCache>
                <c:formatCode>0</c:formatCode>
                <c:ptCount val="5"/>
                <c:pt idx="0">
                  <c:v>4484.32604321795</c:v>
                </c:pt>
                <c:pt idx="1">
                  <c:v>4484.32604321795</c:v>
                </c:pt>
                <c:pt idx="2">
                  <c:v>4484.32604321795</c:v>
                </c:pt>
                <c:pt idx="3">
                  <c:v>4484.32604321795</c:v>
                </c:pt>
                <c:pt idx="4">
                  <c:v>4484.32604321795</c:v>
                </c:pt>
              </c:numCache>
            </c:numRef>
          </c:xVal>
          <c:yVal>
            <c:numRef>
              <c:f>CARGO80!$E$39:$E$43</c:f>
              <c:numCache>
                <c:formatCode>0</c:formatCode>
                <c:ptCount val="5"/>
                <c:pt idx="0">
                  <c:v>3120</c:v>
                </c:pt>
                <c:pt idx="1">
                  <c:v>3120</c:v>
                </c:pt>
                <c:pt idx="2">
                  <c:v>1800</c:v>
                </c:pt>
                <c:pt idx="3">
                  <c:v>1800</c:v>
                </c:pt>
                <c:pt idx="4">
                  <c:v>3120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27-4BA1-AFC3-5E194ACE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5343001"/>
        <c:axId val="39108462"/>
      </c:scatterChart>
      <c:valAx>
        <c:axId val="5343001"/>
        <c:scaling>
          <c:orientation val="minMax"/>
          <c:max val="4800"/>
          <c:min val="430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9108462"/>
        <c:crosses val="autoZero"/>
        <c:crossBetween val="midCat"/>
      </c:valAx>
      <c:valAx>
        <c:axId val="39108462"/>
        <c:scaling>
          <c:orientation val="minMax"/>
          <c:max val="3900"/>
          <c:min val="1800"/>
        </c:scaling>
        <c:delete val="0"/>
        <c:axPos val="l"/>
        <c:majorGridlines>
          <c:spPr>
            <a:ln w="9525" cap="flat" cmpd="sng">
              <a:solidFill>
                <a:schemeClr val="accent1">
                  <a:alpha val="50000"/>
                </a:schemeClr>
              </a:solidFill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5343001"/>
        <c:crosses val="autoZero"/>
        <c:crossBetween val="midCat"/>
        <c:majorUnit val="100"/>
        <c:minorUnit val="100"/>
      </c:valAx>
      <c:spPr>
        <a:noFill/>
        <a:ln w="9525" cap="flat" cmpd="sng">
          <a:solidFill>
            <a:schemeClr val="accent1"/>
          </a:solidFill>
        </a:ln>
        <a:effectLst/>
      </c:spPr>
    </c:plotArea>
    <c:legend>
      <c:legendPos val="l"/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9"/>
          <c:order val="0"/>
          <c:tx>
            <c:v>CARGO 100</c:v>
          </c:tx>
          <c:spPr>
            <a:ln w="19050" cmpd="sng"/>
            <a:effectLst/>
          </c:spPr>
          <c:marker>
            <c:symbol val="none"/>
          </c:marker>
          <c:xVal>
            <c:numRef>
              <c:f>CARGO90!$D$47:$D$50</c:f>
              <c:numCache>
                <c:formatCode>General</c:formatCode>
                <c:ptCount val="4"/>
                <c:pt idx="0">
                  <c:v>4347</c:v>
                </c:pt>
                <c:pt idx="1">
                  <c:v>4378</c:v>
                </c:pt>
                <c:pt idx="2">
                  <c:v>4535</c:v>
                </c:pt>
                <c:pt idx="3">
                  <c:v>4630</c:v>
                </c:pt>
              </c:numCache>
            </c:numRef>
          </c:xVal>
          <c:yVal>
            <c:numRef>
              <c:f>CARGO90!$E$47:$E$50</c:f>
              <c:numCache>
                <c:formatCode>General</c:formatCode>
                <c:ptCount val="4"/>
                <c:pt idx="0">
                  <c:v>2400</c:v>
                </c:pt>
                <c:pt idx="1">
                  <c:v>3600</c:v>
                </c:pt>
                <c:pt idx="2">
                  <c:v>3600</c:v>
                </c:pt>
                <c:pt idx="3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EB-41E0-A183-D3A61C247C01}"/>
            </c:ext>
          </c:extLst>
        </c:ser>
        <c:ser>
          <c:idx val="8"/>
          <c:order val="1"/>
          <c:tx>
            <c:v>CARGO 200</c:v>
          </c:tx>
          <c:spPr>
            <a:ln w="19050" cmpd="sng"/>
            <a:effectLst/>
          </c:spPr>
          <c:marker>
            <c:symbol val="none"/>
          </c:marker>
          <c:xVal>
            <c:numRef>
              <c:f>CARGO90!$D$54:$D$57</c:f>
              <c:numCache>
                <c:formatCode>General</c:formatCode>
                <c:ptCount val="4"/>
                <c:pt idx="0">
                  <c:v>4347</c:v>
                </c:pt>
                <c:pt idx="1">
                  <c:v>4377</c:v>
                </c:pt>
                <c:pt idx="2">
                  <c:v>4541</c:v>
                </c:pt>
                <c:pt idx="3">
                  <c:v>4653</c:v>
                </c:pt>
              </c:numCache>
            </c:numRef>
          </c:xVal>
          <c:yVal>
            <c:numRef>
              <c:f>CARGO90!$E$54:$E$57</c:f>
              <c:numCache>
                <c:formatCode>General</c:formatCode>
                <c:ptCount val="4"/>
                <c:pt idx="0">
                  <c:v>2400</c:v>
                </c:pt>
                <c:pt idx="1">
                  <c:v>3500</c:v>
                </c:pt>
                <c:pt idx="2">
                  <c:v>3500</c:v>
                </c:pt>
                <c:pt idx="3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EB-41E0-A183-D3A61C247C01}"/>
            </c:ext>
          </c:extLst>
        </c:ser>
        <c:ser>
          <c:idx val="7"/>
          <c:order val="2"/>
          <c:tx>
            <c:v>CARGO 300</c:v>
          </c:tx>
          <c:spPr>
            <a:ln w="19050" cmpd="sng"/>
            <a:effectLst/>
          </c:spPr>
          <c:marker>
            <c:symbol val="none"/>
          </c:marker>
          <c:xVal>
            <c:numRef>
              <c:f>CARGO90!$D$61:$D$64</c:f>
              <c:numCache>
                <c:formatCode>General</c:formatCode>
                <c:ptCount val="4"/>
                <c:pt idx="0">
                  <c:v>4347</c:v>
                </c:pt>
                <c:pt idx="1">
                  <c:v>4376</c:v>
                </c:pt>
                <c:pt idx="2">
                  <c:v>4543</c:v>
                </c:pt>
                <c:pt idx="3">
                  <c:v>4663</c:v>
                </c:pt>
              </c:numCache>
            </c:numRef>
          </c:xVal>
          <c:yVal>
            <c:numRef>
              <c:f>CARGO90!$E$61:$E$64</c:f>
              <c:numCache>
                <c:formatCode>General</c:formatCode>
                <c:ptCount val="4"/>
                <c:pt idx="0">
                  <c:v>2400</c:v>
                </c:pt>
                <c:pt idx="1">
                  <c:v>3400</c:v>
                </c:pt>
                <c:pt idx="2">
                  <c:v>3400</c:v>
                </c:pt>
                <c:pt idx="3">
                  <c:v>2350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EB-41E0-A183-D3A61C247C01}"/>
            </c:ext>
          </c:extLst>
        </c:ser>
        <c:ser>
          <c:idx val="1"/>
          <c:order val="3"/>
          <c:spPr>
            <a:ln w="19050" cmpd="sng"/>
            <a:effectLst/>
          </c:spPr>
          <c:marker>
            <c:symbol val="none"/>
          </c:marker>
          <c:xVal>
            <c:numRef>
              <c:f>CARGO90!$D$68:$D$71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4549</c:v>
                </c:pt>
                <c:pt idx="3">
                  <c:v>4674</c:v>
                </c:pt>
              </c:numCache>
            </c:numRef>
          </c:xVal>
          <c:yVal>
            <c:numRef>
              <c:f>CARGO90!$E$68:$E$71</c:f>
              <c:numCache>
                <c:formatCode>General</c:formatCode>
                <c:ptCount val="4"/>
                <c:pt idx="0">
                  <c:v>2400</c:v>
                </c:pt>
                <c:pt idx="1">
                  <c:v>3300</c:v>
                </c:pt>
                <c:pt idx="2">
                  <c:v>3300</c:v>
                </c:pt>
                <c:pt idx="3">
                  <c:v>2260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EB-41E0-A183-D3A61C247C01}"/>
            </c:ext>
          </c:extLst>
        </c:ser>
        <c:ser>
          <c:idx val="2"/>
          <c:order val="4"/>
          <c:spPr>
            <a:ln w="19050" cmpd="sng"/>
            <a:effectLst/>
          </c:spPr>
          <c:marker>
            <c:symbol val="none"/>
          </c:marker>
          <c:xVal>
            <c:numRef>
              <c:f>CARGO90!$D$75:$D$78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4552</c:v>
                </c:pt>
                <c:pt idx="3">
                  <c:v>4682</c:v>
                </c:pt>
              </c:numCache>
            </c:numRef>
          </c:xVal>
          <c:yVal>
            <c:numRef>
              <c:f>CARGO90!$E$75:$E$78</c:f>
              <c:numCache>
                <c:formatCode>General</c:formatCode>
                <c:ptCount val="4"/>
                <c:pt idx="0">
                  <c:v>2400</c:v>
                </c:pt>
                <c:pt idx="1">
                  <c:v>3200</c:v>
                </c:pt>
                <c:pt idx="2">
                  <c:v>3200</c:v>
                </c:pt>
                <c:pt idx="3">
                  <c:v>2190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EB-41E0-A183-D3A61C247C01}"/>
            </c:ext>
          </c:extLst>
        </c:ser>
        <c:ser>
          <c:idx val="4"/>
          <c:order val="5"/>
          <c:spPr>
            <a:ln w="19050" cmpd="sng"/>
            <a:effectLst/>
          </c:spPr>
          <c:marker>
            <c:symbol val="none"/>
          </c:marker>
          <c:xVal>
            <c:numRef>
              <c:f>CARGO90!$D$82:$D$85</c:f>
              <c:numCache>
                <c:formatCode>General</c:formatCode>
                <c:ptCount val="4"/>
                <c:pt idx="0">
                  <c:v>4350</c:v>
                </c:pt>
                <c:pt idx="1">
                  <c:v>4372</c:v>
                </c:pt>
                <c:pt idx="2">
                  <c:v>4557</c:v>
                </c:pt>
                <c:pt idx="3">
                  <c:v>4690</c:v>
                </c:pt>
              </c:numCache>
            </c:numRef>
          </c:xVal>
          <c:yVal>
            <c:numRef>
              <c:f>CARGO90!$E$82:$E$85</c:f>
              <c:numCache>
                <c:formatCode>General</c:formatCode>
                <c:ptCount val="4"/>
                <c:pt idx="0">
                  <c:v>2400</c:v>
                </c:pt>
                <c:pt idx="1">
                  <c:v>3100</c:v>
                </c:pt>
                <c:pt idx="2">
                  <c:v>3100</c:v>
                </c:pt>
                <c:pt idx="3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EB-41E0-A183-D3A61C247C01}"/>
            </c:ext>
          </c:extLst>
        </c:ser>
        <c:ser>
          <c:idx val="5"/>
          <c:order val="6"/>
          <c:spPr>
            <a:ln w="19050" cmpd="sng"/>
            <a:effectLst/>
          </c:spPr>
          <c:marker>
            <c:symbol val="none"/>
          </c:marker>
          <c:xVal>
            <c:numRef>
              <c:f>CARGO90!$D$89:$D$92</c:f>
              <c:numCache>
                <c:formatCode>General</c:formatCode>
                <c:ptCount val="4"/>
                <c:pt idx="0">
                  <c:v>4350</c:v>
                </c:pt>
                <c:pt idx="1">
                  <c:v>4370</c:v>
                </c:pt>
                <c:pt idx="2">
                  <c:v>4560</c:v>
                </c:pt>
                <c:pt idx="3">
                  <c:v>4695</c:v>
                </c:pt>
              </c:numCache>
            </c:numRef>
          </c:xVal>
          <c:yVal>
            <c:numRef>
              <c:f>CARGO90!$E$89:$E$92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3000</c:v>
                </c:pt>
                <c:pt idx="3">
                  <c:v>2050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EB-41E0-A183-D3A61C247C01}"/>
            </c:ext>
          </c:extLst>
        </c:ser>
        <c:ser>
          <c:idx val="0"/>
          <c:order val="7"/>
          <c:tx>
            <c:v>LONG CG LIMIT</c:v>
          </c:tx>
          <c:spPr>
            <a:ln w="28575" cmpd="sng">
              <a:solidFill>
                <a:srgbClr val="4572A7"/>
              </a:solidFill>
            </a:ln>
            <a:effectLst/>
          </c:spPr>
          <c:marker>
            <c:symbol val="none"/>
          </c:marker>
          <c:xVal>
            <c:numRef>
              <c:f>נתונים!$AT$5:$AT$9</c:f>
              <c:numCache>
                <c:formatCode>0</c:formatCode>
                <c:ptCount val="5"/>
                <c:pt idx="0">
                  <c:v>4380</c:v>
                </c:pt>
                <c:pt idx="1">
                  <c:v>4535</c:v>
                </c:pt>
                <c:pt idx="2">
                  <c:v>4700</c:v>
                </c:pt>
                <c:pt idx="3">
                  <c:v>4347</c:v>
                </c:pt>
                <c:pt idx="4">
                  <c:v>4380</c:v>
                </c:pt>
              </c:numCache>
            </c:numRef>
          </c:xVal>
          <c:yVal>
            <c:numRef>
              <c:f>נתונים!$AU$5:$AU$9</c:f>
              <c:numCache>
                <c:formatCode>0</c:formatCode>
                <c:ptCount val="5"/>
                <c:pt idx="0">
                  <c:v>3700</c:v>
                </c:pt>
                <c:pt idx="1">
                  <c:v>3700</c:v>
                </c:pt>
                <c:pt idx="2">
                  <c:v>2000</c:v>
                </c:pt>
                <c:pt idx="3">
                  <c:v>2400</c:v>
                </c:pt>
                <c:pt idx="4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3"/>
          <c:order val="8"/>
          <c:tx>
            <c:v>מגבלת 3700</c:v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4380</c:v>
              </c:pt>
              <c:pt idx="1">
                <c:v>4535</c:v>
              </c:pt>
            </c:numLit>
          </c:xVal>
          <c:yVal>
            <c:numLit>
              <c:formatCode>General</c:formatCode>
              <c:ptCount val="2"/>
              <c:pt idx="0">
                <c:v>3700</c:v>
              </c:pt>
              <c:pt idx="1">
                <c:v>3700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69EB-41E0-A183-D3A61C247C01}"/>
            </c:ext>
          </c:extLst>
        </c:ser>
        <c:ser>
          <c:idx val="6"/>
          <c:order val="9"/>
          <c:tx>
            <c:v>CHECK</c:v>
          </c:tx>
          <c:spPr>
            <a:ln w="19050" cmpd="sng">
              <a:solidFill>
                <a:srgbClr val="000000"/>
              </a:solidFill>
            </a:ln>
            <a:effectLst/>
          </c:spPr>
          <c:marker>
            <c:symbol val="none"/>
          </c:marker>
          <c:xVal>
            <c:numRef>
              <c:f>CARGO90!$D$39:$D$43</c:f>
              <c:numCache>
                <c:formatCode>0</c:formatCode>
                <c:ptCount val="5"/>
                <c:pt idx="0">
                  <c:v>4483.50729666885</c:v>
                </c:pt>
                <c:pt idx="1">
                  <c:v>4483.50729666885</c:v>
                </c:pt>
                <c:pt idx="2">
                  <c:v>4483.50729666885</c:v>
                </c:pt>
                <c:pt idx="3">
                  <c:v>4483.50729666885</c:v>
                </c:pt>
                <c:pt idx="4">
                  <c:v>4483.50729666885</c:v>
                </c:pt>
              </c:numCache>
            </c:numRef>
          </c:xVal>
          <c:yVal>
            <c:numRef>
              <c:f>CARGO90!$E$39:$E$43</c:f>
              <c:numCache>
                <c:formatCode>0</c:formatCode>
                <c:ptCount val="5"/>
                <c:pt idx="0">
                  <c:v>3050</c:v>
                </c:pt>
                <c:pt idx="1">
                  <c:v>3050</c:v>
                </c:pt>
                <c:pt idx="2">
                  <c:v>1800</c:v>
                </c:pt>
                <c:pt idx="3">
                  <c:v>1800</c:v>
                </c:pt>
                <c:pt idx="4">
                  <c:v>3050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EB-41E0-A183-D3A61C24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9564236"/>
        <c:axId val="27737476"/>
      </c:scatterChart>
      <c:valAx>
        <c:axId val="9564236"/>
        <c:scaling>
          <c:orientation val="minMax"/>
          <c:max val="4800"/>
          <c:min val="430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27737476"/>
        <c:crosses val="autoZero"/>
        <c:crossBetween val="midCat"/>
      </c:valAx>
      <c:valAx>
        <c:axId val="27737476"/>
        <c:scaling>
          <c:orientation val="minMax"/>
          <c:max val="3900"/>
          <c:min val="1800"/>
        </c:scaling>
        <c:delete val="0"/>
        <c:axPos val="l"/>
        <c:majorGridlines>
          <c:spPr>
            <a:ln w="9525" cap="flat" cmpd="sng">
              <a:solidFill>
                <a:schemeClr val="accent1">
                  <a:alpha val="50000"/>
                </a:schemeClr>
              </a:solidFill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9564236"/>
        <c:crosses val="autoZero"/>
        <c:crossBetween val="midCat"/>
        <c:majorUnit val="100"/>
        <c:minorUnit val="100"/>
      </c:valAx>
      <c:spPr>
        <a:noFill/>
        <a:ln w="9525" cap="flat" cmpd="sng">
          <a:solidFill>
            <a:schemeClr val="accent1"/>
          </a:solidFill>
        </a:ln>
        <a:effectLst/>
      </c:spPr>
    </c:plotArea>
    <c:legend>
      <c:legendPos val="l"/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9"/>
          <c:order val="0"/>
          <c:tx>
            <c:v>CARGO 100</c:v>
          </c:tx>
          <c:spPr>
            <a:ln w="19050" cmpd="sng"/>
            <a:effectLst/>
          </c:spPr>
          <c:marker>
            <c:symbol val="none"/>
          </c:marker>
          <c:xVal>
            <c:numRef>
              <c:f>CARGO100!$D$47:$D$50</c:f>
              <c:numCache>
                <c:formatCode>General</c:formatCode>
                <c:ptCount val="4"/>
                <c:pt idx="0">
                  <c:v>4347</c:v>
                </c:pt>
                <c:pt idx="1">
                  <c:v>4378</c:v>
                </c:pt>
                <c:pt idx="2">
                  <c:v>4535</c:v>
                </c:pt>
                <c:pt idx="3">
                  <c:v>4630</c:v>
                </c:pt>
              </c:numCache>
            </c:numRef>
          </c:xVal>
          <c:yVal>
            <c:numRef>
              <c:f>CARGO100!$E$47:$E$50</c:f>
              <c:numCache>
                <c:formatCode>General</c:formatCode>
                <c:ptCount val="4"/>
                <c:pt idx="0">
                  <c:v>2400</c:v>
                </c:pt>
                <c:pt idx="1">
                  <c:v>3600</c:v>
                </c:pt>
                <c:pt idx="2">
                  <c:v>3600</c:v>
                </c:pt>
                <c:pt idx="3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F-4D85-9464-2D8EB414013F}"/>
            </c:ext>
          </c:extLst>
        </c:ser>
        <c:ser>
          <c:idx val="8"/>
          <c:order val="1"/>
          <c:tx>
            <c:v>CARGO 200</c:v>
          </c:tx>
          <c:spPr>
            <a:ln w="19050" cmpd="sng"/>
            <a:effectLst/>
          </c:spPr>
          <c:marker>
            <c:symbol val="none"/>
          </c:marker>
          <c:xVal>
            <c:numRef>
              <c:f>CARGO100!$D$54:$D$57</c:f>
              <c:numCache>
                <c:formatCode>General</c:formatCode>
                <c:ptCount val="4"/>
                <c:pt idx="0">
                  <c:v>4347</c:v>
                </c:pt>
                <c:pt idx="1">
                  <c:v>4377</c:v>
                </c:pt>
                <c:pt idx="2">
                  <c:v>4541</c:v>
                </c:pt>
                <c:pt idx="3">
                  <c:v>4653</c:v>
                </c:pt>
              </c:numCache>
            </c:numRef>
          </c:xVal>
          <c:yVal>
            <c:numRef>
              <c:f>CARGO100!$E$54:$E$57</c:f>
              <c:numCache>
                <c:formatCode>General</c:formatCode>
                <c:ptCount val="4"/>
                <c:pt idx="0">
                  <c:v>2400</c:v>
                </c:pt>
                <c:pt idx="1">
                  <c:v>3500</c:v>
                </c:pt>
                <c:pt idx="2">
                  <c:v>3500</c:v>
                </c:pt>
                <c:pt idx="3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F-4D85-9464-2D8EB414013F}"/>
            </c:ext>
          </c:extLst>
        </c:ser>
        <c:ser>
          <c:idx val="7"/>
          <c:order val="2"/>
          <c:tx>
            <c:v>CARGO 300</c:v>
          </c:tx>
          <c:spPr>
            <a:ln w="19050" cmpd="sng"/>
            <a:effectLst/>
          </c:spPr>
          <c:marker>
            <c:symbol val="none"/>
          </c:marker>
          <c:xVal>
            <c:numRef>
              <c:f>CARGO100!$D$61:$D$64</c:f>
              <c:numCache>
                <c:formatCode>General</c:formatCode>
                <c:ptCount val="4"/>
                <c:pt idx="0">
                  <c:v>4347</c:v>
                </c:pt>
                <c:pt idx="1">
                  <c:v>4376</c:v>
                </c:pt>
                <c:pt idx="2">
                  <c:v>4543</c:v>
                </c:pt>
                <c:pt idx="3">
                  <c:v>4663</c:v>
                </c:pt>
              </c:numCache>
            </c:numRef>
          </c:xVal>
          <c:yVal>
            <c:numRef>
              <c:f>CARGO100!$E$61:$E$64</c:f>
              <c:numCache>
                <c:formatCode>General</c:formatCode>
                <c:ptCount val="4"/>
                <c:pt idx="0">
                  <c:v>2400</c:v>
                </c:pt>
                <c:pt idx="1">
                  <c:v>3400</c:v>
                </c:pt>
                <c:pt idx="2">
                  <c:v>3400</c:v>
                </c:pt>
                <c:pt idx="3">
                  <c:v>2350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2F-4D85-9464-2D8EB414013F}"/>
            </c:ext>
          </c:extLst>
        </c:ser>
        <c:ser>
          <c:idx val="1"/>
          <c:order val="3"/>
          <c:spPr>
            <a:ln w="19050" cmpd="sng"/>
            <a:effectLst/>
          </c:spPr>
          <c:marker>
            <c:symbol val="none"/>
          </c:marker>
          <c:xVal>
            <c:numRef>
              <c:f>CARGO100!$D$68:$D$71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4549</c:v>
                </c:pt>
                <c:pt idx="3">
                  <c:v>4674</c:v>
                </c:pt>
              </c:numCache>
            </c:numRef>
          </c:xVal>
          <c:yVal>
            <c:numRef>
              <c:f>CARGO100!$E$68:$E$71</c:f>
              <c:numCache>
                <c:formatCode>General</c:formatCode>
                <c:ptCount val="4"/>
                <c:pt idx="0">
                  <c:v>2400</c:v>
                </c:pt>
                <c:pt idx="1">
                  <c:v>3300</c:v>
                </c:pt>
                <c:pt idx="2">
                  <c:v>3300</c:v>
                </c:pt>
                <c:pt idx="3">
                  <c:v>2260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2F-4D85-9464-2D8EB414013F}"/>
            </c:ext>
          </c:extLst>
        </c:ser>
        <c:ser>
          <c:idx val="2"/>
          <c:order val="4"/>
          <c:spPr>
            <a:ln w="19050" cmpd="sng"/>
            <a:effectLst/>
          </c:spPr>
          <c:marker>
            <c:symbol val="none"/>
          </c:marker>
          <c:xVal>
            <c:numRef>
              <c:f>CARGO100!$D$75:$D$78</c:f>
              <c:numCache>
                <c:formatCode>General</c:formatCode>
                <c:ptCount val="4"/>
                <c:pt idx="0">
                  <c:v>4350</c:v>
                </c:pt>
                <c:pt idx="1">
                  <c:v>4374</c:v>
                </c:pt>
                <c:pt idx="2">
                  <c:v>4552</c:v>
                </c:pt>
                <c:pt idx="3">
                  <c:v>4682</c:v>
                </c:pt>
              </c:numCache>
            </c:numRef>
          </c:xVal>
          <c:yVal>
            <c:numRef>
              <c:f>CARGO100!$E$75:$E$78</c:f>
              <c:numCache>
                <c:formatCode>General</c:formatCode>
                <c:ptCount val="4"/>
                <c:pt idx="0">
                  <c:v>2400</c:v>
                </c:pt>
                <c:pt idx="1">
                  <c:v>3200</c:v>
                </c:pt>
                <c:pt idx="2">
                  <c:v>3200</c:v>
                </c:pt>
                <c:pt idx="3">
                  <c:v>2190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2F-4D85-9464-2D8EB414013F}"/>
            </c:ext>
          </c:extLst>
        </c:ser>
        <c:ser>
          <c:idx val="4"/>
          <c:order val="5"/>
          <c:spPr>
            <a:ln w="19050" cmpd="sng"/>
            <a:effectLst/>
          </c:spPr>
          <c:marker>
            <c:symbol val="none"/>
          </c:marker>
          <c:xVal>
            <c:numRef>
              <c:f>CARGO100!$D$82:$D$85</c:f>
              <c:numCache>
                <c:formatCode>General</c:formatCode>
                <c:ptCount val="4"/>
                <c:pt idx="0">
                  <c:v>4350</c:v>
                </c:pt>
                <c:pt idx="1">
                  <c:v>4372</c:v>
                </c:pt>
                <c:pt idx="2">
                  <c:v>4557</c:v>
                </c:pt>
                <c:pt idx="3">
                  <c:v>4690</c:v>
                </c:pt>
              </c:numCache>
            </c:numRef>
          </c:xVal>
          <c:yVal>
            <c:numRef>
              <c:f>CARGO100!$E$82:$E$85</c:f>
              <c:numCache>
                <c:formatCode>General</c:formatCode>
                <c:ptCount val="4"/>
                <c:pt idx="0">
                  <c:v>2400</c:v>
                </c:pt>
                <c:pt idx="1">
                  <c:v>3100</c:v>
                </c:pt>
                <c:pt idx="2">
                  <c:v>3100</c:v>
                </c:pt>
                <c:pt idx="3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2F-4D85-9464-2D8EB414013F}"/>
            </c:ext>
          </c:extLst>
        </c:ser>
        <c:ser>
          <c:idx val="5"/>
          <c:order val="6"/>
          <c:spPr>
            <a:ln w="19050" cmpd="sng"/>
            <a:effectLst/>
          </c:spPr>
          <c:marker>
            <c:symbol val="none"/>
          </c:marker>
          <c:xVal>
            <c:numRef>
              <c:f>CARGO100!$D$89:$D$92</c:f>
              <c:numCache>
                <c:formatCode>General</c:formatCode>
                <c:ptCount val="4"/>
                <c:pt idx="0">
                  <c:v>4350</c:v>
                </c:pt>
                <c:pt idx="1">
                  <c:v>4370</c:v>
                </c:pt>
                <c:pt idx="2">
                  <c:v>4560</c:v>
                </c:pt>
                <c:pt idx="3">
                  <c:v>4695</c:v>
                </c:pt>
              </c:numCache>
            </c:numRef>
          </c:xVal>
          <c:yVal>
            <c:numRef>
              <c:f>CARGO100!$E$89:$E$92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3000</c:v>
                </c:pt>
                <c:pt idx="3">
                  <c:v>2050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2F-4D85-9464-2D8EB414013F}"/>
            </c:ext>
          </c:extLst>
        </c:ser>
        <c:ser>
          <c:idx val="0"/>
          <c:order val="7"/>
          <c:tx>
            <c:v>LONG CG LIMIT</c:v>
          </c:tx>
          <c:spPr>
            <a:ln w="28575" cmpd="sng">
              <a:solidFill>
                <a:srgbClr val="4572A7"/>
              </a:solidFill>
            </a:ln>
            <a:effectLst/>
          </c:spPr>
          <c:marker>
            <c:symbol val="none"/>
          </c:marker>
          <c:xVal>
            <c:numRef>
              <c:f>נתונים!$AT$5:$AT$9</c:f>
              <c:numCache>
                <c:formatCode>0</c:formatCode>
                <c:ptCount val="5"/>
                <c:pt idx="0">
                  <c:v>4380</c:v>
                </c:pt>
                <c:pt idx="1">
                  <c:v>4535</c:v>
                </c:pt>
                <c:pt idx="2">
                  <c:v>4700</c:v>
                </c:pt>
                <c:pt idx="3">
                  <c:v>4347</c:v>
                </c:pt>
                <c:pt idx="4">
                  <c:v>4380</c:v>
                </c:pt>
              </c:numCache>
            </c:numRef>
          </c:xVal>
          <c:yVal>
            <c:numRef>
              <c:f>נתונים!$AU$5:$AU$9</c:f>
              <c:numCache>
                <c:formatCode>0</c:formatCode>
                <c:ptCount val="5"/>
                <c:pt idx="0">
                  <c:v>3700</c:v>
                </c:pt>
                <c:pt idx="1">
                  <c:v>3700</c:v>
                </c:pt>
                <c:pt idx="2">
                  <c:v>2000</c:v>
                </c:pt>
                <c:pt idx="3">
                  <c:v>2400</c:v>
                </c:pt>
                <c:pt idx="4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48-9D70-7C0D9C3325BE}"/>
            </c:ext>
          </c:extLst>
        </c:ser>
        <c:ser>
          <c:idx val="3"/>
          <c:order val="8"/>
          <c:tx>
            <c:v>מגבלת 3700</c:v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4380</c:v>
              </c:pt>
              <c:pt idx="1">
                <c:v>4535</c:v>
              </c:pt>
            </c:numLit>
          </c:xVal>
          <c:yVal>
            <c:numLit>
              <c:formatCode>General</c:formatCode>
              <c:ptCount val="2"/>
              <c:pt idx="0">
                <c:v>3700</c:v>
              </c:pt>
              <c:pt idx="1">
                <c:v>3700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D2F-4D85-9464-2D8EB414013F}"/>
            </c:ext>
          </c:extLst>
        </c:ser>
        <c:ser>
          <c:idx val="6"/>
          <c:order val="9"/>
          <c:tx>
            <c:v>CHECK</c:v>
          </c:tx>
          <c:spPr>
            <a:ln w="19050" cmpd="sng">
              <a:solidFill>
                <a:srgbClr val="000000"/>
              </a:solidFill>
            </a:ln>
            <a:effectLst/>
          </c:spPr>
          <c:marker>
            <c:symbol val="none"/>
          </c:marker>
          <c:xVal>
            <c:numRef>
              <c:f>CARGO100!$D$39:$D$43</c:f>
              <c:numCache>
                <c:formatCode>0</c:formatCode>
                <c:ptCount val="5"/>
                <c:pt idx="0">
                  <c:v>4483.50729666885</c:v>
                </c:pt>
                <c:pt idx="1">
                  <c:v>4483.50729666885</c:v>
                </c:pt>
                <c:pt idx="2">
                  <c:v>4483.50729666885</c:v>
                </c:pt>
                <c:pt idx="3">
                  <c:v>4483.50729666885</c:v>
                </c:pt>
                <c:pt idx="4">
                  <c:v>4483.50729666885</c:v>
                </c:pt>
              </c:numCache>
            </c:numRef>
          </c:xVal>
          <c:yVal>
            <c:numRef>
              <c:f>CARGO100!$E$39:$E$43</c:f>
              <c:numCache>
                <c:formatCode>0</c:formatCode>
                <c:ptCount val="5"/>
                <c:pt idx="0">
                  <c:v>3050</c:v>
                </c:pt>
                <c:pt idx="1">
                  <c:v>3050</c:v>
                </c:pt>
                <c:pt idx="2">
                  <c:v>1800</c:v>
                </c:pt>
                <c:pt idx="3">
                  <c:v>1800</c:v>
                </c:pt>
                <c:pt idx="4">
                  <c:v>3050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2F-4D85-9464-2D8EB4140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61577092"/>
        <c:axId val="19505738"/>
      </c:scatterChart>
      <c:valAx>
        <c:axId val="61577092"/>
        <c:scaling>
          <c:orientation val="minMax"/>
          <c:max val="4800"/>
          <c:min val="4300"/>
        </c:scaling>
        <c:delete val="0"/>
        <c:axPos val="b"/>
        <c:minorGridlines>
          <c:spPr>
            <a:ln w="9525" cap="flat" cmpd="sng">
              <a:solidFill>
                <a:srgbClr val="BCBCBC"/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19505738"/>
        <c:crosses val="autoZero"/>
        <c:crossBetween val="midCat"/>
      </c:valAx>
      <c:valAx>
        <c:axId val="19505738"/>
        <c:scaling>
          <c:orientation val="minMax"/>
          <c:max val="3900"/>
          <c:min val="1800"/>
        </c:scaling>
        <c:delete val="0"/>
        <c:axPos val="l"/>
        <c:majorGridlines>
          <c:spPr>
            <a:ln w="9525" cap="flat" cmpd="sng">
              <a:solidFill>
                <a:schemeClr val="accent1">
                  <a:alpha val="50000"/>
                </a:schemeClr>
              </a:solidFill>
            </a:ln>
            <a:effectLst/>
          </c:spPr>
        </c:majorGridlines>
        <c:minorGridlines>
          <c:spPr>
            <a:ln w="9525">
              <a:noFill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1577092"/>
        <c:crosses val="autoZero"/>
        <c:crossBetween val="midCat"/>
        <c:majorUnit val="100"/>
        <c:minorUnit val="100"/>
      </c:valAx>
      <c:spPr>
        <a:noFill/>
        <a:ln w="9525" cap="flat" cmpd="sng">
          <a:solidFill>
            <a:schemeClr val="accent1"/>
          </a:solidFill>
        </a:ln>
        <a:effectLst/>
      </c:spPr>
    </c:plotArea>
    <c:legend>
      <c:legendPos val="l"/>
      <c:layout/>
      <c:overlay val="0"/>
      <c:spPr>
        <a:noFill/>
        <a:ln w="9525">
          <a:noFill/>
        </a:ln>
        <a:effectLst/>
      </c:spPr>
    </c:legend>
    <c:plotVisOnly val="1"/>
    <c:dispBlanksAs val="gap"/>
    <c:showDLblsOverMax val="0"/>
  </c:chart>
  <c:spPr>
    <a:ln w="9525" cap="flat" cmpd="sng">
      <a:solidFill>
        <a:srgbClr val="898989"/>
      </a:solidFill>
    </a:ln>
    <a:effectLst/>
  </c:spPr>
  <c:userShapes r:id="rId1"/>
</c:chartSpace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image" Target="../media/image1.jpeg" /><Relationship Id="rId2" Type="http://schemas.openxmlformats.org/officeDocument/2006/relationships/chart" Target="../charts/chart2.xml" /><Relationship Id="rId5" Type="http://schemas.openxmlformats.org/officeDocument/2006/relationships/image" Target="../media/image1.emf" /><Relationship Id="rId1" Type="http://schemas.openxmlformats.org/officeDocument/2006/relationships/chart" Target="../charts/chart1.xml" /><Relationship Id="rId4" Type="http://schemas.openxmlformats.org/officeDocument/2006/relationships/image" Target="../media/image2.jpeg" /></Relationships>
</file>

<file path=xl/drawings/_rels/drawing3.xml.rels><?xml version="1.0" encoding="UTF-8" standalone="yes"?><Relationships xmlns="http://schemas.openxmlformats.org/package/2006/relationships"><Relationship Id="rId7" Type="http://schemas.openxmlformats.org/officeDocument/2006/relationships/image" Target="../media/image1.png" /><Relationship Id="rId10" Type="http://schemas.openxmlformats.org/officeDocument/2006/relationships/image" Target="../media/image2.png" /><Relationship Id="rId12" Type="http://schemas.openxmlformats.org/officeDocument/2006/relationships/image" Target="../media/image3.png" /><Relationship Id="rId1" Type="http://schemas.openxmlformats.org/officeDocument/2006/relationships/image" Target="../media/image2.emf" /><Relationship Id="rId4" Type="http://schemas.openxmlformats.org/officeDocument/2006/relationships/image" Target="../media/image4.png" /><Relationship Id="rId3" Type="http://schemas.openxmlformats.org/officeDocument/2006/relationships/image" Target="../media/image5.png" /><Relationship Id="rId9" Type="http://schemas.openxmlformats.org/officeDocument/2006/relationships/image" Target="../media/image6.png" /><Relationship Id="rId16" Type="http://schemas.openxmlformats.org/officeDocument/2006/relationships/image" Target="../media/image7.png" /><Relationship Id="rId6" Type="http://schemas.openxmlformats.org/officeDocument/2006/relationships/image" Target="../media/image8.png" /><Relationship Id="rId13" Type="http://schemas.openxmlformats.org/officeDocument/2006/relationships/image" Target="../media/image9.png" /><Relationship Id="rId8" Type="http://schemas.openxmlformats.org/officeDocument/2006/relationships/image" Target="../media/image10.png" /><Relationship Id="rId2" Type="http://schemas.openxmlformats.org/officeDocument/2006/relationships/image" Target="../media/image11.png" /><Relationship Id="rId11" Type="http://schemas.openxmlformats.org/officeDocument/2006/relationships/image" Target="../media/image12.png" /><Relationship Id="rId5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/Relationships>
</file>

<file path=xl/drawings/_rels/drawing4.xml.rels><?xml version="1.0" encoding="UTF-8" standalone="yes"?><Relationships xmlns="http://schemas.openxmlformats.org/package/2006/relationships"><Relationship Id="rId7" Type="http://schemas.openxmlformats.org/officeDocument/2006/relationships/image" Target="../media/image3.jpeg" /><Relationship Id="rId10" Type="http://schemas.openxmlformats.org/officeDocument/2006/relationships/image" Target="../media/image16.png" /><Relationship Id="rId20" Type="http://schemas.openxmlformats.org/officeDocument/2006/relationships/image" Target="../media/image3.emf" /><Relationship Id="rId12" Type="http://schemas.openxmlformats.org/officeDocument/2006/relationships/image" Target="../media/image5.emf" /><Relationship Id="rId19" Type="http://schemas.openxmlformats.org/officeDocument/2006/relationships/image" Target="../media/image7.emf" /><Relationship Id="rId1" Type="http://schemas.openxmlformats.org/officeDocument/2006/relationships/image" Target="../media/image21.png" /><Relationship Id="rId4" Type="http://schemas.openxmlformats.org/officeDocument/2006/relationships/image" Target="../media/image6.jpeg" /><Relationship Id="rId21" Type="http://schemas.openxmlformats.org/officeDocument/2006/relationships/image" Target="../media/image17.emf" /><Relationship Id="rId24" Type="http://schemas.openxmlformats.org/officeDocument/2006/relationships/image" Target="../media/image9.emf" /><Relationship Id="rId3" Type="http://schemas.openxmlformats.org/officeDocument/2006/relationships/image" Target="../media/image4.jpeg" /><Relationship Id="rId9" Type="http://schemas.openxmlformats.org/officeDocument/2006/relationships/image" Target="../media/image17.png" /><Relationship Id="rId16" Type="http://schemas.openxmlformats.org/officeDocument/2006/relationships/image" Target="../media/image10.emf" /><Relationship Id="rId22" Type="http://schemas.openxmlformats.org/officeDocument/2006/relationships/image" Target="../media/image11.emf" /><Relationship Id="rId6" Type="http://schemas.openxmlformats.org/officeDocument/2006/relationships/image" Target="../media/image5.jpeg" /><Relationship Id="rId13" Type="http://schemas.openxmlformats.org/officeDocument/2006/relationships/image" Target="../media/image12.emf" /><Relationship Id="rId8" Type="http://schemas.openxmlformats.org/officeDocument/2006/relationships/image" Target="../media/image18.png" /><Relationship Id="rId2" Type="http://schemas.openxmlformats.org/officeDocument/2006/relationships/image" Target="../media/image19.png" /><Relationship Id="rId11" Type="http://schemas.openxmlformats.org/officeDocument/2006/relationships/image" Target="../media/image13.emf" /><Relationship Id="rId23" Type="http://schemas.openxmlformats.org/officeDocument/2006/relationships/image" Target="../media/image14.emf" /><Relationship Id="rId18" Type="http://schemas.openxmlformats.org/officeDocument/2006/relationships/image" Target="../media/image15.emf" /><Relationship Id="rId5" Type="http://schemas.openxmlformats.org/officeDocument/2006/relationships/image" Target="../media/image20.png" /><Relationship Id="rId14" Type="http://schemas.openxmlformats.org/officeDocument/2006/relationships/image" Target="../media/image16.emf" /><Relationship Id="rId15" Type="http://schemas.openxmlformats.org/officeDocument/2006/relationships/image" Target="../media/image8.emf" /><Relationship Id="rId17" Type="http://schemas.openxmlformats.org/officeDocument/2006/relationships/image" Target="../media/image6.emf" /><Relationship Id="rId25" Type="http://schemas.openxmlformats.org/officeDocument/2006/relationships/image" Target="../media/image18.emf" /></Relationships>
</file>

<file path=xl/drawings/_rels/drawing6.xml.rels><?xml version="1.0" encoding="UTF-8" standalone="yes"?><Relationships xmlns="http://schemas.openxmlformats.org/package/2006/relationships"><Relationship Id="rId2" Type="http://schemas.openxmlformats.org/officeDocument/2006/relationships/image" Target="../media/image22.png" /><Relationship Id="rId1" Type="http://schemas.openxmlformats.org/officeDocument/2006/relationships/chart" Target="../charts/chart3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3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2.emf" /></Relationships>
</file>

<file path=xl/drawings/_rels/vmlDrawing3.vml.rels><?xml version="1.0" encoding="UTF-8" standalone="yes"?><Relationships xmlns="http://schemas.openxmlformats.org/package/2006/relationships"><Relationship Id="rId7" Type="http://schemas.openxmlformats.org/officeDocument/2006/relationships/image" Target="../media/image6.emf" /><Relationship Id="rId10" Type="http://schemas.openxmlformats.org/officeDocument/2006/relationships/image" Target="../media/image3.emf" /><Relationship Id="rId12" Type="http://schemas.openxmlformats.org/officeDocument/2006/relationships/image" Target="../media/image11.emf" /><Relationship Id="rId1" Type="http://schemas.openxmlformats.org/officeDocument/2006/relationships/image" Target="../media/image13.emf" /><Relationship Id="rId4" Type="http://schemas.openxmlformats.org/officeDocument/2006/relationships/image" Target="../media/image16.emf" /><Relationship Id="rId3" Type="http://schemas.openxmlformats.org/officeDocument/2006/relationships/image" Target="../media/image12.emf" /><Relationship Id="rId9" Type="http://schemas.openxmlformats.org/officeDocument/2006/relationships/image" Target="../media/image7.emf" /><Relationship Id="rId6" Type="http://schemas.openxmlformats.org/officeDocument/2006/relationships/image" Target="../media/image10.emf" /><Relationship Id="rId13" Type="http://schemas.openxmlformats.org/officeDocument/2006/relationships/image" Target="../media/image14.emf" /><Relationship Id="rId8" Type="http://schemas.openxmlformats.org/officeDocument/2006/relationships/image" Target="../media/image15.emf" /><Relationship Id="rId2" Type="http://schemas.openxmlformats.org/officeDocument/2006/relationships/image" Target="../media/image5.emf" /><Relationship Id="rId11" Type="http://schemas.openxmlformats.org/officeDocument/2006/relationships/image" Target="../media/image17.emf" /><Relationship Id="rId5" Type="http://schemas.openxmlformats.org/officeDocument/2006/relationships/image" Target="../media/image8.emf" /><Relationship Id="rId14" Type="http://schemas.openxmlformats.org/officeDocument/2006/relationships/image" Target="../media/image9.emf" /><Relationship Id="rId15" Type="http://schemas.openxmlformats.org/officeDocument/2006/relationships/image" Target="../media/image18.emf" /></Relationships>
</file>

<file path=xl/drawings/drawing1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0.06525</cdr:x>
      <cdr:y>0.648</cdr:y>
    </cdr:from>
    <cdr:to>
      <cdr:x>0.2645</cdr:x>
      <cdr:y>0.87375</cdr:y>
    </cdr:to>
    <cdr:sp fLocksText="0">
      <cdr:nvSpPr>
        <cdr:cNvPr id="3" name="מלבן מעוגל 2">
          <a:extLst>
            <a:ext uri="{FF2B5EF4-FFF2-40B4-BE49-F238E27FC236}">
              <a16:creationId xmlns:a16="http://schemas.microsoft.com/office/drawing/2014/main" id="{8a468cab-1dc5-4b4c-bae8-13f917b0b03b}"/>
            </a:ext>
          </a:extLst>
        </cdr:cNvPr>
        <cdr:cNvSpPr/>
      </cdr:nvSpPr>
      <cdr:spPr>
        <a:xfrm>
          <a:off x="495300" y="3324225"/>
          <a:ext cx="1543050" cy="1162050"/>
        </a:xfrm>
        <a:prstGeom prst="roundRect">
          <a:avLst>
            <a:gd name="adj" fmla="val 2733"/>
          </a:avLst>
        </a:prstGeom>
        <a:ln>
          <a:solidFill>
            <a:schemeClr val="tx1">
              <a:lumMod val="75000"/>
              <a:lumOff val="25000"/>
            </a:schemeClr>
          </a:solidFill>
        </a:ln>
      </cdr:spPr>
      <c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bg1"/>
        </a:fontRef>
      </cdr:style>
      <cdr:txBody>
        <a:bodyPr vertOverflow="clip" anchor="ctr"/>
        <a:lstStyle xmlns:a="http://schemas.openxmlformats.org/drawingml/2006/main"/>
        <a:p>
          <a:pPr algn="ctr"/>
          <a:r>
            <a:rPr lang="en-US" sz="1200" b="1">
              <a:ln/>
              <a:solidFill>
                <a:srgbClr val="000000"/>
              </a:solidFill>
              <a:effectLst/>
            </a:rPr>
            <a:t>TAKEOFF AND LANDING</a:t>
          </a:r>
        </a:p>
        <a:p>
          <a:pPr algn="ctr"/>
          <a:r>
            <a:rPr lang="en-US" sz="1200" b="1">
              <a:ln/>
              <a:solidFill>
                <a:srgbClr val="000000"/>
              </a:solidFill>
              <a:effectLst/>
            </a:rPr>
            <a:t>WHILE CG IS IN EXTENDED RANGE IS </a:t>
          </a:r>
          <a:r>
            <a:rPr lang="en-US" sz="1200" u="sng" b="1">
              <a:ln/>
              <a:solidFill>
                <a:srgbClr val="000000"/>
              </a:solidFill>
              <a:effectLst/>
            </a:rPr>
            <a:t>PROHIBITED</a:t>
          </a:r>
          <a:r>
            <a:rPr lang="en-US" sz="1200" b="1">
              <a:ln/>
              <a:solidFill>
                <a:srgbClr val="000000"/>
              </a:solidFill>
              <a:effectLst/>
            </a:rPr>
            <a:t> </a:t>
          </a:r>
          <a:endParaRPr lang="he-IL" sz="1200" b="1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0.17125</cdr:x>
      <cdr:y>0.52775</cdr:y>
    </cdr:from>
    <cdr:to>
      <cdr:x>0.22275</cdr:x>
      <cdr:y>0.64775</cdr:y>
    </cdr:to>
    <cdr:sp fLocksText="0">
      <cdr:nvSpPr>
        <cdr:cNvPr id="4" name="חץ למעלה 3">
          <a:extLst>
            <a:ext uri="{FF2B5EF4-FFF2-40B4-BE49-F238E27FC236}">
              <a16:creationId xmlns:a16="http://schemas.microsoft.com/office/drawing/2014/main" id="{c91636da-297b-48a3-941e-fee72e6ef351}"/>
            </a:ext>
          </a:extLst>
        </cdr:cNvPr>
        <cdr:cNvSpPr/>
      </cdr:nvSpPr>
      <cdr:spPr>
        <a:xfrm>
          <a:off x="1314450" y="2705100"/>
          <a:ext cx="400050" cy="619125"/>
        </a:xfrm>
        <a:prstGeom prst="upArrow"/>
        <a:ln>
          <a:solidFill>
            <a:srgbClr val="000000"/>
          </a:solidFill>
        </a:ln>
      </cdr:spPr>
      <c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bg1"/>
        </a:fontRef>
      </cdr:style>
      <cdr:txBody>
        <a:bodyPr vertOverflow="clip"/>
        <a:lstStyle xmlns:a="http://schemas.openxmlformats.org/drawingml/2006/main"/>
        <a:p>
          <a:endParaRPr lang="he-IL"/>
        </a:p>
      </cdr:txBody>
    </cdr:sp>
  </cdr:relSizeAnchor>
  <cdr:relSizeAnchor xmlns:cdr="http://schemas.openxmlformats.org/drawingml/2006/chartDrawing">
    <cdr:from>
      <cdr:x>0.6325</cdr:x>
      <cdr:y>0.07025</cdr:y>
    </cdr:from>
    <cdr:to>
      <cdr:x>0.76975</cdr:x>
      <cdr:y>0.13025</cdr:y>
    </cdr:to>
    <cdr:sp fLocksText="0">
      <cdr:nvSpPr>
        <cdr:cNvPr id="6" name="חץ למעלה 5">
          <a:extLst>
            <a:ext uri="{FF2B5EF4-FFF2-40B4-BE49-F238E27FC236}">
              <a16:creationId xmlns:a16="http://schemas.microsoft.com/office/drawing/2014/main" id="{d5a9935e-e8ca-4d10-992e-1912390ac516}"/>
            </a:ext>
          </a:extLst>
        </cdr:cNvPr>
        <cdr:cNvSpPr/>
      </cdr:nvSpPr>
      <cdr:spPr>
        <a:xfrm rot="16200000">
          <a:off x="4876800" y="352425"/>
          <a:ext cx="1057275" cy="304800"/>
        </a:xfrm>
        <a:prstGeom prst="upArrow"/>
        <a:solidFill>
          <a:schemeClr val="accent1">
            <a:lumMod val="40000"/>
            <a:lumOff val="60000"/>
          </a:schemeClr>
        </a:solidFill>
        <a:ln w="19050">
          <a:solidFill>
            <a:srgbClr val="000000"/>
          </a:solidFill>
        </a:ln>
      </cdr:spPr>
      <c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bg1"/>
        </a:fontRef>
      </cdr:style>
      <cdr:txBody>
        <a:bodyPr vertOverflow="clip"/>
        <a:lstStyle xmlns:a="http://schemas.openxmlformats.org/drawingml/2006/main"/>
        <a:p>
          <a:endParaRPr lang="he-IL"/>
        </a:p>
      </cdr:txBody>
    </cdr:sp>
  </cdr:relSizeAnchor>
  <cdr:relSizeAnchor xmlns:cdr="http://schemas.openxmlformats.org/drawingml/2006/chartDrawing">
    <cdr:from>
      <cdr:x>0.76325</cdr:x>
      <cdr:y>0.085</cdr:y>
    </cdr:from>
    <cdr:to>
      <cdr:x>0.96275</cdr:x>
      <cdr:y>0.29975</cdr:y>
    </cdr:to>
    <cdr:sp fLocksText="0">
      <cdr:nvSpPr>
        <cdr:cNvPr id="5" name="מלבן מעוגל 4">
          <a:extLst>
            <a:ext uri="{FF2B5EF4-FFF2-40B4-BE49-F238E27FC236}">
              <a16:creationId xmlns:a16="http://schemas.microsoft.com/office/drawing/2014/main" id="{ecc819bd-241b-4eb6-9306-56cb31d040d1}"/>
            </a:ext>
          </a:extLst>
        </cdr:cNvPr>
        <cdr:cNvSpPr/>
      </cdr:nvSpPr>
      <cdr:spPr>
        <a:xfrm>
          <a:off x="5886450" y="428625"/>
          <a:ext cx="1543050" cy="1104900"/>
        </a:xfrm>
        <a:prstGeom prst="roundRect">
          <a:avLst>
            <a:gd name="adj" fmla="val 2733"/>
          </a:avLst>
        </a:prstGeom>
        <a:solidFill>
          <a:schemeClr val="accent1">
            <a:lumMod val="40000"/>
            <a:lumOff val="60000"/>
          </a:schemeClr>
        </a:solidFill>
        <a:ln w="19050">
          <a:solidFill>
            <a:schemeClr val="tx1">
              <a:lumMod val="75000"/>
              <a:lumOff val="25000"/>
            </a:schemeClr>
          </a:solidFill>
        </a:ln>
      </cdr:spPr>
      <c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bg1"/>
        </a:fontRef>
      </cdr:style>
      <cdr:txBody>
        <a:bodyPr vertOverflow="clip" anchor="ctr"/>
        <a:lstStyle xmlns:a="http://schemas.openxmlformats.org/drawingml/2006/main"/>
        <a:p>
          <a:pPr algn="ctr"/>
          <a:r>
            <a:rPr lang="en-US" sz="1200" b="1">
              <a:ln/>
              <a:solidFill>
                <a:srgbClr val="000000"/>
              </a:solidFill>
              <a:effectLst/>
            </a:rPr>
            <a:t>OPERATING    </a:t>
          </a:r>
          <a:r>
            <a:rPr lang="en-US" sz="1200" b="1" baseline="0">
              <a:ln/>
              <a:solidFill>
                <a:srgbClr val="000000"/>
              </a:solidFill>
              <a:effectLst/>
            </a:rPr>
            <a:t> ABOVE 3700 KG - GRAPH APPROVED FOR </a:t>
          </a:r>
          <a:r>
            <a:rPr lang="en-US" sz="1200" u="sng" b="1" baseline="0">
              <a:ln/>
              <a:solidFill>
                <a:srgbClr val="000000"/>
              </a:solidFill>
              <a:effectLst/>
            </a:rPr>
            <a:t>IN GROUND EFFECT </a:t>
          </a:r>
          <a:r>
            <a:rPr lang="en-US" sz="1200" b="1" baseline="0">
              <a:ln/>
              <a:solidFill>
                <a:srgbClr val="000000"/>
              </a:solidFill>
              <a:effectLst/>
            </a:rPr>
            <a:t>ONLY</a:t>
          </a:r>
          <a:endParaRPr lang="he-IL" sz="1200" b="1">
            <a:solidFill>
              <a:srgbClr val="000000"/>
            </a:solidFill>
          </a:endParaRPr>
        </a:p>
      </cdr:txBody>
    </cdr:sp>
  </cdr:relSizeAnchor>
</c:userShape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85726</xdr:colOff>
      <xdr:row>0</xdr:row>
      <xdr:rowOff>114300</xdr:rowOff>
    </xdr:from>
    <xdr:to>
      <xdr:col>24</xdr:col>
      <xdr:colOff>266701</xdr:colOff>
      <xdr:row>32</xdr:row>
      <xdr:rowOff>161925</xdr:rowOff>
    </xdr:to>
    <xdr:graphicFrame>
      <xdr:nvGraphicFramePr>
        <xdr:cNvPr id="2" name="תרשים 1">
          <a:extLst>
            <a:ext uri="{FF2B5EF4-FFF2-40B4-BE49-F238E27FC236}">
              <a16:creationId xmlns:a16="http://schemas.microsoft.com/office/drawing/2014/main" id="{f37ac0c8-c2a9-497f-a31e-203f124a6494}"/>
            </a:ext>
          </a:extLst>
        </xdr:cNvPr>
        <xdr:cNvGraphicFramePr/>
      </xdr:nvGraphicFramePr>
      <xdr:xfrm>
        <a:off x="8153400" y="114300"/>
        <a:ext cx="7724775" cy="51435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13</xdr:col>
      <xdr:colOff>95250</xdr:colOff>
      <xdr:row>33</xdr:row>
      <xdr:rowOff>85725</xdr:rowOff>
    </xdr:from>
    <xdr:to>
      <xdr:col>24</xdr:col>
      <xdr:colOff>295275</xdr:colOff>
      <xdr:row>51</xdr:row>
      <xdr:rowOff>142875</xdr:rowOff>
    </xdr:to>
    <xdr:graphicFrame>
      <xdr:nvGraphicFramePr>
        <xdr:cNvPr id="3" name="תרשים 2">
          <a:extLst>
            <a:ext uri="{FF2B5EF4-FFF2-40B4-BE49-F238E27FC236}">
              <a16:creationId xmlns:a16="http://schemas.microsoft.com/office/drawing/2014/main" id="{a977d9d3-16f5-40d8-a7d2-3424037236e0}"/>
            </a:ext>
          </a:extLst>
        </xdr:cNvPr>
        <xdr:cNvGraphicFramePr/>
      </xdr:nvGraphicFramePr>
      <xdr:xfrm>
        <a:off x="8162925" y="5362575"/>
        <a:ext cx="7743825" cy="31527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2</xdr:col>
      <xdr:colOff>600071</xdr:colOff>
      <xdr:row>20</xdr:row>
      <xdr:rowOff>28572</xdr:rowOff>
    </xdr:from>
    <xdr:to>
      <xdr:col>8</xdr:col>
      <xdr:colOff>57148</xdr:colOff>
      <xdr:row>24</xdr:row>
      <xdr:rowOff>152398</xdr:rowOff>
    </xdr:to>
    <xdr:sp fLocksText="0">
      <xdr:nvSpPr>
        <xdr:cNvPr id="4" name="תרשים זרימה: השהיה 3">
          <a:extLst>
            <a:ext uri="{FF2B5EF4-FFF2-40B4-BE49-F238E27FC236}">
              <a16:creationId xmlns:a16="http://schemas.microsoft.com/office/drawing/2014/main" id="{45a2ec9e-b929-42fe-93f4-338c07ea8f77}"/>
            </a:ext>
          </a:extLst>
        </xdr:cNvPr>
        <xdr:cNvSpPr/>
      </xdr:nvSpPr>
      <xdr:spPr>
        <a:xfrm rot="16200000">
          <a:off x="1971675" y="2914650"/>
          <a:ext cx="2828925" cy="857250"/>
        </a:xfrm>
        <a:prstGeom prst="flowChartDelay"/>
        <a:noFill/>
        <a:ln w="28575" cap="flat" cmpd="sng" algn="ctr">
          <a:solidFill>
            <a:schemeClr val="tx1"/>
          </a:solidFill>
          <a:prstDash val="solid"/>
          <a:round/>
          <a:headEnd type="none" len="med" w="med"/>
          <a:tailEnd type="none" len="med" w="med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2</xdr:col>
      <xdr:colOff>600076</xdr:colOff>
      <xdr:row>24</xdr:row>
      <xdr:rowOff>161925</xdr:rowOff>
    </xdr:from>
    <xdr:to>
      <xdr:col>8</xdr:col>
      <xdr:colOff>57151</xdr:colOff>
      <xdr:row>31</xdr:row>
      <xdr:rowOff>114300</xdr:rowOff>
    </xdr:to>
    <xdr:sp fLocksText="0">
      <xdr:nvSpPr>
        <xdr:cNvPr id="5" name="מלבן 4">
          <a:extLst>
            <a:ext uri="{FF2B5EF4-FFF2-40B4-BE49-F238E27FC236}">
              <a16:creationId xmlns:a16="http://schemas.microsoft.com/office/drawing/2014/main" id="{5380759d-5321-4931-8a4b-c0f337fbf9c3}"/>
            </a:ext>
          </a:extLst>
        </xdr:cNvPr>
        <xdr:cNvSpPr/>
      </xdr:nvSpPr>
      <xdr:spPr>
        <a:xfrm>
          <a:off x="1971675" y="3781425"/>
          <a:ext cx="2828925" cy="1238250"/>
        </a:xfrm>
        <a:prstGeom prst="rect"/>
        <a:noFill/>
        <a:ln w="28575" cap="flat" cmpd="sng" algn="ctr">
          <a:solidFill>
            <a:schemeClr val="tx1"/>
          </a:solidFill>
          <a:prstDash val="solid"/>
          <a:round/>
          <a:headEnd type="none" len="med" w="med"/>
          <a:tailEnd type="none" len="med" w="med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indent="0" marL="0" rtl="1"/>
          <a:endParaRPr lang="he-IL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104775</xdr:colOff>
      <xdr:row>48</xdr:row>
      <xdr:rowOff>66675</xdr:rowOff>
    </xdr:from>
    <xdr:to>
      <xdr:col>6</xdr:col>
      <xdr:colOff>209550</xdr:colOff>
      <xdr:row>49</xdr:row>
      <xdr:rowOff>142875</xdr:rowOff>
    </xdr:to>
    <xdr:sp fLocksText="0">
      <xdr:nvSpPr>
        <xdr:cNvPr id="6" name="סוגר מסולסל ימני 5">
          <a:extLst>
            <a:ext uri="{FF2B5EF4-FFF2-40B4-BE49-F238E27FC236}">
              <a16:creationId xmlns:a16="http://schemas.microsoft.com/office/drawing/2014/main" id="{75798e69-6ccd-4aee-a1bb-9037f946d539}"/>
            </a:ext>
          </a:extLst>
        </xdr:cNvPr>
        <xdr:cNvSpPr/>
      </xdr:nvSpPr>
      <xdr:spPr>
        <a:xfrm flipH="1">
          <a:off x="3848100" y="7877175"/>
          <a:ext cx="104775" cy="257175"/>
        </a:xfrm>
        <a:prstGeom prst="rightBrace"/>
        <a:ln w="12700">
          <a:solidFill>
            <a:srgbClr val="000000"/>
          </a:solidFill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6</xdr:col>
      <xdr:colOff>104775</xdr:colOff>
      <xdr:row>46</xdr:row>
      <xdr:rowOff>57150</xdr:rowOff>
    </xdr:from>
    <xdr:to>
      <xdr:col>6</xdr:col>
      <xdr:colOff>209550</xdr:colOff>
      <xdr:row>47</xdr:row>
      <xdr:rowOff>123825</xdr:rowOff>
    </xdr:to>
    <xdr:sp fLocksText="0">
      <xdr:nvSpPr>
        <xdr:cNvPr id="8" name="סוגר מסולסל ימני 7">
          <a:extLst>
            <a:ext uri="{FF2B5EF4-FFF2-40B4-BE49-F238E27FC236}">
              <a16:creationId xmlns:a16="http://schemas.microsoft.com/office/drawing/2014/main" id="{4f03ad99-4728-4434-878e-62db91ac7a48}"/>
            </a:ext>
          </a:extLst>
        </xdr:cNvPr>
        <xdr:cNvSpPr/>
      </xdr:nvSpPr>
      <xdr:spPr>
        <a:xfrm flipH="1">
          <a:off x="3848100" y="7496175"/>
          <a:ext cx="104775" cy="257175"/>
        </a:xfrm>
        <a:prstGeom prst="rightBrace"/>
        <a:ln w="12700">
          <a:solidFill>
            <a:srgbClr val="000000"/>
          </a:solidFill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oneCellAnchor>
    <xdr:from>
      <xdr:col>13</xdr:col>
      <xdr:colOff>342900</xdr:colOff>
      <xdr:row>1</xdr:row>
      <xdr:rowOff>66675</xdr:rowOff>
    </xdr:from>
    <xdr:ext cx="504825" cy="342900"/>
    <xdr:sp>
      <xdr:nvSpPr>
        <xdr:cNvPr id="7" name="TextBox 6">
          <a:extLst>
            <a:ext uri="{FF2B5EF4-FFF2-40B4-BE49-F238E27FC236}">
              <a16:creationId xmlns:a16="http://schemas.microsoft.com/office/drawing/2014/main" id="{5890669f-798d-4295-8896-40f28a310e6d}"/>
            </a:ext>
          </a:extLst>
        </xdr:cNvPr>
        <xdr:cNvSpPr txBox="1"/>
      </xdr:nvSpPr>
      <xdr:spPr>
        <a:xfrm>
          <a:off x="8410575" y="247650"/>
          <a:ext cx="504825" cy="342900"/>
        </a:xfrm>
        <a:prstGeom prst="rect"/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600" b="1">
              <a:solidFill>
                <a:schemeClr val="tx1"/>
              </a:solidFill>
            </a:rPr>
            <a:t>AFT</a:t>
          </a:r>
          <a:endParaRPr lang="he-IL" sz="1600" b="1"/>
        </a:p>
      </xdr:txBody>
    </xdr:sp>
    <xdr:clientData/>
  </xdr:oneCellAnchor>
  <xdr:oneCellAnchor>
    <xdr:from>
      <xdr:col>22</xdr:col>
      <xdr:colOff>581025</xdr:colOff>
      <xdr:row>1</xdr:row>
      <xdr:rowOff>66675</xdr:rowOff>
    </xdr:from>
    <xdr:ext cx="590550" cy="342900"/>
    <xdr:sp>
      <xdr:nvSpPr>
        <xdr:cNvPr id="9" name="TextBox 8">
          <a:extLst>
            <a:ext uri="{FF2B5EF4-FFF2-40B4-BE49-F238E27FC236}">
              <a16:creationId xmlns:a16="http://schemas.microsoft.com/office/drawing/2014/main" id="{0f5eb496-38e7-48b4-a5ed-50c1e4efce88}"/>
            </a:ext>
          </a:extLst>
        </xdr:cNvPr>
        <xdr:cNvSpPr txBox="1"/>
      </xdr:nvSpPr>
      <xdr:spPr>
        <a:xfrm>
          <a:off x="14820900" y="247650"/>
          <a:ext cx="590550" cy="342900"/>
        </a:xfrm>
        <a:prstGeom prst="rect"/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600" b="1">
              <a:solidFill>
                <a:schemeClr val="tx1"/>
              </a:solidFill>
            </a:rPr>
            <a:t>FWD</a:t>
          </a:r>
          <a:endParaRPr lang="he-IL" sz="1600" b="1"/>
        </a:p>
      </xdr:txBody>
    </xdr:sp>
    <xdr:clientData/>
  </xdr:oneCellAnchor>
  <xdr:oneCellAnchor>
    <xdr:from>
      <xdr:col>13</xdr:col>
      <xdr:colOff>219075</xdr:colOff>
      <xdr:row>38</xdr:row>
      <xdr:rowOff>38100</xdr:rowOff>
    </xdr:from>
    <xdr:ext cx="304800" cy="342900"/>
    <xdr:sp>
      <xdr:nvSpPr>
        <xdr:cNvPr id="10" name="TextBox 9">
          <a:extLst>
            <a:ext uri="{FF2B5EF4-FFF2-40B4-BE49-F238E27FC236}">
              <a16:creationId xmlns:a16="http://schemas.microsoft.com/office/drawing/2014/main" id="{7982a7bb-7be0-442f-a3bd-d0026ebc0fe8}"/>
            </a:ext>
          </a:extLst>
        </xdr:cNvPr>
        <xdr:cNvSpPr txBox="1"/>
      </xdr:nvSpPr>
      <xdr:spPr>
        <a:xfrm>
          <a:off x="8286750" y="6229350"/>
          <a:ext cx="304800" cy="342900"/>
        </a:xfrm>
        <a:prstGeom prst="rect"/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600" b="1">
              <a:solidFill>
                <a:schemeClr val="tx1"/>
              </a:solidFill>
            </a:rPr>
            <a:t>R</a:t>
          </a:r>
          <a:endParaRPr lang="he-IL" sz="1600" b="1"/>
        </a:p>
      </xdr:txBody>
    </xdr:sp>
    <xdr:clientData/>
  </xdr:oneCellAnchor>
  <xdr:oneCellAnchor>
    <xdr:from>
      <xdr:col>21</xdr:col>
      <xdr:colOff>666750</xdr:colOff>
      <xdr:row>38</xdr:row>
      <xdr:rowOff>38100</xdr:rowOff>
    </xdr:from>
    <xdr:ext cx="266700" cy="342900"/>
    <xdr:sp>
      <xdr:nvSpPr>
        <xdr:cNvPr id="11" name="TextBox 10">
          <a:extLst>
            <a:ext uri="{FF2B5EF4-FFF2-40B4-BE49-F238E27FC236}">
              <a16:creationId xmlns:a16="http://schemas.microsoft.com/office/drawing/2014/main" id="{0ca6cd58-e706-4f0e-81b8-3542ae0442dc}"/>
            </a:ext>
          </a:extLst>
        </xdr:cNvPr>
        <xdr:cNvSpPr txBox="1"/>
      </xdr:nvSpPr>
      <xdr:spPr>
        <a:xfrm>
          <a:off x="14220825" y="6229350"/>
          <a:ext cx="266700" cy="342900"/>
        </a:xfrm>
        <a:prstGeom prst="rect"/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600" b="1">
              <a:solidFill>
                <a:schemeClr val="tx1"/>
              </a:solidFill>
            </a:rPr>
            <a:t>L</a:t>
          </a:r>
          <a:endParaRPr lang="he-IL" sz="1600" b="1"/>
        </a:p>
      </xdr:txBody>
    </xdr:sp>
    <xdr:clientData/>
  </xdr:oneCellAnchor>
  <xdr:twoCellAnchor>
    <xdr:from>
      <xdr:col>24</xdr:col>
      <xdr:colOff>361950</xdr:colOff>
      <xdr:row>2</xdr:row>
      <xdr:rowOff>123825</xdr:rowOff>
    </xdr:from>
    <xdr:to>
      <xdr:col>29</xdr:col>
      <xdr:colOff>675207</xdr:colOff>
      <xdr:row>30</xdr:row>
      <xdr:rowOff>57150</xdr:rowOff>
    </xdr:to>
    <xdr:pic>
      <xdr:nvPicPr>
        <xdr:cNvPr id="13" name="תמונה 12">
          <a:extLst>
            <a:ext uri="{FF2B5EF4-FFF2-40B4-BE49-F238E27FC236}">
              <a16:creationId xmlns:a16="http://schemas.microsoft.com/office/drawing/2014/main" id="{6dcdac2d-2198-425d-875b-7c2958ac604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73425" y="485775"/>
          <a:ext cx="3743325" cy="4295775"/>
        </a:xfrm>
        <a:prstGeom prst="rect"/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26</xdr:col>
      <xdr:colOff>19051</xdr:colOff>
      <xdr:row>30</xdr:row>
      <xdr:rowOff>95468</xdr:rowOff>
    </xdr:from>
    <xdr:to>
      <xdr:col>28</xdr:col>
      <xdr:colOff>417958</xdr:colOff>
      <xdr:row>54</xdr:row>
      <xdr:rowOff>170688</xdr:rowOff>
    </xdr:to>
    <xdr:pic>
      <xdr:nvPicPr>
        <xdr:cNvPr id="14" name="תמונה 13">
          <a:extLst>
            <a:ext uri="{FF2B5EF4-FFF2-40B4-BE49-F238E27FC236}">
              <a16:creationId xmlns:a16="http://schemas.microsoft.com/office/drawing/2014/main" id="{f63d297e-1e58-46a8-bb0b-0c1226b2ba29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002125" y="4819650"/>
          <a:ext cx="1771650" cy="4305300"/>
        </a:xfrm>
        <a:prstGeom prst="rect"/>
        <a:ln>
          <a:solidFill>
            <a:schemeClr val="bg1">
              <a:lumMod val="50000"/>
            </a:schemeClr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29308</xdr:colOff>
          <xdr:row>0</xdr:row>
          <xdr:rowOff>0</xdr:rowOff>
        </xdr:from>
        <xdr:to>
          <xdr:col>12</xdr:col>
          <xdr:colOff>1905</xdr:colOff>
          <xdr:row>20</xdr:row>
          <xdr:rowOff>95983</xdr:rowOff>
        </xdr:to>
        <xdr:pic>
          <xdr:nvPicPr>
            <xdr:cNvPr id="1037" name="תמונה 2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a4c8d31c-50b8-4a6f-a1e7-4f21971f8b1f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choose_pic_main" spid="_x0000_s1372"/>
                </a:ext>
              </a:extLst>
            </xdr:cNvPicPr>
          </xdr:nvPicPr>
          <xdr:blipFill>
            <a:blip r:embed="rId5"/>
            <a:srcRect l="5554" t="5570" r="5554" b="5989"/>
            <a:stretch>
              <a:fillRect/>
            </a:stretch>
          </xdr:blipFill>
          <xdr:spPr bwMode="auto">
            <a:xfrm>
              <a:off x="5676900" y="0"/>
              <a:ext cx="1704975" cy="2981325"/>
            </a:xfrm>
            <a:prstGeom prst="rect"/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1791530</xdr:colOff>
          <xdr:row>0</xdr:row>
          <xdr:rowOff>2932043</xdr:rowOff>
        </xdr:from>
        <xdr:to>
          <xdr:col>4</xdr:col>
          <xdr:colOff>10769</xdr:colOff>
          <xdr:row>1</xdr:row>
          <xdr:rowOff>2932043</xdr:rowOff>
        </xdr:to>
        <xdr:pic>
          <xdr:nvPicPr>
            <xdr:cNvPr id="10241" name="תמונה 4">
              <a:extLst>
                <a:ext uri="{63B3BB69-23CF-44E3-9099-C40C66FF867C}">
                  <a14:compatExt spid="_x0000_s10473"/>
                </a:ext>
                <a:ext uri="{FF2B5EF4-FFF2-40B4-BE49-F238E27FC236}">
                  <a16:creationId xmlns:a16="http://schemas.microsoft.com/office/drawing/2014/main" id="{df634ff0-3b3b-4792-bfb6-00b645087848}"/>
                </a:ext>
              </a:extLst>
            </xdr:cNvPr>
            <xdr:cNvPicPr>
              <a:picLocks noChangeArrowheads="1" noChangeAspect="1"/>
              <a:extLst>
                <a:ext uri="{84589F7E-364E-4C9E-8A38-B11213B215E9}">
                  <a14:cameraTool cellRange="choose_pic" spid="_x0000_s10473"/>
                </a:ext>
              </a:extLst>
            </xdr:cNvPicPr>
          </xdr:nvPicPr>
          <xdr:blipFill>
            <a:blip r:embed="rId1"/>
            <a:stretch>
              <a:fillRect/>
            </a:stretch>
          </xdr:blipFill>
          <xdr:spPr bwMode="auto">
            <a:xfrm>
              <a:off x="6010275" y="2933700"/>
              <a:ext cx="1685925" cy="2981325"/>
            </a:xfrm>
            <a:prstGeom prst="rect"/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342139</xdr:colOff>
      <xdr:row>3</xdr:row>
      <xdr:rowOff>103533</xdr:rowOff>
    </xdr:from>
    <xdr:to>
      <xdr:col>1</xdr:col>
      <xdr:colOff>1328539</xdr:colOff>
      <xdr:row>3</xdr:row>
      <xdr:rowOff>2861133</xdr:rowOff>
    </xdr:to>
    <xdr:pic>
      <xdr:nvPicPr>
        <xdr:cNvPr id="69" name="תמונה 68">
          <a:extLst>
            <a:ext uri="{FF2B5EF4-FFF2-40B4-BE49-F238E27FC236}">
              <a16:creationId xmlns:a16="http://schemas.microsoft.com/office/drawing/2014/main" id="{53223c2b-b1d2-4c8e-a236-962f14703303}"/>
            </a:ext>
          </a:extLst>
        </xdr:cNvPr>
        <xdr:cNvPicPr>
          <a:picLocks/>
        </xdr:cNvPicPr>
      </xdr:nvPicPr>
      <xdr:blipFill>
        <a:blip r:embed="rId2"/>
        <a:stretch>
          <a:fillRect/>
        </a:stretch>
      </xdr:blipFill>
      <xdr:spPr>
        <a:xfrm>
          <a:off x="2876550" y="9048750"/>
          <a:ext cx="990600" cy="2762250"/>
        </a:xfrm>
        <a:prstGeom prst="rect"/>
      </xdr:spPr>
    </xdr:pic>
    <xdr:clientData/>
  </xdr:twoCellAnchor>
  <xdr:twoCellAnchor editAs="oneCell">
    <xdr:from>
      <xdr:col>1</xdr:col>
      <xdr:colOff>408238</xdr:colOff>
      <xdr:row>1</xdr:row>
      <xdr:rowOff>88263</xdr:rowOff>
    </xdr:from>
    <xdr:to>
      <xdr:col>1</xdr:col>
      <xdr:colOff>1299718</xdr:colOff>
      <xdr:row>1</xdr:row>
      <xdr:rowOff>2845863</xdr:rowOff>
    </xdr:to>
    <xdr:pic>
      <xdr:nvPicPr>
        <xdr:cNvPr id="17" name="תמונה 16">
          <a:extLst>
            <a:ext uri="{FF2B5EF4-FFF2-40B4-BE49-F238E27FC236}">
              <a16:creationId xmlns:a16="http://schemas.microsoft.com/office/drawing/2014/main" id="{416eb5a9-fd64-434b-a0b4-1f247370ac7f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3225" y="3067050"/>
          <a:ext cx="895350" cy="2762250"/>
        </a:xfrm>
        <a:prstGeom prst="rect"/>
      </xdr:spPr>
    </xdr:pic>
    <xdr:clientData/>
  </xdr:twoCellAnchor>
  <xdr:twoCellAnchor editAs="oneCell">
    <xdr:from>
      <xdr:col>1</xdr:col>
      <xdr:colOff>343132</xdr:colOff>
      <xdr:row>2</xdr:row>
      <xdr:rowOff>79719</xdr:rowOff>
    </xdr:from>
    <xdr:to>
      <xdr:col>1</xdr:col>
      <xdr:colOff>1336732</xdr:colOff>
      <xdr:row>2</xdr:row>
      <xdr:rowOff>2837319</xdr:rowOff>
    </xdr:to>
    <xdr:pic>
      <xdr:nvPicPr>
        <xdr:cNvPr id="19" name="תמונה 18">
          <a:extLst>
            <a:ext uri="{FF2B5EF4-FFF2-40B4-BE49-F238E27FC236}">
              <a16:creationId xmlns:a16="http://schemas.microsoft.com/office/drawing/2014/main" id="{5ce80dca-f525-47ed-bfc5-38cbd7f19a0c}"/>
            </a:ext>
          </a:extLst>
        </xdr:cNvPr>
        <xdr:cNvPicPr>
          <a:picLocks/>
        </xdr:cNvPicPr>
      </xdr:nvPicPr>
      <xdr:blipFill>
        <a:blip r:embed="rId4"/>
        <a:stretch>
          <a:fillRect/>
        </a:stretch>
      </xdr:blipFill>
      <xdr:spPr>
        <a:xfrm>
          <a:off x="2876550" y="6038850"/>
          <a:ext cx="990600" cy="2762250"/>
        </a:xfrm>
        <a:prstGeom prst="rect"/>
      </xdr:spPr>
    </xdr:pic>
    <xdr:clientData/>
  </xdr:twoCellAnchor>
  <xdr:twoCellAnchor editAs="oneCell">
    <xdr:from>
      <xdr:col>1</xdr:col>
      <xdr:colOff>306768</xdr:colOff>
      <xdr:row>4</xdr:row>
      <xdr:rowOff>82826</xdr:rowOff>
    </xdr:from>
    <xdr:to>
      <xdr:col>1</xdr:col>
      <xdr:colOff>1300368</xdr:colOff>
      <xdr:row>4</xdr:row>
      <xdr:rowOff>2840426</xdr:rowOff>
    </xdr:to>
    <xdr:pic>
      <xdr:nvPicPr>
        <xdr:cNvPr id="22" name="תמונה 21">
          <a:extLst>
            <a:ext uri="{FF2B5EF4-FFF2-40B4-BE49-F238E27FC236}">
              <a16:creationId xmlns:a16="http://schemas.microsoft.com/office/drawing/2014/main" id="{b483d5b6-97df-42e6-8927-021c2778a63e}"/>
            </a:ext>
          </a:extLst>
        </xdr:cNvPr>
        <xdr:cNvPicPr>
          <a:picLocks/>
        </xdr:cNvPicPr>
      </xdr:nvPicPr>
      <xdr:blipFill>
        <a:blip r:embed="rId5"/>
        <a:stretch>
          <a:fillRect/>
        </a:stretch>
      </xdr:blipFill>
      <xdr:spPr>
        <a:xfrm>
          <a:off x="2838450" y="12011025"/>
          <a:ext cx="990600" cy="2762250"/>
        </a:xfrm>
        <a:prstGeom prst="rect"/>
      </xdr:spPr>
    </xdr:pic>
    <xdr:clientData/>
  </xdr:twoCellAnchor>
  <xdr:twoCellAnchor editAs="oneCell">
    <xdr:from>
      <xdr:col>1</xdr:col>
      <xdr:colOff>284118</xdr:colOff>
      <xdr:row>5</xdr:row>
      <xdr:rowOff>115957</xdr:rowOff>
    </xdr:from>
    <xdr:to>
      <xdr:col>1</xdr:col>
      <xdr:colOff>1277718</xdr:colOff>
      <xdr:row>5</xdr:row>
      <xdr:rowOff>2873557</xdr:rowOff>
    </xdr:to>
    <xdr:pic>
      <xdr:nvPicPr>
        <xdr:cNvPr id="376" name="תמונה 375">
          <a:extLst>
            <a:ext uri="{FF2B5EF4-FFF2-40B4-BE49-F238E27FC236}">
              <a16:creationId xmlns:a16="http://schemas.microsoft.com/office/drawing/2014/main" id="{a031d94c-d735-4cd2-bda1-8b53e47dfb92}"/>
            </a:ext>
          </a:extLst>
        </xdr:cNvPr>
        <xdr:cNvPicPr>
          <a:picLocks/>
        </xdr:cNvPicPr>
      </xdr:nvPicPr>
      <xdr:blipFill>
        <a:blip r:embed="rId6"/>
        <a:stretch>
          <a:fillRect/>
        </a:stretch>
      </xdr:blipFill>
      <xdr:spPr>
        <a:xfrm>
          <a:off x="2819400" y="15020925"/>
          <a:ext cx="990600" cy="2762250"/>
        </a:xfrm>
        <a:prstGeom prst="rect"/>
      </xdr:spPr>
    </xdr:pic>
    <xdr:clientData/>
  </xdr:twoCellAnchor>
  <xdr:twoCellAnchor editAs="oneCell">
    <xdr:from>
      <xdr:col>1</xdr:col>
      <xdr:colOff>298496</xdr:colOff>
      <xdr:row>6</xdr:row>
      <xdr:rowOff>140813</xdr:rowOff>
    </xdr:from>
    <xdr:to>
      <xdr:col>1</xdr:col>
      <xdr:colOff>1292096</xdr:colOff>
      <xdr:row>6</xdr:row>
      <xdr:rowOff>2898413</xdr:rowOff>
    </xdr:to>
    <xdr:pic>
      <xdr:nvPicPr>
        <xdr:cNvPr id="377" name="תמונה 376">
          <a:extLst>
            <a:ext uri="{FF2B5EF4-FFF2-40B4-BE49-F238E27FC236}">
              <a16:creationId xmlns:a16="http://schemas.microsoft.com/office/drawing/2014/main" id="{9c88a365-bf51-410f-82fc-9f4cdf3f92e2}"/>
            </a:ext>
          </a:extLst>
        </xdr:cNvPr>
        <xdr:cNvPicPr>
          <a:picLocks/>
        </xdr:cNvPicPr>
      </xdr:nvPicPr>
      <xdr:blipFill>
        <a:blip r:embed="rId7"/>
        <a:stretch>
          <a:fillRect/>
        </a:stretch>
      </xdr:blipFill>
      <xdr:spPr>
        <a:xfrm>
          <a:off x="2828925" y="18030825"/>
          <a:ext cx="990600" cy="2762250"/>
        </a:xfrm>
        <a:prstGeom prst="rect"/>
      </xdr:spPr>
    </xdr:pic>
    <xdr:clientData/>
  </xdr:twoCellAnchor>
  <xdr:twoCellAnchor editAs="oneCell">
    <xdr:from>
      <xdr:col>1</xdr:col>
      <xdr:colOff>279746</xdr:colOff>
      <xdr:row>7</xdr:row>
      <xdr:rowOff>82827</xdr:rowOff>
    </xdr:from>
    <xdr:to>
      <xdr:col>1</xdr:col>
      <xdr:colOff>1273346</xdr:colOff>
      <xdr:row>7</xdr:row>
      <xdr:rowOff>2840427</xdr:rowOff>
    </xdr:to>
    <xdr:pic>
      <xdr:nvPicPr>
        <xdr:cNvPr id="380" name="תמונה 379">
          <a:extLst>
            <a:ext uri="{FF2B5EF4-FFF2-40B4-BE49-F238E27FC236}">
              <a16:creationId xmlns:a16="http://schemas.microsoft.com/office/drawing/2014/main" id="{c1901056-dd2d-4ad4-8d08-97aacaf240cb}"/>
            </a:ext>
          </a:extLst>
        </xdr:cNvPr>
        <xdr:cNvPicPr>
          <a:picLocks/>
        </xdr:cNvPicPr>
      </xdr:nvPicPr>
      <xdr:blipFill>
        <a:blip r:embed="rId8"/>
        <a:stretch>
          <a:fillRect/>
        </a:stretch>
      </xdr:blipFill>
      <xdr:spPr>
        <a:xfrm>
          <a:off x="2809875" y="20955000"/>
          <a:ext cx="990600" cy="2762250"/>
        </a:xfrm>
        <a:prstGeom prst="rect"/>
      </xdr:spPr>
    </xdr:pic>
    <xdr:clientData/>
  </xdr:twoCellAnchor>
  <xdr:twoCellAnchor editAs="oneCell">
    <xdr:from>
      <xdr:col>1</xdr:col>
      <xdr:colOff>359019</xdr:colOff>
      <xdr:row>10</xdr:row>
      <xdr:rowOff>107675</xdr:rowOff>
    </xdr:from>
    <xdr:to>
      <xdr:col>1</xdr:col>
      <xdr:colOff>1310846</xdr:colOff>
      <xdr:row>10</xdr:row>
      <xdr:rowOff>2865275</xdr:rowOff>
    </xdr:to>
    <xdr:pic>
      <xdr:nvPicPr>
        <xdr:cNvPr id="450" name="תמונה 449">
          <a:extLst>
            <a:ext uri="{FF2B5EF4-FFF2-40B4-BE49-F238E27FC236}">
              <a16:creationId xmlns:a16="http://schemas.microsoft.com/office/drawing/2014/main" id="{567e1efb-b831-4eee-8b0c-d6e109a2d2f5}"/>
            </a:ext>
          </a:extLst>
        </xdr:cNvPr>
        <xdr:cNvPicPr>
          <a:picLocks/>
        </xdr:cNvPicPr>
      </xdr:nvPicPr>
      <xdr:blipFill>
        <a:blip r:embed="rId9"/>
        <a:stretch>
          <a:fillRect/>
        </a:stretch>
      </xdr:blipFill>
      <xdr:spPr>
        <a:xfrm>
          <a:off x="2895600" y="29918025"/>
          <a:ext cx="952500" cy="2762250"/>
        </a:xfrm>
        <a:prstGeom prst="rect"/>
      </xdr:spPr>
    </xdr:pic>
    <xdr:clientData/>
  </xdr:twoCellAnchor>
  <xdr:twoCellAnchor editAs="oneCell">
    <xdr:from>
      <xdr:col>1</xdr:col>
      <xdr:colOff>95250</xdr:colOff>
      <xdr:row>11</xdr:row>
      <xdr:rowOff>235736</xdr:rowOff>
    </xdr:from>
    <xdr:to>
      <xdr:col>1</xdr:col>
      <xdr:colOff>1591823</xdr:colOff>
      <xdr:row>11</xdr:row>
      <xdr:rowOff>2878136</xdr:rowOff>
    </xdr:to>
    <xdr:pic>
      <xdr:nvPicPr>
        <xdr:cNvPr id="756" name="תמונה 755">
          <a:extLst>
            <a:ext uri="{FF2B5EF4-FFF2-40B4-BE49-F238E27FC236}">
              <a16:creationId xmlns:a16="http://schemas.microsoft.com/office/drawing/2014/main" id="{68103872-8e5f-4dc9-b239-1d4149e2d4eb}"/>
            </a:ext>
          </a:extLst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28900" y="33032700"/>
          <a:ext cx="1495425" cy="2638425"/>
        </a:xfrm>
        <a:prstGeom prst="rect"/>
      </xdr:spPr>
    </xdr:pic>
    <xdr:clientData/>
  </xdr:twoCellAnchor>
  <xdr:twoCellAnchor editAs="oneCell">
    <xdr:from>
      <xdr:col>1</xdr:col>
      <xdr:colOff>151665</xdr:colOff>
      <xdr:row>12</xdr:row>
      <xdr:rowOff>165651</xdr:rowOff>
    </xdr:from>
    <xdr:to>
      <xdr:col>1</xdr:col>
      <xdr:colOff>1079735</xdr:colOff>
      <xdr:row>12</xdr:row>
      <xdr:rowOff>2923251</xdr:rowOff>
    </xdr:to>
    <xdr:pic>
      <xdr:nvPicPr>
        <xdr:cNvPr id="758" name="תמונה 757">
          <a:extLst>
            <a:ext uri="{FF2B5EF4-FFF2-40B4-BE49-F238E27FC236}">
              <a16:creationId xmlns:a16="http://schemas.microsoft.com/office/drawing/2014/main" id="{3623bc2b-d1d1-41ce-8a26-831680db0cea}"/>
            </a:ext>
          </a:extLst>
        </xdr:cNvPr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86050" y="35937825"/>
          <a:ext cx="923925" cy="2762250"/>
        </a:xfrm>
        <a:prstGeom prst="rect"/>
      </xdr:spPr>
    </xdr:pic>
    <xdr:clientData/>
  </xdr:twoCellAnchor>
  <xdr:twoCellAnchor editAs="oneCell">
    <xdr:from>
      <xdr:col>1</xdr:col>
      <xdr:colOff>116839</xdr:colOff>
      <xdr:row>13</xdr:row>
      <xdr:rowOff>132524</xdr:rowOff>
    </xdr:from>
    <xdr:to>
      <xdr:col>1</xdr:col>
      <xdr:colOff>1134718</xdr:colOff>
      <xdr:row>13</xdr:row>
      <xdr:rowOff>2890124</xdr:rowOff>
    </xdr:to>
    <xdr:pic>
      <xdr:nvPicPr>
        <xdr:cNvPr id="759" name="תמונה 758">
          <a:extLst>
            <a:ext uri="{FF2B5EF4-FFF2-40B4-BE49-F238E27FC236}">
              <a16:creationId xmlns:a16="http://schemas.microsoft.com/office/drawing/2014/main" id="{d20a0b3c-799d-4902-8843-51e3b80e7dd9}"/>
            </a:ext>
          </a:extLst>
        </xdr:cNvPr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47950" y="38890575"/>
          <a:ext cx="1019175" cy="2762250"/>
        </a:xfrm>
        <a:prstGeom prst="rect"/>
      </xdr:spPr>
    </xdr:pic>
    <xdr:clientData/>
  </xdr:twoCellAnchor>
  <xdr:twoCellAnchor editAs="oneCell">
    <xdr:from>
      <xdr:col>1</xdr:col>
      <xdr:colOff>107675</xdr:colOff>
      <xdr:row>14</xdr:row>
      <xdr:rowOff>49695</xdr:rowOff>
    </xdr:from>
    <xdr:to>
      <xdr:col>1</xdr:col>
      <xdr:colOff>1093304</xdr:colOff>
      <xdr:row>14</xdr:row>
      <xdr:rowOff>2785695</xdr:rowOff>
    </xdr:to>
    <xdr:pic>
      <xdr:nvPicPr>
        <xdr:cNvPr id="781" name="תמונה 780">
          <a:extLst>
            <a:ext uri="{FF2B5EF4-FFF2-40B4-BE49-F238E27FC236}">
              <a16:creationId xmlns:a16="http://schemas.microsoft.com/office/drawing/2014/main" id="{8e4338a6-118a-47fd-995d-492aa3a32936}"/>
            </a:ext>
          </a:extLst>
        </xdr:cNvPr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38425" y="41786175"/>
          <a:ext cx="981075" cy="2733675"/>
        </a:xfrm>
        <a:prstGeom prst="rect"/>
      </xdr:spPr>
    </xdr:pic>
    <xdr:clientData/>
  </xdr:twoCellAnchor>
  <xdr:twoCellAnchor editAs="oneCell">
    <xdr:from>
      <xdr:col>1</xdr:col>
      <xdr:colOff>360063</xdr:colOff>
      <xdr:row>8</xdr:row>
      <xdr:rowOff>98436</xdr:rowOff>
    </xdr:from>
    <xdr:to>
      <xdr:col>1</xdr:col>
      <xdr:colOff>1353663</xdr:colOff>
      <xdr:row>8</xdr:row>
      <xdr:rowOff>2856036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7a7e8158-fed1-42a2-94bf-564551ab5224}"/>
            </a:ext>
          </a:extLst>
        </xdr:cNvPr>
        <xdr:cNvPicPr>
          <a:picLocks/>
        </xdr:cNvPicPr>
      </xdr:nvPicPr>
      <xdr:blipFill>
        <a:blip r:embed="rId14"/>
        <a:stretch>
          <a:fillRect/>
        </a:stretch>
      </xdr:blipFill>
      <xdr:spPr>
        <a:xfrm>
          <a:off x="2895600" y="23945850"/>
          <a:ext cx="990600" cy="2762250"/>
        </a:xfrm>
        <a:prstGeom prst="rect"/>
      </xdr:spPr>
    </xdr:pic>
    <xdr:clientData/>
  </xdr:twoCellAnchor>
  <xdr:twoCellAnchor editAs="oneCell">
    <xdr:from>
      <xdr:col>1</xdr:col>
      <xdr:colOff>149094</xdr:colOff>
      <xdr:row>8</xdr:row>
      <xdr:rowOff>2981738</xdr:rowOff>
    </xdr:from>
    <xdr:to>
      <xdr:col>1</xdr:col>
      <xdr:colOff>1051600</xdr:colOff>
      <xdr:row>9</xdr:row>
      <xdr:rowOff>2675284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3ab501ca-fa0e-463b-9665-c2933ea5e355}"/>
            </a:ext>
          </a:extLst>
        </xdr:cNvPr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86050" y="26831925"/>
          <a:ext cx="904875" cy="2676525"/>
        </a:xfrm>
        <a:prstGeom prst="rect"/>
      </xdr:spPr>
    </xdr:pic>
    <xdr:clientData/>
  </xdr:twoCellAnchor>
  <xdr:twoCellAnchor editAs="oneCell">
    <xdr:from>
      <xdr:col>1</xdr:col>
      <xdr:colOff>124239</xdr:colOff>
      <xdr:row>15</xdr:row>
      <xdr:rowOff>16562</xdr:rowOff>
    </xdr:from>
    <xdr:to>
      <xdr:col>1</xdr:col>
      <xdr:colOff>1002195</xdr:colOff>
      <xdr:row>15</xdr:row>
      <xdr:rowOff>2672859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e04b8645-e752-4809-a3d5-667bde03b2c6}"/>
            </a:ext>
          </a:extLst>
        </xdr:cNvPr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657475" y="44738925"/>
          <a:ext cx="876300" cy="26574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16368</xdr:col>
      <xdr:colOff>628650</xdr:colOff>
      <xdr:row>2</xdr:row>
      <xdr:rowOff>67022</xdr:rowOff>
    </xdr:from>
    <xdr:to>
      <xdr:col>16377</xdr:col>
      <xdr:colOff>600075</xdr:colOff>
      <xdr:row>10</xdr:row>
      <xdr:rowOff>19300</xdr:rowOff>
    </xdr:to>
    <xdr:grpSp>
      <xdr:nvGrpSpPr>
        <xdr:cNvPr id="34" name="קבוצה 33">
          <a:extLst>
            <a:ext uri="{FF2B5EF4-FFF2-40B4-BE49-F238E27FC236}">
              <a16:creationId xmlns:a16="http://schemas.microsoft.com/office/drawing/2014/main" id="{53543cb9-26bf-470f-a437-f46e6b76ab4f}"/>
            </a:ext>
          </a:extLst>
        </xdr:cNvPr>
        <xdr:cNvGrpSpPr>
          <a:grpSpLocks/>
        </xdr:cNvGrpSpPr>
      </xdr:nvGrpSpPr>
      <xdr:grpSpPr>
        <a:xfrm>
          <a:off x="-2147483648" y="447675"/>
          <a:ext cx="6229350" cy="1419225"/>
          <a:chOff x="2981325" y="2719436"/>
          <a:chExt cx="6229350" cy="1419128"/>
        </a:xfrm>
      </xdr:grpSpPr>
      <xdr:pic>
        <xdr:nvPicPr>
          <xdr:cNvPr id="35" name="Picture 2">
            <a:extLst>
              <a:ext uri="{FF2B5EF4-FFF2-40B4-BE49-F238E27FC236}">
                <a16:creationId xmlns:a16="http://schemas.microsoft.com/office/drawing/2014/main" id="{eeb340dc-009f-4070-a997-0a3e1c0dc20e}"/>
              </a:ext>
            </a:extLst>
          </xdr:cNvPr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981325" y="2719436"/>
            <a:ext cx="6229350" cy="1419128"/>
          </a:xfrm>
          <a:prstGeom prst="rect"/>
        </xdr:spPr>
      </xdr:pic>
      <xdr:pic>
        <xdr:nvPicPr>
          <xdr:cNvPr id="36" name="Picture 2">
            <a:extLst>
              <a:ext uri="{FF2B5EF4-FFF2-40B4-BE49-F238E27FC236}">
                <a16:creationId xmlns:a16="http://schemas.microsoft.com/office/drawing/2014/main" id="{c5861bf0-6d1f-44fb-a75b-b606f6637533}"/>
              </a:ext>
            </a:extLst>
          </xdr:cNvPr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 rot="10800000">
            <a:off x="5020888" y="3229494"/>
            <a:ext cx="548640" cy="399012"/>
          </a:xfrm>
          <a:prstGeom prst="rect"/>
        </xdr:spPr>
      </xdr:pic>
      <xdr:sp fLocksText="0">
        <xdr:nvSpPr>
          <xdr:cNvPr id="37" name="מלבן 36">
            <a:extLst>
              <a:ext uri="{FF2B5EF4-FFF2-40B4-BE49-F238E27FC236}">
                <a16:creationId xmlns:a16="http://schemas.microsoft.com/office/drawing/2014/main" id="{04e62b41-da74-4f51-8a6b-3917bcb93e1f}"/>
              </a:ext>
            </a:extLst>
          </xdr:cNvPr>
          <xdr:cNvSpPr/>
        </xdr:nvSpPr>
        <xdr:spPr>
          <a:xfrm>
            <a:off x="5278582" y="3742220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2</a:t>
            </a:r>
          </a:p>
        </xdr:txBody>
      </xdr:sp>
      <xdr:sp fLocksText="0">
        <xdr:nvSpPr>
          <xdr:cNvPr id="38" name="מלבן 37">
            <a:extLst>
              <a:ext uri="{FF2B5EF4-FFF2-40B4-BE49-F238E27FC236}">
                <a16:creationId xmlns:a16="http://schemas.microsoft.com/office/drawing/2014/main" id="{f9b72ccf-dd02-40b5-aa5d-370197257dab}"/>
              </a:ext>
            </a:extLst>
          </xdr:cNvPr>
          <xdr:cNvSpPr/>
        </xdr:nvSpPr>
        <xdr:spPr>
          <a:xfrm>
            <a:off x="6120937" y="2946969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3</a:t>
            </a:r>
          </a:p>
        </xdr:txBody>
      </xdr:sp>
      <xdr:sp fLocksText="0">
        <xdr:nvSpPr>
          <xdr:cNvPr id="39" name="מלבן 38">
            <a:extLst>
              <a:ext uri="{FF2B5EF4-FFF2-40B4-BE49-F238E27FC236}">
                <a16:creationId xmlns:a16="http://schemas.microsoft.com/office/drawing/2014/main" id="{eb8eccd4-2197-48cb-aa58-d4b37fafeed7}"/>
              </a:ext>
            </a:extLst>
          </xdr:cNvPr>
          <xdr:cNvSpPr/>
        </xdr:nvSpPr>
        <xdr:spPr>
          <a:xfrm>
            <a:off x="6120937" y="3750691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4</a:t>
            </a:r>
          </a:p>
        </xdr:txBody>
      </xdr:sp>
      <xdr:sp fLocksText="0">
        <xdr:nvSpPr>
          <xdr:cNvPr id="40" name="מלבן 39">
            <a:extLst>
              <a:ext uri="{FF2B5EF4-FFF2-40B4-BE49-F238E27FC236}">
                <a16:creationId xmlns:a16="http://schemas.microsoft.com/office/drawing/2014/main" id="{9fc68c95-cd52-4834-9588-e542e767966e}"/>
              </a:ext>
            </a:extLst>
          </xdr:cNvPr>
          <xdr:cNvSpPr/>
        </xdr:nvSpPr>
        <xdr:spPr>
          <a:xfrm>
            <a:off x="6849685" y="2946968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5</a:t>
            </a:r>
          </a:p>
        </xdr:txBody>
      </xdr:sp>
      <xdr:sp fLocksText="0">
        <xdr:nvSpPr>
          <xdr:cNvPr id="41" name="מלבן 40">
            <a:extLst>
              <a:ext uri="{FF2B5EF4-FFF2-40B4-BE49-F238E27FC236}">
                <a16:creationId xmlns:a16="http://schemas.microsoft.com/office/drawing/2014/main" id="{fa166193-8f48-44d3-8bd5-bfa0c2f4a76e}"/>
              </a:ext>
            </a:extLst>
          </xdr:cNvPr>
          <xdr:cNvSpPr/>
        </xdr:nvSpPr>
        <xdr:spPr>
          <a:xfrm>
            <a:off x="6849685" y="3341716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6</a:t>
            </a:r>
          </a:p>
        </xdr:txBody>
      </xdr:sp>
      <xdr:sp fLocksText="0">
        <xdr:nvSpPr>
          <xdr:cNvPr id="42" name="מלבן 41">
            <a:extLst>
              <a:ext uri="{FF2B5EF4-FFF2-40B4-BE49-F238E27FC236}">
                <a16:creationId xmlns:a16="http://schemas.microsoft.com/office/drawing/2014/main" id="{c4c520a1-ffcf-432b-8274-9ddcddd4f761}"/>
              </a:ext>
            </a:extLst>
          </xdr:cNvPr>
          <xdr:cNvSpPr/>
        </xdr:nvSpPr>
        <xdr:spPr>
          <a:xfrm>
            <a:off x="6849685" y="3750691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7</a:t>
            </a:r>
          </a:p>
        </xdr:txBody>
      </xdr:sp>
      <xdr:sp fLocksText="0">
        <xdr:nvSpPr>
          <xdr:cNvPr id="43" name="מלבן 42">
            <a:extLst>
              <a:ext uri="{FF2B5EF4-FFF2-40B4-BE49-F238E27FC236}">
                <a16:creationId xmlns:a16="http://schemas.microsoft.com/office/drawing/2014/main" id="{e77f3a82-146e-4b58-8413-0ec4bced79a1}"/>
              </a:ext>
            </a:extLst>
          </xdr:cNvPr>
          <xdr:cNvSpPr/>
        </xdr:nvSpPr>
        <xdr:spPr>
          <a:xfrm>
            <a:off x="5278582" y="2942865"/>
            <a:ext cx="141316" cy="174567"/>
          </a:xfrm>
          <a:prstGeom prst="rect"/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fromWordArt="0" lIns="91440" tIns="45720" rIns="91440" bIns="45720" vert="horz" wrap="square" numCol="1" rtlCol="1" anchor="ctr" anchorCtr="0">
            <a:prstTxWarp prst="textNoShape"/>
            <a:noAutofit/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solidFill>
                  <a:srgbClr val="FF0000"/>
                </a:solidFill>
                <a:latin typeface="David" panose="020E0502060401010101" pitchFamily="34" charset="-79"/>
                <a:cs typeface="David" panose="020E0502060401010101" pitchFamily="34" charset="-79"/>
              </a:rPr>
              <a:t>1</a:t>
            </a:r>
          </a:p>
        </xdr:txBody>
      </xdr:sp>
    </xdr:grpSp>
    <xdr:clientData/>
  </xdr:twoCellAnchor>
  <xdr:twoCellAnchor>
    <xdr:from>
      <xdr:col>16368</xdr:col>
      <xdr:colOff>676275</xdr:colOff>
      <xdr:row>8</xdr:row>
      <xdr:rowOff>38100</xdr:rowOff>
    </xdr:from>
    <xdr:to>
      <xdr:col>16369</xdr:col>
      <xdr:colOff>122266</xdr:colOff>
      <xdr:row>9</xdr:row>
      <xdr:rowOff>12642</xdr:rowOff>
    </xdr:to>
    <xdr:sp fLocksText="0">
      <xdr:nvSpPr>
        <xdr:cNvPr id="66" name="מלבן 65">
          <a:extLst>
            <a:ext uri="{FF2B5EF4-FFF2-40B4-BE49-F238E27FC236}">
              <a16:creationId xmlns:a16="http://schemas.microsoft.com/office/drawing/2014/main" id="{19f531ee-7f42-4490-b7f2-4a28610bc92f}"/>
            </a:ext>
          </a:extLst>
        </xdr:cNvPr>
        <xdr:cNvSpPr/>
      </xdr:nvSpPr>
      <xdr:spPr>
        <a:xfrm>
          <a:off x="-2147483648" y="1504950"/>
          <a:ext cx="142875" cy="171450"/>
        </a:xfrm>
        <a:prstGeom prst="rect"/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fromWordArt="0" lIns="91440" tIns="45720" rIns="91440" bIns="45720" vert="horz" wrap="square" numCol="1" rtlCol="1" anchor="ctr" anchorCtr="0">
          <a:prstTxWarp prst="textNoShape"/>
          <a:noAutofit/>
        </a:bodyPr>
        <a:lstStyle>
          <a:defPPr>
            <a:defRPr lang="he-IL"/>
          </a:defPPr>
          <a:lvl1pPr marL="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solidFill>
                <a:srgbClr val="FF0000"/>
              </a:solidFill>
              <a:latin typeface="David" panose="020E0502060401010101" pitchFamily="34" charset="-79"/>
              <a:cs typeface="David" panose="020E0502060401010101" pitchFamily="34" charset="-79"/>
            </a:rPr>
            <a:t>3</a:t>
          </a:r>
        </a:p>
      </xdr:txBody>
    </xdr:sp>
    <xdr:clientData/>
  </xdr:twoCellAnchor>
  <xdr:twoCellAnchor>
    <xdr:from>
      <xdr:col>16368</xdr:col>
      <xdr:colOff>689955</xdr:colOff>
      <xdr:row>12</xdr:row>
      <xdr:rowOff>100671</xdr:rowOff>
    </xdr:from>
    <xdr:to>
      <xdr:col>16369</xdr:col>
      <xdr:colOff>135946</xdr:colOff>
      <xdr:row>13</xdr:row>
      <xdr:rowOff>94263</xdr:rowOff>
    </xdr:to>
    <xdr:sp fLocksText="0">
      <xdr:nvSpPr>
        <xdr:cNvPr id="67" name="מלבן 66">
          <a:extLst>
            <a:ext uri="{FF2B5EF4-FFF2-40B4-BE49-F238E27FC236}">
              <a16:creationId xmlns:a16="http://schemas.microsoft.com/office/drawing/2014/main" id="{6a1a981e-fffe-4691-8b10-e4eba35fcf05}"/>
            </a:ext>
          </a:extLst>
        </xdr:cNvPr>
        <xdr:cNvSpPr/>
      </xdr:nvSpPr>
      <xdr:spPr>
        <a:xfrm>
          <a:off x="-2147483648" y="2314575"/>
          <a:ext cx="142875" cy="171450"/>
        </a:xfrm>
        <a:prstGeom prst="rect"/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fromWordArt="0" lIns="91440" tIns="45720" rIns="91440" bIns="45720" vert="horz" wrap="square" numCol="1" rtlCol="1" anchor="ctr" anchorCtr="0">
          <a:prstTxWarp prst="textNoShape"/>
          <a:noAutofit/>
        </a:bodyPr>
        <a:lstStyle>
          <a:defPPr>
            <a:defRPr lang="he-IL"/>
          </a:defPPr>
          <a:lvl1pPr marL="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r" defTabSz="914400" rtl="1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solidFill>
                <a:srgbClr val="FF0000"/>
              </a:solidFill>
              <a:latin typeface="David" panose="020E0502060401010101" pitchFamily="34" charset="-79"/>
              <a:cs typeface="David" panose="020E0502060401010101" pitchFamily="34" charset="-79"/>
            </a:rPr>
            <a:t>1</a:t>
          </a:r>
        </a:p>
      </xdr:txBody>
    </xdr:sp>
    <xdr:clientData/>
  </xdr:twoCellAnchor>
  <xdr:twoCellAnchor editAs="oneCell">
    <xdr:from>
      <xdr:col>18</xdr:col>
      <xdr:colOff>265072</xdr:colOff>
      <xdr:row>14</xdr:row>
      <xdr:rowOff>39220</xdr:rowOff>
    </xdr:from>
    <xdr:to>
      <xdr:col>20</xdr:col>
      <xdr:colOff>546824</xdr:colOff>
      <xdr:row>36</xdr:row>
      <xdr:rowOff>105895</xdr:rowOff>
    </xdr:to>
    <xdr:pic>
      <xdr:nvPicPr>
        <xdr:cNvPr id="119" name="תמונה 118">
          <a:extLst>
            <a:ext uri="{FF2B5EF4-FFF2-40B4-BE49-F238E27FC236}">
              <a16:creationId xmlns:a16="http://schemas.microsoft.com/office/drawing/2014/main" id="{2cde4ed2-5a42-4da3-a71a-f8e6b4d00fc8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53725" y="2609850"/>
          <a:ext cx="1676400" cy="4067175"/>
        </a:xfrm>
        <a:prstGeom prst="rect"/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20</xdr:col>
      <xdr:colOff>648260</xdr:colOff>
      <xdr:row>14</xdr:row>
      <xdr:rowOff>16809</xdr:rowOff>
    </xdr:from>
    <xdr:to>
      <xdr:col>26</xdr:col>
      <xdr:colOff>410696</xdr:colOff>
      <xdr:row>36</xdr:row>
      <xdr:rowOff>60139</xdr:rowOff>
    </xdr:to>
    <xdr:pic>
      <xdr:nvPicPr>
        <xdr:cNvPr id="268" name="תמונה 267">
          <a:extLst>
            <a:ext uri="{FF2B5EF4-FFF2-40B4-BE49-F238E27FC236}">
              <a16:creationId xmlns:a16="http://schemas.microsoft.com/office/drawing/2014/main" id="{09ae3cf9-9d95-4dc6-a2ed-1203849db8b7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525375" y="2590800"/>
          <a:ext cx="3933825" cy="4048125"/>
        </a:xfrm>
        <a:prstGeom prst="rect"/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6</xdr:col>
      <xdr:colOff>57149</xdr:colOff>
      <xdr:row>300</xdr:row>
      <xdr:rowOff>123264</xdr:rowOff>
    </xdr:from>
    <xdr:to>
      <xdr:col>19</xdr:col>
      <xdr:colOff>490786</xdr:colOff>
      <xdr:row>310</xdr:row>
      <xdr:rowOff>161365</xdr:rowOff>
    </xdr:to>
    <xdr:pic>
      <xdr:nvPicPr>
        <xdr:cNvPr id="284" name="Picture 35">
          <a:extLst>
            <a:ext uri="{FF2B5EF4-FFF2-40B4-BE49-F238E27FC236}">
              <a16:creationId xmlns:a16="http://schemas.microsoft.com/office/drawing/2014/main" id="{3dd58e43-bd9a-498a-9ef6-11f205743f2e}"/>
            </a:ext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781800" y="54663975"/>
          <a:ext cx="4895850" cy="1857375"/>
        </a:xfrm>
        <a:prstGeom prst="rect"/>
      </xdr:spPr>
    </xdr:pic>
    <xdr:clientData/>
  </xdr:twoCellAnchor>
  <xdr:twoCellAnchor editAs="oneCell">
    <xdr:from>
      <xdr:col>6</xdr:col>
      <xdr:colOff>0</xdr:colOff>
      <xdr:row>314</xdr:row>
      <xdr:rowOff>170781</xdr:rowOff>
    </xdr:from>
    <xdr:to>
      <xdr:col>19</xdr:col>
      <xdr:colOff>280687</xdr:colOff>
      <xdr:row>325</xdr:row>
      <xdr:rowOff>19272</xdr:rowOff>
    </xdr:to>
    <xdr:pic>
      <xdr:nvPicPr>
        <xdr:cNvPr id="285" name="Picture 36">
          <a:extLst>
            <a:ext uri="{FF2B5EF4-FFF2-40B4-BE49-F238E27FC236}">
              <a16:creationId xmlns:a16="http://schemas.microsoft.com/office/drawing/2014/main" id="{f8b451e4-4e05-45a0-b15f-7477d93ef605}"/>
            </a:ext>
          </a:extLst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24650" y="57264300"/>
          <a:ext cx="4733925" cy="1838325"/>
        </a:xfrm>
        <a:prstGeom prst="rect"/>
      </xdr:spPr>
    </xdr:pic>
    <xdr:clientData/>
  </xdr:twoCellAnchor>
  <xdr:twoCellAnchor editAs="oneCell">
    <xdr:from>
      <xdr:col>6</xdr:col>
      <xdr:colOff>28575</xdr:colOff>
      <xdr:row>328</xdr:row>
      <xdr:rowOff>93726</xdr:rowOff>
    </xdr:from>
    <xdr:to>
      <xdr:col>19</xdr:col>
      <xdr:colOff>321551</xdr:colOff>
      <xdr:row>338</xdr:row>
      <xdr:rowOff>123222</xdr:rowOff>
    </xdr:to>
    <xdr:pic>
      <xdr:nvPicPr>
        <xdr:cNvPr id="286" name="Picture 37">
          <a:extLst>
            <a:ext uri="{FF2B5EF4-FFF2-40B4-BE49-F238E27FC236}">
              <a16:creationId xmlns:a16="http://schemas.microsoft.com/office/drawing/2014/main" id="{aee9912a-4cdd-4f60-9086-29cc7a45fc96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53225" y="59731275"/>
          <a:ext cx="4752975" cy="1838325"/>
        </a:xfrm>
        <a:prstGeom prst="rect"/>
      </xdr:spPr>
    </xdr:pic>
    <xdr:clientData/>
  </xdr:twoCellAnchor>
  <xdr:twoCellAnchor editAs="oneCell">
    <xdr:from>
      <xdr:col>6</xdr:col>
      <xdr:colOff>56029</xdr:colOff>
      <xdr:row>342</xdr:row>
      <xdr:rowOff>75639</xdr:rowOff>
    </xdr:from>
    <xdr:to>
      <xdr:col>19</xdr:col>
      <xdr:colOff>296888</xdr:colOff>
      <xdr:row>352</xdr:row>
      <xdr:rowOff>85839</xdr:rowOff>
    </xdr:to>
    <xdr:pic>
      <xdr:nvPicPr>
        <xdr:cNvPr id="287" name="Picture 38">
          <a:extLst>
            <a:ext uri="{FF2B5EF4-FFF2-40B4-BE49-F238E27FC236}">
              <a16:creationId xmlns:a16="http://schemas.microsoft.com/office/drawing/2014/main" id="{80272684-109d-447a-bc69-161ba933d806}"/>
            </a:ext>
          </a:extLst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781800" y="62255400"/>
          <a:ext cx="4695825" cy="1819275"/>
        </a:xfrm>
        <a:prstGeom prst="rect"/>
      </xdr:spPr>
    </xdr:pic>
    <xdr:clientData/>
  </xdr:twoCellAnchor>
  <xdr:twoCellAnchor editAs="oneCell">
    <xdr:from>
      <xdr:col>6</xdr:col>
      <xdr:colOff>0</xdr:colOff>
      <xdr:row>274</xdr:row>
      <xdr:rowOff>0</xdr:rowOff>
    </xdr:from>
    <xdr:to>
      <xdr:col>19</xdr:col>
      <xdr:colOff>61935</xdr:colOff>
      <xdr:row>279</xdr:row>
      <xdr:rowOff>125818</xdr:rowOff>
    </xdr:to>
    <xdr:pic>
      <xdr:nvPicPr>
        <xdr:cNvPr id="288" name="Picture 14">
          <a:extLst>
            <a:ext uri="{FF2B5EF4-FFF2-40B4-BE49-F238E27FC236}">
              <a16:creationId xmlns:a16="http://schemas.microsoft.com/office/drawing/2014/main" id="{735a9a68-1c19-4fed-a009-51a4d02ca2ba}"/>
            </a:ext>
          </a:extLst>
        </xdr:cNvPr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724650" y="49815750"/>
          <a:ext cx="4524375" cy="1038225"/>
        </a:xfrm>
        <a:prstGeom prst="rect"/>
      </xdr:spPr>
    </xdr:pic>
    <xdr:clientData/>
  </xdr:twoCellAnchor>
  <xdr:twoCellAnchor editAs="oneCell">
    <xdr:from>
      <xdr:col>6</xdr:col>
      <xdr:colOff>0</xdr:colOff>
      <xdr:row>286</xdr:row>
      <xdr:rowOff>131668</xdr:rowOff>
    </xdr:from>
    <xdr:to>
      <xdr:col>19</xdr:col>
      <xdr:colOff>67679</xdr:colOff>
      <xdr:row>292</xdr:row>
      <xdr:rowOff>78194</xdr:rowOff>
    </xdr:to>
    <xdr:pic>
      <xdr:nvPicPr>
        <xdr:cNvPr id="289" name="Picture 15">
          <a:extLst>
            <a:ext uri="{FF2B5EF4-FFF2-40B4-BE49-F238E27FC236}">
              <a16:creationId xmlns:a16="http://schemas.microsoft.com/office/drawing/2014/main" id="{640aec8d-c371-458a-809d-1474ef4173da}"/>
            </a:ext>
          </a:extLst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724650" y="52130325"/>
          <a:ext cx="4524375" cy="1038225"/>
        </a:xfrm>
        <a:prstGeom prst="rect"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118727</xdr:colOff>
          <xdr:row>2</xdr:row>
          <xdr:rowOff>6664</xdr:rowOff>
        </xdr:from>
        <xdr:to>
          <xdr:col>10</xdr:col>
          <xdr:colOff>414619</xdr:colOff>
          <xdr:row>12</xdr:row>
          <xdr:rowOff>96910</xdr:rowOff>
        </xdr:to>
        <xdr:pic>
          <xdr:nvPicPr>
            <xdr:cNvPr id="11285" name="תמונה 216">
              <a:extLst>
                <a:ext uri="{63B3BB69-23CF-44E3-9099-C40C66FF867C}">
                  <a14:compatExt spid="_x0000_s16877"/>
                </a:ext>
                <a:ext uri="{FF2B5EF4-FFF2-40B4-BE49-F238E27FC236}">
                  <a16:creationId xmlns:a16="http://schemas.microsoft.com/office/drawing/2014/main" id="{72a9f768-4203-447c-91cd-f2c0365ecd5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2" spid="_x0000_s16877"/>
                </a:ext>
              </a:extLst>
            </xdr:cNvPicPr>
          </xdr:nvPicPr>
          <xdr:blipFill>
            <a:blip r:embed="rId11"/>
            <a:stretch>
              <a:fillRect/>
            </a:stretch>
          </xdr:blipFill>
          <xdr:spPr>
            <a:xfrm rot="5400000">
              <a:off x="6210300" y="390525"/>
              <a:ext cx="3990975" cy="1914525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149728</xdr:colOff>
          <xdr:row>15</xdr:row>
          <xdr:rowOff>126936</xdr:rowOff>
        </xdr:from>
        <xdr:to>
          <xdr:col>10</xdr:col>
          <xdr:colOff>470647</xdr:colOff>
          <xdr:row>26</xdr:row>
          <xdr:rowOff>74701</xdr:rowOff>
        </xdr:to>
        <xdr:pic>
          <xdr:nvPicPr>
            <xdr:cNvPr id="11286" name="תמונה 217">
              <a:extLst>
                <a:ext uri="{63B3BB69-23CF-44E3-9099-C40C66FF867C}">
                  <a14:compatExt spid="_x0000_s16878"/>
                </a:ext>
                <a:ext uri="{FF2B5EF4-FFF2-40B4-BE49-F238E27FC236}">
                  <a16:creationId xmlns:a16="http://schemas.microsoft.com/office/drawing/2014/main" id="{4920f661-00d7-44e9-bc9d-510b32bc992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3" spid="_x0000_s16878"/>
                </a:ext>
              </a:extLst>
            </xdr:cNvPicPr>
          </xdr:nvPicPr>
          <xdr:blipFill>
            <a:blip r:embed="rId12"/>
            <a:stretch>
              <a:fillRect/>
            </a:stretch>
          </xdr:blipFill>
          <xdr:spPr>
            <a:xfrm rot="5400000">
              <a:off x="6248400" y="2886075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227463</xdr:colOff>
          <xdr:row>29</xdr:row>
          <xdr:rowOff>60409</xdr:rowOff>
        </xdr:from>
        <xdr:to>
          <xdr:col>10</xdr:col>
          <xdr:colOff>548382</xdr:colOff>
          <xdr:row>40</xdr:row>
          <xdr:rowOff>8174</xdr:rowOff>
        </xdr:to>
        <xdr:pic>
          <xdr:nvPicPr>
            <xdr:cNvPr id="11287" name="תמונה 218">
              <a:extLst>
                <a:ext uri="{63B3BB69-23CF-44E3-9099-C40C66FF867C}">
                  <a14:compatExt spid="_x0000_s16879"/>
                </a:ext>
                <a:ext uri="{FF2B5EF4-FFF2-40B4-BE49-F238E27FC236}">
                  <a16:creationId xmlns:a16="http://schemas.microsoft.com/office/drawing/2014/main" id="{3374ef1b-6e66-4fac-8423-6ddd132582e2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4" spid="_x0000_s16879"/>
                </a:ext>
              </a:extLst>
            </xdr:cNvPicPr>
          </xdr:nvPicPr>
          <xdr:blipFill>
            <a:blip r:embed="rId13"/>
            <a:stretch>
              <a:fillRect/>
            </a:stretch>
          </xdr:blipFill>
          <xdr:spPr>
            <a:xfrm rot="5400000">
              <a:off x="6324600" y="5362575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283493</xdr:colOff>
          <xdr:row>42</xdr:row>
          <xdr:rowOff>49204</xdr:rowOff>
        </xdr:from>
        <xdr:to>
          <xdr:col>10</xdr:col>
          <xdr:colOff>604412</xdr:colOff>
          <xdr:row>53</xdr:row>
          <xdr:rowOff>0</xdr:rowOff>
        </xdr:to>
        <xdr:pic>
          <xdr:nvPicPr>
            <xdr:cNvPr id="11288" name="תמונה 219">
              <a:extLst>
                <a:ext uri="{63B3BB69-23CF-44E3-9099-C40C66FF867C}">
                  <a14:compatExt spid="_x0000_s16880"/>
                </a:ext>
                <a:ext uri="{FF2B5EF4-FFF2-40B4-BE49-F238E27FC236}">
                  <a16:creationId xmlns:a16="http://schemas.microsoft.com/office/drawing/2014/main" id="{607f2e21-f6b1-43db-8a36-d92790c63a78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5" spid="_x0000_s16880"/>
                </a:ext>
              </a:extLst>
            </xdr:cNvPicPr>
          </xdr:nvPicPr>
          <xdr:blipFill>
            <a:blip r:embed="rId14"/>
            <a:stretch>
              <a:fillRect/>
            </a:stretch>
          </xdr:blipFill>
          <xdr:spPr>
            <a:xfrm rot="5400000">
              <a:off x="6381750" y="7715250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272993</xdr:colOff>
          <xdr:row>54</xdr:row>
          <xdr:rowOff>104525</xdr:rowOff>
        </xdr:from>
        <xdr:to>
          <xdr:col>10</xdr:col>
          <xdr:colOff>593912</xdr:colOff>
          <xdr:row>65</xdr:row>
          <xdr:rowOff>52289</xdr:rowOff>
        </xdr:to>
        <xdr:pic>
          <xdr:nvPicPr>
            <xdr:cNvPr id="11289" name="תמונה 220">
              <a:extLst>
                <a:ext uri="{63B3BB69-23CF-44E3-9099-C40C66FF867C}">
                  <a14:compatExt spid="_x0000_s16881"/>
                </a:ext>
                <a:ext uri="{FF2B5EF4-FFF2-40B4-BE49-F238E27FC236}">
                  <a16:creationId xmlns:a16="http://schemas.microsoft.com/office/drawing/2014/main" id="{c992f13e-085d-47ba-b539-1bcdcaa8a5d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6" spid="_x0000_s16881"/>
                </a:ext>
              </a:extLst>
            </xdr:cNvPicPr>
          </xdr:nvPicPr>
          <xdr:blipFill>
            <a:blip r:embed="rId15"/>
            <a:stretch>
              <a:fillRect/>
            </a:stretch>
          </xdr:blipFill>
          <xdr:spPr>
            <a:xfrm rot="5400000">
              <a:off x="6372225" y="9953625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283492</xdr:colOff>
          <xdr:row>67</xdr:row>
          <xdr:rowOff>4379</xdr:rowOff>
        </xdr:from>
        <xdr:to>
          <xdr:col>10</xdr:col>
          <xdr:colOff>604411</xdr:colOff>
          <xdr:row>77</xdr:row>
          <xdr:rowOff>131438</xdr:rowOff>
        </xdr:to>
        <xdr:pic>
          <xdr:nvPicPr>
            <xdr:cNvPr id="11290" name="תמונה 221">
              <a:extLst>
                <a:ext uri="{63B3BB69-23CF-44E3-9099-C40C66FF867C}">
                  <a14:compatExt spid="_x0000_s16882"/>
                </a:ext>
                <a:ext uri="{FF2B5EF4-FFF2-40B4-BE49-F238E27FC236}">
                  <a16:creationId xmlns:a16="http://schemas.microsoft.com/office/drawing/2014/main" id="{87d54607-aba6-45e2-b467-1267cf37fdae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7" spid="_x0000_s16882"/>
                </a:ext>
              </a:extLst>
            </xdr:cNvPicPr>
          </xdr:nvPicPr>
          <xdr:blipFill>
            <a:blip r:embed="rId16"/>
            <a:stretch>
              <a:fillRect/>
            </a:stretch>
          </xdr:blipFill>
          <xdr:spPr>
            <a:xfrm rot="5400000">
              <a:off x="6381750" y="12211050"/>
              <a:ext cx="4019550" cy="1933575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283492</xdr:colOff>
          <xdr:row>79</xdr:row>
          <xdr:rowOff>183674</xdr:rowOff>
        </xdr:from>
        <xdr:to>
          <xdr:col>10</xdr:col>
          <xdr:colOff>604411</xdr:colOff>
          <xdr:row>90</xdr:row>
          <xdr:rowOff>120233</xdr:rowOff>
        </xdr:to>
        <xdr:pic>
          <xdr:nvPicPr>
            <xdr:cNvPr id="11291" name="תמונה 222">
              <a:extLst>
                <a:ext uri="{63B3BB69-23CF-44E3-9099-C40C66FF867C}">
                  <a14:compatExt spid="_x0000_s16883"/>
                </a:ext>
                <a:ext uri="{FF2B5EF4-FFF2-40B4-BE49-F238E27FC236}">
                  <a16:creationId xmlns:a16="http://schemas.microsoft.com/office/drawing/2014/main" id="{18ea893f-2169-4006-bc1d-cfea214d662e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8" spid="_x0000_s16883"/>
                </a:ext>
              </a:extLst>
            </xdr:cNvPicPr>
          </xdr:nvPicPr>
          <xdr:blipFill>
            <a:blip r:embed="rId17"/>
            <a:stretch>
              <a:fillRect/>
            </a:stretch>
          </xdr:blipFill>
          <xdr:spPr>
            <a:xfrm rot="5400000">
              <a:off x="6381750" y="14563725"/>
              <a:ext cx="4019550" cy="1933575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295405</xdr:colOff>
          <xdr:row>93</xdr:row>
          <xdr:rowOff>14876</xdr:rowOff>
        </xdr:from>
        <xdr:to>
          <xdr:col>10</xdr:col>
          <xdr:colOff>616324</xdr:colOff>
          <xdr:row>103</xdr:row>
          <xdr:rowOff>141935</xdr:rowOff>
        </xdr:to>
        <xdr:pic>
          <xdr:nvPicPr>
            <xdr:cNvPr id="11292" name="תמונה 223">
              <a:extLst>
                <a:ext uri="{63B3BB69-23CF-44E3-9099-C40C66FF867C}">
                  <a14:compatExt spid="_x0000_s16884"/>
                </a:ext>
                <a:ext uri="{FF2B5EF4-FFF2-40B4-BE49-F238E27FC236}">
                  <a16:creationId xmlns:a16="http://schemas.microsoft.com/office/drawing/2014/main" id="{60126b5d-a78b-40da-be31-75945bd9a94b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9" spid="_x0000_s16884"/>
                </a:ext>
              </a:extLst>
            </xdr:cNvPicPr>
          </xdr:nvPicPr>
          <xdr:blipFill>
            <a:blip r:embed="rId18"/>
            <a:stretch>
              <a:fillRect/>
            </a:stretch>
          </xdr:blipFill>
          <xdr:spPr>
            <a:xfrm rot="5400000">
              <a:off x="6391275" y="16954500"/>
              <a:ext cx="4019550" cy="1933575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283492</xdr:colOff>
          <xdr:row>106</xdr:row>
          <xdr:rowOff>82820</xdr:rowOff>
        </xdr:from>
        <xdr:to>
          <xdr:col>10</xdr:col>
          <xdr:colOff>604411</xdr:colOff>
          <xdr:row>117</xdr:row>
          <xdr:rowOff>30585</xdr:rowOff>
        </xdr:to>
        <xdr:pic>
          <xdr:nvPicPr>
            <xdr:cNvPr id="11293" name="תמונה 234">
              <a:extLst>
                <a:ext uri="{63B3BB69-23CF-44E3-9099-C40C66FF867C}">
                  <a14:compatExt spid="_x0000_s16885"/>
                </a:ext>
                <a:ext uri="{FF2B5EF4-FFF2-40B4-BE49-F238E27FC236}">
                  <a16:creationId xmlns:a16="http://schemas.microsoft.com/office/drawing/2014/main" id="{a4a3bde8-c217-49e8-b988-b96b0c9c0dd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0" spid="_x0000_s16885"/>
                </a:ext>
              </a:extLst>
            </xdr:cNvPicPr>
          </xdr:nvPicPr>
          <xdr:blipFill>
            <a:blip r:embed="rId19"/>
            <a:stretch>
              <a:fillRect/>
            </a:stretch>
          </xdr:blipFill>
          <xdr:spPr>
            <a:xfrm rot="5400000">
              <a:off x="6381750" y="19383375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249875</xdr:colOff>
          <xdr:row>119</xdr:row>
          <xdr:rowOff>60409</xdr:rowOff>
        </xdr:from>
        <xdr:to>
          <xdr:col>10</xdr:col>
          <xdr:colOff>570794</xdr:colOff>
          <xdr:row>130</xdr:row>
          <xdr:rowOff>8173</xdr:rowOff>
        </xdr:to>
        <xdr:pic>
          <xdr:nvPicPr>
            <xdr:cNvPr id="11294" name="תמונה 235">
              <a:extLst>
                <a:ext uri="{63B3BB69-23CF-44E3-9099-C40C66FF867C}">
                  <a14:compatExt spid="_x0000_s16886"/>
                </a:ext>
                <a:ext uri="{FF2B5EF4-FFF2-40B4-BE49-F238E27FC236}">
                  <a16:creationId xmlns:a16="http://schemas.microsoft.com/office/drawing/2014/main" id="{3afb1b07-bed3-4b86-b282-9a91e79c2e8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1" spid="_x0000_s16886"/>
                </a:ext>
              </a:extLst>
            </xdr:cNvPicPr>
          </xdr:nvPicPr>
          <xdr:blipFill>
            <a:blip r:embed="rId20"/>
            <a:stretch>
              <a:fillRect/>
            </a:stretch>
          </xdr:blipFill>
          <xdr:spPr>
            <a:xfrm rot="5400000">
              <a:off x="6343650" y="21717000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250581</xdr:colOff>
          <xdr:row>132</xdr:row>
          <xdr:rowOff>70906</xdr:rowOff>
        </xdr:from>
        <xdr:to>
          <xdr:col>10</xdr:col>
          <xdr:colOff>571500</xdr:colOff>
          <xdr:row>143</xdr:row>
          <xdr:rowOff>18671</xdr:rowOff>
        </xdr:to>
        <xdr:pic>
          <xdr:nvPicPr>
            <xdr:cNvPr id="11295" name="תמונה 236">
              <a:extLst>
                <a:ext uri="{63B3BB69-23CF-44E3-9099-C40C66FF867C}">
                  <a14:compatExt spid="_x0000_s16887"/>
                </a:ext>
                <a:ext uri="{FF2B5EF4-FFF2-40B4-BE49-F238E27FC236}">
                  <a16:creationId xmlns:a16="http://schemas.microsoft.com/office/drawing/2014/main" id="{6a331cec-4393-4d33-97ce-7672052a925f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2" spid="_x0000_s16887"/>
                </a:ext>
              </a:extLst>
            </xdr:cNvPicPr>
          </xdr:nvPicPr>
          <xdr:blipFill>
            <a:blip r:embed="rId21"/>
            <a:stretch>
              <a:fillRect/>
            </a:stretch>
          </xdr:blipFill>
          <xdr:spPr>
            <a:xfrm rot="5400000">
              <a:off x="6343650" y="24088725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294698</xdr:colOff>
          <xdr:row>145</xdr:row>
          <xdr:rowOff>116438</xdr:rowOff>
        </xdr:from>
        <xdr:to>
          <xdr:col>10</xdr:col>
          <xdr:colOff>615617</xdr:colOff>
          <xdr:row>156</xdr:row>
          <xdr:rowOff>64202</xdr:rowOff>
        </xdr:to>
        <xdr:pic>
          <xdr:nvPicPr>
            <xdr:cNvPr id="11296" name="תמונה 237">
              <a:extLst>
                <a:ext uri="{63B3BB69-23CF-44E3-9099-C40C66FF867C}">
                  <a14:compatExt spid="_x0000_s16888"/>
                </a:ext>
                <a:ext uri="{FF2B5EF4-FFF2-40B4-BE49-F238E27FC236}">
                  <a16:creationId xmlns:a16="http://schemas.microsoft.com/office/drawing/2014/main" id="{8d2af2ef-da58-4f4a-a15b-e9c1a5a799d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3" spid="_x0000_s16888"/>
                </a:ext>
              </a:extLst>
            </xdr:cNvPicPr>
          </xdr:nvPicPr>
          <xdr:blipFill>
            <a:blip r:embed="rId22"/>
            <a:stretch>
              <a:fillRect/>
            </a:stretch>
          </xdr:blipFill>
          <xdr:spPr>
            <a:xfrm rot="5400000">
              <a:off x="6391275" y="26498550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249875</xdr:colOff>
          <xdr:row>158</xdr:row>
          <xdr:rowOff>116438</xdr:rowOff>
        </xdr:from>
        <xdr:to>
          <xdr:col>10</xdr:col>
          <xdr:colOff>570794</xdr:colOff>
          <xdr:row>169</xdr:row>
          <xdr:rowOff>64203</xdr:rowOff>
        </xdr:to>
        <xdr:pic>
          <xdr:nvPicPr>
            <xdr:cNvPr id="11297" name="תמונה 238">
              <a:extLst>
                <a:ext uri="{63B3BB69-23CF-44E3-9099-C40C66FF867C}">
                  <a14:compatExt spid="_x0000_s16889"/>
                </a:ext>
                <a:ext uri="{FF2B5EF4-FFF2-40B4-BE49-F238E27FC236}">
                  <a16:creationId xmlns:a16="http://schemas.microsoft.com/office/drawing/2014/main" id="{2a10a7f7-2d0c-408c-97c7-9c0c3da3541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4" spid="_x0000_s16889"/>
                </a:ext>
              </a:extLst>
            </xdr:cNvPicPr>
          </xdr:nvPicPr>
          <xdr:blipFill>
            <a:blip r:embed="rId23"/>
            <a:stretch>
              <a:fillRect/>
            </a:stretch>
          </xdr:blipFill>
          <xdr:spPr>
            <a:xfrm rot="5400000">
              <a:off x="6343650" y="28860750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249875</xdr:colOff>
          <xdr:row>171</xdr:row>
          <xdr:rowOff>15586</xdr:rowOff>
        </xdr:from>
        <xdr:to>
          <xdr:col>10</xdr:col>
          <xdr:colOff>570794</xdr:colOff>
          <xdr:row>181</xdr:row>
          <xdr:rowOff>145677</xdr:rowOff>
        </xdr:to>
        <xdr:pic>
          <xdr:nvPicPr>
            <xdr:cNvPr id="11298" name="תמונה 239">
              <a:extLst>
                <a:ext uri="{63B3BB69-23CF-44E3-9099-C40C66FF867C}">
                  <a14:compatExt spid="_x0000_s16890"/>
                </a:ext>
                <a:ext uri="{FF2B5EF4-FFF2-40B4-BE49-F238E27FC236}">
                  <a16:creationId xmlns:a16="http://schemas.microsoft.com/office/drawing/2014/main" id="{c35b051c-44ab-44e9-b896-ab79565f7d02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5" spid="_x0000_s16890"/>
                </a:ext>
              </a:extLst>
            </xdr:cNvPicPr>
          </xdr:nvPicPr>
          <xdr:blipFill>
            <a:blip r:embed="rId24"/>
            <a:stretch>
              <a:fillRect/>
            </a:stretch>
          </xdr:blipFill>
          <xdr:spPr>
            <a:xfrm rot="5400000">
              <a:off x="6343650" y="31127700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245823</xdr:colOff>
          <xdr:row>183</xdr:row>
          <xdr:rowOff>94027</xdr:rowOff>
        </xdr:from>
        <xdr:to>
          <xdr:col>10</xdr:col>
          <xdr:colOff>566742</xdr:colOff>
          <xdr:row>194</xdr:row>
          <xdr:rowOff>33618</xdr:rowOff>
        </xdr:to>
        <xdr:pic>
          <xdr:nvPicPr>
            <xdr:cNvPr id="11299" name="תמונה 43">
              <a:extLst>
                <a:ext uri="{63B3BB69-23CF-44E3-9099-C40C66FF867C}">
                  <a14:compatExt spid="_x0000_s16891"/>
                </a:ext>
                <a:ext uri="{FF2B5EF4-FFF2-40B4-BE49-F238E27FC236}">
                  <a16:creationId xmlns:a16="http://schemas.microsoft.com/office/drawing/2014/main" id="{b4eeb335-39e2-44a5-baa7-6421dbf3075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תמונות!$B$16" spid="_x0000_s16891"/>
                </a:ext>
              </a:extLst>
            </xdr:cNvPicPr>
          </xdr:nvPicPr>
          <xdr:blipFill>
            <a:blip r:embed="rId25"/>
            <a:stretch>
              <a:fillRect/>
            </a:stretch>
          </xdr:blipFill>
          <xdr:spPr>
            <a:xfrm rot="5400000">
              <a:off x="6343650" y="33375600"/>
              <a:ext cx="4019550" cy="1943100"/>
            </a:xfrm>
            <a:prstGeom prst="rect"/>
            <a:noFill/>
            <a:ln>
              <a:solidFill>
                <a:schemeClr val="bg1">
                  <a:lumMod val="50000"/>
                </a:schemeClr>
              </a:solidFill>
            </a:ln>
          </xdr:spPr>
        </xdr:pic>
        <xdr:clientData/>
      </xdr:twoCellAnchor>
    </mc:Choice>
    <mc:Fallback/>
  </mc:AlternateContent>
</xdr:wsDr>
</file>

<file path=xl/drawings/drawing5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0.3655</cdr:x>
      <cdr:y>0.26275</cdr:y>
    </cdr:from>
    <cdr:to>
      <cdr:x>0.40925</cdr:x>
      <cdr:y>0.30725</cdr:y>
    </cdr:to>
    <cdr:sp>
      <cdr:nvSpPr>
        <cdr:cNvPr id="2" name="TextBox 1">
          <a:extLst>
            <a:ext uri="{FF2B5EF4-FFF2-40B4-BE49-F238E27FC236}">
              <a16:creationId xmlns:a16="http://schemas.microsoft.com/office/drawing/2014/main" id="{a0d66fa2-325b-4d06-94fc-5bb1bc86ed25}"/>
            </a:ext>
          </a:extLst>
        </cdr:cNvPr>
        <cdr:cNvSpPr txBox="1"/>
      </cdr:nvSpPr>
      <cdr:spPr>
        <a:xfrm>
          <a:off x="2876550" y="1323975"/>
          <a:ext cx="342900" cy="22860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400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0.3065</cdr:y>
    </cdr:from>
    <cdr:to>
      <cdr:x>0.40925</cdr:x>
      <cdr:y>0.35075</cdr:y>
    </cdr:to>
    <cdr:sp>
      <cdr:nvSpPr>
        <cdr:cNvPr id="3" name="TextBox 2">
          <a:extLst>
            <a:ext uri="{FF2B5EF4-FFF2-40B4-BE49-F238E27FC236}">
              <a16:creationId xmlns:a16="http://schemas.microsoft.com/office/drawing/2014/main" id="{b29fc7de-e361-4fc6-8a04-eaf816c9ae91}"/>
            </a:ext>
          </a:extLst>
        </cdr:cNvPr>
        <cdr:cNvSpPr txBox="1"/>
      </cdr:nvSpPr>
      <cdr:spPr>
        <a:xfrm>
          <a:off x="2876550" y="1543050"/>
          <a:ext cx="342900" cy="219075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500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0.349</cdr:y>
    </cdr:from>
    <cdr:to>
      <cdr:x>0.40925</cdr:x>
      <cdr:y>0.3935</cdr:y>
    </cdr:to>
    <cdr:sp>
      <cdr:nvSpPr>
        <cdr:cNvPr id="4" name="TextBox 3">
          <a:extLst>
            <a:ext uri="{FF2B5EF4-FFF2-40B4-BE49-F238E27FC236}">
              <a16:creationId xmlns:a16="http://schemas.microsoft.com/office/drawing/2014/main" id="{8b2d80f6-1a00-40d1-b468-2f06b20e565e}"/>
            </a:ext>
          </a:extLst>
        </cdr:cNvPr>
        <cdr:cNvSpPr txBox="1"/>
      </cdr:nvSpPr>
      <cdr:spPr>
        <a:xfrm>
          <a:off x="2876550" y="1752600"/>
          <a:ext cx="342900" cy="22860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600</a:t>
          </a:r>
          <a:endParaRPr lang="he-IL" sz="1100"/>
        </a:p>
      </cdr:txBody>
    </cdr:sp>
  </cdr:relSizeAnchor>
  <cdr:relSizeAnchor xmlns:cdr="http://schemas.openxmlformats.org/drawingml/2006/chartDrawing">
    <cdr:from>
      <cdr:x>0.365</cdr:x>
      <cdr:y>0.39275</cdr:y>
    </cdr:from>
    <cdr:to>
      <cdr:x>0.40875</cdr:x>
      <cdr:y>0.43725</cdr:y>
    </cdr:to>
    <cdr:sp>
      <cdr:nvSpPr>
        <cdr:cNvPr id="5" name="TextBox 4">
          <a:extLst>
            <a:ext uri="{FF2B5EF4-FFF2-40B4-BE49-F238E27FC236}">
              <a16:creationId xmlns:a16="http://schemas.microsoft.com/office/drawing/2014/main" id="{8139d41e-9e53-4cdf-9b23-2b940bcb0bc8}"/>
            </a:ext>
          </a:extLst>
        </cdr:cNvPr>
        <cdr:cNvSpPr txBox="1"/>
      </cdr:nvSpPr>
      <cdr:spPr>
        <a:xfrm>
          <a:off x="2876550" y="1981200"/>
          <a:ext cx="342900" cy="22860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700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0.2145</cdr:y>
    </cdr:from>
    <cdr:to>
      <cdr:x>0.40825</cdr:x>
      <cdr:y>0.259</cdr:y>
    </cdr:to>
    <cdr:sp>
      <cdr:nvSpPr>
        <cdr:cNvPr id="6" name="TextBox 5">
          <a:extLst>
            <a:ext uri="{FF2B5EF4-FFF2-40B4-BE49-F238E27FC236}">
              <a16:creationId xmlns:a16="http://schemas.microsoft.com/office/drawing/2014/main" id="{bddf521f-c000-47c9-bb43-911fcb67a51f}"/>
            </a:ext>
          </a:extLst>
        </cdr:cNvPr>
        <cdr:cNvSpPr txBox="1"/>
      </cdr:nvSpPr>
      <cdr:spPr>
        <a:xfrm>
          <a:off x="2876550" y="1076325"/>
          <a:ext cx="342900" cy="22860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300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0.1725</cdr:y>
    </cdr:from>
    <cdr:to>
      <cdr:x>0.40925</cdr:x>
      <cdr:y>0.217</cdr:y>
    </cdr:to>
    <cdr:sp>
      <cdr:nvSpPr>
        <cdr:cNvPr id="7" name="TextBox 6">
          <a:extLst>
            <a:ext uri="{FF2B5EF4-FFF2-40B4-BE49-F238E27FC236}">
              <a16:creationId xmlns:a16="http://schemas.microsoft.com/office/drawing/2014/main" id="{253e9d67-bbd4-4ce5-833f-29db6b9e6460}"/>
            </a:ext>
          </a:extLst>
        </cdr:cNvPr>
        <cdr:cNvSpPr txBox="1"/>
      </cdr:nvSpPr>
      <cdr:spPr>
        <a:xfrm>
          <a:off x="2876550" y="866775"/>
          <a:ext cx="342900" cy="22860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200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0.12125</cdr:y>
    </cdr:from>
    <cdr:to>
      <cdr:x>0.40825</cdr:x>
      <cdr:y>0.16575</cdr:y>
    </cdr:to>
    <cdr:sp>
      <cdr:nvSpPr>
        <cdr:cNvPr id="8" name="TextBox 7">
          <a:extLst>
            <a:ext uri="{FF2B5EF4-FFF2-40B4-BE49-F238E27FC236}">
              <a16:creationId xmlns:a16="http://schemas.microsoft.com/office/drawing/2014/main" id="{2e38ce18-6c8c-4920-86eb-765595af591c}"/>
            </a:ext>
          </a:extLst>
        </cdr:cNvPr>
        <cdr:cNvSpPr txBox="1"/>
      </cdr:nvSpPr>
      <cdr:spPr>
        <a:xfrm>
          <a:off x="2876550" y="609600"/>
          <a:ext cx="342900" cy="22860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100</a:t>
          </a:r>
          <a:endParaRPr lang="he-IL" sz="1100"/>
        </a:p>
      </cdr:txBody>
    </cdr:sp>
  </cdr:relSizeAnchor>
  <cdr:relSizeAnchor xmlns:cdr="http://schemas.openxmlformats.org/drawingml/2006/chartDrawing">
    <cdr:from>
      <cdr:x>0.364</cdr:x>
      <cdr:y>0.432</cdr:y>
    </cdr:from>
    <cdr:to>
      <cdr:x>0.40775</cdr:x>
      <cdr:y>0.47625</cdr:y>
    </cdr:to>
    <cdr:sp>
      <cdr:nvSpPr>
        <cdr:cNvPr id="9" name="TextBox 8">
          <a:extLst>
            <a:ext uri="{FF2B5EF4-FFF2-40B4-BE49-F238E27FC236}">
              <a16:creationId xmlns:a16="http://schemas.microsoft.com/office/drawing/2014/main" id="{6e01288a-0d6e-45f8-ba5b-ec23ce2e01f0}"/>
            </a:ext>
          </a:extLst>
        </cdr:cNvPr>
        <cdr:cNvSpPr txBox="1"/>
      </cdr:nvSpPr>
      <cdr:spPr>
        <a:xfrm>
          <a:off x="2867025" y="2171700"/>
          <a:ext cx="342900" cy="219075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800</a:t>
          </a:r>
          <a:endParaRPr lang="he-IL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13</xdr:col>
      <xdr:colOff>135254</xdr:colOff>
      <xdr:row>0</xdr:row>
      <xdr:rowOff>1</xdr:rowOff>
    </xdr:from>
    <xdr:to>
      <xdr:col>24</xdr:col>
      <xdr:colOff>474902</xdr:colOff>
      <xdr:row>26</xdr:row>
      <xdr:rowOff>144781</xdr:rowOff>
    </xdr:to>
    <xdr:graphicFrame>
      <xdr:nvGraphicFramePr>
        <xdr:cNvPr id="3" name="תרשים 2">
          <a:extLst>
            <a:ext uri="{FF2B5EF4-FFF2-40B4-BE49-F238E27FC236}">
              <a16:creationId xmlns:a16="http://schemas.microsoft.com/office/drawing/2014/main" id="{9c319152-cbdc-4eed-9cb8-f93da9302fe2}"/>
            </a:ext>
          </a:extLst>
        </xdr:cNvPr>
        <xdr:cNvGraphicFramePr/>
      </xdr:nvGraphicFramePr>
      <xdr:xfrm>
        <a:off x="9134475" y="0"/>
        <a:ext cx="7886700" cy="50482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238125</xdr:colOff>
      <xdr:row>0</xdr:row>
      <xdr:rowOff>142876</xdr:rowOff>
    </xdr:from>
    <xdr:to>
      <xdr:col>7</xdr:col>
      <xdr:colOff>266700</xdr:colOff>
      <xdr:row>18</xdr:row>
      <xdr:rowOff>123826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af476ddb-b625-4a9d-b559-cb770c887105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125" y="142875"/>
          <a:ext cx="4829175" cy="3314700"/>
        </a:xfrm>
        <a:prstGeom prst="rect"/>
      </xdr:spPr>
    </xdr:pic>
    <xdr:clientData/>
  </xdr:twoCellAnchor>
</xdr:wsDr>
</file>

<file path=xl/drawings/drawing7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0.3655</cdr:x>
      <cdr:y>0.26275</cdr:y>
    </cdr:from>
    <cdr:to>
      <cdr:x>0.40925</cdr:x>
      <cdr:y>0.30725</cdr:y>
    </cdr:to>
    <cdr:sp>
      <cdr:nvSpPr>
        <cdr:cNvPr id="2" name="TextBox 1">
          <a:extLst>
            <a:ext uri="{FF2B5EF4-FFF2-40B4-BE49-F238E27FC236}">
              <a16:creationId xmlns:a16="http://schemas.microsoft.com/office/drawing/2014/main" id="{699871a1-1346-4603-839d-c56e2c93d36a}"/>
            </a:ext>
          </a:extLst>
        </cdr:cNvPr>
        <cdr:cNvSpPr txBox="1"/>
      </cdr:nvSpPr>
      <cdr:spPr>
        <a:xfrm>
          <a:off x="3638550" y="16573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400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0.3065</cdr:y>
    </cdr:from>
    <cdr:to>
      <cdr:x>0.40925</cdr:x>
      <cdr:y>0.35075</cdr:y>
    </cdr:to>
    <cdr:sp>
      <cdr:nvSpPr>
        <cdr:cNvPr id="3" name="TextBox 2">
          <a:extLst>
            <a:ext uri="{FF2B5EF4-FFF2-40B4-BE49-F238E27FC236}">
              <a16:creationId xmlns:a16="http://schemas.microsoft.com/office/drawing/2014/main" id="{5128c884-7d54-482d-84d9-b02ccc25bf20}"/>
            </a:ext>
          </a:extLst>
        </cdr:cNvPr>
        <cdr:cNvSpPr txBox="1"/>
      </cdr:nvSpPr>
      <cdr:spPr>
        <a:xfrm>
          <a:off x="3638550" y="1933575"/>
          <a:ext cx="438150" cy="276225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500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0.349</cdr:y>
    </cdr:from>
    <cdr:to>
      <cdr:x>0.40925</cdr:x>
      <cdr:y>0.3935</cdr:y>
    </cdr:to>
    <cdr:sp>
      <cdr:nvSpPr>
        <cdr:cNvPr id="4" name="TextBox 3">
          <a:extLst>
            <a:ext uri="{FF2B5EF4-FFF2-40B4-BE49-F238E27FC236}">
              <a16:creationId xmlns:a16="http://schemas.microsoft.com/office/drawing/2014/main" id="{5b44bc88-5227-4a06-a6c9-f71fab500c2d}"/>
            </a:ext>
          </a:extLst>
        </cdr:cNvPr>
        <cdr:cNvSpPr txBox="1"/>
      </cdr:nvSpPr>
      <cdr:spPr>
        <a:xfrm>
          <a:off x="3638550" y="2200275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600</a:t>
          </a:r>
          <a:endParaRPr lang="he-IL" sz="1100"/>
        </a:p>
      </cdr:txBody>
    </cdr:sp>
  </cdr:relSizeAnchor>
  <cdr:relSizeAnchor xmlns:cdr="http://schemas.openxmlformats.org/drawingml/2006/chartDrawing">
    <cdr:from>
      <cdr:x>0.365</cdr:x>
      <cdr:y>0.39275</cdr:y>
    </cdr:from>
    <cdr:to>
      <cdr:x>0.40875</cdr:x>
      <cdr:y>0.43725</cdr:y>
    </cdr:to>
    <cdr:sp>
      <cdr:nvSpPr>
        <cdr:cNvPr id="5" name="TextBox 4">
          <a:extLst>
            <a:ext uri="{FF2B5EF4-FFF2-40B4-BE49-F238E27FC236}">
              <a16:creationId xmlns:a16="http://schemas.microsoft.com/office/drawing/2014/main" id="{d79baefa-7ab8-448a-b9b3-2e774da808a3}"/>
            </a:ext>
          </a:extLst>
        </cdr:cNvPr>
        <cdr:cNvSpPr txBox="1"/>
      </cdr:nvSpPr>
      <cdr:spPr>
        <a:xfrm>
          <a:off x="3629025" y="24765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700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0.2145</cdr:y>
    </cdr:from>
    <cdr:to>
      <cdr:x>0.40825</cdr:x>
      <cdr:y>0.259</cdr:y>
    </cdr:to>
    <cdr:sp>
      <cdr:nvSpPr>
        <cdr:cNvPr id="6" name="TextBox 5">
          <a:extLst>
            <a:ext uri="{FF2B5EF4-FFF2-40B4-BE49-F238E27FC236}">
              <a16:creationId xmlns:a16="http://schemas.microsoft.com/office/drawing/2014/main" id="{531981a9-797b-4bec-a192-6d74868176f5}"/>
            </a:ext>
          </a:extLst>
        </cdr:cNvPr>
        <cdr:cNvSpPr txBox="1"/>
      </cdr:nvSpPr>
      <cdr:spPr>
        <a:xfrm>
          <a:off x="3629025" y="13525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300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0.1725</cdr:y>
    </cdr:from>
    <cdr:to>
      <cdr:x>0.40925</cdr:x>
      <cdr:y>0.217</cdr:y>
    </cdr:to>
    <cdr:sp>
      <cdr:nvSpPr>
        <cdr:cNvPr id="7" name="TextBox 6">
          <a:extLst>
            <a:ext uri="{FF2B5EF4-FFF2-40B4-BE49-F238E27FC236}">
              <a16:creationId xmlns:a16="http://schemas.microsoft.com/office/drawing/2014/main" id="{33e21d46-d95d-4b5b-9847-cb6b642cfdfc}"/>
            </a:ext>
          </a:extLst>
        </cdr:cNvPr>
        <cdr:cNvSpPr txBox="1"/>
      </cdr:nvSpPr>
      <cdr:spPr>
        <a:xfrm>
          <a:off x="3638550" y="10858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200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0.12125</cdr:y>
    </cdr:from>
    <cdr:to>
      <cdr:x>0.40825</cdr:x>
      <cdr:y>0.16575</cdr:y>
    </cdr:to>
    <cdr:sp>
      <cdr:nvSpPr>
        <cdr:cNvPr id="8" name="TextBox 7">
          <a:extLst>
            <a:ext uri="{FF2B5EF4-FFF2-40B4-BE49-F238E27FC236}">
              <a16:creationId xmlns:a16="http://schemas.microsoft.com/office/drawing/2014/main" id="{c7fe82ee-2bc3-4ee1-97ac-f714e20b8ed9}"/>
            </a:ext>
          </a:extLst>
        </cdr:cNvPr>
        <cdr:cNvSpPr txBox="1"/>
      </cdr:nvSpPr>
      <cdr:spPr>
        <a:xfrm>
          <a:off x="3629025" y="7620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100</a:t>
          </a:r>
          <a:endParaRPr lang="he-IL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276224</xdr:colOff>
      <xdr:row>33</xdr:row>
      <xdr:rowOff>114301</xdr:rowOff>
    </xdr:from>
    <xdr:to>
      <xdr:col>29</xdr:col>
      <xdr:colOff>638174</xdr:colOff>
      <xdr:row>68</xdr:row>
      <xdr:rowOff>57151</xdr:rowOff>
    </xdr:to>
    <xdr:graphicFrame>
      <xdr:nvGraphicFramePr>
        <xdr:cNvPr id="2" name="תרשים 1">
          <a:extLst>
            <a:ext uri="{FF2B5EF4-FFF2-40B4-BE49-F238E27FC236}">
              <a16:creationId xmlns:a16="http://schemas.microsoft.com/office/drawing/2014/main" id="{9be86e15-aed2-41cd-b01e-735ef7765f85}"/>
            </a:ext>
          </a:extLst>
        </xdr:cNvPr>
        <xdr:cNvGraphicFramePr/>
      </xdr:nvGraphicFramePr>
      <xdr:xfrm>
        <a:off x="10648950" y="6353175"/>
        <a:ext cx="9963150" cy="63246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0.3655</cdr:x>
      <cdr:y>0.26275</cdr:y>
    </cdr:from>
    <cdr:to>
      <cdr:x>0.40925</cdr:x>
      <cdr:y>0.30725</cdr:y>
    </cdr:to>
    <cdr:sp>
      <cdr:nvSpPr>
        <cdr:cNvPr id="2" name="TextBox 1">
          <a:extLst>
            <a:ext uri="{FF2B5EF4-FFF2-40B4-BE49-F238E27FC236}">
              <a16:creationId xmlns:a16="http://schemas.microsoft.com/office/drawing/2014/main" id="{cf9aecb3-a019-4df9-ac9f-98cbf6750d7a}"/>
            </a:ext>
          </a:extLst>
        </cdr:cNvPr>
        <cdr:cNvSpPr txBox="1"/>
      </cdr:nvSpPr>
      <cdr:spPr>
        <a:xfrm>
          <a:off x="3638550" y="16573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400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0.3065</cdr:y>
    </cdr:from>
    <cdr:to>
      <cdr:x>0.40925</cdr:x>
      <cdr:y>0.35075</cdr:y>
    </cdr:to>
    <cdr:sp>
      <cdr:nvSpPr>
        <cdr:cNvPr id="3" name="TextBox 2">
          <a:extLst>
            <a:ext uri="{FF2B5EF4-FFF2-40B4-BE49-F238E27FC236}">
              <a16:creationId xmlns:a16="http://schemas.microsoft.com/office/drawing/2014/main" id="{121aad39-025d-47ea-bb80-f4bef439497a}"/>
            </a:ext>
          </a:extLst>
        </cdr:cNvPr>
        <cdr:cNvSpPr txBox="1"/>
      </cdr:nvSpPr>
      <cdr:spPr>
        <a:xfrm>
          <a:off x="3638550" y="1933575"/>
          <a:ext cx="438150" cy="276225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500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0.349</cdr:y>
    </cdr:from>
    <cdr:to>
      <cdr:x>0.40925</cdr:x>
      <cdr:y>0.3935</cdr:y>
    </cdr:to>
    <cdr:sp>
      <cdr:nvSpPr>
        <cdr:cNvPr id="4" name="TextBox 3">
          <a:extLst>
            <a:ext uri="{FF2B5EF4-FFF2-40B4-BE49-F238E27FC236}">
              <a16:creationId xmlns:a16="http://schemas.microsoft.com/office/drawing/2014/main" id="{3f51a01a-9cf5-4c2f-a6b6-7d6a0df083d6}"/>
            </a:ext>
          </a:extLst>
        </cdr:cNvPr>
        <cdr:cNvSpPr txBox="1"/>
      </cdr:nvSpPr>
      <cdr:spPr>
        <a:xfrm>
          <a:off x="3638550" y="2200275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600</a:t>
          </a:r>
          <a:endParaRPr lang="he-IL" sz="1100"/>
        </a:p>
      </cdr:txBody>
    </cdr:sp>
  </cdr:relSizeAnchor>
  <cdr:relSizeAnchor xmlns:cdr="http://schemas.openxmlformats.org/drawingml/2006/chartDrawing">
    <cdr:from>
      <cdr:x>0.365</cdr:x>
      <cdr:y>0.39275</cdr:y>
    </cdr:from>
    <cdr:to>
      <cdr:x>0.40875</cdr:x>
      <cdr:y>0.43725</cdr:y>
    </cdr:to>
    <cdr:sp>
      <cdr:nvSpPr>
        <cdr:cNvPr id="5" name="TextBox 4">
          <a:extLst>
            <a:ext uri="{FF2B5EF4-FFF2-40B4-BE49-F238E27FC236}">
              <a16:creationId xmlns:a16="http://schemas.microsoft.com/office/drawing/2014/main" id="{84f1a178-4c0c-47c2-88dc-f499d4c1d815}"/>
            </a:ext>
          </a:extLst>
        </cdr:cNvPr>
        <cdr:cNvSpPr txBox="1"/>
      </cdr:nvSpPr>
      <cdr:spPr>
        <a:xfrm>
          <a:off x="3629025" y="24765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700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0.2145</cdr:y>
    </cdr:from>
    <cdr:to>
      <cdr:x>0.40825</cdr:x>
      <cdr:y>0.259</cdr:y>
    </cdr:to>
    <cdr:sp>
      <cdr:nvSpPr>
        <cdr:cNvPr id="6" name="TextBox 5">
          <a:extLst>
            <a:ext uri="{FF2B5EF4-FFF2-40B4-BE49-F238E27FC236}">
              <a16:creationId xmlns:a16="http://schemas.microsoft.com/office/drawing/2014/main" id="{9e402fb5-160f-47fc-a246-3431bfd5ed75}"/>
            </a:ext>
          </a:extLst>
        </cdr:cNvPr>
        <cdr:cNvSpPr txBox="1"/>
      </cdr:nvSpPr>
      <cdr:spPr>
        <a:xfrm>
          <a:off x="3629025" y="13525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300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0.1725</cdr:y>
    </cdr:from>
    <cdr:to>
      <cdr:x>0.40925</cdr:x>
      <cdr:y>0.217</cdr:y>
    </cdr:to>
    <cdr:sp>
      <cdr:nvSpPr>
        <cdr:cNvPr id="7" name="TextBox 6">
          <a:extLst>
            <a:ext uri="{FF2B5EF4-FFF2-40B4-BE49-F238E27FC236}">
              <a16:creationId xmlns:a16="http://schemas.microsoft.com/office/drawing/2014/main" id="{3361c16e-c1df-4ab9-b04e-d2c4f2ec72e7}"/>
            </a:ext>
          </a:extLst>
        </cdr:cNvPr>
        <cdr:cNvSpPr txBox="1"/>
      </cdr:nvSpPr>
      <cdr:spPr>
        <a:xfrm>
          <a:off x="3638550" y="10858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200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0.12125</cdr:y>
    </cdr:from>
    <cdr:to>
      <cdr:x>0.40825</cdr:x>
      <cdr:y>0.16575</cdr:y>
    </cdr:to>
    <cdr:sp>
      <cdr:nvSpPr>
        <cdr:cNvPr id="8" name="TextBox 7">
          <a:extLst>
            <a:ext uri="{FF2B5EF4-FFF2-40B4-BE49-F238E27FC236}">
              <a16:creationId xmlns:a16="http://schemas.microsoft.com/office/drawing/2014/main" id="{4776691c-d365-429a-b7bf-557b267a20ad}"/>
            </a:ext>
          </a:extLst>
        </cdr:cNvPr>
        <cdr:cNvSpPr txBox="1"/>
      </cdr:nvSpPr>
      <cdr:spPr>
        <a:xfrm>
          <a:off x="3629025" y="7620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100</a:t>
          </a:r>
          <a:endParaRPr lang="he-IL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352424</xdr:colOff>
      <xdr:row>32</xdr:row>
      <xdr:rowOff>66676</xdr:rowOff>
    </xdr:from>
    <xdr:to>
      <xdr:col>30</xdr:col>
      <xdr:colOff>28574</xdr:colOff>
      <xdr:row>67</xdr:row>
      <xdr:rowOff>1</xdr:rowOff>
    </xdr:to>
    <xdr:graphicFrame>
      <xdr:nvGraphicFramePr>
        <xdr:cNvPr id="2" name="תרשים 1">
          <a:extLst>
            <a:ext uri="{FF2B5EF4-FFF2-40B4-BE49-F238E27FC236}">
              <a16:creationId xmlns:a16="http://schemas.microsoft.com/office/drawing/2014/main" id="{61821fdf-6441-4a62-a35d-4eca88febd71}"/>
            </a:ext>
          </a:extLst>
        </xdr:cNvPr>
        <xdr:cNvGraphicFramePr/>
      </xdr:nvGraphicFramePr>
      <xdr:xfrm>
        <a:off x="10725150" y="6115050"/>
        <a:ext cx="9963150" cy="63246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0.3655</cdr:x>
      <cdr:y>0.26275</cdr:y>
    </cdr:from>
    <cdr:to>
      <cdr:x>0.40925</cdr:x>
      <cdr:y>0.30725</cdr:y>
    </cdr:to>
    <cdr:sp>
      <cdr:nvSpPr>
        <cdr:cNvPr id="2" name="TextBox 1">
          <a:extLst>
            <a:ext uri="{FF2B5EF4-FFF2-40B4-BE49-F238E27FC236}">
              <a16:creationId xmlns:a16="http://schemas.microsoft.com/office/drawing/2014/main" id="{42d1191c-8eec-41f5-94f4-995440f5695a}"/>
            </a:ext>
          </a:extLst>
        </cdr:cNvPr>
        <cdr:cNvSpPr txBox="1"/>
      </cdr:nvSpPr>
      <cdr:spPr>
        <a:xfrm>
          <a:off x="3638550" y="16573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400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0.3065</cdr:y>
    </cdr:from>
    <cdr:to>
      <cdr:x>0.40925</cdr:x>
      <cdr:y>0.35075</cdr:y>
    </cdr:to>
    <cdr:sp>
      <cdr:nvSpPr>
        <cdr:cNvPr id="3" name="TextBox 2">
          <a:extLst>
            <a:ext uri="{FF2B5EF4-FFF2-40B4-BE49-F238E27FC236}">
              <a16:creationId xmlns:a16="http://schemas.microsoft.com/office/drawing/2014/main" id="{d23b671a-d0ac-4341-b2d5-41687d00043d}"/>
            </a:ext>
          </a:extLst>
        </cdr:cNvPr>
        <cdr:cNvSpPr txBox="1"/>
      </cdr:nvSpPr>
      <cdr:spPr>
        <a:xfrm>
          <a:off x="3638550" y="1933575"/>
          <a:ext cx="438150" cy="276225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500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0.349</cdr:y>
    </cdr:from>
    <cdr:to>
      <cdr:x>0.40925</cdr:x>
      <cdr:y>0.3935</cdr:y>
    </cdr:to>
    <cdr:sp>
      <cdr:nvSpPr>
        <cdr:cNvPr id="4" name="TextBox 3">
          <a:extLst>
            <a:ext uri="{FF2B5EF4-FFF2-40B4-BE49-F238E27FC236}">
              <a16:creationId xmlns:a16="http://schemas.microsoft.com/office/drawing/2014/main" id="{034a174b-9ba8-4873-b229-6f736b5f0ef1}"/>
            </a:ext>
          </a:extLst>
        </cdr:cNvPr>
        <cdr:cNvSpPr txBox="1"/>
      </cdr:nvSpPr>
      <cdr:spPr>
        <a:xfrm>
          <a:off x="3638550" y="2200275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600</a:t>
          </a:r>
          <a:endParaRPr lang="he-IL" sz="1100"/>
        </a:p>
      </cdr:txBody>
    </cdr:sp>
  </cdr:relSizeAnchor>
  <cdr:relSizeAnchor xmlns:cdr="http://schemas.openxmlformats.org/drawingml/2006/chartDrawing">
    <cdr:from>
      <cdr:x>0.365</cdr:x>
      <cdr:y>0.39275</cdr:y>
    </cdr:from>
    <cdr:to>
      <cdr:x>0.40875</cdr:x>
      <cdr:y>0.43725</cdr:y>
    </cdr:to>
    <cdr:sp>
      <cdr:nvSpPr>
        <cdr:cNvPr id="5" name="TextBox 4">
          <a:extLst>
            <a:ext uri="{FF2B5EF4-FFF2-40B4-BE49-F238E27FC236}">
              <a16:creationId xmlns:a16="http://schemas.microsoft.com/office/drawing/2014/main" id="{d31794e8-ebaf-4b45-882c-65937daf099e}"/>
            </a:ext>
          </a:extLst>
        </cdr:cNvPr>
        <cdr:cNvSpPr txBox="1"/>
      </cdr:nvSpPr>
      <cdr:spPr>
        <a:xfrm>
          <a:off x="3629025" y="24765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700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0.2145</cdr:y>
    </cdr:from>
    <cdr:to>
      <cdr:x>0.40825</cdr:x>
      <cdr:y>0.259</cdr:y>
    </cdr:to>
    <cdr:sp>
      <cdr:nvSpPr>
        <cdr:cNvPr id="6" name="TextBox 5">
          <a:extLst>
            <a:ext uri="{FF2B5EF4-FFF2-40B4-BE49-F238E27FC236}">
              <a16:creationId xmlns:a16="http://schemas.microsoft.com/office/drawing/2014/main" id="{bb336a88-a47a-4f67-9993-27ef6479dacc}"/>
            </a:ext>
          </a:extLst>
        </cdr:cNvPr>
        <cdr:cNvSpPr txBox="1"/>
      </cdr:nvSpPr>
      <cdr:spPr>
        <a:xfrm>
          <a:off x="3629025" y="13525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300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0.1725</cdr:y>
    </cdr:from>
    <cdr:to>
      <cdr:x>0.40925</cdr:x>
      <cdr:y>0.217</cdr:y>
    </cdr:to>
    <cdr:sp>
      <cdr:nvSpPr>
        <cdr:cNvPr id="7" name="TextBox 6">
          <a:extLst>
            <a:ext uri="{FF2B5EF4-FFF2-40B4-BE49-F238E27FC236}">
              <a16:creationId xmlns:a16="http://schemas.microsoft.com/office/drawing/2014/main" id="{30b956bc-c230-443a-9d3c-9f431f8fe78a}"/>
            </a:ext>
          </a:extLst>
        </cdr:cNvPr>
        <cdr:cNvSpPr txBox="1"/>
      </cdr:nvSpPr>
      <cdr:spPr>
        <a:xfrm>
          <a:off x="3638550" y="10858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200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0.12125</cdr:y>
    </cdr:from>
    <cdr:to>
      <cdr:x>0.40825</cdr:x>
      <cdr:y>0.16575</cdr:y>
    </cdr:to>
    <cdr:sp>
      <cdr:nvSpPr>
        <cdr:cNvPr id="8" name="TextBox 7">
          <a:extLst>
            <a:ext uri="{FF2B5EF4-FFF2-40B4-BE49-F238E27FC236}">
              <a16:creationId xmlns:a16="http://schemas.microsoft.com/office/drawing/2014/main" id="{ae85bd22-0d2c-44e5-86ab-11955507bd57}"/>
            </a:ext>
          </a:extLst>
        </cdr:cNvPr>
        <cdr:cNvSpPr txBox="1"/>
      </cdr:nvSpPr>
      <cdr:spPr>
        <a:xfrm>
          <a:off x="3629025" y="7620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100</a:t>
          </a:r>
          <a:endParaRPr lang="he-IL" sz="11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38099</xdr:colOff>
      <xdr:row>32</xdr:row>
      <xdr:rowOff>19051</xdr:rowOff>
    </xdr:from>
    <xdr:to>
      <xdr:col>29</xdr:col>
      <xdr:colOff>400049</xdr:colOff>
      <xdr:row>66</xdr:row>
      <xdr:rowOff>133351</xdr:rowOff>
    </xdr:to>
    <xdr:graphicFrame>
      <xdr:nvGraphicFramePr>
        <xdr:cNvPr id="2" name="תרשים 1">
          <a:extLst>
            <a:ext uri="{FF2B5EF4-FFF2-40B4-BE49-F238E27FC236}">
              <a16:creationId xmlns:a16="http://schemas.microsoft.com/office/drawing/2014/main" id="{8f34e85a-687e-4a8e-91ac-8cd5bdc9b832}"/>
            </a:ext>
          </a:extLst>
        </xdr:cNvPr>
        <xdr:cNvGraphicFramePr/>
      </xdr:nvGraphicFramePr>
      <xdr:xfrm>
        <a:off x="10410825" y="6067425"/>
        <a:ext cx="9963150" cy="63246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 xmlns:a="http://schemas.openxmlformats.org/drawingml/2006/main" xmlns:r="http://schemas.openxmlformats.org/officeDocument/2006/relationships" xmlns:a14="http://schemas.microsoft.com/office/drawing/2010/main">
  <cdr:relSizeAnchor xmlns:cdr="http://schemas.openxmlformats.org/drawingml/2006/chartDrawing">
    <cdr:from>
      <cdr:x>0.3655</cdr:x>
      <cdr:y>0.26275</cdr:y>
    </cdr:from>
    <cdr:to>
      <cdr:x>0.40925</cdr:x>
      <cdr:y>0.30725</cdr:y>
    </cdr:to>
    <cdr:sp>
      <cdr:nvSpPr>
        <cdr:cNvPr id="2" name="TextBox 1">
          <a:extLst>
            <a:ext uri="{FF2B5EF4-FFF2-40B4-BE49-F238E27FC236}">
              <a16:creationId xmlns:a16="http://schemas.microsoft.com/office/drawing/2014/main" id="{9627204a-2bf4-4ee2-ab81-226f9ac4f4b9}"/>
            </a:ext>
          </a:extLst>
        </cdr:cNvPr>
        <cdr:cNvSpPr txBox="1"/>
      </cdr:nvSpPr>
      <cdr:spPr>
        <a:xfrm>
          <a:off x="3638550" y="16573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400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0.3065</cdr:y>
    </cdr:from>
    <cdr:to>
      <cdr:x>0.40925</cdr:x>
      <cdr:y>0.35075</cdr:y>
    </cdr:to>
    <cdr:sp>
      <cdr:nvSpPr>
        <cdr:cNvPr id="3" name="TextBox 2">
          <a:extLst>
            <a:ext uri="{FF2B5EF4-FFF2-40B4-BE49-F238E27FC236}">
              <a16:creationId xmlns:a16="http://schemas.microsoft.com/office/drawing/2014/main" id="{41fe91bd-fb20-46f6-91bd-432f324eee2f}"/>
            </a:ext>
          </a:extLst>
        </cdr:cNvPr>
        <cdr:cNvSpPr txBox="1"/>
      </cdr:nvSpPr>
      <cdr:spPr>
        <a:xfrm>
          <a:off x="3638550" y="1933575"/>
          <a:ext cx="438150" cy="276225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500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0.349</cdr:y>
    </cdr:from>
    <cdr:to>
      <cdr:x>0.40925</cdr:x>
      <cdr:y>0.3935</cdr:y>
    </cdr:to>
    <cdr:sp>
      <cdr:nvSpPr>
        <cdr:cNvPr id="4" name="TextBox 3">
          <a:extLst>
            <a:ext uri="{FF2B5EF4-FFF2-40B4-BE49-F238E27FC236}">
              <a16:creationId xmlns:a16="http://schemas.microsoft.com/office/drawing/2014/main" id="{4276054d-4811-43ad-9abc-0d6dab6b1310}"/>
            </a:ext>
          </a:extLst>
        </cdr:cNvPr>
        <cdr:cNvSpPr txBox="1"/>
      </cdr:nvSpPr>
      <cdr:spPr>
        <a:xfrm>
          <a:off x="3638550" y="2200275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600</a:t>
          </a:r>
          <a:endParaRPr lang="he-IL" sz="1100"/>
        </a:p>
      </cdr:txBody>
    </cdr:sp>
  </cdr:relSizeAnchor>
  <cdr:relSizeAnchor xmlns:cdr="http://schemas.openxmlformats.org/drawingml/2006/chartDrawing">
    <cdr:from>
      <cdr:x>0.365</cdr:x>
      <cdr:y>0.39275</cdr:y>
    </cdr:from>
    <cdr:to>
      <cdr:x>0.40875</cdr:x>
      <cdr:y>0.43725</cdr:y>
    </cdr:to>
    <cdr:sp>
      <cdr:nvSpPr>
        <cdr:cNvPr id="5" name="TextBox 4">
          <a:extLst>
            <a:ext uri="{FF2B5EF4-FFF2-40B4-BE49-F238E27FC236}">
              <a16:creationId xmlns:a16="http://schemas.microsoft.com/office/drawing/2014/main" id="{e47fb730-15ef-4b66-871c-e65e07063393}"/>
            </a:ext>
          </a:extLst>
        </cdr:cNvPr>
        <cdr:cNvSpPr txBox="1"/>
      </cdr:nvSpPr>
      <cdr:spPr>
        <a:xfrm>
          <a:off x="3629025" y="24765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700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0.2145</cdr:y>
    </cdr:from>
    <cdr:to>
      <cdr:x>0.40825</cdr:x>
      <cdr:y>0.259</cdr:y>
    </cdr:to>
    <cdr:sp>
      <cdr:nvSpPr>
        <cdr:cNvPr id="6" name="TextBox 5">
          <a:extLst>
            <a:ext uri="{FF2B5EF4-FFF2-40B4-BE49-F238E27FC236}">
              <a16:creationId xmlns:a16="http://schemas.microsoft.com/office/drawing/2014/main" id="{752103b5-aa4f-408e-a043-bcb41c54bb68}"/>
            </a:ext>
          </a:extLst>
        </cdr:cNvPr>
        <cdr:cNvSpPr txBox="1"/>
      </cdr:nvSpPr>
      <cdr:spPr>
        <a:xfrm>
          <a:off x="3629025" y="13525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300</a:t>
          </a:r>
          <a:endParaRPr lang="he-IL" sz="1100"/>
        </a:p>
      </cdr:txBody>
    </cdr:sp>
  </cdr:relSizeAnchor>
  <cdr:relSizeAnchor xmlns:cdr="http://schemas.openxmlformats.org/drawingml/2006/chartDrawing">
    <cdr:from>
      <cdr:x>0.3655</cdr:x>
      <cdr:y>0.1725</cdr:y>
    </cdr:from>
    <cdr:to>
      <cdr:x>0.40925</cdr:x>
      <cdr:y>0.217</cdr:y>
    </cdr:to>
    <cdr:sp>
      <cdr:nvSpPr>
        <cdr:cNvPr id="7" name="TextBox 6">
          <a:extLst>
            <a:ext uri="{FF2B5EF4-FFF2-40B4-BE49-F238E27FC236}">
              <a16:creationId xmlns:a16="http://schemas.microsoft.com/office/drawing/2014/main" id="{1b8739a1-2f14-47ef-ab10-1a2da36523ba}"/>
            </a:ext>
          </a:extLst>
        </cdr:cNvPr>
        <cdr:cNvSpPr txBox="1"/>
      </cdr:nvSpPr>
      <cdr:spPr>
        <a:xfrm>
          <a:off x="3638550" y="108585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200</a:t>
          </a:r>
          <a:endParaRPr lang="he-IL" sz="1100"/>
        </a:p>
      </cdr:txBody>
    </cdr:sp>
  </cdr:relSizeAnchor>
  <cdr:relSizeAnchor xmlns:cdr="http://schemas.openxmlformats.org/drawingml/2006/chartDrawing">
    <cdr:from>
      <cdr:x>0.36475</cdr:x>
      <cdr:y>0.12125</cdr:y>
    </cdr:from>
    <cdr:to>
      <cdr:x>0.40825</cdr:x>
      <cdr:y>0.16575</cdr:y>
    </cdr:to>
    <cdr:sp>
      <cdr:nvSpPr>
        <cdr:cNvPr id="8" name="TextBox 7">
          <a:extLst>
            <a:ext uri="{FF2B5EF4-FFF2-40B4-BE49-F238E27FC236}">
              <a16:creationId xmlns:a16="http://schemas.microsoft.com/office/drawing/2014/main" id="{dc3ffcb0-3ef0-4e62-b45a-a2efc0dcfed1}"/>
            </a:ext>
          </a:extLst>
        </cdr:cNvPr>
        <cdr:cNvSpPr txBox="1"/>
      </cdr:nvSpPr>
      <cdr:spPr>
        <a:xfrm>
          <a:off x="3629025" y="762000"/>
          <a:ext cx="438150" cy="285750"/>
        </a:xfrm>
        <a:prstGeom prst="rect"/>
      </cdr:spPr>
      <cdr:txBody>
        <a:bodyPr vertOverflow="clip" wrap="none" rtlCol="1"/>
        <a:lstStyle xmlns:a="http://schemas.openxmlformats.org/drawingml/2006/main"/>
        <a:p>
          <a:pPr/>
          <a:r>
            <a:rPr lang="en-US" sz="1100">
              <a:ln/>
              <a:solidFill>
                <a:srgbClr val="000000"/>
              </a:solidFill>
              <a:effectLst/>
            </a:rPr>
            <a:t>100</a:t>
          </a:r>
          <a:endParaRPr lang="he-IL" sz="11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276224</xdr:colOff>
      <xdr:row>31</xdr:row>
      <xdr:rowOff>171451</xdr:rowOff>
    </xdr:from>
    <xdr:to>
      <xdr:col>29</xdr:col>
      <xdr:colOff>638174</xdr:colOff>
      <xdr:row>66</xdr:row>
      <xdr:rowOff>104776</xdr:rowOff>
    </xdr:to>
    <xdr:graphicFrame>
      <xdr:nvGraphicFramePr>
        <xdr:cNvPr id="2" name="תרשים 1">
          <a:extLst>
            <a:ext uri="{FF2B5EF4-FFF2-40B4-BE49-F238E27FC236}">
              <a16:creationId xmlns:a16="http://schemas.microsoft.com/office/drawing/2014/main" id="{0ca9cac2-7549-41bb-81a0-d7de8065e2d8}"/>
            </a:ext>
          </a:extLst>
        </xdr:cNvPr>
        <xdr:cNvGraphicFramePr/>
      </xdr:nvGraphicFramePr>
      <xdr:xfrm>
        <a:off x="10648950" y="6038850"/>
        <a:ext cx="9963150" cy="63246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590550</xdr:colOff>
      <xdr:row>1</xdr:row>
      <xdr:rowOff>123826</xdr:rowOff>
    </xdr:from>
    <xdr:to>
      <xdr:col>15</xdr:col>
      <xdr:colOff>218322</xdr:colOff>
      <xdr:row>28</xdr:row>
      <xdr:rowOff>161395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d8f3926-7984-4f10-be06-e7dc35ec101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39225" y="304800"/>
          <a:ext cx="4429125" cy="4981575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125w&amp;b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משקל מערכות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2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3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6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tabColor rgb="FF92D050"/>
  </sheetPr>
  <dimension ref="A2:M59"/>
  <sheetViews>
    <sheetView rightToLeft="1" tabSelected="1" workbookViewId="0" topLeftCell="A1">
      <selection pane="topLeft" activeCell="B31" sqref="B31"/>
    </sheetView>
  </sheetViews>
  <sheetFormatPr defaultColWidth="9.005" defaultRowHeight="14.25"/>
  <cols>
    <col min="1" max="4" width="9" style="12" customWidth="1"/>
    <col min="5" max="5" width="4.125" style="12" customWidth="1"/>
    <col min="6" max="6" width="9" style="12" customWidth="1"/>
    <col min="7" max="7" width="4.125" style="12" customWidth="1"/>
    <col min="8" max="8" width="9" style="12"/>
    <col min="9" max="9" width="2.875" style="12" customWidth="1"/>
    <col min="10" max="10" width="9" style="12"/>
    <col min="11" max="12" width="11.375" style="12" customWidth="1"/>
    <col min="13" max="16384" width="9" style="12"/>
  </cols>
  <sheetData>
    <row r="2" spans="4:6" ht="14.25">
      <c r="D2" s="86" t="s">
        <v>103</v>
      </c>
      <c r="E2" s="343">
        <v>4.0999999999999996</v>
      </c>
      <c r="F2" s="343"/>
    </row>
    <row r="3" spans="1:1" ht="14.25">
      <c r="A3" s="55"/>
    </row>
    <row r="4" spans="2:4" ht="14.25">
      <c r="B4" s="346" t="s">
        <v>8</v>
      </c>
      <c r="C4" s="346"/>
      <c r="D4" s="347" t="s">
        <v>6</v>
      </c>
    </row>
    <row r="5" spans="2:4" ht="15" customHeight="1">
      <c r="B5" s="346"/>
      <c r="C5" s="346"/>
      <c r="D5" s="348"/>
    </row>
    <row r="7" spans="2:13" ht="14.25">
      <c r="B7" s="12" t="s">
        <v>38</v>
      </c>
      <c r="D7" s="350" t="s">
        <v>388</v>
      </c>
      <c r="E7" s="351"/>
      <c r="F7" s="351"/>
      <c r="G7" s="351"/>
      <c r="H7" s="352"/>
      <c r="J7" s="70"/>
      <c r="M7" s="70"/>
    </row>
    <row r="8" spans="5:8" ht="4.5" customHeight="1">
      <c r="E8" s="163"/>
      <c r="G8" s="163"/>
      <c r="H8" s="163"/>
    </row>
    <row r="9" spans="2:13" ht="14.25">
      <c r="B9" s="12" t="s">
        <v>39</v>
      </c>
      <c r="D9" s="71" t="s">
        <v>68</v>
      </c>
      <c r="J9" s="70">
        <v>10</v>
      </c>
      <c r="M9" s="70"/>
    </row>
    <row r="10" ht="4.5" customHeight="1"/>
    <row r="11" spans="2:13" ht="14.25">
      <c r="B11" s="162" t="s">
        <v>187</v>
      </c>
      <c r="D11" s="71" t="s">
        <v>70</v>
      </c>
      <c r="J11" s="70"/>
      <c r="M11" s="70"/>
    </row>
    <row r="12" spans="2:2" ht="4.5" customHeight="1">
      <c r="B12" s="162"/>
    </row>
    <row r="13" spans="2:13" ht="14.25">
      <c r="B13" s="12" t="s">
        <v>41</v>
      </c>
      <c r="D13" s="71" t="s">
        <v>70</v>
      </c>
      <c r="J13" s="70"/>
      <c r="M13" s="70"/>
    </row>
    <row r="14" ht="4.5" customHeight="1"/>
    <row r="15" spans="2:13" ht="14.25">
      <c r="B15" s="12" t="s">
        <v>188</v>
      </c>
      <c r="D15" s="71" t="s">
        <v>286</v>
      </c>
      <c r="F15" s="12" t="s">
        <v>204</v>
      </c>
      <c r="H15" s="190"/>
      <c r="J15" s="70"/>
      <c r="M15" s="70"/>
    </row>
    <row r="16" ht="4.5" customHeight="1"/>
    <row r="17" spans="2:6" ht="14.25">
      <c r="B17" s="12" t="s">
        <v>189</v>
      </c>
      <c r="D17" s="71" t="s">
        <v>66</v>
      </c>
      <c r="F17" s="12" t="str">
        <f>IF(AND(userCARGOwt&gt;0,userBAMBI="מחובר"),"כשבמבי מחובר - יש לאפס משקל על הוו ",IF(AND(userBAMBI="מחובר",userCARGO="ללא"),"חיבור במבי ניתן עם מתלה מטען בלבד",""))</f>
        <v/>
      </c>
    </row>
    <row r="18" ht="4.5" customHeight="1"/>
    <row r="19" spans="2:8" ht="14.25">
      <c r="B19" s="215" t="s">
        <v>243</v>
      </c>
      <c r="D19" s="71" t="s">
        <v>66</v>
      </c>
      <c r="F19" s="280" t="s">
        <v>238</v>
      </c>
      <c r="H19" s="71" t="s">
        <v>240</v>
      </c>
    </row>
    <row r="20" spans="2:2" ht="14.25">
      <c r="B20" s="164"/>
    </row>
    <row r="23" spans="2:8" ht="15">
      <c r="B23" s="346" t="s">
        <v>76</v>
      </c>
      <c r="C23" s="346"/>
      <c r="D23" s="59" t="s">
        <v>10</v>
      </c>
      <c r="G23" s="13"/>
      <c r="H23" s="60" t="s">
        <v>11</v>
      </c>
    </row>
    <row r="24" spans="2:8" ht="14.25">
      <c r="B24" s="346"/>
      <c r="C24" s="346"/>
      <c r="D24" s="70">
        <v>80</v>
      </c>
      <c r="H24" s="70">
        <v>80</v>
      </c>
    </row>
    <row r="25" ht="15" thickBot="1"/>
    <row r="26" spans="4:12" ht="15">
      <c r="D26" s="55">
        <v>3</v>
      </c>
      <c r="E26" s="55"/>
      <c r="F26" s="55">
        <v>2</v>
      </c>
      <c r="G26" s="55"/>
      <c r="H26" s="55">
        <v>1</v>
      </c>
      <c r="J26" s="302" t="s">
        <v>186</v>
      </c>
      <c r="K26" s="303"/>
      <c r="L26" s="304"/>
    </row>
    <row r="27" spans="4:12" ht="14.25">
      <c r="D27" s="70"/>
      <c r="F27" s="70">
        <v>0</v>
      </c>
      <c r="H27" s="70"/>
      <c r="J27" s="312" t="str">
        <f ca="1">IF(sum_chairs&gt;0,sum_chairs&amp;" כסאות",IF(sum_palsivs&gt;0,sum_palsivs&amp;" פלסיב","ללא כסאות"))</f>
        <v>4 כסאות</v>
      </c>
      <c r="K27" s="313"/>
      <c r="L27" s="314"/>
    </row>
    <row r="28" spans="2:12" ht="14.25">
      <c r="B28" s="346" t="s">
        <v>87</v>
      </c>
      <c r="C28" s="346"/>
      <c r="D28" s="55">
        <v>6</v>
      </c>
      <c r="E28" s="55"/>
      <c r="F28" s="55">
        <v>5</v>
      </c>
      <c r="G28" s="55"/>
      <c r="H28" s="55">
        <v>4</v>
      </c>
      <c r="J28" s="315" t="str">
        <f>"מערכת - "&amp;userFLIR</f>
        <v>מערכת - DSP</v>
      </c>
      <c r="K28" s="316"/>
      <c r="L28" s="317"/>
    </row>
    <row r="29" spans="2:12" ht="14.25">
      <c r="B29" s="346"/>
      <c r="C29" s="346"/>
      <c r="D29" s="70"/>
      <c r="F29" s="70"/>
      <c r="H29" s="70"/>
      <c r="J29" s="312" t="str">
        <f>"XP - "&amp;userXP</f>
        <v>XP - כן</v>
      </c>
      <c r="K29" s="313"/>
      <c r="L29" s="314"/>
    </row>
    <row r="30" spans="4:12" ht="14.25">
      <c r="D30" s="55">
        <v>9</v>
      </c>
      <c r="E30" s="55"/>
      <c r="F30" s="55">
        <v>8</v>
      </c>
      <c r="G30" s="55"/>
      <c r="H30" s="55">
        <v>7</v>
      </c>
      <c r="J30" s="315" t="str">
        <f>"מתלה מטען / מראות - "&amp;userCARGO</f>
        <v>מתלה מטען / מראות - ללא מראות</v>
      </c>
      <c r="K30" s="316"/>
      <c r="L30" s="317"/>
    </row>
    <row r="31" spans="4:12" ht="14.25">
      <c r="D31" s="70"/>
      <c r="F31" s="70"/>
      <c r="H31" s="70"/>
      <c r="J31" s="315" t="str">
        <f>"במבי - "&amp;userBAMBI</f>
        <v>במבי - ללא</v>
      </c>
      <c r="K31" s="316"/>
      <c r="L31" s="317"/>
    </row>
    <row r="32" spans="10:12" ht="15" thickBot="1">
      <c r="J32" s="340" t="str">
        <f>"מתקן גלישה - "&amp;userFR&amp;IF(userFR="ללא",""," / "&amp;userFRside)</f>
        <v>מתקן גלישה - ללא</v>
      </c>
      <c r="K32" s="341"/>
      <c r="L32" s="342"/>
    </row>
    <row r="33" spans="4:8" ht="14.25">
      <c r="D33" s="55" t="s">
        <v>0</v>
      </c>
      <c r="F33" s="55" t="s">
        <v>79</v>
      </c>
      <c r="H33" s="55" t="s">
        <v>80</v>
      </c>
    </row>
    <row r="34" spans="2:8" ht="15">
      <c r="B34" s="59" t="s">
        <v>136</v>
      </c>
      <c r="C34" s="38" t="s">
        <v>82</v>
      </c>
      <c r="D34" s="70"/>
      <c r="F34" s="117"/>
      <c r="H34" s="71"/>
    </row>
    <row r="35" spans="2:8" ht="14.25">
      <c r="B35" s="349" t="s">
        <v>86</v>
      </c>
      <c r="C35" s="38" t="s">
        <v>83</v>
      </c>
      <c r="D35" s="70"/>
      <c r="F35" s="117"/>
      <c r="H35" s="71"/>
    </row>
    <row r="36" spans="2:8" ht="14.25">
      <c r="B36" s="349"/>
      <c r="C36" s="38" t="s">
        <v>84</v>
      </c>
      <c r="D36" s="70"/>
      <c r="F36" s="117"/>
      <c r="H36" s="71"/>
    </row>
    <row r="37" spans="3:10" ht="14.25">
      <c r="C37" s="38" t="s">
        <v>85</v>
      </c>
      <c r="D37" s="267"/>
      <c r="F37" s="268"/>
      <c r="H37" s="269"/>
      <c r="I37" s="306" t="s">
        <v>270</v>
      </c>
      <c r="J37" s="308" t="s">
        <v>269</v>
      </c>
    </row>
    <row r="38" spans="3:10" ht="14.25">
      <c r="C38" s="38" t="s">
        <v>156</v>
      </c>
      <c r="D38" s="267"/>
      <c r="F38" s="268"/>
      <c r="H38" s="269"/>
      <c r="I38" s="306"/>
      <c r="J38" s="308"/>
    </row>
    <row r="39" spans="3:10" ht="14.25">
      <c r="C39" s="38" t="s">
        <v>157</v>
      </c>
      <c r="D39" s="267"/>
      <c r="F39" s="268"/>
      <c r="H39" s="269"/>
      <c r="I39" s="306"/>
      <c r="J39" s="308"/>
    </row>
    <row r="40" ht="4.5" customHeight="1"/>
    <row r="41" spans="3:12" ht="15">
      <c r="C41" s="154" t="s">
        <v>171</v>
      </c>
      <c r="D41" s="155">
        <v>2000</v>
      </c>
      <c r="F41" s="154" t="s">
        <v>182</v>
      </c>
      <c r="G41" s="155">
        <v>20</v>
      </c>
      <c r="J41" s="165" t="s">
        <v>235</v>
      </c>
      <c r="K41" s="166"/>
      <c r="L41" s="167">
        <v>3700</v>
      </c>
    </row>
    <row r="42" ht="4.5" customHeight="1"/>
    <row r="43" spans="10:12" ht="15">
      <c r="J43" s="165" t="s">
        <v>248</v>
      </c>
      <c r="K43" s="166"/>
      <c r="L43" s="167" t="s">
        <v>69</v>
      </c>
    </row>
    <row r="44" ht="15" thickBot="1"/>
    <row r="45" spans="3:13" ht="15">
      <c r="C45" s="87" t="s">
        <v>106</v>
      </c>
      <c r="D45" s="87"/>
      <c r="E45" s="87"/>
      <c r="F45" s="89">
        <f>VLOOKUP($D$4,נתונים!$C$7:$D$8,2,FALSE)</f>
        <v>2386.9499999999998</v>
      </c>
      <c r="H45" s="92"/>
      <c r="J45" s="327" t="s">
        <v>194</v>
      </c>
      <c r="K45" s="328"/>
      <c r="L45" s="328"/>
      <c r="M45" s="329"/>
    </row>
    <row r="46" spans="3:13" ht="15">
      <c r="C46" s="87" t="s">
        <v>104</v>
      </c>
      <c r="D46" s="87"/>
      <c r="E46" s="87"/>
      <c r="F46" s="89">
        <f ca="1">SUM(נתונים!$L$7:$L$19)+SUM(נתונים!$D$40:$D$51)</f>
        <v>152.65199999999999</v>
      </c>
      <c r="H46" s="93" t="s">
        <v>107</v>
      </c>
      <c r="J46" s="336" t="s">
        <v>195</v>
      </c>
      <c r="K46" s="337"/>
      <c r="L46" s="204" t="s">
        <v>77</v>
      </c>
      <c r="M46" s="200" t="s">
        <v>233</v>
      </c>
    </row>
    <row r="47" spans="3:13" ht="15">
      <c r="C47" s="13" t="s">
        <v>109</v>
      </c>
      <c r="F47" s="56">
        <f ca="1">SUM(F45:F46)</f>
        <v>2539.6019999999999</v>
      </c>
      <c r="H47" s="94" t="str">
        <f ca="1">ROUND(SUM($F$47:$F$48),0)&amp;" kg"</f>
        <v>2700 kg</v>
      </c>
      <c r="J47" s="338" t="s">
        <v>196</v>
      </c>
      <c r="K47" s="339"/>
      <c r="L47" s="199" t="str">
        <f ca="1">IF(ROUND(MAXGROSS-SUM($F$47:$F$49)-0.7*680-40,0)&gt;100,ROUND(MAXGROSS-SUM($F$47:$F$49)-0.7*680-40,0)&amp;" kg","----")</f>
        <v>484 kg</v>
      </c>
      <c r="M47" s="201" t="str">
        <f ca="1">CARGO70!G65</f>
        <v>GO</v>
      </c>
    </row>
    <row r="48" spans="3:13" ht="14.25">
      <c r="C48" s="90" t="s">
        <v>76</v>
      </c>
      <c r="D48" s="90"/>
      <c r="E48" s="90"/>
      <c r="F48" s="91">
        <f>SUM(נתונים!$D$12:$D$13)</f>
        <v>160</v>
      </c>
      <c r="H48" s="95"/>
      <c r="I48" s="344" t="s">
        <v>108</v>
      </c>
      <c r="J48" s="330" t="s">
        <v>197</v>
      </c>
      <c r="K48" s="331"/>
      <c r="L48" s="199" t="str">
        <f ca="1">IF(ROUND(MAXGROSS-SUM($F$47:$F$49)-0.8*680-40,0)&gt;100,ROUND(MAXGROSS-SUM($F$47:$F$49)-0.8*680-40,0)&amp;" kg","----")</f>
        <v>416 kg</v>
      </c>
      <c r="M48" s="201" t="str">
        <f ca="1">CARGO80!G65</f>
        <v>GO</v>
      </c>
    </row>
    <row r="49" spans="3:13" ht="14.25">
      <c r="C49" s="12" t="s">
        <v>113</v>
      </c>
      <c r="F49" s="88">
        <f ca="1">SUM(נתונים!$D$17:$D$35,נתונים!$L$30:$L$35)</f>
        <v>0</v>
      </c>
      <c r="H49" s="96" t="s">
        <v>105</v>
      </c>
      <c r="I49" s="344"/>
      <c r="J49" s="332" t="s">
        <v>198</v>
      </c>
      <c r="K49" s="333"/>
      <c r="L49" s="199" t="str">
        <f ca="1">IF(ROUND(MAXGROSS-SUM($F$47:$F$49)-0.9*680-40,0)&gt;100,ROUND(MAXGROSS-SUM($F$47:$F$49)-0.9*680-40,0)&amp;" kg","----")</f>
        <v>348 kg</v>
      </c>
      <c r="M49" s="201" t="str">
        <f ca="1">CARGO90!G65</f>
        <v>GO</v>
      </c>
    </row>
    <row r="50" spans="3:13" ht="15" thickBot="1">
      <c r="C50" s="12" t="str">
        <f>IF(AND(userBAMBI="מחובר",userCARGO&lt;&gt;"ללא"),"במבי + מים","מטען חיצוני")</f>
        <v>מטען חיצוני</v>
      </c>
      <c r="D50" s="191">
        <v>0</v>
      </c>
      <c r="F50" s="88">
        <f>IF(OR(userCARGO="ללא מראות",userCARGO="עם מראות"),IF(userBAMBI="מחובר",נתונים!$L$25,נתונים!$L$24),0)</f>
        <v>0</v>
      </c>
      <c r="H50" s="169" t="str">
        <f ca="1">ROUND(MAXGROSS-SUM($F$47:$F$48),0)&amp;" kg"</f>
        <v>1000 kg</v>
      </c>
      <c r="J50" s="334" t="s">
        <v>199</v>
      </c>
      <c r="K50" s="335"/>
      <c r="L50" s="202" t="str">
        <f ca="1">IF(ROUND(MAXGROSS-SUM($F$47:$F$49)-680-40,0)&gt;100,ROUND(MAXGROSS-SUM($F$47:$F$49)-680-40,0)&amp;" kg","----")</f>
        <v>280 kg</v>
      </c>
      <c r="M50" s="203" t="str">
        <f ca="1">CARGO100!G65</f>
        <v>GO</v>
      </c>
    </row>
    <row r="51" spans="3:12" ht="15" thickBot="1">
      <c r="C51" s="57" t="s">
        <v>77</v>
      </c>
      <c r="D51" s="57" t="str">
        <f ca="1">"(מירבי "&amp;IF(ROUND(MAXGROSS-SUM($F$47:$F$48)-SUM($F$49:$F$50),0)&gt;723,723,ROUND(MAXGROSS-SUM($F$47:$F$48)-SUM($F$49:$F$50),0))&amp;")"</f>
        <v>(מירבי 723)</v>
      </c>
      <c r="E51" s="57"/>
      <c r="F51" s="98">
        <v>500</v>
      </c>
      <c r="H51" s="171"/>
      <c r="J51" s="172"/>
      <c r="K51" s="172"/>
      <c r="L51" s="170"/>
    </row>
    <row r="52" spans="3:12" ht="15.75" customHeight="1" thickTop="1">
      <c r="C52" s="13" t="s">
        <v>78</v>
      </c>
      <c r="D52" s="13"/>
      <c r="E52" s="13" t="s">
        <v>102</v>
      </c>
      <c r="F52" s="56">
        <f ca="1">ROUND(SUM($F$47:$F$51),0)</f>
        <v>3200</v>
      </c>
      <c r="H52" s="97" t="str">
        <f>MAXGROSS&amp;" kg"</f>
        <v>3700 kg</v>
      </c>
      <c r="J52" s="321" t="str">
        <f>"משקל מקסימלי אפשרי על הוו 
עם דלק "&amp;userFUEL</f>
        <v>משקל מקסימלי אפשרי על הוו 
עם דלק 500</v>
      </c>
      <c r="K52" s="322"/>
      <c r="L52" s="318" t="str">
        <f ca="1">"עד "&amp;maxCARGO&amp;" "&amp;CARGO!G63</f>
        <v>עד 500 (משקל)</v>
      </c>
    </row>
    <row r="53" spans="3:12" ht="15" customHeight="1">
      <c r="C53" s="353" t="str">
        <f>"EXCEEDING 3700 KG IS "&amp;IF(OR(CARGO!$M$8,CARGO!$M$9),"PROHIBITED",IF(CARGO!$M$10,"PROHIBITED FOR T/O AND LANDING","APPROVED"))</f>
        <v>EXCEEDING 3700 KG IS APPROVED</v>
      </c>
      <c r="D53" s="353"/>
      <c r="E53" s="353"/>
      <c r="F53" s="353"/>
      <c r="J53" s="323"/>
      <c r="K53" s="324"/>
      <c r="L53" s="319"/>
    </row>
    <row r="54" spans="3:12" ht="15" thickBot="1">
      <c r="C54" s="353"/>
      <c r="D54" s="353"/>
      <c r="E54" s="353"/>
      <c r="F54" s="353"/>
      <c r="J54" s="325"/>
      <c r="K54" s="326"/>
      <c r="L54" s="320"/>
    </row>
    <row r="55" spans="3:12" ht="15" customHeight="1">
      <c r="C55" s="345" t="str">
        <f ca="1">IF(AFTtst,"AFT CG LIMIT OUT OF RANGE",IF(FWDtst,"FWD CG LIMIT OUT OF RANGE",IF(EXTtst,"FWD CG IN EXTENDED RANGE","LONG CG LIMIT WITHIN RANGE")))</f>
        <v>LONG CG LIMIT WITHIN RANGE</v>
      </c>
      <c r="D55" s="345"/>
      <c r="E55" s="345"/>
      <c r="F55" s="345"/>
      <c r="J55" s="309" t="str">
        <f ca="1">IF(AND(MIN(cargoLMTfuel)&gt;0,cargoLMT="(משקל)"),"EXT CARGO WEIGHT REDUCED DUE TO CG BETWEEN "&amp;MAX(CARGO!AN15:AN78)&amp;" AND "&amp;MIN(CARGO!AN15:AN78)&amp;" KG","")</f>
        <v/>
      </c>
      <c r="K55" s="309"/>
      <c r="L55" s="309"/>
    </row>
    <row r="56" spans="3:12" ht="15">
      <c r="C56" s="307" t="str">
        <f ca="1">IF(MIN_LONGdevFUEL+MAX_LONGdevFUEL&gt;0,"BETWEEN "&amp;MAX_LONGdevFUEL&amp;" AND "&amp;MIN_LONGdevFUEL&amp;" KG FUEL","")</f>
        <v/>
      </c>
      <c r="D56" s="307"/>
      <c r="E56" s="307"/>
      <c r="F56" s="307"/>
      <c r="J56" s="310"/>
      <c r="K56" s="310"/>
      <c r="L56" s="310"/>
    </row>
    <row r="57" spans="3:12" ht="15">
      <c r="C57" s="305" t="str">
        <f ca="1">IF(RIGHTtst,"RIGHT CG LIMIT OUT OF RANGE",IF(LEFTtst,"LEFT CG LIMIT OUT OF RANGE",""))</f>
        <v/>
      </c>
      <c r="D57" s="305"/>
      <c r="E57" s="305"/>
      <c r="F57" s="305"/>
      <c r="J57" s="310"/>
      <c r="K57" s="310"/>
      <c r="L57" s="310"/>
    </row>
    <row r="58" spans="3:6" ht="15">
      <c r="C58" s="307" t="str">
        <f ca="1">IF(MIN_LATdevFUEL+MAX_LATdevFUEL&gt;0,"BETWEEN "&amp;MIN_LATdevFUEL&amp;" AND "&amp;MAX_LATdevFUEL&amp;" KG FUEL","")</f>
        <v/>
      </c>
      <c r="D58" s="307"/>
      <c r="E58" s="307"/>
      <c r="F58" s="307"/>
    </row>
    <row r="59" spans="3:6" ht="14.25">
      <c r="C59" s="311" t="str">
        <f ca="1">IF(F50&gt;maxCARGO,"MAX EXT CARGO EXEEDED","")</f>
        <v/>
      </c>
      <c r="D59" s="311"/>
      <c r="E59" s="311"/>
      <c r="F59" s="311"/>
    </row>
  </sheetData>
  <mergeCells count="32">
    <mergeCell ref="E2:F2"/>
    <mergeCell ref="I48:I49"/>
    <mergeCell ref="C55:F55"/>
    <mergeCell ref="B4:C5"/>
    <mergeCell ref="D4:D5"/>
    <mergeCell ref="B35:B36"/>
    <mergeCell ref="B23:C24"/>
    <mergeCell ref="B28:C29"/>
    <mergeCell ref="D7:H7"/>
    <mergeCell ref="C53:F54"/>
    <mergeCell ref="C59:F59"/>
    <mergeCell ref="C58:F58"/>
    <mergeCell ref="J29:L29"/>
    <mergeCell ref="J28:L28"/>
    <mergeCell ref="J27:L27"/>
    <mergeCell ref="L52:L54"/>
    <mergeCell ref="J52:K54"/>
    <mergeCell ref="J45:M45"/>
    <mergeCell ref="J48:K48"/>
    <mergeCell ref="J49:K49"/>
    <mergeCell ref="J50:K50"/>
    <mergeCell ref="J46:K46"/>
    <mergeCell ref="J47:K47"/>
    <mergeCell ref="J32:L32"/>
    <mergeCell ref="J31:L31"/>
    <mergeCell ref="J30:L30"/>
    <mergeCell ref="J26:L26"/>
    <mergeCell ref="C57:F57"/>
    <mergeCell ref="I37:I39"/>
    <mergeCell ref="C56:F56"/>
    <mergeCell ref="J37:J39"/>
    <mergeCell ref="J55:L57"/>
  </mergeCells>
  <conditionalFormatting sqref="F52">
    <cfRule type="expression" priority="52" dxfId="50" stopIfTrue="1">
      <formula>$F$52&gt;MAXGROSS</formula>
    </cfRule>
    <cfRule type="expression" priority="56" dxfId="49">
      <formula>$F$52&gt;3700</formula>
    </cfRule>
  </conditionalFormatting>
  <conditionalFormatting sqref="D51">
    <cfRule type="expression" priority="54" dxfId="48">
      <formula>$F$52&gt;MAXGROSS</formula>
    </cfRule>
  </conditionalFormatting>
  <conditionalFormatting sqref="D17">
    <cfRule type="expression" priority="37" dxfId="47">
      <formula>AND(userBAMBI="מחובר",userCARGO="ללא")</formula>
    </cfRule>
    <cfRule type="expression" priority="46" dxfId="47">
      <formula>AND(userCARGOwt&gt;0,userBAMBI="מחובר")</formula>
    </cfRule>
  </conditionalFormatting>
  <conditionalFormatting sqref="H15">
    <cfRule type="expression" priority="45" dxfId="47">
      <formula>AND(userCARGOwt&gt;0,userBAMBI="מחובר")</formula>
    </cfRule>
  </conditionalFormatting>
  <conditionalFormatting sqref="D50">
    <cfRule type="expression" priority="44" dxfId="44">
      <formula>AND(OR(userCARGO="עם מראות",userCARGO="ללא מראות"),userBAMBI="מחובר")</formula>
    </cfRule>
  </conditionalFormatting>
  <conditionalFormatting sqref="C50 F50">
    <cfRule type="expression" priority="43" dxfId="43">
      <formula>userCARGO="לא"</formula>
    </cfRule>
  </conditionalFormatting>
  <conditionalFormatting sqref="J45:M50">
    <cfRule type="expression" priority="42" dxfId="42">
      <formula>OR($D$17&lt;&gt;"מחובר",$D$15="ללא")</formula>
    </cfRule>
  </conditionalFormatting>
  <conditionalFormatting sqref="F15:H15">
    <cfRule type="expression" priority="41" dxfId="42" stopIfTrue="1">
      <formula>userCARGO="ללא"</formula>
    </cfRule>
  </conditionalFormatting>
  <conditionalFormatting sqref="J52:L54">
    <cfRule type="expression" priority="3" dxfId="42" stopIfTrue="1">
      <formula>userCARGO="ללא"</formula>
    </cfRule>
  </conditionalFormatting>
  <conditionalFormatting sqref="C59:F59">
    <cfRule type="expression" priority="36" dxfId="39">
      <formula>F50&gt;maxCARGO</formula>
    </cfRule>
  </conditionalFormatting>
  <conditionalFormatting sqref="F19:H19">
    <cfRule type="expression" priority="31" dxfId="42">
      <formula>userFR="ללא"</formula>
    </cfRule>
  </conditionalFormatting>
  <conditionalFormatting sqref="C55:F56">
    <cfRule type="expression" priority="25" dxfId="37" stopIfTrue="1">
      <formula>$C$55="FWD CG IN EXTENDED RANGE"</formula>
    </cfRule>
    <cfRule type="expression" priority="55" dxfId="50">
      <formula>$C$55&lt;&gt;"LONG CG LIMIT WITHIN RANGE"</formula>
    </cfRule>
  </conditionalFormatting>
  <conditionalFormatting sqref="C53:F54">
    <cfRule type="expression" priority="21" dxfId="35" stopIfTrue="1">
      <formula>(userMAXGROSS=3700)</formula>
    </cfRule>
  </conditionalFormatting>
  <conditionalFormatting sqref="D19">
    <cfRule type="expression" priority="7" dxfId="34">
      <formula>AND(NOT(FRconfig),userFR&lt;&gt;"ללא")</formula>
    </cfRule>
    <cfRule type="expression" priority="10" dxfId="34">
      <formula>AND(userCONFIG="11: גלישה - תנינים",userFR="ללא")</formula>
    </cfRule>
  </conditionalFormatting>
  <conditionalFormatting sqref="J7 J11">
    <cfRule type="expression" priority="9" dxfId="32">
      <formula>AND(FRconfig,userFRside="שמאל")</formula>
    </cfRule>
  </conditionalFormatting>
  <conditionalFormatting sqref="M7 M11">
    <cfRule type="expression" priority="8" dxfId="32">
      <formula>AND(FRconfig,userFRside="ימין")</formula>
    </cfRule>
  </conditionalFormatting>
  <conditionalFormatting sqref="J32">
    <cfRule type="expression" priority="5" dxfId="34">
      <formula>AND(NOT(FRconfig),userFR&lt;&gt;"ללא")</formula>
    </cfRule>
    <cfRule type="expression" priority="6" dxfId="34">
      <formula>AND(userCONFIG="11: גלישה - תנינים",userFR="ללא")</formula>
    </cfRule>
  </conditionalFormatting>
  <conditionalFormatting sqref="J7 M7 J11 M11">
    <cfRule type="expression" priority="4" dxfId="32">
      <formula>AND(FRconfig,userFR="ללא")</formula>
    </cfRule>
  </conditionalFormatting>
  <conditionalFormatting sqref="L52:L54">
    <cfRule type="expression" priority="38" dxfId="34">
      <formula>cargoLMT="(CG)"</formula>
    </cfRule>
  </conditionalFormatting>
  <conditionalFormatting sqref="J55:L57">
    <cfRule type="expression" priority="1" dxfId="26" stopIfTrue="1">
      <formula>userCARGO="ללא"</formula>
    </cfRule>
    <cfRule type="expression" priority="2" dxfId="49">
      <formula>$J$55&lt;&gt;""</formula>
    </cfRule>
  </conditionalFormatting>
  <conditionalFormatting sqref="C57:F58">
    <cfRule type="expression" priority="51" dxfId="51">
      <formula>OR(נתונים!$AL$6:$AM$78)</formula>
    </cfRule>
  </conditionalFormatting>
  <conditionalFormatting sqref="F50">
    <cfRule type="expression" priority="48" dxfId="52">
      <formula>OR(NOT(OR('[1]משקל מערכות'!#REF!)),NOT($D19="מחובר"),$C$39=regCALC)</formula>
    </cfRule>
  </conditionalFormatting>
  <conditionalFormatting sqref="C53:F54">
    <cfRule type="expression" priority="22" dxfId="50" stopIfTrue="1">
      <formula>OR(CARGO!$M$8,CARGO!$M$9)</formula>
    </cfRule>
    <cfRule type="expression" priority="24" dxfId="49">
      <formula>CARGO!$M$10</formula>
    </cfRule>
  </conditionalFormatting>
  <conditionalFormatting sqref="D27 F27 H27 D29 F29 H29 D31 F31 H31">
    <cfRule type="expression" priority="131" dxfId="53">
      <formula>COUNTIF(נתונים!$I$40:$I$51,D26)=0</formula>
    </cfRule>
  </conditionalFormatting>
  <conditionalFormatting sqref="D26 F26 H26 D28 F28 H28 D30 F30 H30">
    <cfRule type="expression" priority="140" dxfId="54">
      <formula>COUNTIF(נתונים!$I$40:$I$51,D26)=0</formula>
    </cfRule>
  </conditionalFormatting>
  <conditionalFormatting sqref="J7">
    <cfRule type="expression" priority="149" dxfId="53">
      <formula>COUNTIF(נתונים!$I$40:$I$51,21)=0</formula>
    </cfRule>
  </conditionalFormatting>
  <conditionalFormatting sqref="J9">
    <cfRule type="expression" priority="150" dxfId="53">
      <formula>COUNTIF(נתונים!$I$40:$I$51,22)=0</formula>
    </cfRule>
  </conditionalFormatting>
  <conditionalFormatting sqref="J11">
    <cfRule type="expression" priority="151" dxfId="53">
      <formula>COUNTIF(נתונים!$I$40:$I$51,23)=0</formula>
    </cfRule>
  </conditionalFormatting>
  <conditionalFormatting sqref="J13">
    <cfRule type="expression" priority="152" dxfId="53">
      <formula>COUNTIF(נתונים!$I$40:$I$51,24)=0</formula>
    </cfRule>
  </conditionalFormatting>
  <conditionalFormatting sqref="J15">
    <cfRule type="expression" priority="153" dxfId="53">
      <formula>COUNTIF(נתונים!$I$40:$I$51,25)=0</formula>
    </cfRule>
  </conditionalFormatting>
  <conditionalFormatting sqref="M7">
    <cfRule type="expression" priority="154" dxfId="53">
      <formula>COUNTIF(נתונים!$I$40:$I$51,11)=0</formula>
    </cfRule>
  </conditionalFormatting>
  <conditionalFormatting sqref="M9">
    <cfRule type="expression" priority="155" dxfId="53">
      <formula>COUNTIF(נתונים!$I$40:$I$51,12)=0</formula>
    </cfRule>
  </conditionalFormatting>
  <conditionalFormatting sqref="M11">
    <cfRule type="expression" priority="156" dxfId="53">
      <formula>COUNTIF(נתונים!$I$40:$I$51,13)=0</formula>
    </cfRule>
  </conditionalFormatting>
  <conditionalFormatting sqref="M13">
    <cfRule type="expression" priority="157" dxfId="53">
      <formula>COUNTIF(נתונים!$I$40:$I$51,14)=0</formula>
    </cfRule>
  </conditionalFormatting>
  <conditionalFormatting sqref="M15">
    <cfRule type="expression" priority="158" dxfId="53">
      <formula>COUNTIF(נתונים!$I$40:$I$51,15)=0</formula>
    </cfRule>
  </conditionalFormatting>
  <dataValidations count="18">
    <dataValidation type="list" allowBlank="1" showInputMessage="1" showErrorMessage="1" sqref="J7 M7 J9 M9 J11 M11 J13 M13 H15 J15 M15 D24 H24 D27 F27 H27 D29 F29 H29 D31 F31 H31 D34:D39">
      <formula1>נתונים!$BA$3:$BA$203</formula1>
    </dataValidation>
    <dataValidation type="list" allowBlank="1" showInputMessage="1" showErrorMessage="1" sqref="D15">
      <formula1>נתונים!$BJ$3:$BJ$5</formula1>
    </dataValidation>
    <dataValidation type="list" allowBlank="1" showInputMessage="1" showErrorMessage="1" sqref="H34:H36">
      <formula1>נתונים!$BE$3:$BE$5</formula1>
    </dataValidation>
    <dataValidation type="list" allowBlank="1" showInputMessage="1" showErrorMessage="1" sqref="F34:F36">
      <formula1>נתונים!$BD$2:$BD$8</formula1>
    </dataValidation>
    <dataValidation type="list" allowBlank="1" showInputMessage="1" showErrorMessage="1" sqref="D4">
      <formula1>נתונים!$C$7:$C$8</formula1>
    </dataValidation>
    <dataValidation type="list" allowBlank="1" showInputMessage="1" showErrorMessage="1" sqref="D9">
      <formula1>נתונים!$AX$3:$AX$5</formula1>
    </dataValidation>
    <dataValidation type="list" allowBlank="1" showInputMessage="1" showErrorMessage="1" sqref="D11 D13 L43">
      <formula1>נתונים!$AY$3:$AY$4</formula1>
    </dataValidation>
    <dataValidation type="list" allowBlank="1" showInputMessage="1" showErrorMessage="1" sqref="F51">
      <formula1>נתונים!$BB$3:$BB$726</formula1>
    </dataValidation>
    <dataValidation type="list" allowBlank="1" showInputMessage="1" showErrorMessage="1" sqref="G41">
      <formula1>CARGO!$W$12:$W$52</formula1>
    </dataValidation>
    <dataValidation type="list" allowBlank="1" showInputMessage="1" showErrorMessage="1" sqref="D41">
      <formula1>CARGO!$V$2:$V$83</formula1>
    </dataValidation>
    <dataValidation type="list" allowBlank="1" showInputMessage="1" showErrorMessage="1" sqref="D17">
      <formula1>נתונים!$AW$3:$AW$5</formula1>
    </dataValidation>
    <dataValidation type="list" allowBlank="1" showInputMessage="1" showErrorMessage="1" sqref="D50">
      <formula1>נתונים!$AZ$3:$AZ$7</formula1>
    </dataValidation>
    <dataValidation type="list" allowBlank="1" showInputMessage="1" showErrorMessage="1" sqref="D19">
      <formula1>נתונים!$BF$3:$BF$4</formula1>
    </dataValidation>
    <dataValidation type="list" allowBlank="1" showInputMessage="1" showErrorMessage="1" sqref="H19">
      <formula1>נתונים!$BG$3:$BG$5</formula1>
    </dataValidation>
    <dataValidation type="list" allowBlank="1" showInputMessage="1" showErrorMessage="1" sqref="D7:H7">
      <formula1>'משקל מערכות'!$C$26:$C$44</formula1>
    </dataValidation>
    <dataValidation type="list" allowBlank="1" showInputMessage="1" showErrorMessage="1" sqref="F37:F39">
      <formula1>נתונים!$BH$3:$BH$83</formula1>
    </dataValidation>
    <dataValidation type="list" allowBlank="1" showInputMessage="1" showErrorMessage="1" sqref="H37:H39">
      <formula1>נתונים!$BI$3:$BI$51</formula1>
    </dataValidation>
    <dataValidation type="list" allowBlank="1" showInputMessage="1" showErrorMessage="1" sqref="L41">
      <formula1>נתונים!$BC$3:$BC$4</formula1>
    </dataValidation>
  </dataValidations>
  <pageMargins left="0.7" right="0.7" top="0.75" bottom="0.75" header="0.3" footer="0.3"/>
  <pageSetup orientation="portrait" paperSize="9" r:id="rId3"/>
  <ignoredErrors>
    <ignoredError sqref="J32" unlockedFormula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79984760284"/>
  </sheetPr>
  <dimension ref="A1:C32"/>
  <sheetViews>
    <sheetView rightToLeft="1" zoomScale="115" zoomScaleNormal="115" workbookViewId="0" topLeftCell="A15">
      <selection pane="topLeft" activeCell="C16" sqref="C16"/>
    </sheetView>
  </sheetViews>
  <sheetFormatPr defaultColWidth="17.875" defaultRowHeight="234.75" customHeight="1"/>
  <cols>
    <col min="1" max="1" width="33.25" bestFit="1" customWidth="1"/>
    <col min="2" max="2" width="22.125" style="12" customWidth="1"/>
    <col min="3" max="3" width="23.875" customWidth="1"/>
    <col min="4" max="4" width="21.625" style="274" customWidth="1"/>
  </cols>
  <sheetData>
    <row r="1" spans="1:2" ht="234.75" customHeight="1">
      <c r="A1" t="s">
        <v>303</v>
      </c>
      <c r="B1" s="12" t="s">
        <v>304</v>
      </c>
    </row>
    <row r="2" spans="1:3" ht="234.75" customHeight="1">
      <c r="A2" s="271" t="str">
        <f>'משקל מערכות'!C26</f>
        <v>01: קבועה - 4 כסאות</v>
      </c>
      <c r="C2" s="271" t="s">
        <v>352</v>
      </c>
    </row>
    <row r="3" spans="1:3" ht="234.75" customHeight="1">
      <c r="A3" s="271" t="str">
        <f>'משקל מערכות'!C27</f>
        <v>02: 2 כסאות / מתנא</v>
      </c>
      <c r="C3" s="193"/>
    </row>
    <row r="4" spans="1:3" ht="234.75" customHeight="1">
      <c r="A4" s="271" t="str">
        <f>'משקל מערכות'!C28</f>
        <v>03: בטן חלקה</v>
      </c>
      <c r="C4" s="193"/>
    </row>
    <row r="5" spans="1:1" ht="234.75" customHeight="1">
      <c r="A5" s="271" t="str">
        <f>'משקל מערכות'!C29</f>
        <v>04: תובלה 6 כסאות</v>
      </c>
    </row>
    <row r="6" spans="1:1" ht="234.75" customHeight="1">
      <c r="A6" s="271" t="str">
        <f>'משקל מערכות'!C30</f>
        <v>05: תובלה - 7 כסאות</v>
      </c>
    </row>
    <row r="7" spans="1:1" ht="234.75" customHeight="1">
      <c r="A7" s="271" t="str">
        <f>'משקל מערכות'!C31</f>
        <v>06: תובלה - 8 כסאות</v>
      </c>
    </row>
    <row r="8" spans="1:1" ht="234.75" customHeight="1">
      <c r="A8" s="271" t="str">
        <f>'משקל מערכות'!C32</f>
        <v>07: שתפ לוחמים - ללא פלסיב</v>
      </c>
    </row>
    <row r="9" spans="1:1" ht="234.75" customHeight="1">
      <c r="A9" s="271" t="str">
        <f>'משקל מערכות'!C33</f>
        <v>08: שתפ לוחמים - עם פלסיב</v>
      </c>
    </row>
    <row r="10" spans="1:1" ht="234.75" customHeight="1">
      <c r="A10" s="271" t="str">
        <f>'משקל מערכות'!C34</f>
        <v>09: להבה - 4 לוחמים + ציוד + 2 כסאות</v>
      </c>
    </row>
    <row r="11" spans="1:1" ht="234.75" customHeight="1">
      <c r="A11" s="271" t="str">
        <f>'משקל מערכות'!C35</f>
        <v>10: פינוי בהיטס</v>
      </c>
    </row>
    <row r="12" spans="1:1" ht="234.75" customHeight="1">
      <c r="A12" s="271" t="str">
        <f>'משקל מערכות'!C36</f>
        <v>11: גלישה - תנינים</v>
      </c>
    </row>
    <row r="13" spans="1:1" ht="234.75" customHeight="1">
      <c r="A13" s="271" t="str">
        <f>'משקל מערכות'!C37</f>
        <v>12: צניחה עם פלסיב</v>
      </c>
    </row>
    <row r="14" spans="1:1" ht="234.75" customHeight="1">
      <c r="A14" s="271" t="str">
        <f>'משקל מערכות'!C38</f>
        <v>13: פרננדו</v>
      </c>
    </row>
    <row r="15" spans="1:1" ht="234.75" customHeight="1">
      <c r="A15" s="271" t="str">
        <f>'משקל מערכות'!C39</f>
        <v>14: טיסה כבדה</v>
      </c>
    </row>
    <row r="16" spans="1:1" ht="234.75" customHeight="1">
      <c r="A16" s="271" t="str">
        <f>'משקל מערכות'!C40</f>
        <v>15: להבה - LONGLINE + כסאות</v>
      </c>
    </row>
    <row r="17" spans="1:1" ht="234.75" customHeight="1">
      <c r="A17" s="271" t="str">
        <f>'משקל מערכות'!C41</f>
        <v xml:space="preserve">16: </v>
      </c>
    </row>
    <row r="18" spans="1:1" ht="234.75" customHeight="1">
      <c r="A18" s="271" t="str">
        <f>'משקל מערכות'!C42</f>
        <v xml:space="preserve">17: </v>
      </c>
    </row>
    <row r="19" spans="1:1" ht="234.75" customHeight="1">
      <c r="A19" s="271" t="str">
        <f>'משקל מערכות'!C43</f>
        <v xml:space="preserve">18: </v>
      </c>
    </row>
    <row r="20" spans="1:1" ht="234.75" customHeight="1">
      <c r="A20" s="271" t="str">
        <f>'משקל מערכות'!C44</f>
        <v xml:space="preserve">19: </v>
      </c>
    </row>
    <row r="21" spans="1:1" ht="234.75" customHeight="1">
      <c r="A21" s="271" t="str">
        <f>'משקל מערכות'!C45</f>
        <v>20: טיסה כבדה</v>
      </c>
    </row>
    <row r="22" spans="1:1" ht="234.75" customHeight="1">
      <c r="A22" s="271" t="str">
        <f>'משקל מערכות'!C46</f>
        <v>21: כיבוי אש</v>
      </c>
    </row>
    <row r="23" spans="1:1" ht="234.75" customHeight="1">
      <c r="A23" s="271" t="str">
        <f>'משקל מערכות'!C47</f>
        <v>22: Offshore Configuration - Variant 7</v>
      </c>
    </row>
    <row r="24" spans="1:1" ht="234.75" customHeight="1">
      <c r="A24" s="271" t="str">
        <f>'משקל מערכות'!C48</f>
        <v>23: Offshore Configuration - Variant 8</v>
      </c>
    </row>
    <row r="25" spans="1:1" ht="234.75" customHeight="1">
      <c r="A25" s="271" t="str">
        <f>'משקל מערכות'!C49</f>
        <v>24: חפק מוטס - התקנה קדמית - 5 כסאות</v>
      </c>
    </row>
    <row r="26" spans="1:1" ht="234.75" customHeight="1">
      <c r="A26" s="271" t="str">
        <f>'משקל מערכות'!C50</f>
        <v>25: חפק מוטס - התקנה קדמית - שורה קדמית ואמצעית</v>
      </c>
    </row>
    <row r="27" spans="1:1" ht="234.75" customHeight="1">
      <c r="A27" s="271" t="str">
        <f>'משקל מערכות'!C51</f>
        <v>26: חפק מוטס - התקנה קדמית - שורה קדמית ואחורית</v>
      </c>
    </row>
    <row r="28" spans="1:1" ht="234.75" customHeight="1">
      <c r="A28" s="271" t="str">
        <f>'משקל מערכות'!C52</f>
        <v>27: חפק מוטס - התקנה אחורית - 4 כסאות</v>
      </c>
    </row>
    <row r="29" spans="1:1" ht="234.75" customHeight="1">
      <c r="A29" s="271">
        <f>'משקל מערכות'!C53</f>
        <v>0</v>
      </c>
    </row>
    <row r="30" spans="1:1" ht="234.75" customHeight="1">
      <c r="A30" s="271">
        <f>'משקל מערכות'!C54</f>
        <v>0</v>
      </c>
    </row>
    <row r="31" spans="1:1" ht="234.75" customHeight="1">
      <c r="A31" s="271">
        <f>'משקל מערכות'!C55</f>
        <v>0</v>
      </c>
    </row>
    <row r="32" spans="1:1" ht="234.75" customHeight="1">
      <c r="A32" s="271">
        <f>'משקל מערכות'!C56</f>
        <v>0</v>
      </c>
    </row>
  </sheetData>
  <dataValidations count="1">
    <dataValidation type="list" allowBlank="1" showInputMessage="1" showErrorMessage="1" sqref="C2">
      <formula1>$A$2:$A$28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tabColor theme="9" tint="0.799950003623962"/>
  </sheetPr>
  <dimension ref="C2:BJ726"/>
  <sheetViews>
    <sheetView rightToLeft="1" workbookViewId="0" topLeftCell="V10">
      <selection pane="topLeft" activeCell="C52" sqref="C52"/>
    </sheetView>
  </sheetViews>
  <sheetFormatPr defaultRowHeight="14.25"/>
  <cols>
    <col min="3" max="3" width="43.625" bestFit="1" customWidth="1"/>
    <col min="5" max="5" width="10.375" bestFit="1" customWidth="1"/>
    <col min="6" max="6" width="11.375" style="41" bestFit="1" customWidth="1"/>
    <col min="7" max="7" width="10" style="41" bestFit="1" customWidth="1"/>
    <col min="8" max="8" width="8.5" bestFit="1" customWidth="1"/>
    <col min="11" max="11" width="43.625" bestFit="1" customWidth="1"/>
    <col min="12" max="12" width="5.875" bestFit="1" customWidth="1"/>
    <col min="13" max="13" width="11.375" bestFit="1" customWidth="1"/>
    <col min="14" max="14" width="9.375" bestFit="1" customWidth="1"/>
    <col min="15" max="15" width="11.375" style="1" bestFit="1" customWidth="1"/>
    <col min="16" max="16" width="10.375" style="1" bestFit="1" customWidth="1"/>
    <col min="17" max="17" width="9.625" bestFit="1" customWidth="1"/>
    <col min="18" max="18" width="8.5" bestFit="1" customWidth="1"/>
    <col min="19" max="19" width="11.75" bestFit="1" customWidth="1"/>
    <col min="20" max="20" width="9" style="41"/>
    <col min="21" max="21" width="10.375" style="41" bestFit="1" customWidth="1"/>
    <col min="22" max="22" width="8.875" style="41" bestFit="1" customWidth="1"/>
    <col min="32" max="32" width="10.375" bestFit="1" customWidth="1"/>
    <col min="33" max="33" width="11.875" bestFit="1" customWidth="1"/>
    <col min="40" max="40" width="9.125" bestFit="1" customWidth="1"/>
  </cols>
  <sheetData>
    <row r="1" ht="15" thickBot="1"/>
    <row r="2" spans="20:62" ht="15.75" thickBot="1">
      <c r="T2" s="392" t="s">
        <v>18</v>
      </c>
      <c r="U2" s="393"/>
      <c r="V2" s="394"/>
      <c r="X2" s="385" t="s">
        <v>92</v>
      </c>
      <c r="Y2" s="386"/>
      <c r="Z2" s="22"/>
      <c r="AB2" s="392" t="s">
        <v>120</v>
      </c>
      <c r="AC2" s="393"/>
      <c r="AD2" s="394"/>
      <c r="AH2" s="225"/>
      <c r="AI2" s="230" t="s">
        <v>121</v>
      </c>
      <c r="AJ2" s="231"/>
      <c r="AW2" t="s">
        <v>189</v>
      </c>
      <c r="AX2" t="s">
        <v>39</v>
      </c>
      <c r="AY2" t="s">
        <v>40</v>
      </c>
      <c r="AZ2" t="s">
        <v>202</v>
      </c>
      <c r="BA2" t="s">
        <v>0</v>
      </c>
      <c r="BB2" t="s">
        <v>77</v>
      </c>
      <c r="BC2" t="s">
        <v>110</v>
      </c>
      <c r="BF2" t="s">
        <v>237</v>
      </c>
      <c r="BG2" t="s">
        <v>239</v>
      </c>
      <c r="BH2" t="s">
        <v>271</v>
      </c>
      <c r="BI2" t="s">
        <v>272</v>
      </c>
      <c r="BJ2" t="s">
        <v>285</v>
      </c>
    </row>
    <row r="3" spans="20:62" ht="15.75" thickBot="1">
      <c r="T3" s="387" t="s">
        <v>167</v>
      </c>
      <c r="U3" s="388"/>
      <c r="V3" s="389"/>
      <c r="X3" s="390" t="s">
        <v>170</v>
      </c>
      <c r="Y3" s="391"/>
      <c r="Z3" s="22"/>
      <c r="AB3" s="387" t="s">
        <v>168</v>
      </c>
      <c r="AC3" s="388"/>
      <c r="AD3" s="389"/>
      <c r="AH3" s="238"/>
      <c r="AI3" s="233" t="s">
        <v>169</v>
      </c>
      <c r="AJ3" s="234"/>
      <c r="AL3" s="400" t="s">
        <v>158</v>
      </c>
      <c r="AM3" s="401"/>
      <c r="AN3" s="22"/>
      <c r="AQ3" s="378" t="s">
        <v>184</v>
      </c>
      <c r="AR3" s="379"/>
      <c r="AT3" s="378" t="s">
        <v>185</v>
      </c>
      <c r="AU3" s="379"/>
      <c r="AW3" t="s">
        <v>190</v>
      </c>
      <c r="AX3" s="1" t="s">
        <v>66</v>
      </c>
      <c r="AY3" t="s">
        <v>69</v>
      </c>
      <c r="AZ3" s="173">
        <v>0</v>
      </c>
      <c r="BA3">
        <v>0</v>
      </c>
      <c r="BB3">
        <v>0</v>
      </c>
      <c r="BC3">
        <v>3700</v>
      </c>
      <c r="BD3" t="s">
        <v>122</v>
      </c>
      <c r="BE3" t="s">
        <v>162</v>
      </c>
      <c r="BF3" t="s">
        <v>66</v>
      </c>
      <c r="BG3" t="s">
        <v>240</v>
      </c>
      <c r="BH3">
        <v>2000</v>
      </c>
      <c r="BI3">
        <v>1200</v>
      </c>
      <c r="BJ3" t="s">
        <v>66</v>
      </c>
    </row>
    <row r="4" spans="20:62" ht="15" thickBot="1">
      <c r="T4" s="63" t="s">
        <v>16</v>
      </c>
      <c r="U4" s="64" t="s">
        <v>14</v>
      </c>
      <c r="V4" s="62" t="s">
        <v>15</v>
      </c>
      <c r="W4" s="8"/>
      <c r="X4" s="61" t="s">
        <v>90</v>
      </c>
      <c r="Y4" s="245" t="s">
        <v>91</v>
      </c>
      <c r="Z4" s="244" t="s">
        <v>252</v>
      </c>
      <c r="AB4" s="63" t="s">
        <v>16</v>
      </c>
      <c r="AC4" s="64" t="s">
        <v>14</v>
      </c>
      <c r="AD4" s="62" t="s">
        <v>15</v>
      </c>
      <c r="AE4" s="8"/>
      <c r="AF4" s="244" t="s">
        <v>259</v>
      </c>
      <c r="AG4" s="244" t="s">
        <v>251</v>
      </c>
      <c r="AH4" s="241" t="s">
        <v>90</v>
      </c>
      <c r="AI4" s="235" t="s">
        <v>250</v>
      </c>
      <c r="AJ4" s="232" t="s">
        <v>91</v>
      </c>
      <c r="AK4" s="8"/>
      <c r="AL4" s="61" t="s">
        <v>159</v>
      </c>
      <c r="AM4" s="245" t="s">
        <v>160</v>
      </c>
      <c r="AN4" s="244" t="s">
        <v>260</v>
      </c>
      <c r="AO4" s="8"/>
      <c r="AP4" s="8"/>
      <c r="AQ4" s="4" t="s">
        <v>1</v>
      </c>
      <c r="AR4" s="6" t="s">
        <v>0</v>
      </c>
      <c r="AT4" s="4" t="s">
        <v>1</v>
      </c>
      <c r="AU4" s="6" t="s">
        <v>0</v>
      </c>
      <c r="AW4" t="s">
        <v>191</v>
      </c>
      <c r="AX4" s="1" t="s">
        <v>67</v>
      </c>
      <c r="AY4" t="s">
        <v>70</v>
      </c>
      <c r="AZ4" s="173">
        <v>0.70</v>
      </c>
      <c r="BA4">
        <v>5</v>
      </c>
      <c r="BB4">
        <v>1</v>
      </c>
      <c r="BC4">
        <v>3800</v>
      </c>
      <c r="BD4" t="s">
        <v>123</v>
      </c>
      <c r="BE4" t="s">
        <v>163</v>
      </c>
      <c r="BF4" t="s">
        <v>359</v>
      </c>
      <c r="BG4" t="s">
        <v>242</v>
      </c>
      <c r="BH4">
        <v>2050</v>
      </c>
      <c r="BI4">
        <v>1150</v>
      </c>
      <c r="BJ4" t="s">
        <v>286</v>
      </c>
    </row>
    <row r="5" spans="3:62" ht="15">
      <c r="C5" s="359" t="s">
        <v>7</v>
      </c>
      <c r="D5" s="360"/>
      <c r="E5" s="360"/>
      <c r="F5" s="360"/>
      <c r="G5" s="360"/>
      <c r="H5" s="361"/>
      <c r="K5" s="359" t="s">
        <v>62</v>
      </c>
      <c r="L5" s="360"/>
      <c r="M5" s="360"/>
      <c r="N5" s="360"/>
      <c r="O5" s="360"/>
      <c r="P5" s="361"/>
      <c r="S5" s="14" t="s">
        <v>13</v>
      </c>
      <c r="T5" s="44">
        <f ca="1">VLOOKUP(ראשי!$D$4,נתונים!$C$56:$H$57,2,FALSE)</f>
        <v>2699.6019999999999</v>
      </c>
      <c r="U5" s="33">
        <f ca="1">VLOOKUP(ראשי!$D$4,נתונים!$C$56:$H$57,3,FALSE)</f>
        <v>4505.1075139372397</v>
      </c>
      <c r="V5" s="34">
        <f ca="1">VLOOKUP(ראשי!$D$4,נתונים!$C$56:$H$57,6,FALSE)</f>
        <v>-5.882858732509459</v>
      </c>
      <c r="W5" s="1"/>
      <c r="X5" s="16" t="b">
        <f ca="1" t="shared" si="0" ref="X5:X36">IF($T5&lt;$AR$5,$U5&lt;($T5-$AR$32)/$AQ$32,FALSE)</f>
        <v>0</v>
      </c>
      <c r="Y5" s="246" t="b">
        <f ca="1" t="shared" si="1" ref="Y5:Y36">IF($T5&lt;$AR$5,$U5&gt;($T5-$AR$33)/$AQ$33,FALSE)</f>
        <v>0</v>
      </c>
      <c r="Z5" s="239" t="str">
        <f ca="1">IF($Y5,0,"")</f>
        <v/>
      </c>
      <c r="AA5">
        <v>0</v>
      </c>
      <c r="AB5" s="44">
        <f ca="1">VLOOKUP(ראשי!$D$4,נתונים!$C$61:$H$62,2,FALSE)</f>
        <v>2699.6019999999999</v>
      </c>
      <c r="AC5" s="33">
        <f ca="1">VLOOKUP(ראשי!$D$4,נתונים!$C$61:$H$62,3,FALSE)</f>
        <v>4505.1075139372397</v>
      </c>
      <c r="AD5" s="34">
        <f ca="1">VLOOKUP(ראשי!$D$4,נתונים!$C$61:$H$62,6,FALSE)</f>
        <v>-5.882858732509459</v>
      </c>
      <c r="AF5" s="239"/>
      <c r="AG5" s="239"/>
      <c r="AH5" s="242" t="b">
        <f ca="1" t="shared" si="2" ref="AH5:AH36">OR($AC5&lt;($AB5-$AR$34)/$AQ$34,$AC5&lt;4250)</f>
        <v>0</v>
      </c>
      <c r="AI5" s="236" t="b">
        <f ca="1" t="shared" si="3" ref="AI5:AI36">IF(AB5&lt;takeoffWT2,IF($AB5&lt;$AR$5,$AC5&lt;($AB5-$AR$32)/$AQ$32,FALSE),FALSE)</f>
        <v>0</v>
      </c>
      <c r="AJ5" s="26" t="b">
        <f ca="1" t="shared" si="4" ref="AJ5:AJ36">IF($AB5&lt;$AR$5,$AC5&gt;($AB5-$AR$33)/$AQ$33,FALSE)</f>
        <v>0</v>
      </c>
      <c r="AL5" s="16" t="b">
        <f ca="1">OR($AD5&gt;$AQ$17,AND($AB5&gt;$AR$16,$AD5&gt;$AQ$16))</f>
        <v>0</v>
      </c>
      <c r="AM5" s="246" t="b">
        <f ca="1" t="shared" si="5" ref="AM5:AM36">OR($AD5&lt;$AQ$20,AND($AB5&gt;$AR$16,$AD5&lt;$AQ$21))</f>
        <v>0</v>
      </c>
      <c r="AN5" s="239" t="str">
        <f ca="1">IF(OR(AL5:AM5),0,"")</f>
        <v/>
      </c>
      <c r="AQ5" s="205">
        <f>IF(userMAXGROSS=3700,4380,4383)</f>
        <v>4380</v>
      </c>
      <c r="AR5" s="206">
        <f>MAXGROSS</f>
        <v>3700</v>
      </c>
      <c r="AT5" s="210">
        <v>4380</v>
      </c>
      <c r="AU5" s="211">
        <v>3700</v>
      </c>
      <c r="AW5" t="s">
        <v>66</v>
      </c>
      <c r="AX5" s="1" t="s">
        <v>68</v>
      </c>
      <c r="AZ5" s="173">
        <v>0.80</v>
      </c>
      <c r="BA5">
        <v>10</v>
      </c>
      <c r="BB5">
        <v>2</v>
      </c>
      <c r="BD5" t="s">
        <v>124</v>
      </c>
      <c r="BE5" t="s">
        <v>164</v>
      </c>
      <c r="BG5" t="s">
        <v>241</v>
      </c>
      <c r="BH5">
        <v>2100</v>
      </c>
      <c r="BI5">
        <v>1100</v>
      </c>
      <c r="BJ5" t="s">
        <v>287</v>
      </c>
    </row>
    <row r="6" spans="3:61" ht="14.25">
      <c r="C6" s="4" t="s">
        <v>8</v>
      </c>
      <c r="D6" s="5" t="s">
        <v>0</v>
      </c>
      <c r="E6" s="5" t="s">
        <v>14</v>
      </c>
      <c r="F6" s="42" t="s">
        <v>3</v>
      </c>
      <c r="G6" s="42" t="s">
        <v>4</v>
      </c>
      <c r="H6" s="6" t="s">
        <v>15</v>
      </c>
      <c r="K6" s="4" t="s">
        <v>2</v>
      </c>
      <c r="L6" s="5" t="s">
        <v>0</v>
      </c>
      <c r="M6" s="5" t="s">
        <v>14</v>
      </c>
      <c r="N6" s="42" t="s">
        <v>3</v>
      </c>
      <c r="O6" s="42" t="s">
        <v>4</v>
      </c>
      <c r="P6" s="6" t="s">
        <v>15</v>
      </c>
      <c r="T6" s="43">
        <f ca="1">IF($T$5+דלק!$C3&gt;takoffweight+1,takoffweight,$T$5+דלק!$C3)</f>
        <v>2709.6019999999999</v>
      </c>
      <c r="U6" s="29">
        <f ca="1">IF($T$5+דלק!$C3&gt;takoffweight+1,INDIRECT(ADDRESS(ROW()-1,COLUMN())),($T$5*$U$5+דלק!$C3*דלק!$D3)/($T$5+דלק!$C3))</f>
        <v>4501.7782149703171</v>
      </c>
      <c r="V6" s="31">
        <f ca="1">IF($T$5+דלק!$C3&gt;takoffweight,INDIRECT(ADDRESS(ROW()-1,COLUMN())),($T$5*$V$5+דלק!$C3*דלק!$E3)/($T$5+דלק!$C3))</f>
        <v>-5.3592288461552657</v>
      </c>
      <c r="X6" s="16" t="b">
        <f t="shared" ca="1" si="0"/>
        <v>0</v>
      </c>
      <c r="Y6" s="246" t="b">
        <f t="shared" ca="1" si="1"/>
        <v>0</v>
      </c>
      <c r="Z6" s="239" t="str">
        <f ca="1">IF($Y6,דלק!$C3,"")</f>
        <v/>
      </c>
      <c r="AA6">
        <v>10</v>
      </c>
      <c r="AB6" s="43">
        <f ca="1">IF($AB$5+דלק!$C3&gt;takoffweight+1,takoffweight,$AB$5+דלק!$C3)</f>
        <v>2709.6019999999999</v>
      </c>
      <c r="AC6" s="29">
        <f ca="1">IF($AB$5+דלק!$C3&gt;takoffweight+1,INDIRECT(ADDRESS(ROW()-1,COLUMN())),($AB$5*$AC$5+דלק!$C3*דלק!$D3)/($AB$5+דלק!$C3))</f>
        <v>4501.7782149703171</v>
      </c>
      <c r="AD6" s="31">
        <f ca="1">IF($AB$5+דלק!$C3&gt;takoffweight,INDIRECT(ADDRESS(ROW()-1,COLUMN())),($AB$5*$AD$5+דלק!$C3*דלק!$E3)/($AB$5+דלק!$C3))</f>
        <v>-5.3592288461552657</v>
      </c>
      <c r="AF6" s="239"/>
      <c r="AG6" s="239"/>
      <c r="AH6" s="242" t="b">
        <f t="shared" ca="1" si="2"/>
        <v>0</v>
      </c>
      <c r="AI6" s="236" t="b">
        <f t="shared" ca="1" si="3"/>
        <v>0</v>
      </c>
      <c r="AJ6" s="26" t="b">
        <f t="shared" ca="1" si="4"/>
        <v>0</v>
      </c>
      <c r="AL6" s="16" t="b">
        <f ca="1">OR($AD6&gt;$AQ$17,AND($AB6&gt;$AR$16,$AD6&gt;$AQ$16))</f>
        <v>0</v>
      </c>
      <c r="AM6" s="246" t="b">
        <f t="shared" ca="1" si="5"/>
        <v>0</v>
      </c>
      <c r="AN6" s="239" t="str">
        <f ca="1">IF(OR(AL6:AM6),דלק!C3,"")</f>
        <v/>
      </c>
      <c r="AQ6" s="205">
        <f>IF(userMAXGROSS=3700,4535,4525)</f>
        <v>4535</v>
      </c>
      <c r="AR6" s="207">
        <f>AR5</f>
        <v>3700</v>
      </c>
      <c r="AT6" s="210">
        <v>4535</v>
      </c>
      <c r="AU6" s="212">
        <f>AU5</f>
        <v>3700</v>
      </c>
      <c r="AZ6" s="173">
        <v>0.90</v>
      </c>
      <c r="BA6">
        <v>15</v>
      </c>
      <c r="BB6">
        <v>3</v>
      </c>
      <c r="BD6" t="s">
        <v>125</v>
      </c>
      <c r="BH6">
        <v>2150</v>
      </c>
      <c r="BI6">
        <v>1050</v>
      </c>
    </row>
    <row r="7" spans="3:61" ht="14.25">
      <c r="C7" s="7" t="s">
        <v>5</v>
      </c>
      <c r="D7" s="35">
        <f>ברזל!I27</f>
        <v>2390.4499999999998</v>
      </c>
      <c r="E7" s="35">
        <f>ברזל!J27</f>
        <v>4714.0336010792944</v>
      </c>
      <c r="F7" s="39">
        <f>D7*E7</f>
        <v>11268661.621699998</v>
      </c>
      <c r="G7" s="39">
        <f>D7*H7</f>
        <v>-5675.1081999999988</v>
      </c>
      <c r="H7" s="10">
        <f>ברזל!M27</f>
        <v>-2.3740752577966489</v>
      </c>
      <c r="K7" s="25" t="str">
        <f>IF('משקל מערכות'!$B4=0,"",'משקל מערכות'!C4)</f>
        <v/>
      </c>
      <c r="L7" s="100" t="str">
        <f>IF('משקל מערכות'!$B4=0,"",'משקל מערכות'!D4)</f>
        <v/>
      </c>
      <c r="M7" s="100" t="str">
        <f>IF('משקל מערכות'!$B4=0,"",'משקל מערכות'!E4)</f>
        <v/>
      </c>
      <c r="N7" s="188" t="str">
        <f>IF('משקל מערכות'!$B4=0,"",'משקל מערכות'!F4)</f>
        <v/>
      </c>
      <c r="O7" s="39" t="str">
        <f>IF('משקל מערכות'!$B4=0,"",'משקל מערכות'!G4)</f>
        <v/>
      </c>
      <c r="P7" s="2" t="str">
        <f>IF('משקל מערכות'!$B4=0,"",'משקל מערכות'!H4)</f>
        <v/>
      </c>
      <c r="T7" s="43">
        <f ca="1">IF($T$5+דלק!$C4&gt;takoffweight+1,takoffweight,$T$5+דלק!$C4)</f>
        <v>2719.6019999999999</v>
      </c>
      <c r="U7" s="29">
        <f ca="1">IF($T$5+דלק!$C4&gt;takoffweight+1,INDIRECT(ADDRESS(ROW()-1,COLUMN())),($T$5*$U$5+דלק!$C4*דלק!$D4)/($T$5+דלק!$C4))</f>
        <v>4498.4586916909166</v>
      </c>
      <c r="V7" s="31">
        <f ca="1">IF($T$5+דלק!$C4&gt;takoffweight,INDIRECT(ADDRESS(ROW()-1,COLUMN())),($T$5*$V$5+דלק!$C4*דלק!$E4)/($T$5+דלק!$C4))</f>
        <v>-5.2733367603053685</v>
      </c>
      <c r="X7" s="16" t="b">
        <f t="shared" ca="1" si="0"/>
        <v>0</v>
      </c>
      <c r="Y7" s="246" t="b">
        <f t="shared" ca="1" si="1"/>
        <v>0</v>
      </c>
      <c r="Z7" s="239" t="str">
        <f ca="1">IF($Y7,דלק!$C4,"")</f>
        <v/>
      </c>
      <c r="AA7">
        <v>20</v>
      </c>
      <c r="AB7" s="43">
        <f ca="1">IF($AB$5+דלק!$C4&gt;takoffweight+1,takoffweight,$AB$5+דלק!$C4)</f>
        <v>2719.6019999999999</v>
      </c>
      <c r="AC7" s="29">
        <f ca="1">IF($AB$5+דלק!$C4&gt;takoffweight+1,INDIRECT(ADDRESS(ROW()-1,COLUMN())),($AB$5*$AC$5+דלק!$C4*דלק!$D4)/($AB$5+דלק!$C4))</f>
        <v>4498.4586916909166</v>
      </c>
      <c r="AD7" s="31">
        <f ca="1">IF($AB$5+דלק!$C4&gt;takoffweight,INDIRECT(ADDRESS(ROW()-1,COLUMN())),($AB$5*$AD$5+דלק!$C4*דלק!$E4)/($AB$5+דלק!$C4))</f>
        <v>-5.2733367603053685</v>
      </c>
      <c r="AF7" s="239"/>
      <c r="AG7" s="239"/>
      <c r="AH7" s="242" t="b">
        <f t="shared" ca="1" si="2"/>
        <v>0</v>
      </c>
      <c r="AI7" s="236" t="b">
        <f t="shared" ca="1" si="3"/>
        <v>0</v>
      </c>
      <c r="AJ7" s="26" t="b">
        <f t="shared" ca="1" si="4"/>
        <v>0</v>
      </c>
      <c r="AL7" s="16" t="b">
        <f ca="1" t="shared" si="6" ref="AL7:AL36">OR($AD7&gt;$AQ$17,AND($AB7&gt;$AR$16,$AD7&gt;$AQ$16))</f>
        <v>0</v>
      </c>
      <c r="AM7" s="246" t="b">
        <f t="shared" ca="1" si="5"/>
        <v>0</v>
      </c>
      <c r="AN7" s="239" t="str">
        <f ca="1">IF(OR(AL7:AM7),דלק!C4,"")</f>
        <v/>
      </c>
      <c r="AQ7" s="205">
        <v>4700</v>
      </c>
      <c r="AR7" s="207">
        <v>2000</v>
      </c>
      <c r="AT7" s="210">
        <v>4700</v>
      </c>
      <c r="AU7" s="161">
        <v>2000</v>
      </c>
      <c r="AZ7" s="173">
        <v>1</v>
      </c>
      <c r="BA7">
        <v>20</v>
      </c>
      <c r="BB7">
        <v>4</v>
      </c>
      <c r="BD7" t="s">
        <v>126</v>
      </c>
      <c r="BH7">
        <v>2200</v>
      </c>
      <c r="BI7">
        <v>1000</v>
      </c>
    </row>
    <row r="8" spans="3:61" ht="15" thickBot="1">
      <c r="C8" s="9" t="s">
        <v>6</v>
      </c>
      <c r="D8" s="36">
        <f>ברזל!I28</f>
        <v>2386.9499999999998</v>
      </c>
      <c r="E8" s="36">
        <f>ברזל!J28</f>
        <v>4713.9748402103105</v>
      </c>
      <c r="F8" s="40">
        <f>D8*E8</f>
        <v>11252022.24484</v>
      </c>
      <c r="G8" s="40">
        <f>D8*H8</f>
        <v>2723.8227999999999</v>
      </c>
      <c r="H8" s="11">
        <f>ברזל!M28</f>
        <v>1.1411310668426236</v>
      </c>
      <c r="K8" s="25" t="str">
        <f>IF('משקל מערכות'!$B5=0,"",'משקל מערכות'!C5)</f>
        <v/>
      </c>
      <c r="L8" s="100" t="str">
        <f>IF('משקל מערכות'!$B5=0,"",'משקל מערכות'!D5)</f>
        <v/>
      </c>
      <c r="M8" s="100" t="str">
        <f>IF('משקל מערכות'!$B5=0,"",'משקל מערכות'!E5)</f>
        <v/>
      </c>
      <c r="N8" s="188" t="str">
        <f>IF('משקל מערכות'!$B5=0,"",'משקל מערכות'!F5)</f>
        <v/>
      </c>
      <c r="O8" s="39" t="str">
        <f>IF('משקל מערכות'!$B5=0,"",'משקל מערכות'!G5)</f>
        <v/>
      </c>
      <c r="P8" s="2" t="str">
        <f>IF('משקל מערכות'!$B5=0,"",'משקל מערכות'!H5)</f>
        <v/>
      </c>
      <c r="T8" s="43">
        <f ca="1">IF($T$5+דלק!$C5&gt;takoffweight+1,takoffweight,$T$5+דלק!$C5)</f>
        <v>2729.6019999999999</v>
      </c>
      <c r="U8" s="29">
        <f ca="1">IF($T$5+דלק!$C5&gt;takoffweight+1,INDIRECT(ADDRESS(ROW()-1,COLUMN())),($T$5*$U$5+דלק!$C5*דלק!$D5)/($T$5+דלק!$C5))</f>
        <v>4495.137846044955</v>
      </c>
      <c r="V8" s="31">
        <f ca="1">IF($T$5+דלק!$C5&gt;takoffweight,INDIRECT(ADDRESS(ROW()-1,COLUMN())),($T$5*$V$5+דלק!$C5*דלק!$E5)/($T$5+דלק!$C5))</f>
        <v>-5.213718776583546</v>
      </c>
      <c r="X8" s="16" t="b">
        <f t="shared" ca="1" si="0"/>
        <v>0</v>
      </c>
      <c r="Y8" s="246" t="b">
        <f t="shared" ca="1" si="1"/>
        <v>0</v>
      </c>
      <c r="Z8" s="239" t="str">
        <f ca="1">IF($Y8,דלק!$C5,"")</f>
        <v/>
      </c>
      <c r="AA8">
        <v>30</v>
      </c>
      <c r="AB8" s="43">
        <f ca="1">IF($AB$5+דלק!$C5&gt;takoffweight+1,takoffweight,$AB$5+דלק!$C5)</f>
        <v>2729.6019999999999</v>
      </c>
      <c r="AC8" s="29">
        <f ca="1">IF($AB$5+דלק!$C5&gt;takoffweight+1,INDIRECT(ADDRESS(ROW()-1,COLUMN())),($AB$5*$AC$5+דלק!$C5*דלק!$D5)/($AB$5+דלק!$C5))</f>
        <v>4495.137846044955</v>
      </c>
      <c r="AD8" s="31">
        <f ca="1">IF($AB$5+דלק!$C5&gt;takoffweight,INDIRECT(ADDRESS(ROW()-1,COLUMN())),($AB$5*$AD$5+דלק!$C5*דלק!$E5)/($AB$5+דלק!$C5))</f>
        <v>-5.213718776583546</v>
      </c>
      <c r="AF8" s="239"/>
      <c r="AG8" s="239"/>
      <c r="AH8" s="242" t="b">
        <f t="shared" ca="1" si="2"/>
        <v>0</v>
      </c>
      <c r="AI8" s="236" t="b">
        <f t="shared" ca="1" si="3"/>
        <v>0</v>
      </c>
      <c r="AJ8" s="26" t="b">
        <f t="shared" ca="1" si="4"/>
        <v>0</v>
      </c>
      <c r="AL8" s="16" t="b">
        <f t="shared" ca="1" si="6"/>
        <v>0</v>
      </c>
      <c r="AM8" s="246" t="b">
        <f t="shared" ca="1" si="5"/>
        <v>0</v>
      </c>
      <c r="AN8" s="239" t="str">
        <f ca="1">IF(OR(AL8:AM8),דלק!C5,"")</f>
        <v/>
      </c>
      <c r="AQ8" s="205">
        <v>4347</v>
      </c>
      <c r="AR8" s="207">
        <v>2400</v>
      </c>
      <c r="AT8" s="210">
        <v>4347</v>
      </c>
      <c r="AU8" s="161">
        <v>2400</v>
      </c>
      <c r="BA8">
        <v>25</v>
      </c>
      <c r="BB8">
        <v>5</v>
      </c>
      <c r="BD8" t="s">
        <v>127</v>
      </c>
      <c r="BH8">
        <v>2250</v>
      </c>
      <c r="BI8">
        <v>950</v>
      </c>
    </row>
    <row r="9" spans="11:61" ht="15" thickBot="1">
      <c r="K9" s="25" t="str">
        <f>IF('משקל מערכות'!$B6=0,"",'משקל מערכות'!C6)</f>
        <v>Controp DSP-HD Camera</v>
      </c>
      <c r="L9" s="100">
        <f>IF('משקל מערכות'!$B6=0,"",'משקל מערכות'!D6)</f>
        <v>31.30</v>
      </c>
      <c r="M9" s="100">
        <f>IF('משקל מערכות'!$B6=0,"",'משקל מערכות'!E6)</f>
        <v>2330</v>
      </c>
      <c r="N9" s="188">
        <f>IF('משקל מערכות'!$B6=0,"",'משקל מערכות'!F6)</f>
        <v>72929</v>
      </c>
      <c r="O9" s="39">
        <f>IF('משקל מערכות'!$B6=0,"",'משקל מערכות'!G6)</f>
        <v>-31300</v>
      </c>
      <c r="P9" s="2">
        <f>IF('משקל מערכות'!$B6=0,"",'משקל מערכות'!H6)</f>
        <v>-1000</v>
      </c>
      <c r="T9" s="43">
        <f ca="1">IF($T$5+דלק!$C6&gt;takoffweight+1,takoffweight,$T$5+דלק!$C6)</f>
        <v>2739.6019999999999</v>
      </c>
      <c r="U9" s="29">
        <f ca="1">IF($T$5+דלק!$C6&gt;takoffweight+1,INDIRECT(ADDRESS(ROW()-1,COLUMN())),($T$5*$U$5+דלק!$C6*דלק!$D6)/($T$5+דלק!$C6))</f>
        <v>4491.8193426782427</v>
      </c>
      <c r="V9" s="31">
        <f ca="1">IF($T$5+דלק!$C6&gt;takoffweight,INDIRECT(ADDRESS(ROW()-1,COLUMN())),($T$5*$V$5+דלק!$C6*דלק!$E6)/($T$5+דלק!$C6))</f>
        <v>-5.1837373457896438</v>
      </c>
      <c r="X9" s="16" t="b">
        <f t="shared" ca="1" si="0"/>
        <v>0</v>
      </c>
      <c r="Y9" s="246" t="b">
        <f t="shared" ca="1" si="1"/>
        <v>0</v>
      </c>
      <c r="Z9" s="239" t="str">
        <f ca="1">IF($Y9,דלק!$C6,"")</f>
        <v/>
      </c>
      <c r="AA9">
        <v>40</v>
      </c>
      <c r="AB9" s="43">
        <f ca="1">IF($AB$5+דלק!$C6&gt;takoffweight+1,takoffweight,$AB$5+דלק!$C6)</f>
        <v>2739.6019999999999</v>
      </c>
      <c r="AC9" s="29">
        <f ca="1">IF($AB$5+דלק!$C6&gt;takoffweight+1,INDIRECT(ADDRESS(ROW()-1,COLUMN())),($AB$5*$AC$5+דלק!$C6*דלק!$D6)/($AB$5+דלק!$C6))</f>
        <v>4491.8193426782427</v>
      </c>
      <c r="AD9" s="31">
        <f ca="1">IF($AB$5+דלק!$C6&gt;takoffweight,INDIRECT(ADDRESS(ROW()-1,COLUMN())),($AB$5*$AD$5+דלק!$C6*דלק!$E6)/($AB$5+דלק!$C6))</f>
        <v>-5.1837373457896438</v>
      </c>
      <c r="AF9" s="239"/>
      <c r="AG9" s="239"/>
      <c r="AH9" s="242" t="b">
        <f t="shared" ca="1" si="2"/>
        <v>0</v>
      </c>
      <c r="AI9" s="236" t="b">
        <f t="shared" ca="1" si="3"/>
        <v>0</v>
      </c>
      <c r="AJ9" s="26" t="b">
        <f t="shared" ca="1" si="4"/>
        <v>0</v>
      </c>
      <c r="AL9" s="16" t="b">
        <f t="shared" ca="1" si="6"/>
        <v>0</v>
      </c>
      <c r="AM9" s="246" t="b">
        <f t="shared" ca="1" si="5"/>
        <v>0</v>
      </c>
      <c r="AN9" s="239" t="str">
        <f ca="1">IF(OR(AL9:AM9),דלק!C6,"")</f>
        <v/>
      </c>
      <c r="AQ9" s="208">
        <f>AQ5</f>
        <v>4380</v>
      </c>
      <c r="AR9" s="209">
        <f>AR5</f>
        <v>3700</v>
      </c>
      <c r="AT9" s="213">
        <f>AT5</f>
        <v>4380</v>
      </c>
      <c r="AU9" s="214">
        <f>AU5</f>
        <v>3700</v>
      </c>
      <c r="BA9">
        <v>30</v>
      </c>
      <c r="BB9">
        <v>6</v>
      </c>
      <c r="BH9">
        <v>2300</v>
      </c>
      <c r="BI9">
        <v>900</v>
      </c>
    </row>
    <row r="10" spans="3:61" ht="15">
      <c r="C10" s="359" t="s">
        <v>9</v>
      </c>
      <c r="D10" s="360"/>
      <c r="E10" s="360"/>
      <c r="F10" s="360"/>
      <c r="G10" s="360"/>
      <c r="H10" s="361"/>
      <c r="K10" s="25" t="str">
        <f>IF('משקל מערכות'!$B7=0,"",'משקל מערכות'!C7)</f>
        <v/>
      </c>
      <c r="L10" s="100" t="str">
        <f>IF('משקל מערכות'!$B7=0,"",'משקל מערכות'!D7)</f>
        <v/>
      </c>
      <c r="M10" s="100" t="str">
        <f>IF('משקל מערכות'!$B7=0,"",'משקל מערכות'!E7)</f>
        <v/>
      </c>
      <c r="N10" s="188" t="str">
        <f>IF('משקל מערכות'!$B7=0,"",'משקל מערכות'!F7)</f>
        <v/>
      </c>
      <c r="O10" s="39" t="str">
        <f>IF('משקל מערכות'!$B7=0,"",'משקל מערכות'!G7)</f>
        <v/>
      </c>
      <c r="P10" s="2" t="str">
        <f>IF('משקל מערכות'!$B7=0,"",'משקל מערכות'!H7)</f>
        <v/>
      </c>
      <c r="T10" s="43">
        <f ca="1">IF($T$5+דלק!$C7&gt;takoffweight+1,takoffweight,$T$5+דלק!$C7)</f>
        <v>2749.6019999999999</v>
      </c>
      <c r="U10" s="29">
        <f ca="1">IF($T$5+דלק!$C7&gt;takoffweight+1,INDIRECT(ADDRESS(ROW()-1,COLUMN())),($T$5*$U$5+דלק!$C7*דלק!$D7)/($T$5+דלק!$C7))</f>
        <v>4488.5213404849137</v>
      </c>
      <c r="V10" s="31">
        <f ca="1">IF($T$5+דלק!$C7&gt;takoffweight,INDIRECT(ADDRESS(ROW()-1,COLUMN())),($T$5*$V$5+דלק!$C7*דלק!$E7)/($T$5+דלק!$C7))</f>
        <v>-5.1576108833205678</v>
      </c>
      <c r="X10" s="16" t="b">
        <f t="shared" ca="1" si="0"/>
        <v>0</v>
      </c>
      <c r="Y10" s="246" t="b">
        <f t="shared" ca="1" si="1"/>
        <v>0</v>
      </c>
      <c r="Z10" s="239" t="str">
        <f ca="1">IF($Y10,דלק!$C7,"")</f>
        <v/>
      </c>
      <c r="AA10">
        <v>50</v>
      </c>
      <c r="AB10" s="43">
        <f ca="1">IF($AB$5+דלק!$C7&gt;takoffweight+1,takoffweight,$AB$5+דלק!$C7)</f>
        <v>2749.6019999999999</v>
      </c>
      <c r="AC10" s="29">
        <f ca="1">IF($AB$5+דלק!$C7&gt;takoffweight+1,INDIRECT(ADDRESS(ROW()-1,COLUMN())),($AB$5*$AC$5+דלק!$C7*דלק!$D7)/($AB$5+דלק!$C7))</f>
        <v>4488.5213404849137</v>
      </c>
      <c r="AD10" s="31">
        <f ca="1">IF($AB$5+דלק!$C7&gt;takoffweight,INDIRECT(ADDRESS(ROW()-1,COLUMN())),($AB$5*$AD$5+דלק!$C7*דלק!$E7)/($AB$5+דלק!$C7))</f>
        <v>-5.1576108833205678</v>
      </c>
      <c r="AF10" s="239"/>
      <c r="AG10" s="239"/>
      <c r="AH10" s="242" t="b">
        <f t="shared" ca="1" si="2"/>
        <v>0</v>
      </c>
      <c r="AI10" s="236" t="b">
        <f t="shared" ca="1" si="3"/>
        <v>0</v>
      </c>
      <c r="AJ10" s="26" t="b">
        <f t="shared" ca="1" si="4"/>
        <v>0</v>
      </c>
      <c r="AL10" s="16" t="b">
        <f t="shared" ca="1" si="6"/>
        <v>0</v>
      </c>
      <c r="AM10" s="246" t="b">
        <f t="shared" ca="1" si="5"/>
        <v>0</v>
      </c>
      <c r="AN10" s="239" t="str">
        <f ca="1">IF(OR(AL10:AM10),דלק!C7,"")</f>
        <v/>
      </c>
      <c r="AQ10" s="1"/>
      <c r="AR10" s="1"/>
      <c r="BA10">
        <v>35</v>
      </c>
      <c r="BB10">
        <v>7</v>
      </c>
      <c r="BH10">
        <v>2350</v>
      </c>
      <c r="BI10">
        <v>850</v>
      </c>
    </row>
    <row r="11" spans="3:61" ht="15" thickBot="1">
      <c r="C11" s="4" t="s">
        <v>2</v>
      </c>
      <c r="D11" s="5" t="s">
        <v>0</v>
      </c>
      <c r="E11" s="5" t="s">
        <v>14</v>
      </c>
      <c r="F11" s="42" t="s">
        <v>3</v>
      </c>
      <c r="G11" s="42" t="s">
        <v>4</v>
      </c>
      <c r="H11" s="6" t="s">
        <v>15</v>
      </c>
      <c r="K11" s="25" t="str">
        <f>IF('משקל מערכות'!$B8=0,"",'משקל מערכות'!C8)</f>
        <v>Controp Hand Controller</v>
      </c>
      <c r="L11" s="100">
        <f>IF('משקל מערכות'!$B8=0,"",'משקל מערכות'!D8)</f>
        <v>0.68</v>
      </c>
      <c r="M11" s="100">
        <f>IF('משקל מערכות'!$B8=0,"",'משקל מערכות'!E8)</f>
        <v>2460</v>
      </c>
      <c r="N11" s="188">
        <f>IF('משקל מערכות'!$B8=0,"",'משקל מערכות'!F8)</f>
        <v>1672.8000000000002</v>
      </c>
      <c r="O11" s="39">
        <f>IF('משקל מערכות'!$B8=0,"",'משקל מערכות'!G8)</f>
        <v>0</v>
      </c>
      <c r="P11" s="2">
        <f>IF('משקל מערכות'!$B8=0,"",'משקל מערכות'!H8)</f>
        <v>0</v>
      </c>
      <c r="T11" s="43">
        <f ca="1">IF($T$5+דלק!$C8&gt;takoffweight+1,takoffweight,$T$5+דלק!$C8)</f>
        <v>2759.6019999999999</v>
      </c>
      <c r="U11" s="29">
        <f ca="1">IF($T$5+דלק!$C8&gt;takoffweight+1,INDIRECT(ADDRESS(ROW()-1,COLUMN())),($T$5*$U$5+דלק!$C8*דלק!$D8)/($T$5+דלק!$C8))</f>
        <v>4485.211003195388</v>
      </c>
      <c r="V11" s="31">
        <f ca="1">IF($T$5+דלק!$C8&gt;takoffweight,INDIRECT(ADDRESS(ROW()-1,COLUMN())),($T$5*$V$5+דלק!$C8*דלק!$E8)/($T$5+דלק!$C8))</f>
        <v>-5.1461686141697243</v>
      </c>
      <c r="X11" s="16" t="b">
        <f t="shared" ca="1" si="0"/>
        <v>0</v>
      </c>
      <c r="Y11" s="246" t="b">
        <f t="shared" ca="1" si="1"/>
        <v>0</v>
      </c>
      <c r="Z11" s="239" t="str">
        <f ca="1">IF($Y11,דלק!$C8,"")</f>
        <v/>
      </c>
      <c r="AA11">
        <v>60</v>
      </c>
      <c r="AB11" s="43">
        <f ca="1">IF($AB$5+דלק!$C8&gt;takoffweight+1,takoffweight,$AB$5+דלק!$C8)</f>
        <v>2759.6019999999999</v>
      </c>
      <c r="AC11" s="29">
        <f ca="1">IF($AB$5+דלק!$C8&gt;takoffweight+1,INDIRECT(ADDRESS(ROW()-1,COLUMN())),($AB$5*$AC$5+דלק!$C8*דלק!$D8)/($AB$5+דלק!$C8))</f>
        <v>4485.211003195388</v>
      </c>
      <c r="AD11" s="31">
        <f ca="1">IF($AB$5+דלק!$C8&gt;takoffweight,INDIRECT(ADDRESS(ROW()-1,COLUMN())),($AB$5*$AD$5+דלק!$C8*דלק!$E8)/($AB$5+דלק!$C8))</f>
        <v>-5.1461686141697243</v>
      </c>
      <c r="AF11" s="239"/>
      <c r="AG11" s="239"/>
      <c r="AH11" s="242" t="b">
        <f t="shared" ca="1" si="2"/>
        <v>0</v>
      </c>
      <c r="AI11" s="236" t="b">
        <f t="shared" ca="1" si="3"/>
        <v>0</v>
      </c>
      <c r="AJ11" s="26" t="b">
        <f t="shared" ca="1" si="4"/>
        <v>0</v>
      </c>
      <c r="AL11" s="16" t="b">
        <f t="shared" ca="1" si="6"/>
        <v>0</v>
      </c>
      <c r="AM11" s="246" t="b">
        <f t="shared" ca="1" si="5"/>
        <v>0</v>
      </c>
      <c r="AN11" s="239" t="str">
        <f ca="1">IF(OR(AL11:AM11),דלק!C8,"")</f>
        <v/>
      </c>
      <c r="AQ11" s="1"/>
      <c r="AR11" s="1"/>
      <c r="BA11">
        <v>40</v>
      </c>
      <c r="BB11">
        <v>8</v>
      </c>
      <c r="BH11">
        <v>2400</v>
      </c>
      <c r="BI11">
        <v>800</v>
      </c>
    </row>
    <row r="12" spans="3:61" ht="15">
      <c r="C12" s="7" t="s">
        <v>10</v>
      </c>
      <c r="D12" s="100">
        <f>ראשי!D24</f>
        <v>80</v>
      </c>
      <c r="E12" s="100">
        <v>2312</v>
      </c>
      <c r="F12" s="39">
        <f>D12*E12</f>
        <v>184960</v>
      </c>
      <c r="G12" s="39">
        <f>D12*H12</f>
        <v>31200</v>
      </c>
      <c r="H12" s="2">
        <v>390</v>
      </c>
      <c r="K12" s="25" t="str">
        <f>IF('משקל מערכות'!$B9=0,"",'משקל מערכות'!C9)</f>
        <v>Nightsun XP Search Light</v>
      </c>
      <c r="L12" s="100">
        <f>IF('משקל מערכות'!$B9=0,"",'משקל מערכות'!D9)</f>
        <v>26.31</v>
      </c>
      <c r="M12" s="100">
        <f>IF('משקל מערכות'!$B9=0,"",'משקל מערכות'!E9)</f>
        <v>2630</v>
      </c>
      <c r="N12" s="188">
        <f>IF('משקל מערכות'!$B9=0,"",'משקל מערכות'!F9)</f>
        <v>69195.30</v>
      </c>
      <c r="O12" s="39">
        <f>IF('משקל מערכות'!$B9=0,"",'משקל מערכות'!G9)</f>
        <v>26310</v>
      </c>
      <c r="P12" s="2">
        <f>IF('משקל מערכות'!$B9=0,"",'משקל מערכות'!H9)</f>
        <v>1000</v>
      </c>
      <c r="T12" s="43">
        <f ca="1">IF($T$5+דלק!$C9&gt;takoffweight+1,takoffweight,$T$5+דלק!$C9)</f>
        <v>2769.6019999999999</v>
      </c>
      <c r="U12" s="29">
        <f ca="1">IF($T$5+דלק!$C9&gt;takoffweight+1,INDIRECT(ADDRESS(ROW()-1,COLUMN())),($T$5*$U$5+דלק!$C9*דלק!$D9)/($T$5+דלק!$C9))</f>
        <v>4481.9029069303097</v>
      </c>
      <c r="V12" s="31">
        <f ca="1">IF($T$5+דלק!$C9&gt;takoffweight,INDIRECT(ADDRESS(ROW()-1,COLUMN())),($T$5*$V$5+דלק!$C9*דלק!$E9)/($T$5+דלק!$C9))</f>
        <v>-5.1275877183797522</v>
      </c>
      <c r="X12" s="16" t="b">
        <f t="shared" ca="1" si="0"/>
        <v>0</v>
      </c>
      <c r="Y12" s="246" t="b">
        <f t="shared" ca="1" si="1"/>
        <v>0</v>
      </c>
      <c r="Z12" s="239" t="str">
        <f ca="1">IF($Y12,דלק!$C9,"")</f>
        <v/>
      </c>
      <c r="AA12">
        <v>70</v>
      </c>
      <c r="AB12" s="43">
        <f ca="1">IF($AB$5+דלק!$C9&gt;takoffweight+1,takoffweight,$AB$5+דלק!$C9)</f>
        <v>2769.6019999999999</v>
      </c>
      <c r="AC12" s="29">
        <f ca="1">IF($AB$5+דלק!$C9&gt;takoffweight+1,INDIRECT(ADDRESS(ROW()-1,COLUMN())),($AB$5*$AC$5+דלק!$C9*דלק!$D9)/($AB$5+דלק!$C9))</f>
        <v>4481.9029069303097</v>
      </c>
      <c r="AD12" s="31">
        <f ca="1">IF($AB$5+דלק!$C9&gt;takoffweight,INDIRECT(ADDRESS(ROW()-1,COLUMN())),($AB$5*$AD$5+דלק!$C9*דלק!$E9)/($AB$5+דלק!$C9))</f>
        <v>-5.1275877183797522</v>
      </c>
      <c r="AF12" s="239"/>
      <c r="AG12" s="239"/>
      <c r="AH12" s="242" t="b">
        <f t="shared" ca="1" si="2"/>
        <v>0</v>
      </c>
      <c r="AI12" s="236" t="b">
        <f t="shared" ca="1" si="3"/>
        <v>0</v>
      </c>
      <c r="AJ12" s="26" t="b">
        <f t="shared" ca="1" si="4"/>
        <v>0</v>
      </c>
      <c r="AL12" s="16" t="b">
        <f t="shared" ca="1" si="6"/>
        <v>0</v>
      </c>
      <c r="AM12" s="246" t="b">
        <f t="shared" ca="1" si="5"/>
        <v>0</v>
      </c>
      <c r="AN12" s="239" t="str">
        <f ca="1">IF(OR(AL12:AM12),דלק!C9,"")</f>
        <v/>
      </c>
      <c r="AQ12" s="378" t="s">
        <v>63</v>
      </c>
      <c r="AR12" s="379"/>
      <c r="AT12" s="378" t="s">
        <v>236</v>
      </c>
      <c r="AU12" s="379"/>
      <c r="BA12">
        <v>45</v>
      </c>
      <c r="BB12">
        <v>9</v>
      </c>
      <c r="BH12">
        <v>2450</v>
      </c>
      <c r="BI12">
        <v>750</v>
      </c>
    </row>
    <row r="13" spans="3:61" ht="15" thickBot="1">
      <c r="C13" s="9" t="s">
        <v>11</v>
      </c>
      <c r="D13" s="99">
        <f>ראשי!H24</f>
        <v>80</v>
      </c>
      <c r="E13" s="99">
        <v>2312</v>
      </c>
      <c r="F13" s="40">
        <f>D13*E13</f>
        <v>184960</v>
      </c>
      <c r="G13" s="40">
        <f>D13*H13</f>
        <v>-31200</v>
      </c>
      <c r="H13" s="3">
        <v>-390</v>
      </c>
      <c r="K13" s="25" t="str">
        <f>IF('משקל מערכות'!$B10=0,"",'משקל מערכות'!C10)</f>
        <v>Nightsun Hand Controller</v>
      </c>
      <c r="L13" s="100">
        <f>IF('משקל מערכות'!$B10=0,"",'משקל מערכות'!D10)</f>
        <v>0.68</v>
      </c>
      <c r="M13" s="100">
        <f>IF('משקל מערכות'!$B10=0,"",'משקל מערכות'!E10)</f>
        <v>2790</v>
      </c>
      <c r="N13" s="188">
        <f>IF('משקל מערכות'!$B10=0,"",'משקל מערכות'!F10)</f>
        <v>1897.20</v>
      </c>
      <c r="O13" s="39">
        <f>IF('משקל מערכות'!$B10=0,"",'משקל מערכות'!G10)</f>
        <v>-95.20</v>
      </c>
      <c r="P13" s="2">
        <f>IF('משקל מערכות'!$B10=0,"",'משקל מערכות'!H10)</f>
        <v>-140</v>
      </c>
      <c r="T13" s="43">
        <f ca="1">IF($T$5+דלק!$C10&gt;takoffweight+1,takoffweight,$T$5+דלק!$C10)</f>
        <v>2779.6019999999999</v>
      </c>
      <c r="U13" s="29">
        <f ca="1">IF($T$5+דלק!$C10&gt;takoffweight+1,INDIRECT(ADDRESS(ROW()-1,COLUMN())),($T$5*$U$5+דלק!$C10*דלק!$D10)/($T$5+דלק!$C10))</f>
        <v>4478.5970275024983</v>
      </c>
      <c r="V13" s="31">
        <f ca="1">IF($T$5+דלק!$C10&gt;takoffweight,INDIRECT(ADDRESS(ROW()-1,COLUMN())),($T$5*$V$5+דלק!$C10*דלק!$E10)/($T$5+דלק!$C10))</f>
        <v>-5.1091405172395188</v>
      </c>
      <c r="X13" s="16" t="b">
        <f t="shared" ca="1" si="0"/>
        <v>0</v>
      </c>
      <c r="Y13" s="246" t="b">
        <f t="shared" ca="1" si="1"/>
        <v>0</v>
      </c>
      <c r="Z13" s="239" t="str">
        <f ca="1">IF($Y13,דלק!$C10,"")</f>
        <v/>
      </c>
      <c r="AA13">
        <v>80</v>
      </c>
      <c r="AB13" s="43">
        <f ca="1">IF($AB$5+דלק!$C10&gt;takoffweight+1,takoffweight,$AB$5+דלק!$C10)</f>
        <v>2779.6019999999999</v>
      </c>
      <c r="AC13" s="29">
        <f ca="1">IF($AB$5+דלק!$C10&gt;takoffweight+1,INDIRECT(ADDRESS(ROW()-1,COLUMN())),($AB$5*$AC$5+דלק!$C10*דלק!$D10)/($AB$5+דלק!$C10))</f>
        <v>4478.5970275024983</v>
      </c>
      <c r="AD13" s="31">
        <f ca="1">IF($AB$5+דלק!$C10&gt;takoffweight,INDIRECT(ADDRESS(ROW()-1,COLUMN())),($AB$5*$AD$5+דלק!$C10*דלק!$E10)/($AB$5+דלק!$C10))</f>
        <v>-5.1091405172395188</v>
      </c>
      <c r="AF13" s="239"/>
      <c r="AG13" s="239"/>
      <c r="AH13" s="242" t="b">
        <f t="shared" ca="1" si="2"/>
        <v>0</v>
      </c>
      <c r="AI13" s="236" t="b">
        <f t="shared" ca="1" si="3"/>
        <v>0</v>
      </c>
      <c r="AJ13" s="26" t="b">
        <f t="shared" ca="1" si="4"/>
        <v>0</v>
      </c>
      <c r="AL13" s="16" t="b">
        <f t="shared" ca="1" si="6"/>
        <v>0</v>
      </c>
      <c r="AM13" s="246" t="b">
        <f t="shared" ca="1" si="5"/>
        <v>0</v>
      </c>
      <c r="AN13" s="239" t="str">
        <f ca="1">IF(OR(AL13:AM13),דלק!C10,"")</f>
        <v/>
      </c>
      <c r="AQ13" s="4" t="s">
        <v>1</v>
      </c>
      <c r="AR13" s="6" t="s">
        <v>0</v>
      </c>
      <c r="AT13" s="159">
        <f>CARGO!F23</f>
        <v>4380</v>
      </c>
      <c r="AU13" s="119">
        <f>MAXGROSS</f>
        <v>3700</v>
      </c>
      <c r="AW13">
        <f>IF(MAXGROSS=3600,CARGO!G23,AR5)</f>
        <v>3700</v>
      </c>
      <c r="BA13">
        <v>50</v>
      </c>
      <c r="BB13">
        <v>10</v>
      </c>
      <c r="BH13">
        <v>2500</v>
      </c>
      <c r="BI13">
        <v>700</v>
      </c>
    </row>
    <row r="14" spans="11:61" ht="15" thickBot="1">
      <c r="K14" s="25" t="str">
        <f>IF('משקל מערכות'!$B11=0,"",'משקל מערכות'!C11)</f>
        <v>PA Speakers</v>
      </c>
      <c r="L14" s="100">
        <f>IF('משקל מערכות'!$B11=0,"",'משקל מערכות'!D11)</f>
        <v>13.52</v>
      </c>
      <c r="M14" s="100">
        <f>IF('משקל מערכות'!$B11=0,"",'משקל מערכות'!E11)</f>
        <v>5810</v>
      </c>
      <c r="N14" s="188">
        <f>IF('משקל מערכות'!$B11=0,"",'משקל מערכות'!F11)</f>
        <v>78551.20</v>
      </c>
      <c r="O14" s="39">
        <f>IF('משקל מערכות'!$B11=0,"",'משקל מערכות'!G11)</f>
        <v>-13520</v>
      </c>
      <c r="P14" s="2">
        <f>IF('משקל מערכות'!$B11=0,"",'משקל מערכות'!H11)</f>
        <v>-1000</v>
      </c>
      <c r="T14" s="43">
        <f ca="1">IF($T$5+דלק!$C11&gt;takoffweight+1,takoffweight,$T$5+דלק!$C11)</f>
        <v>2789.6019999999999</v>
      </c>
      <c r="U14" s="29">
        <f ca="1">IF($T$5+דלק!$C11&gt;takoffweight+1,INDIRECT(ADDRESS(ROW()-1,COLUMN())),($T$5*$U$5+דלק!$C11*דלק!$D11)/($T$5+דלק!$C11))</f>
        <v>4475.3256037384544</v>
      </c>
      <c r="V14" s="31">
        <f ca="1">IF($T$5+דלק!$C11&gt;takoffweight,INDIRECT(ADDRESS(ROW()-1,COLUMN())),($T$5*$V$5+דלק!$C11*דלק!$E11)/($T$5+דלק!$C11))</f>
        <v>-5.0800713506801332</v>
      </c>
      <c r="X14" s="16" t="b">
        <f t="shared" ca="1" si="0"/>
        <v>0</v>
      </c>
      <c r="Y14" s="246" t="b">
        <f t="shared" ca="1" si="1"/>
        <v>0</v>
      </c>
      <c r="Z14" s="239" t="str">
        <f ca="1">IF($Y14,דלק!$C11,"")</f>
        <v/>
      </c>
      <c r="AA14">
        <v>90</v>
      </c>
      <c r="AB14" s="43">
        <f ca="1">IF($AB$5+דלק!$C11&gt;takoffweight+1,takoffweight,$AB$5+דלק!$C11)</f>
        <v>2789.6019999999999</v>
      </c>
      <c r="AC14" s="29">
        <f ca="1">IF($AB$5+דלק!$C11&gt;takoffweight+1,INDIRECT(ADDRESS(ROW()-1,COLUMN())),($AB$5*$AC$5+דלק!$C11*דלק!$D11)/($AB$5+דלק!$C11))</f>
        <v>4475.3256037384544</v>
      </c>
      <c r="AD14" s="31">
        <f ca="1">IF($AB$5+דלק!$C11&gt;takoffweight,INDIRECT(ADDRESS(ROW()-1,COLUMN())),($AB$5*$AD$5+דלק!$C11*דלק!$E11)/($AB$5+דלק!$C11))</f>
        <v>-5.0800713506801332</v>
      </c>
      <c r="AF14" s="239"/>
      <c r="AG14" s="239"/>
      <c r="AH14" s="242" t="b">
        <f t="shared" ca="1" si="2"/>
        <v>0</v>
      </c>
      <c r="AI14" s="236" t="b">
        <f t="shared" ca="1" si="3"/>
        <v>0</v>
      </c>
      <c r="AJ14" s="26" t="b">
        <f t="shared" ca="1" si="4"/>
        <v>0</v>
      </c>
      <c r="AL14" s="16" t="b">
        <f t="shared" ca="1" si="6"/>
        <v>0</v>
      </c>
      <c r="AM14" s="246" t="b">
        <f t="shared" ca="1" si="5"/>
        <v>0</v>
      </c>
      <c r="AN14" s="239" t="str">
        <f ca="1">IF(OR(AL14:AM14),דלק!C11,"")</f>
        <v/>
      </c>
      <c r="AQ14" s="7">
        <v>-80</v>
      </c>
      <c r="AR14" s="2">
        <f>MAXGROSS</f>
        <v>3700</v>
      </c>
      <c r="AT14" s="160">
        <f>CARGO!F24</f>
        <v>4535</v>
      </c>
      <c r="AU14" s="116">
        <f>MAXGROSS</f>
        <v>3700</v>
      </c>
      <c r="BA14">
        <v>55</v>
      </c>
      <c r="BB14">
        <v>11</v>
      </c>
      <c r="BH14">
        <v>2550</v>
      </c>
      <c r="BI14">
        <v>650</v>
      </c>
    </row>
    <row r="15" spans="3:61" ht="15.75" thickBot="1">
      <c r="C15" s="359" t="s">
        <v>358</v>
      </c>
      <c r="D15" s="360"/>
      <c r="E15" s="360"/>
      <c r="F15" s="360"/>
      <c r="G15" s="360"/>
      <c r="H15" s="360"/>
      <c r="I15" s="361"/>
      <c r="K15" s="25" t="str">
        <f>IF('משקל מערכות'!$B12=0,"",'משקל מערכות'!C12)</f>
        <v/>
      </c>
      <c r="L15" s="100" t="str">
        <f>IF('משקל מערכות'!$B12=0,"",'משקל מערכות'!D12)</f>
        <v/>
      </c>
      <c r="M15" s="100" t="str">
        <f>IF('משקל מערכות'!$B12=0,"",'משקל מערכות'!E12)</f>
        <v/>
      </c>
      <c r="N15" s="188" t="str">
        <f>IF('משקל מערכות'!$B12=0,"",'משקל מערכות'!F12)</f>
        <v/>
      </c>
      <c r="O15" s="39" t="str">
        <f>IF('משקל מערכות'!$B12=0,"",'משקל מערכות'!G12)</f>
        <v/>
      </c>
      <c r="P15" s="2" t="str">
        <f>IF('משקל מערכות'!$B12=0,"",'משקל מערכות'!H12)</f>
        <v/>
      </c>
      <c r="T15" s="43">
        <f ca="1">IF($T$5+דלק!$C12&gt;takoffweight+1,takoffweight,$T$5+דלק!$C12)</f>
        <v>2799.6019999999999</v>
      </c>
      <c r="U15" s="29">
        <f ca="1">IF($T$5+דלק!$C12&gt;takoffweight+1,INDIRECT(ADDRESS(ROW()-1,COLUMN())),($T$5*$U$5+דלק!$C12*דלק!$D12)/($T$5+דלק!$C12))</f>
        <v>4472.0632628637932</v>
      </c>
      <c r="V15" s="31">
        <f ca="1">IF($T$5+דלק!$C12&gt;takoffweight,INDIRECT(ADDRESS(ROW()-1,COLUMN())),($T$5*$V$5+דלק!$C12*דלק!$E12)/($T$5+דלק!$C12))</f>
        <v>-5.0654975957296786</v>
      </c>
      <c r="X15" s="16" t="b">
        <f t="shared" ca="1" si="0"/>
        <v>0</v>
      </c>
      <c r="Y15" s="246" t="b">
        <f t="shared" ca="1" si="1"/>
        <v>0</v>
      </c>
      <c r="Z15" s="239" t="str">
        <f ca="1">IF($Y15,דלק!$C12,"")</f>
        <v/>
      </c>
      <c r="AA15">
        <v>100</v>
      </c>
      <c r="AB15" s="43">
        <f ca="1">IF($AB$5+דלק!$C12&gt;takoffweight+1,takoffweight,$AB$5+דלק!$C12)</f>
        <v>2799.6019999999999</v>
      </c>
      <c r="AC15" s="29">
        <f ca="1">IF($AB$5+דלק!$C12&gt;takoffweight+1,INDIRECT(ADDRESS(ROW()-1,COLUMN())),($AB$5*$AC$5+דלק!$C12*דלק!$D12)/($AB$5+דלק!$C12))</f>
        <v>4472.0632628637932</v>
      </c>
      <c r="AD15" s="31">
        <f ca="1">IF($AB$5+דלק!$C12&gt;takoffweight,INDIRECT(ADDRESS(ROW()-1,COLUMN())),($AB$5*$AD$5+דלק!$C12*דלק!$E12)/($AB$5+דלק!$C12))</f>
        <v>-5.0654975957296786</v>
      </c>
      <c r="AF15" s="239" t="str">
        <f ca="1">IF($AH15,דלק!$C12,"")</f>
        <v/>
      </c>
      <c r="AG15" s="239" t="str">
        <f ca="1">IF($AI15,דלק!$C12,"")</f>
        <v/>
      </c>
      <c r="AH15" s="242" t="b">
        <f t="shared" ca="1" si="2"/>
        <v>0</v>
      </c>
      <c r="AI15" s="236" t="b">
        <f t="shared" ca="1" si="3"/>
        <v>0</v>
      </c>
      <c r="AJ15" s="26" t="b">
        <f t="shared" ca="1" si="4"/>
        <v>0</v>
      </c>
      <c r="AL15" s="16" t="b">
        <f t="shared" ca="1" si="6"/>
        <v>0</v>
      </c>
      <c r="AM15" s="246" t="b">
        <f t="shared" ca="1" si="5"/>
        <v>0</v>
      </c>
      <c r="AN15" s="239" t="str">
        <f ca="1">IF(OR(AL15:AM15),דלק!C12,"")</f>
        <v/>
      </c>
      <c r="AQ15" s="7">
        <v>80</v>
      </c>
      <c r="AR15" s="2">
        <f>MAXGROSS</f>
        <v>3700</v>
      </c>
      <c r="BA15">
        <v>60</v>
      </c>
      <c r="BB15">
        <v>12</v>
      </c>
      <c r="BH15">
        <v>2600</v>
      </c>
      <c r="BI15">
        <v>600</v>
      </c>
    </row>
    <row r="16" spans="3:61" ht="15">
      <c r="C16" s="4" t="s">
        <v>75</v>
      </c>
      <c r="D16" s="5" t="s">
        <v>0</v>
      </c>
      <c r="E16" s="5" t="s">
        <v>14</v>
      </c>
      <c r="F16" s="42" t="s">
        <v>3</v>
      </c>
      <c r="G16" s="42" t="s">
        <v>4</v>
      </c>
      <c r="H16" s="277" t="s">
        <v>15</v>
      </c>
      <c r="I16" s="6" t="s">
        <v>72</v>
      </c>
      <c r="K16" s="25" t="str">
        <f>IF('משקל מערכות'!$B13=0,"",'משקל מערכות'!C13)</f>
        <v/>
      </c>
      <c r="L16" s="100" t="str">
        <f>IF('משקל מערכות'!$B13=0,"",'משקל מערכות'!D13)</f>
        <v/>
      </c>
      <c r="M16" s="100" t="str">
        <f>IF('משקל מערכות'!$B13=0,"",'משקל מערכות'!E13)</f>
        <v/>
      </c>
      <c r="N16" s="188" t="str">
        <f>IF('משקל מערכות'!$B13=0,"",'משקל מערכות'!F13)</f>
        <v/>
      </c>
      <c r="O16" s="39" t="str">
        <f>IF('משקל מערכות'!$B13=0,"",'משקל מערכות'!G13)</f>
        <v/>
      </c>
      <c r="P16" s="2" t="str">
        <f>IF('משקל מערכות'!$B13=0,"",'משקל מערכות'!H13)</f>
        <v/>
      </c>
      <c r="T16" s="43">
        <f ca="1">IF($T$5+דלק!$C13&gt;takoffweight+1,takoffweight,$T$5+דלק!$C13)</f>
        <v>2809.6019999999999</v>
      </c>
      <c r="U16" s="29">
        <f ca="1">IF($T$5+דלק!$C13&gt;takoffweight+1,INDIRECT(ADDRESS(ROW()-1,COLUMN())),($T$5*$U$5+דלק!$C13*דלק!$D13)/($T$5+דלק!$C13))</f>
        <v>4468.8490593471961</v>
      </c>
      <c r="V16" s="31">
        <f ca="1">IF($T$5+דלק!$C13&gt;takoffweight,INDIRECT(ADDRESS(ROW()-1,COLUMN())),($T$5*$V$5+דלק!$C13*דלק!$E13)/($T$5+דלק!$C13))</f>
        <v>-5.0652644751818938</v>
      </c>
      <c r="X16" s="16" t="b">
        <f t="shared" ca="1" si="0"/>
        <v>0</v>
      </c>
      <c r="Y16" s="246" t="b">
        <f t="shared" ca="1" si="1"/>
        <v>0</v>
      </c>
      <c r="Z16" s="239" t="str">
        <f ca="1">IF($Y16,דלק!$C13,"")</f>
        <v/>
      </c>
      <c r="AA16">
        <v>110</v>
      </c>
      <c r="AB16" s="43">
        <f ca="1">IF($AB$5+דלק!$C13&gt;takoffweight+1,takoffweight,$AB$5+דלק!$C13)</f>
        <v>2809.6019999999999</v>
      </c>
      <c r="AC16" s="29">
        <f ca="1">IF($AB$5+דלק!$C13&gt;takoffweight+1,INDIRECT(ADDRESS(ROW()-1,COLUMN())),($AB$5*$AC$5+דלק!$C13*דלק!$D13)/($AB$5+דלק!$C13))</f>
        <v>4468.8490593471961</v>
      </c>
      <c r="AD16" s="31">
        <f ca="1">IF($AB$5+דלק!$C13&gt;takoffweight,INDIRECT(ADDRESS(ROW()-1,COLUMN())),($AB$5*$AD$5+דלק!$C13*דלק!$E13)/($AB$5+דלק!$C13))</f>
        <v>-5.0652644751818938</v>
      </c>
      <c r="AF16" s="239" t="str">
        <f ca="1">IF($AH16,דלק!$C13,"")</f>
        <v/>
      </c>
      <c r="AG16" s="239" t="str">
        <f ca="1">IF($AI16,דלק!$C13,"")</f>
        <v/>
      </c>
      <c r="AH16" s="242" t="b">
        <f t="shared" ca="1" si="2"/>
        <v>0</v>
      </c>
      <c r="AI16" s="236" t="b">
        <f t="shared" ca="1" si="3"/>
        <v>0</v>
      </c>
      <c r="AJ16" s="26" t="b">
        <f t="shared" ca="1" si="4"/>
        <v>0</v>
      </c>
      <c r="AL16" s="16" t="b">
        <f t="shared" ca="1" si="6"/>
        <v>0</v>
      </c>
      <c r="AM16" s="246" t="b">
        <f t="shared" ca="1" si="5"/>
        <v>0</v>
      </c>
      <c r="AN16" s="239" t="str">
        <f ca="1">IF(OR(AL16:AM16),דלק!C13,"")</f>
        <v/>
      </c>
      <c r="AQ16" s="7">
        <v>80</v>
      </c>
      <c r="AR16" s="2">
        <v>3000</v>
      </c>
      <c r="AT16" s="382" t="s">
        <v>249</v>
      </c>
      <c r="AU16" s="383"/>
      <c r="BA16">
        <v>65</v>
      </c>
      <c r="BB16">
        <v>13</v>
      </c>
      <c r="BH16">
        <v>2650</v>
      </c>
      <c r="BI16">
        <v>550</v>
      </c>
    </row>
    <row r="17" spans="3:61" ht="14.25">
      <c r="C17" s="7">
        <v>1</v>
      </c>
      <c r="D17" s="100">
        <f ca="1">IF(E17="","",ראשי!H27)</f>
        <v>0</v>
      </c>
      <c r="E17" s="100">
        <f ca="1" t="shared" si="7" ref="E17:E35">IFERROR(INDEX($E$40:$H$51,MATCH($C17,$I$40:$I$51,0),1),"")</f>
        <v>3265</v>
      </c>
      <c r="F17" s="35">
        <f ca="1">IF(E17&lt;&gt;"",D17*E17,"")</f>
        <v>0</v>
      </c>
      <c r="G17" s="35">
        <f ca="1">IF(E17&lt;&gt;"",D17*H17,"")</f>
        <v>0</v>
      </c>
      <c r="H17" s="100">
        <f ca="1" t="shared" si="8" ref="H17:H35">IFERROR(INDEX($E$40:$H$51,MATCH($C17,$I$40:$I$51,0),4),"")</f>
        <v>-550</v>
      </c>
      <c r="I17" s="26"/>
      <c r="K17" s="25" t="str">
        <f>IF('משקל מערכות'!$B14=0,"",'משקל מערכות'!C14)</f>
        <v>CARGO HOOK DOUBLE DET PROVISIONS</v>
      </c>
      <c r="L17" s="100">
        <f>IF('משקל מערכות'!$B14=0,"",'משקל מערכות'!D14)</f>
        <v>29.77</v>
      </c>
      <c r="M17" s="100">
        <f>IF('משקל מערכות'!$B14=0,"",'משקל מערכות'!E14)</f>
        <v>4121</v>
      </c>
      <c r="N17" s="188">
        <f>IF('משקל מערכות'!$B14=0,"",'משקל מערכות'!F14)</f>
        <v>122682.17</v>
      </c>
      <c r="O17" s="39">
        <f>IF('משקל מערכות'!$B14=0,"",'משקל מערכות'!G14)</f>
        <v>0</v>
      </c>
      <c r="P17" s="2">
        <f>IF('משקל מערכות'!$B14=0,"",'משקל מערכות'!H14)</f>
        <v>0</v>
      </c>
      <c r="T17" s="43">
        <f ca="1">IF($T$5+דלק!$C14&gt;takoffweight+1,takoffweight,$T$5+דלק!$C14)</f>
        <v>2819.6019999999999</v>
      </c>
      <c r="U17" s="29">
        <f ca="1">IF($T$5+דלק!$C14&gt;takoffweight+1,INDIRECT(ADDRESS(ROW()-1,COLUMN())),($T$5*$U$5+דלק!$C14*דלק!$D14)/($T$5+דלק!$C14))</f>
        <v>4465.6080024202001</v>
      </c>
      <c r="V17" s="31">
        <f ca="1">IF($T$5+דלק!$C14&gt;takoffweight,INDIRECT(ADDRESS(ROW()-1,COLUMN())),($T$5*$V$5+דלק!$C14*דלק!$E14)/($T$5+דלק!$C14))</f>
        <v>-5.0366602094905595</v>
      </c>
      <c r="X17" s="16" t="b">
        <f t="shared" ca="1" si="0"/>
        <v>0</v>
      </c>
      <c r="Y17" s="246" t="b">
        <f t="shared" ca="1" si="1"/>
        <v>0</v>
      </c>
      <c r="Z17" s="239" t="str">
        <f ca="1">IF($Y17,דלק!$C14,"")</f>
        <v/>
      </c>
      <c r="AA17">
        <v>120</v>
      </c>
      <c r="AB17" s="43">
        <f ca="1">IF($AB$5+דלק!$C14&gt;takoffweight+1,takoffweight,$AB$5+דלק!$C14)</f>
        <v>2819.6019999999999</v>
      </c>
      <c r="AC17" s="29">
        <f ca="1">IF($AB$5+דלק!$C14&gt;takoffweight+1,INDIRECT(ADDRESS(ROW()-1,COLUMN())),($AB$5*$AC$5+דלק!$C14*דלק!$D14)/($AB$5+דלק!$C14))</f>
        <v>4465.6080024202001</v>
      </c>
      <c r="AD17" s="31">
        <f ca="1">IF($AB$5+דלק!$C14&gt;takoffweight,INDIRECT(ADDRESS(ROW()-1,COLUMN())),($AB$5*$AD$5+דלק!$C14*דלק!$E14)/($AB$5+דלק!$C14))</f>
        <v>-5.0366602094905595</v>
      </c>
      <c r="AF17" s="239" t="str">
        <f ca="1">IF($AH17,דלק!$C14,"")</f>
        <v/>
      </c>
      <c r="AG17" s="239" t="str">
        <f ca="1">IF($AI17,דלק!$C14,"")</f>
        <v/>
      </c>
      <c r="AH17" s="242" t="b">
        <f t="shared" ca="1" si="2"/>
        <v>0</v>
      </c>
      <c r="AI17" s="236" t="b">
        <f t="shared" ca="1" si="3"/>
        <v>0</v>
      </c>
      <c r="AJ17" s="26" t="b">
        <f t="shared" ca="1" si="4"/>
        <v>0</v>
      </c>
      <c r="AL17" s="16" t="b">
        <f t="shared" ca="1" si="6"/>
        <v>0</v>
      </c>
      <c r="AM17" s="246" t="b">
        <f t="shared" ca="1" si="5"/>
        <v>0</v>
      </c>
      <c r="AN17" s="239" t="str">
        <f ca="1">IF(OR(AL17:AM17),דלק!C14,"")</f>
        <v/>
      </c>
      <c r="AQ17" s="7">
        <v>100</v>
      </c>
      <c r="AR17" s="2">
        <v>3000</v>
      </c>
      <c r="AT17" s="228" t="s">
        <v>1</v>
      </c>
      <c r="AU17" s="229" t="s">
        <v>0</v>
      </c>
      <c r="BA17">
        <v>70</v>
      </c>
      <c r="BB17">
        <v>14</v>
      </c>
      <c r="BH17">
        <v>2700</v>
      </c>
      <c r="BI17">
        <v>500</v>
      </c>
    </row>
    <row r="18" spans="3:61" ht="14.25">
      <c r="C18" s="7">
        <v>2</v>
      </c>
      <c r="D18" s="100" t="str">
        <f ca="1">IF(E18="","",ראשי!F27)</f>
        <v/>
      </c>
      <c r="E18" s="100" t="str">
        <f t="shared" ca="1" si="7"/>
        <v/>
      </c>
      <c r="F18" s="39" t="str">
        <f ca="1" t="shared" si="9" ref="F18:F25">IF(E18&lt;&gt;"",D18*E18,"")</f>
        <v/>
      </c>
      <c r="G18" s="39" t="str">
        <f ca="1" t="shared" si="10" ref="G18:G25">IF(E18&lt;&gt;"",D18*H18,"")</f>
        <v/>
      </c>
      <c r="H18" s="276" t="str">
        <f t="shared" ca="1" si="8"/>
        <v/>
      </c>
      <c r="I18" s="26"/>
      <c r="K18" s="25" t="str">
        <f>IF('משקל מערכות'!$B15=0,"",'משקל מערכות'!C15)</f>
        <v/>
      </c>
      <c r="L18" s="100" t="str">
        <f>IF('משקל מערכות'!$B15=0,"",'משקל מערכות'!D15)</f>
        <v/>
      </c>
      <c r="M18" s="100" t="str">
        <f>IF('משקל מערכות'!$B15=0,"",'משקל מערכות'!E15)</f>
        <v/>
      </c>
      <c r="N18" s="188" t="str">
        <f>IF('משקל מערכות'!$B15=0,"",'משקל מערכות'!F15)</f>
        <v/>
      </c>
      <c r="O18" s="39" t="str">
        <f>IF('משקל מערכות'!$B15=0,"",'משקל מערכות'!G15)</f>
        <v/>
      </c>
      <c r="P18" s="2" t="str">
        <f>IF('משקל מערכות'!$B15=0,"",'משקל מערכות'!H15)</f>
        <v/>
      </c>
      <c r="T18" s="43">
        <f ca="1">IF($T$5+דלק!$C15&gt;takoffweight+1,takoffweight,$T$5+דלק!$C15)</f>
        <v>2829.6019999999999</v>
      </c>
      <c r="U18" s="29">
        <f ca="1">IF($T$5+דלק!$C15&gt;takoffweight+1,INDIRECT(ADDRESS(ROW()-1,COLUMN())),($T$5*$U$5+דלק!$C15*דלק!$D15)/($T$5+דלק!$C15))</f>
        <v>4462.4216603041705</v>
      </c>
      <c r="V18" s="31">
        <f ca="1">IF($T$5+דלק!$C15&gt;takoffweight,INDIRECT(ADDRESS(ROW()-1,COLUMN())),($T$5*$V$5+דלק!$C15*דלק!$E15)/($T$5+דלק!$C15))</f>
        <v>-5.0153262543636874</v>
      </c>
      <c r="X18" s="16" t="b">
        <f t="shared" ca="1" si="0"/>
        <v>0</v>
      </c>
      <c r="Y18" s="246" t="b">
        <f t="shared" ca="1" si="1"/>
        <v>0</v>
      </c>
      <c r="Z18" s="239" t="str">
        <f ca="1">IF($Y18,דלק!$C15,"")</f>
        <v/>
      </c>
      <c r="AA18">
        <v>130</v>
      </c>
      <c r="AB18" s="43">
        <f ca="1">IF($AB$5+דלק!$C15&gt;takoffweight+1,takoffweight,$AB$5+דלק!$C15)</f>
        <v>2829.6019999999999</v>
      </c>
      <c r="AC18" s="29">
        <f ca="1">IF($AB$5+דלק!$C15&gt;takoffweight+1,INDIRECT(ADDRESS(ROW()-1,COLUMN())),($AB$5*$AC$5+דלק!$C15*דלק!$D15)/($AB$5+דלק!$C15))</f>
        <v>4462.4216603041705</v>
      </c>
      <c r="AD18" s="31">
        <f ca="1">IF($AB$5+דלק!$C15&gt;takoffweight,INDIRECT(ADDRESS(ROW()-1,COLUMN())),($AB$5*$AD$5+דלק!$C15*דלק!$E15)/($AB$5+דלק!$C15))</f>
        <v>-5.0153262543636874</v>
      </c>
      <c r="AF18" s="239" t="str">
        <f ca="1">IF($AH18,דלק!$C15,"")</f>
        <v/>
      </c>
      <c r="AG18" s="239" t="str">
        <f ca="1">IF($AI18,דלק!$C15,"")</f>
        <v/>
      </c>
      <c r="AH18" s="242" t="b">
        <f t="shared" ca="1" si="2"/>
        <v>0</v>
      </c>
      <c r="AI18" s="236" t="b">
        <f t="shared" ca="1" si="3"/>
        <v>0</v>
      </c>
      <c r="AJ18" s="26" t="b">
        <f t="shared" ca="1" si="4"/>
        <v>0</v>
      </c>
      <c r="AL18" s="16" t="b">
        <f t="shared" ca="1" si="6"/>
        <v>0</v>
      </c>
      <c r="AM18" s="246" t="b">
        <f t="shared" ca="1" si="5"/>
        <v>0</v>
      </c>
      <c r="AN18" s="239" t="str">
        <f ca="1">IF(OR(AL18:AM18),דלק!C15,"")</f>
        <v/>
      </c>
      <c r="AQ18" s="7">
        <v>100</v>
      </c>
      <c r="AR18" s="2">
        <v>2000</v>
      </c>
      <c r="AT18" s="226">
        <v>4250</v>
      </c>
      <c r="AU18" s="207">
        <v>3000</v>
      </c>
      <c r="BA18">
        <v>75</v>
      </c>
      <c r="BB18">
        <v>15</v>
      </c>
      <c r="BH18">
        <v>2750</v>
      </c>
      <c r="BI18">
        <v>450</v>
      </c>
    </row>
    <row r="19" spans="3:61" ht="15" thickBot="1">
      <c r="C19" s="7">
        <v>3</v>
      </c>
      <c r="D19" s="100">
        <f ca="1">IF(E19="","",ראשי!D27)</f>
        <v>0</v>
      </c>
      <c r="E19" s="100">
        <f t="shared" ca="1" si="7"/>
        <v>3265</v>
      </c>
      <c r="F19" s="39">
        <f t="shared" ca="1" si="9"/>
        <v>0</v>
      </c>
      <c r="G19" s="39">
        <f t="shared" ca="1" si="10"/>
        <v>0</v>
      </c>
      <c r="H19" s="276">
        <f t="shared" ca="1" si="8"/>
        <v>550</v>
      </c>
      <c r="I19" s="26"/>
      <c r="K19" s="37" t="str">
        <f>IF('משקל מערכות'!$B16=0,"",'משקל מערכות'!C16)</f>
        <v/>
      </c>
      <c r="L19" s="99" t="str">
        <f>IF('משקל מערכות'!$B16=0,"",'משקל מערכות'!D16)</f>
        <v/>
      </c>
      <c r="M19" s="99" t="str">
        <f>IF('משקל מערכות'!$B16=0,"",'משקל מערכות'!E16)</f>
        <v/>
      </c>
      <c r="N19" s="189" t="str">
        <f>IF('משקל מערכות'!$B16=0,"",'משקל מערכות'!F16)</f>
        <v/>
      </c>
      <c r="O19" s="40" t="str">
        <f>IF('משקל מערכות'!$B16=0,"",'משקל מערכות'!G16)</f>
        <v/>
      </c>
      <c r="P19" s="3" t="str">
        <f>IF('משקל מערכות'!$B16=0,"",'משקל מערכות'!H16)</f>
        <v/>
      </c>
      <c r="T19" s="43">
        <f ca="1">IF($T$5+דלק!$C16&gt;takoffweight+1,takoffweight,$T$5+דלק!$C16)</f>
        <v>2839.6019999999999</v>
      </c>
      <c r="U19" s="29">
        <f ca="1">IF($T$5+דלק!$C16&gt;takoffweight+1,INDIRECT(ADDRESS(ROW()-1,COLUMN())),($T$5*$U$5+דלק!$C16*דלק!$D16)/($T$5+דלק!$C16))</f>
        <v>4461.7651540039769</v>
      </c>
      <c r="V19" s="31">
        <f ca="1">IF($T$5+דלק!$C16&gt;takoffweight,INDIRECT(ADDRESS(ROW()-1,COLUMN())),($T$5*$V$5+דלק!$C16*דלק!$E16)/($T$5+דלק!$C16))</f>
        <v>-5.0011857999818279</v>
      </c>
      <c r="X19" s="16" t="b">
        <f t="shared" ca="1" si="0"/>
        <v>0</v>
      </c>
      <c r="Y19" s="246" t="b">
        <f t="shared" ca="1" si="1"/>
        <v>0</v>
      </c>
      <c r="Z19" s="239" t="str">
        <f ca="1">IF($Y19,דלק!$C16,"")</f>
        <v/>
      </c>
      <c r="AA19">
        <v>140</v>
      </c>
      <c r="AB19" s="43">
        <f ca="1">IF($AB$5+דלק!$C16&gt;takoffweight+1,takoffweight,$AB$5+דלק!$C16)</f>
        <v>2839.6019999999999</v>
      </c>
      <c r="AC19" s="29">
        <f ca="1">IF($AB$5+דלק!$C16&gt;takoffweight+1,INDIRECT(ADDRESS(ROW()-1,COLUMN())),($AB$5*$AC$5+דלק!$C16*דלק!$D16)/($AB$5+דלק!$C16))</f>
        <v>4461.7651540039769</v>
      </c>
      <c r="AD19" s="31">
        <f ca="1">IF($AB$5+דלק!$C16&gt;takoffweight,INDIRECT(ADDRESS(ROW()-1,COLUMN())),($AB$5*$AD$5+דלק!$C16*דלק!$E16)/($AB$5+דלק!$C16))</f>
        <v>-5.0011857999818279</v>
      </c>
      <c r="AF19" s="239" t="str">
        <f ca="1">IF($AH19,דלק!$C16,"")</f>
        <v/>
      </c>
      <c r="AG19" s="239" t="str">
        <f ca="1">IF($AI19,דלק!$C16,"")</f>
        <v/>
      </c>
      <c r="AH19" s="242" t="b">
        <f t="shared" ca="1" si="2"/>
        <v>0</v>
      </c>
      <c r="AI19" s="236" t="b">
        <f t="shared" ca="1" si="3"/>
        <v>0</v>
      </c>
      <c r="AJ19" s="26" t="b">
        <f t="shared" ca="1" si="4"/>
        <v>0</v>
      </c>
      <c r="AL19" s="16" t="b">
        <f t="shared" ca="1" si="6"/>
        <v>0</v>
      </c>
      <c r="AM19" s="246" t="b">
        <f t="shared" ca="1" si="5"/>
        <v>0</v>
      </c>
      <c r="AN19" s="239" t="str">
        <f ca="1">IF(OR(AL19:AM19),דלק!C16,"")</f>
        <v/>
      </c>
      <c r="AQ19" s="7">
        <v>-100</v>
      </c>
      <c r="AR19" s="2">
        <v>2000</v>
      </c>
      <c r="AT19" s="226">
        <v>4250</v>
      </c>
      <c r="AU19" s="207">
        <v>3700</v>
      </c>
      <c r="BA19">
        <v>80</v>
      </c>
      <c r="BB19">
        <v>16</v>
      </c>
      <c r="BH19">
        <v>2800</v>
      </c>
      <c r="BI19">
        <v>400</v>
      </c>
    </row>
    <row r="20" spans="3:61" ht="15" thickBot="1">
      <c r="C20" s="7">
        <v>4</v>
      </c>
      <c r="D20" s="100">
        <f ca="1">IF(E20="","",ראשי!H29)</f>
        <v>0</v>
      </c>
      <c r="E20" s="100">
        <f t="shared" ca="1" si="7"/>
        <v>4400</v>
      </c>
      <c r="F20" s="39">
        <f t="shared" ca="1" si="9"/>
        <v>0</v>
      </c>
      <c r="G20" s="39">
        <f t="shared" ca="1" si="10"/>
        <v>0</v>
      </c>
      <c r="H20" s="276">
        <f t="shared" ca="1" si="8"/>
        <v>-369</v>
      </c>
      <c r="I20" s="26"/>
      <c r="T20" s="43">
        <f ca="1">IF($T$5+דלק!$C17&gt;takoffweight+1,takoffweight,$T$5+דלק!$C17)</f>
        <v>2849.6019999999999</v>
      </c>
      <c r="U20" s="29">
        <f ca="1">IF($T$5+דלק!$C17&gt;takoffweight+1,INDIRECT(ADDRESS(ROW()-1,COLUMN())),($T$5*$U$5+דלק!$C17*דלק!$D17)/($T$5+דלק!$C17))</f>
        <v>4461.832654118014</v>
      </c>
      <c r="V20" s="31">
        <f ca="1">IF($T$5+דלק!$C17&gt;takoffweight,INDIRECT(ADDRESS(ROW()-1,COLUMN())),($T$5*$V$5+דלק!$C17*דלק!$E17)/($T$5+דלק!$C17))</f>
        <v>-4.99416311470865</v>
      </c>
      <c r="X20" s="16" t="b">
        <f t="shared" ca="1" si="0"/>
        <v>0</v>
      </c>
      <c r="Y20" s="246" t="b">
        <f t="shared" ca="1" si="1"/>
        <v>0</v>
      </c>
      <c r="Z20" s="239" t="str">
        <f ca="1">IF($Y20,דלק!$C17,"")</f>
        <v/>
      </c>
      <c r="AA20">
        <v>150</v>
      </c>
      <c r="AB20" s="43">
        <f ca="1">IF($AB$5+דלק!$C17&gt;takoffweight+1,takoffweight,$AB$5+דלק!$C17)</f>
        <v>2849.6019999999999</v>
      </c>
      <c r="AC20" s="29">
        <f ca="1">IF($AB$5+דלק!$C17&gt;takoffweight+1,INDIRECT(ADDRESS(ROW()-1,COLUMN())),($AB$5*$AC$5+דלק!$C17*דלק!$D17)/($AB$5+דלק!$C17))</f>
        <v>4461.832654118014</v>
      </c>
      <c r="AD20" s="31">
        <f ca="1">IF($AB$5+דלק!$C17&gt;takoffweight,INDIRECT(ADDRESS(ROW()-1,COLUMN())),($AB$5*$AD$5+דלק!$C17*דלק!$E17)/($AB$5+דלק!$C17))</f>
        <v>-4.99416311470865</v>
      </c>
      <c r="AF20" s="239" t="str">
        <f ca="1">IF($AH20,דלק!$C17,"")</f>
        <v/>
      </c>
      <c r="AG20" s="239" t="str">
        <f ca="1">IF($AI20,דלק!$C17,"")</f>
        <v/>
      </c>
      <c r="AH20" s="242" t="b">
        <f t="shared" ca="1" si="2"/>
        <v>0</v>
      </c>
      <c r="AI20" s="236" t="b">
        <f t="shared" ca="1" si="3"/>
        <v>0</v>
      </c>
      <c r="AJ20" s="26" t="b">
        <f t="shared" ca="1" si="4"/>
        <v>0</v>
      </c>
      <c r="AL20" s="16" t="b">
        <f t="shared" ca="1" si="6"/>
        <v>0</v>
      </c>
      <c r="AM20" s="246" t="b">
        <f t="shared" ca="1" si="5"/>
        <v>0</v>
      </c>
      <c r="AN20" s="239" t="str">
        <f ca="1">IF(OR(AL20:AM20),דלק!C17,"")</f>
        <v/>
      </c>
      <c r="AQ20" s="7">
        <v>-100</v>
      </c>
      <c r="AR20" s="2">
        <v>3000</v>
      </c>
      <c r="AT20" s="226">
        <v>4380</v>
      </c>
      <c r="AU20" s="207">
        <v>3700</v>
      </c>
      <c r="BA20">
        <v>85</v>
      </c>
      <c r="BB20">
        <v>17</v>
      </c>
      <c r="BH20">
        <v>2850</v>
      </c>
      <c r="BI20">
        <v>350</v>
      </c>
    </row>
    <row r="21" spans="3:61" ht="15">
      <c r="C21" s="7">
        <v>5</v>
      </c>
      <c r="D21" s="100" t="str">
        <f ca="1">IF(E21="","",ראשי!F29)</f>
        <v/>
      </c>
      <c r="E21" s="100" t="str">
        <f t="shared" ca="1" si="7"/>
        <v/>
      </c>
      <c r="F21" s="39" t="str">
        <f t="shared" ca="1" si="9"/>
        <v/>
      </c>
      <c r="G21" s="39" t="str">
        <f t="shared" ca="1" si="10"/>
        <v/>
      </c>
      <c r="H21" s="276" t="str">
        <f t="shared" ca="1" si="8"/>
        <v/>
      </c>
      <c r="I21" s="26"/>
      <c r="K21" s="356" t="s">
        <v>205</v>
      </c>
      <c r="L21" s="357"/>
      <c r="M21" s="357"/>
      <c r="N21" s="357"/>
      <c r="O21" s="357"/>
      <c r="P21" s="358"/>
      <c r="T21" s="43">
        <f ca="1">IF($T$5+דלק!$C18&gt;takoffweight+1,takoffweight,$T$5+דלק!$C18)</f>
        <v>2859.6019999999999</v>
      </c>
      <c r="U21" s="29">
        <f ca="1">IF($T$5+דלק!$C18&gt;takoffweight+1,INDIRECT(ADDRESS(ROW()-1,COLUMN())),($T$5*$U$5+דלק!$C18*דלק!$D18)/($T$5+דלק!$C18))</f>
        <v>4461.9626279601152</v>
      </c>
      <c r="V21" s="31">
        <f ca="1">IF($T$5+דלק!$C18&gt;takoffweight,INDIRECT(ADDRESS(ROW()-1,COLUMN())),($T$5*$V$5+דלק!$C18*דלק!$E18)/($T$5+דלק!$C18))</f>
        <v>-4.9382316839895903</v>
      </c>
      <c r="X21" s="16" t="b">
        <f t="shared" ca="1" si="0"/>
        <v>0</v>
      </c>
      <c r="Y21" s="246" t="b">
        <f t="shared" ca="1" si="1"/>
        <v>0</v>
      </c>
      <c r="Z21" s="239" t="str">
        <f ca="1">IF($Y21,דלק!$C18,"")</f>
        <v/>
      </c>
      <c r="AA21">
        <v>160</v>
      </c>
      <c r="AB21" s="43">
        <f ca="1">IF($AB$5+דלק!$C18&gt;takoffweight+1,takoffweight,$AB$5+דלק!$C18)</f>
        <v>2859.6019999999999</v>
      </c>
      <c r="AC21" s="29">
        <f ca="1">IF($AB$5+דלק!$C18&gt;takoffweight+1,INDIRECT(ADDRESS(ROW()-1,COLUMN())),($AB$5*$AC$5+דלק!$C18*דלק!$D18)/($AB$5+דלק!$C18))</f>
        <v>4461.9626279601152</v>
      </c>
      <c r="AD21" s="31">
        <f ca="1">IF($AB$5+דלק!$C18&gt;takoffweight,INDIRECT(ADDRESS(ROW()-1,COLUMN())),($AB$5*$AD$5+דלק!$C18*דלק!$E18)/($AB$5+דלק!$C18))</f>
        <v>-4.9382316839895903</v>
      </c>
      <c r="AF21" s="239" t="str">
        <f ca="1">IF($AH21,דלק!$C18,"")</f>
        <v/>
      </c>
      <c r="AG21" s="239" t="str">
        <f ca="1">IF($AI21,דלק!$C18,"")</f>
        <v/>
      </c>
      <c r="AH21" s="242" t="b">
        <f t="shared" ca="1" si="2"/>
        <v>0</v>
      </c>
      <c r="AI21" s="236" t="b">
        <f t="shared" ca="1" si="3"/>
        <v>0</v>
      </c>
      <c r="AJ21" s="26" t="b">
        <f t="shared" ca="1" si="4"/>
        <v>0</v>
      </c>
      <c r="AL21" s="16" t="b">
        <f t="shared" ca="1" si="6"/>
        <v>0</v>
      </c>
      <c r="AM21" s="246" t="b">
        <f t="shared" ca="1" si="5"/>
        <v>0</v>
      </c>
      <c r="AN21" s="239" t="str">
        <f ca="1">IF(OR(AL21:AM21),דלק!C18,"")</f>
        <v/>
      </c>
      <c r="AQ21" s="7">
        <v>-80</v>
      </c>
      <c r="AR21" s="2">
        <v>3000</v>
      </c>
      <c r="AT21" s="226">
        <v>4347</v>
      </c>
      <c r="AU21" s="207">
        <v>2400</v>
      </c>
      <c r="BA21">
        <v>90</v>
      </c>
      <c r="BB21">
        <v>18</v>
      </c>
      <c r="BH21">
        <v>2900</v>
      </c>
      <c r="BI21">
        <v>300</v>
      </c>
    </row>
    <row r="22" spans="3:61" ht="15" thickBot="1">
      <c r="C22" s="7">
        <v>6</v>
      </c>
      <c r="D22" s="100">
        <f ca="1">IF(E22="","",ראשי!D29)</f>
        <v>0</v>
      </c>
      <c r="E22" s="100">
        <f t="shared" ca="1" si="7"/>
        <v>4400</v>
      </c>
      <c r="F22" s="39">
        <f t="shared" ca="1" si="9"/>
        <v>0</v>
      </c>
      <c r="G22" s="39">
        <f t="shared" ca="1" si="10"/>
        <v>0</v>
      </c>
      <c r="H22" s="276">
        <f t="shared" ca="1" si="8"/>
        <v>369</v>
      </c>
      <c r="I22" s="26"/>
      <c r="K22" s="4" t="s">
        <v>2</v>
      </c>
      <c r="L22" s="5" t="s">
        <v>0</v>
      </c>
      <c r="M22" s="5" t="s">
        <v>14</v>
      </c>
      <c r="N22" s="42" t="s">
        <v>3</v>
      </c>
      <c r="O22" s="42" t="s">
        <v>4</v>
      </c>
      <c r="P22" s="6" t="s">
        <v>15</v>
      </c>
      <c r="T22" s="43">
        <f ca="1">IF($T$5+דלק!$C19&gt;takoffweight+1,takoffweight,$T$5+דלק!$C19)</f>
        <v>2869.6019999999999</v>
      </c>
      <c r="U22" s="29">
        <f ca="1">IF($T$5+דלק!$C19&gt;takoffweight+1,INDIRECT(ADDRESS(ROW()-1,COLUMN())),($T$5*$U$5+דלק!$C19*דלק!$D19)/($T$5+דלק!$C19))</f>
        <v>4462.0324542706621</v>
      </c>
      <c r="V22" s="31">
        <f ca="1">IF($T$5+דלק!$C19&gt;takoffweight,INDIRECT(ADDRESS(ROW()-1,COLUMN())),($T$5*$V$5+דלק!$C19*דלק!$E19)/($T$5+דלק!$C19))</f>
        <v>-4.9419317382689307</v>
      </c>
      <c r="X22" s="16" t="b">
        <f t="shared" ca="1" si="0"/>
        <v>0</v>
      </c>
      <c r="Y22" s="246" t="b">
        <f t="shared" ca="1" si="1"/>
        <v>0</v>
      </c>
      <c r="Z22" s="239" t="str">
        <f ca="1">IF($Y22,דלק!$C19,"")</f>
        <v/>
      </c>
      <c r="AA22">
        <v>170</v>
      </c>
      <c r="AB22" s="43">
        <f ca="1">IF($AB$5+דלק!$C19&gt;takoffweight+1,takoffweight,$AB$5+דלק!$C19)</f>
        <v>2869.6019999999999</v>
      </c>
      <c r="AC22" s="29">
        <f ca="1">IF($AB$5+דלק!$C19&gt;takoffweight+1,INDIRECT(ADDRESS(ROW()-1,COLUMN())),($AB$5*$AC$5+דלק!$C19*דלק!$D19)/($AB$5+דלק!$C19))</f>
        <v>4462.0324542706621</v>
      </c>
      <c r="AD22" s="31">
        <f ca="1">IF($AB$5+דלק!$C19&gt;takoffweight,INDIRECT(ADDRESS(ROW()-1,COLUMN())),($AB$5*$AD$5+דלק!$C19*דלק!$E19)/($AB$5+דלק!$C19))</f>
        <v>-4.9419317382689307</v>
      </c>
      <c r="AF22" s="239" t="str">
        <f ca="1">IF($AH22,דלק!$C19,"")</f>
        <v/>
      </c>
      <c r="AG22" s="239" t="str">
        <f ca="1">IF($AI22,דלק!$C19,"")</f>
        <v/>
      </c>
      <c r="AH22" s="242" t="b">
        <f t="shared" ca="1" si="2"/>
        <v>0</v>
      </c>
      <c r="AI22" s="236" t="b">
        <f t="shared" ca="1" si="3"/>
        <v>0</v>
      </c>
      <c r="AJ22" s="26" t="b">
        <f t="shared" ca="1" si="4"/>
        <v>0</v>
      </c>
      <c r="AL22" s="16" t="b">
        <f t="shared" ca="1" si="6"/>
        <v>0</v>
      </c>
      <c r="AM22" s="246" t="b">
        <f t="shared" ca="1" si="5"/>
        <v>0</v>
      </c>
      <c r="AN22" s="239" t="str">
        <f ca="1">IF(OR(AL22:AM22),דלק!C19,"")</f>
        <v/>
      </c>
      <c r="AQ22" s="7">
        <v>-80</v>
      </c>
      <c r="AR22" s="2">
        <f>MAXGROSS</f>
        <v>3700</v>
      </c>
      <c r="AT22" s="227">
        <v>4250</v>
      </c>
      <c r="AU22" s="209">
        <v>3000</v>
      </c>
      <c r="BA22">
        <v>95</v>
      </c>
      <c r="BB22">
        <v>19</v>
      </c>
      <c r="BH22">
        <v>2950</v>
      </c>
      <c r="BI22">
        <v>250</v>
      </c>
    </row>
    <row r="23" spans="3:61" ht="15" thickBot="1">
      <c r="C23" s="7">
        <v>7</v>
      </c>
      <c r="D23" s="100" t="str">
        <f ca="1">IF(E23="","",ראשי!H31)</f>
        <v/>
      </c>
      <c r="E23" s="100" t="str">
        <f t="shared" ca="1" si="7"/>
        <v/>
      </c>
      <c r="F23" s="39" t="str">
        <f t="shared" ca="1" si="9"/>
        <v/>
      </c>
      <c r="G23" s="39" t="str">
        <f t="shared" ca="1" si="10"/>
        <v/>
      </c>
      <c r="H23" s="276" t="str">
        <f t="shared" ca="1" si="8"/>
        <v/>
      </c>
      <c r="I23" s="26"/>
      <c r="K23" s="7" t="str">
        <f>IF('משקל מערכות'!$B17=0,"",'משקל מערכות'!C17)</f>
        <v/>
      </c>
      <c r="L23" s="100" t="str">
        <f>IF('משקל מערכות'!$B17=0,"",'משקל מערכות'!D17)</f>
        <v/>
      </c>
      <c r="M23" s="100" t="str">
        <f>IF('משקל מערכות'!$B17=0,"",'משקל מערכות'!E17)</f>
        <v/>
      </c>
      <c r="N23" s="118" t="str">
        <f>IF('משקל מערכות'!$B17=0,"",'משקל מערכות'!F17)</f>
        <v/>
      </c>
      <c r="O23" s="35" t="str">
        <f>IF('משקל מערכות'!$B17=0,"",'משקל מערכות'!G17)</f>
        <v/>
      </c>
      <c r="P23" s="2" t="str">
        <f>IF('משקל מערכות'!$B17=0,"",'משקל מערכות'!H17)</f>
        <v/>
      </c>
      <c r="T23" s="43">
        <f ca="1">IF($T$5+דלק!$C20&gt;takoffweight+1,takoffweight,$T$5+דלק!$C20)</f>
        <v>2879.6019999999999</v>
      </c>
      <c r="U23" s="29">
        <f ca="1">IF($T$5+דלק!$C20&gt;takoffweight+1,INDIRECT(ADDRESS(ROW()-1,COLUMN())),($T$5*$U$5+דלק!$C20*דלק!$D20)/($T$5+דלק!$C20))</f>
        <v>4462.1573588433403</v>
      </c>
      <c r="V23" s="31">
        <f ca="1">IF($T$5+דלק!$C20&gt;takoffweight,INDIRECT(ADDRESS(ROW()-1,COLUMN())),($T$5*$V$5+דלק!$C20*דלק!$E20)/($T$5+דלק!$C20))</f>
        <v>-4.9525514984362422</v>
      </c>
      <c r="X23" s="16" t="b">
        <f t="shared" ca="1" si="0"/>
        <v>0</v>
      </c>
      <c r="Y23" s="246" t="b">
        <f t="shared" ca="1" si="1"/>
        <v>0</v>
      </c>
      <c r="Z23" s="239" t="str">
        <f ca="1">IF($Y23,דלק!$C20,"")</f>
        <v/>
      </c>
      <c r="AA23">
        <v>180</v>
      </c>
      <c r="AB23" s="43">
        <f ca="1">IF($AB$5+דלק!$C20&gt;takoffweight+1,takoffweight,$AB$5+דלק!$C20)</f>
        <v>2879.6019999999999</v>
      </c>
      <c r="AC23" s="29">
        <f ca="1">IF($AB$5+דלק!$C20&gt;takoffweight+1,INDIRECT(ADDRESS(ROW()-1,COLUMN())),($AB$5*$AC$5+דלק!$C20*דלק!$D20)/($AB$5+דלק!$C20))</f>
        <v>4462.1573588433403</v>
      </c>
      <c r="AD23" s="31">
        <f ca="1">IF($AB$5+דלק!$C20&gt;takoffweight,INDIRECT(ADDRESS(ROW()-1,COLUMN())),($AB$5*$AD$5+דלק!$C20*דלק!$E20)/($AB$5+דלק!$C20))</f>
        <v>-4.9525514984362422</v>
      </c>
      <c r="AF23" s="239" t="str">
        <f ca="1">IF($AH23,דלק!$C20,"")</f>
        <v/>
      </c>
      <c r="AG23" s="239" t="str">
        <f ca="1">IF($AI23,דלק!$C20,"")</f>
        <v/>
      </c>
      <c r="AH23" s="242" t="b">
        <f t="shared" ca="1" si="2"/>
        <v>0</v>
      </c>
      <c r="AI23" s="236" t="b">
        <f t="shared" ca="1" si="3"/>
        <v>0</v>
      </c>
      <c r="AJ23" s="26" t="b">
        <f t="shared" ca="1" si="4"/>
        <v>0</v>
      </c>
      <c r="AL23" s="16" t="b">
        <f t="shared" ca="1" si="6"/>
        <v>0</v>
      </c>
      <c r="AM23" s="246" t="b">
        <f t="shared" ca="1" si="5"/>
        <v>0</v>
      </c>
      <c r="AN23" s="239" t="str">
        <f ca="1">IF(OR(AL23:AM23),דלק!C20,"")</f>
        <v/>
      </c>
      <c r="AQ23" s="9"/>
      <c r="AR23" s="3"/>
      <c r="BA23">
        <v>100</v>
      </c>
      <c r="BB23">
        <v>20</v>
      </c>
      <c r="BH23">
        <v>3000</v>
      </c>
      <c r="BI23">
        <v>200</v>
      </c>
    </row>
    <row r="24" spans="3:61" ht="14.25">
      <c r="C24" s="7">
        <v>8</v>
      </c>
      <c r="D24" s="100" t="str">
        <f ca="1">IF(E24="","",ראשי!F31)</f>
        <v/>
      </c>
      <c r="E24" s="100" t="str">
        <f t="shared" ca="1" si="7"/>
        <v/>
      </c>
      <c r="F24" s="39" t="str">
        <f t="shared" ca="1" si="9"/>
        <v/>
      </c>
      <c r="G24" s="39" t="str">
        <f t="shared" ca="1" si="10"/>
        <v/>
      </c>
      <c r="H24" s="276" t="str">
        <f t="shared" ca="1" si="8"/>
        <v/>
      </c>
      <c r="I24" s="26"/>
      <c r="K24" s="7" t="str">
        <f>IF('משקל מערכות'!$B18=0,"",'משקל מערכות'!C18)</f>
        <v>WEIGHT ON HOOK</v>
      </c>
      <c r="L24" s="100">
        <f>IF('משקל מערכות'!$B18=0,"",'משקל מערכות'!D18)</f>
        <v>0</v>
      </c>
      <c r="M24" s="100">
        <f>IF('משקל מערכות'!$B18=0,"",'משקל מערכות'!E18)</f>
        <v>4427</v>
      </c>
      <c r="N24" s="118">
        <f>IF('משקל מערכות'!$B18=0,"",'משקל מערכות'!F18)</f>
        <v>0</v>
      </c>
      <c r="O24" s="35">
        <f>IF('משקל מערכות'!$B18=0,"",'משקל מערכות'!G18)</f>
        <v>0</v>
      </c>
      <c r="P24" s="2">
        <f>IF('משקל מערכות'!$B18=0,"",'משקל מערכות'!H18)</f>
        <v>0</v>
      </c>
      <c r="T24" s="43">
        <f ca="1">IF($T$5+דלק!$C21&gt;takoffweight+1,takoffweight,$T$5+דלק!$C21)</f>
        <v>2889.6019999999999</v>
      </c>
      <c r="U24" s="29">
        <f ca="1">IF($T$5+דלק!$C21&gt;takoffweight+1,INDIRECT(ADDRESS(ROW()-1,COLUMN())),($T$5*$U$5+דלק!$C21*דלק!$D21)/($T$5+דלק!$C21))</f>
        <v>4462.295241642275</v>
      </c>
      <c r="V24" s="31">
        <f ca="1">IF($T$5+דלק!$C21&gt;takoffweight,INDIRECT(ADDRESS(ROW()-1,COLUMN())),($T$5*$V$5+דלק!$C21*דלק!$E21)/($T$5+דלק!$C21))</f>
        <v>-4.9042661238468135</v>
      </c>
      <c r="X24" s="16" t="b">
        <f t="shared" ca="1" si="0"/>
        <v>0</v>
      </c>
      <c r="Y24" s="246" t="b">
        <f t="shared" ca="1" si="1"/>
        <v>0</v>
      </c>
      <c r="Z24" s="239" t="str">
        <f ca="1">IF($Y24,דלק!$C21,"")</f>
        <v/>
      </c>
      <c r="AA24">
        <v>190</v>
      </c>
      <c r="AB24" s="43">
        <f ca="1">IF($AB$5+דלק!$C21&gt;takoffweight+1,takoffweight,$AB$5+דלק!$C21)</f>
        <v>2889.6019999999999</v>
      </c>
      <c r="AC24" s="29">
        <f ca="1">IF($AB$5+דלק!$C21&gt;takoffweight+1,INDIRECT(ADDRESS(ROW()-1,COLUMN())),($AB$5*$AC$5+דלק!$C21*דלק!$D21)/($AB$5+דלק!$C21))</f>
        <v>4462.295241642275</v>
      </c>
      <c r="AD24" s="31">
        <f ca="1">IF($AB$5+דלק!$C21&gt;takoffweight,INDIRECT(ADDRESS(ROW()-1,COLUMN())),($AB$5*$AD$5+דלק!$C21*דלק!$E21)/($AB$5+דלק!$C21))</f>
        <v>-4.9042661238468135</v>
      </c>
      <c r="AF24" s="239" t="str">
        <f ca="1">IF($AH24,דלק!$C21,"")</f>
        <v/>
      </c>
      <c r="AG24" s="239" t="str">
        <f ca="1">IF($AI24,דלק!$C21,"")</f>
        <v/>
      </c>
      <c r="AH24" s="242" t="b">
        <f t="shared" ca="1" si="2"/>
        <v>0</v>
      </c>
      <c r="AI24" s="236" t="b">
        <f t="shared" ca="1" si="3"/>
        <v>0</v>
      </c>
      <c r="AJ24" s="26" t="b">
        <f t="shared" ca="1" si="4"/>
        <v>0</v>
      </c>
      <c r="AL24" s="16" t="b">
        <f t="shared" ca="1" si="6"/>
        <v>0</v>
      </c>
      <c r="AM24" s="246" t="b">
        <f t="shared" ca="1" si="5"/>
        <v>0</v>
      </c>
      <c r="AN24" s="239" t="str">
        <f ca="1">IF(OR(AL24:AM24),דלק!C21,"")</f>
        <v/>
      </c>
      <c r="AQ24" s="1"/>
      <c r="AR24" s="1"/>
      <c r="BA24">
        <v>105</v>
      </c>
      <c r="BB24">
        <v>21</v>
      </c>
      <c r="BH24">
        <v>3050</v>
      </c>
      <c r="BI24">
        <v>150</v>
      </c>
    </row>
    <row r="25" spans="3:61" ht="15" thickBot="1">
      <c r="C25" s="218">
        <v>9</v>
      </c>
      <c r="D25" s="219" t="str">
        <f ca="1">IF(E25="","",ראשי!D31)</f>
        <v/>
      </c>
      <c r="E25" s="219" t="str">
        <f t="shared" ca="1" si="7"/>
        <v/>
      </c>
      <c r="F25" s="220" t="str">
        <f t="shared" ca="1" si="9"/>
        <v/>
      </c>
      <c r="G25" s="220" t="str">
        <f t="shared" ca="1" si="10"/>
        <v/>
      </c>
      <c r="H25" s="221" t="str">
        <f t="shared" ca="1" si="8"/>
        <v/>
      </c>
      <c r="I25" s="112"/>
      <c r="K25" s="9" t="str">
        <f>IF('משקל מערכות'!$B19=0,"",'משקל מערכות'!C19)</f>
        <v/>
      </c>
      <c r="L25" s="99" t="str">
        <f>IF('משקל מערכות'!$B19=0,"",'משקל מערכות'!D19)</f>
        <v/>
      </c>
      <c r="M25" s="99" t="str">
        <f>IF('משקל מערכות'!$B19=0,"",'משקל מערכות'!E19)</f>
        <v/>
      </c>
      <c r="N25" s="120" t="str">
        <f>IF('משקל מערכות'!$B19=0,"",'משקל מערכות'!F19)</f>
        <v/>
      </c>
      <c r="O25" s="36" t="str">
        <f>IF('משקל מערכות'!$B19=0,"",'משקל מערכות'!G19)</f>
        <v/>
      </c>
      <c r="P25" s="3" t="str">
        <f>IF('משקל מערכות'!$B19=0,"",'משקל מערכות'!H19)</f>
        <v/>
      </c>
      <c r="T25" s="43">
        <f ca="1">IF($T$5+דלק!$C22&gt;takoffweight+1,takoffweight,$T$5+דלק!$C22)</f>
        <v>2899.6019999999999</v>
      </c>
      <c r="U25" s="29">
        <f ca="1">IF($T$5+דלק!$C22&gt;takoffweight+1,INDIRECT(ADDRESS(ROW()-1,COLUMN())),($T$5*$U$5+דלק!$C22*דלק!$D22)/($T$5+דלק!$C22))</f>
        <v>4462.4735583849097</v>
      </c>
      <c r="V25" s="31">
        <f ca="1">IF($T$5+דלק!$C22&gt;takoffweight,INDIRECT(ADDRESS(ROW()-1,COLUMN())),($T$5*$V$5+דלק!$C22*דלק!$E22)/($T$5+דלק!$C22))</f>
        <v>-4.8563137975487667</v>
      </c>
      <c r="X25" s="16" t="b">
        <f t="shared" ca="1" si="0"/>
        <v>0</v>
      </c>
      <c r="Y25" s="246" t="b">
        <f t="shared" ca="1" si="1"/>
        <v>0</v>
      </c>
      <c r="Z25" s="239" t="str">
        <f ca="1">IF($Y25,דלק!$C22,"")</f>
        <v/>
      </c>
      <c r="AA25">
        <v>200</v>
      </c>
      <c r="AB25" s="43">
        <f ca="1">IF($AB$5+דלק!$C22&gt;takoffweight+1,takoffweight,$AB$5+דלק!$C22)</f>
        <v>2899.6019999999999</v>
      </c>
      <c r="AC25" s="29">
        <f ca="1">IF($AB$5+דלק!$C22&gt;takoffweight+1,INDIRECT(ADDRESS(ROW()-1,COLUMN())),($AB$5*$AC$5+דלק!$C22*דלק!$D22)/($AB$5+דלק!$C22))</f>
        <v>4462.4735583849097</v>
      </c>
      <c r="AD25" s="31">
        <f ca="1">IF($AB$5+דלק!$C22&gt;takoffweight,INDIRECT(ADDRESS(ROW()-1,COLUMN())),($AB$5*$AD$5+דלק!$C22*דלק!$E22)/($AB$5+דלק!$C22))</f>
        <v>-4.8563137975487667</v>
      </c>
      <c r="AF25" s="239" t="str">
        <f ca="1">IF($AH25,דלק!$C22,"")</f>
        <v/>
      </c>
      <c r="AG25" s="239" t="str">
        <f ca="1">IF($AI25,דלק!$C22,"")</f>
        <v/>
      </c>
      <c r="AH25" s="242" t="b">
        <f t="shared" ca="1" si="2"/>
        <v>0</v>
      </c>
      <c r="AI25" s="236" t="b">
        <f t="shared" ca="1" si="3"/>
        <v>0</v>
      </c>
      <c r="AJ25" s="26" t="b">
        <f t="shared" ca="1" si="4"/>
        <v>0</v>
      </c>
      <c r="AL25" s="16" t="b">
        <f t="shared" ca="1" si="6"/>
        <v>0</v>
      </c>
      <c r="AM25" s="246" t="b">
        <f t="shared" ca="1" si="5"/>
        <v>0</v>
      </c>
      <c r="AN25" s="239" t="str">
        <f ca="1">IF(OR(AL25:AM25),דלק!C22,"")</f>
        <v/>
      </c>
      <c r="AQ25" s="1"/>
      <c r="AR25" s="1"/>
      <c r="BA25">
        <v>110</v>
      </c>
      <c r="BB25">
        <v>22</v>
      </c>
      <c r="BH25">
        <v>3100</v>
      </c>
      <c r="BI25">
        <v>100</v>
      </c>
    </row>
    <row r="26" spans="3:61" ht="15">
      <c r="C26" s="218">
        <v>11</v>
      </c>
      <c r="D26" s="100" t="str">
        <f ca="1">IF(E26="","",INPUT11)</f>
        <v/>
      </c>
      <c r="E26" s="219" t="str">
        <f t="shared" ca="1" si="7"/>
        <v/>
      </c>
      <c r="F26" s="220" t="str">
        <f ca="1" t="shared" si="11" ref="F26">IF(E26&lt;&gt;"",D26*E26,"")</f>
        <v/>
      </c>
      <c r="G26" s="220" t="str">
        <f ca="1" t="shared" si="12" ref="G26">IF(E26&lt;&gt;"",D26*H26,"")</f>
        <v/>
      </c>
      <c r="H26" s="221" t="str">
        <f t="shared" ca="1" si="8"/>
        <v/>
      </c>
      <c r="I26" s="112"/>
      <c r="T26" s="43">
        <f ca="1">IF($T$5+דלק!$C23&gt;takoffweight+1,takoffweight,$T$5+דלק!$C23)</f>
        <v>2909.6019999999999</v>
      </c>
      <c r="U26" s="29">
        <f ca="1">IF($T$5+דלק!$C23&gt;takoffweight+1,INDIRECT(ADDRESS(ROW()-1,COLUMN())),($T$5*$U$5+דלק!$C23*דלק!$D23)/($T$5+דלק!$C23))</f>
        <v>4462.6609601038217</v>
      </c>
      <c r="V26" s="31">
        <f ca="1">IF($T$5+דלק!$C23&gt;takoffweight,INDIRECT(ADDRESS(ROW()-1,COLUMN())),($T$5*$V$5+דלק!$C23*דלק!$E23)/($T$5+דלק!$C23))</f>
        <v>-4.88086590537125</v>
      </c>
      <c r="X26" s="16" t="b">
        <f t="shared" ca="1" si="0"/>
        <v>0</v>
      </c>
      <c r="Y26" s="246" t="b">
        <f t="shared" ca="1" si="1"/>
        <v>0</v>
      </c>
      <c r="Z26" s="239" t="str">
        <f ca="1">IF($Y26,דלק!$C23,"")</f>
        <v/>
      </c>
      <c r="AA26">
        <v>210</v>
      </c>
      <c r="AB26" s="43">
        <f ca="1">IF($AB$5+דלק!$C23&gt;takoffweight+1,takoffweight,$AB$5+דלק!$C23)</f>
        <v>2909.6019999999999</v>
      </c>
      <c r="AC26" s="29">
        <f ca="1">IF($AB$5+דלק!$C23&gt;takoffweight+1,INDIRECT(ADDRESS(ROW()-1,COLUMN())),($AB$5*$AC$5+דלק!$C23*דלק!$D23)/($AB$5+דלק!$C23))</f>
        <v>4462.6609601038217</v>
      </c>
      <c r="AD26" s="31">
        <f ca="1">IF($AB$5+דלק!$C23&gt;takoffweight,INDIRECT(ADDRESS(ROW()-1,COLUMN())),($AB$5*$AD$5+דלק!$C23*דלק!$E23)/($AB$5+דלק!$C23))</f>
        <v>-4.88086590537125</v>
      </c>
      <c r="AF26" s="239" t="str">
        <f ca="1">IF($AH26,דלק!$C23,"")</f>
        <v/>
      </c>
      <c r="AG26" s="239" t="str">
        <f ca="1">IF($AI26,דלק!$C23,"")</f>
        <v/>
      </c>
      <c r="AH26" s="242" t="b">
        <f t="shared" ca="1" si="2"/>
        <v>0</v>
      </c>
      <c r="AI26" s="236" t="b">
        <f t="shared" ca="1" si="3"/>
        <v>0</v>
      </c>
      <c r="AJ26" s="26" t="b">
        <f t="shared" ca="1" si="4"/>
        <v>0</v>
      </c>
      <c r="AL26" s="16" t="b">
        <f t="shared" ca="1" si="6"/>
        <v>0</v>
      </c>
      <c r="AM26" s="246" t="b">
        <f t="shared" ca="1" si="5"/>
        <v>0</v>
      </c>
      <c r="AN26" s="239" t="str">
        <f ca="1">IF(OR(AL26:AM26),דלק!C23,"")</f>
        <v/>
      </c>
      <c r="AQ26" s="378" t="s">
        <v>12</v>
      </c>
      <c r="AR26" s="379"/>
      <c r="BA26">
        <v>115</v>
      </c>
      <c r="BB26">
        <v>23</v>
      </c>
      <c r="BH26">
        <v>3150</v>
      </c>
      <c r="BI26">
        <v>50</v>
      </c>
    </row>
    <row r="27" spans="3:61" ht="15" thickBot="1">
      <c r="C27" s="218">
        <v>12</v>
      </c>
      <c r="D27" s="100" t="str">
        <f ca="1">IF(E27="","",INPUT12)</f>
        <v/>
      </c>
      <c r="E27" s="219" t="str">
        <f t="shared" ca="1" si="7"/>
        <v/>
      </c>
      <c r="F27" s="220" t="str">
        <f ca="1" t="shared" si="13" ref="F27:F31">IF(E27&lt;&gt;"",D27*E27,"")</f>
        <v/>
      </c>
      <c r="G27" s="220" t="str">
        <f ca="1" t="shared" si="14" ref="G27:G31">IF(E27&lt;&gt;"",D27*H27,"")</f>
        <v/>
      </c>
      <c r="H27" s="221" t="str">
        <f t="shared" ca="1" si="8"/>
        <v/>
      </c>
      <c r="I27" s="112"/>
      <c r="T27" s="43">
        <f ca="1">IF($T$5+דלק!$C24&gt;takoffweight+1,takoffweight,$T$5+דלק!$C24)</f>
        <v>2919.6019999999999</v>
      </c>
      <c r="U27" s="29">
        <f ca="1">IF($T$5+דלק!$C24&gt;takoffweight+1,INDIRECT(ADDRESS(ROW()-1,COLUMN())),($T$5*$U$5+דלק!$C24*דלק!$D24)/($T$5+דלק!$C24))</f>
        <v>4462.8265273280404</v>
      </c>
      <c r="V27" s="31">
        <f ca="1">IF($T$5+דלק!$C24&gt;takoffweight,INDIRECT(ADDRESS(ROW()-1,COLUMN())),($T$5*$V$5+דלק!$C24*דלק!$E24)/($T$5+דלק!$C24))</f>
        <v>-4.8367473374795606</v>
      </c>
      <c r="X27" s="16" t="b">
        <f t="shared" ca="1" si="0"/>
        <v>0</v>
      </c>
      <c r="Y27" s="246" t="b">
        <f t="shared" ca="1" si="1"/>
        <v>0</v>
      </c>
      <c r="Z27" s="239" t="str">
        <f ca="1">IF($Y27,דלק!$C24,"")</f>
        <v/>
      </c>
      <c r="AA27">
        <v>220</v>
      </c>
      <c r="AB27" s="43">
        <f ca="1">IF($AB$5+דלק!$C24&gt;takoffweight+1,takoffweight,$AB$5+דלק!$C24)</f>
        <v>2919.6019999999999</v>
      </c>
      <c r="AC27" s="29">
        <f ca="1">IF($AB$5+דלק!$C24&gt;takoffweight+1,INDIRECT(ADDRESS(ROW()-1,COLUMN())),($AB$5*$AC$5+דלק!$C24*דלק!$D24)/($AB$5+דלק!$C24))</f>
        <v>4462.8265273280404</v>
      </c>
      <c r="AD27" s="31">
        <f ca="1">IF($AB$5+דלק!$C24&gt;takoffweight,INDIRECT(ADDRESS(ROW()-1,COLUMN())),($AB$5*$AD$5+דלק!$C24*דלק!$E24)/($AB$5+דלק!$C24))</f>
        <v>-4.8367473374795606</v>
      </c>
      <c r="AF27" s="239" t="str">
        <f ca="1">IF($AH27,דלק!$C24,"")</f>
        <v/>
      </c>
      <c r="AG27" s="239" t="str">
        <f ca="1">IF($AI27,דלק!$C24,"")</f>
        <v/>
      </c>
      <c r="AH27" s="242" t="b">
        <f t="shared" ca="1" si="2"/>
        <v>0</v>
      </c>
      <c r="AI27" s="236" t="b">
        <f t="shared" ca="1" si="3"/>
        <v>0</v>
      </c>
      <c r="AJ27" s="26" t="b">
        <f t="shared" ca="1" si="4"/>
        <v>0</v>
      </c>
      <c r="AL27" s="16" t="b">
        <f t="shared" ca="1" si="6"/>
        <v>0</v>
      </c>
      <c r="AM27" s="246" t="b">
        <f t="shared" ca="1" si="5"/>
        <v>0</v>
      </c>
      <c r="AN27" s="239" t="str">
        <f ca="1">IF(OR(AL27:AM27),דלק!C24,"")</f>
        <v/>
      </c>
      <c r="AQ27" s="7">
        <f ca="1">T5</f>
        <v>2699.6019999999999</v>
      </c>
      <c r="AR27" s="10">
        <f ca="1">MIN($V$5:$V$76)</f>
        <v>-5.882858732509459</v>
      </c>
      <c r="BA27">
        <v>120</v>
      </c>
      <c r="BB27">
        <v>24</v>
      </c>
      <c r="BH27">
        <v>3200</v>
      </c>
      <c r="BI27">
        <v>0</v>
      </c>
    </row>
    <row r="28" spans="3:61" ht="15.75" thickBot="1">
      <c r="C28" s="218">
        <v>13</v>
      </c>
      <c r="D28" s="100" t="str">
        <f ca="1">IF(E28="","",INPUT13)</f>
        <v/>
      </c>
      <c r="E28" s="219" t="str">
        <f t="shared" ca="1" si="7"/>
        <v/>
      </c>
      <c r="F28" s="220" t="str">
        <f t="shared" ca="1" si="13"/>
        <v/>
      </c>
      <c r="G28" s="220" t="str">
        <f t="shared" ca="1" si="14"/>
        <v/>
      </c>
      <c r="H28" s="221" t="str">
        <f t="shared" ca="1" si="8"/>
        <v/>
      </c>
      <c r="I28" s="112"/>
      <c r="K28" s="356" t="s">
        <v>81</v>
      </c>
      <c r="L28" s="357"/>
      <c r="M28" s="357"/>
      <c r="N28" s="357"/>
      <c r="O28" s="357"/>
      <c r="P28" s="357"/>
      <c r="Q28" s="357"/>
      <c r="R28" s="358"/>
      <c r="T28" s="43">
        <f ca="1">IF($T$5+דלק!$C25&gt;takoffweight+1,takoffweight,$T$5+דלק!$C25)</f>
        <v>2929.6019999999999</v>
      </c>
      <c r="U28" s="29">
        <f ca="1">IF($T$5+דלק!$C25&gt;takoffweight+1,INDIRECT(ADDRESS(ROW()-1,COLUMN())),($T$5*$U$5+דלק!$C25*דלק!$D25)/($T$5+דלק!$C25))</f>
        <v>4465.2950314889194</v>
      </c>
      <c r="V28" s="31">
        <f ca="1">IF($T$5+דלק!$C25&gt;takoffweight,INDIRECT(ADDRESS(ROW()-1,COLUMN())),($T$5*$V$5+דלק!$C25*דלק!$E25)/($T$5+דלק!$C25))</f>
        <v>-4.8714389190067457</v>
      </c>
      <c r="X28" s="16" t="b">
        <f t="shared" ca="1" si="0"/>
        <v>0</v>
      </c>
      <c r="Y28" s="246" t="b">
        <f t="shared" ca="1" si="1"/>
        <v>0</v>
      </c>
      <c r="Z28" s="239" t="str">
        <f ca="1">IF($Y28,דלק!$C25,"")</f>
        <v/>
      </c>
      <c r="AA28">
        <v>230</v>
      </c>
      <c r="AB28" s="43">
        <f ca="1">IF($AB$5+דלק!$C25&gt;takoffweight+1,takoffweight,$AB$5+דלק!$C25)</f>
        <v>2929.6019999999999</v>
      </c>
      <c r="AC28" s="29">
        <f ca="1">IF($AB$5+דלק!$C25&gt;takoffweight+1,INDIRECT(ADDRESS(ROW()-1,COLUMN())),($AB$5*$AC$5+דלק!$C25*דלק!$D25)/($AB$5+דלק!$C25))</f>
        <v>4465.2950314889194</v>
      </c>
      <c r="AD28" s="31">
        <f ca="1">IF($AB$5+דלק!$C25&gt;takoffweight,INDIRECT(ADDRESS(ROW()-1,COLUMN())),($AB$5*$AD$5+דלק!$C25*דלק!$E25)/($AB$5+דלק!$C25))</f>
        <v>-4.8714389190067457</v>
      </c>
      <c r="AF28" s="239" t="str">
        <f ca="1">IF($AH28,דלק!$C25,"")</f>
        <v/>
      </c>
      <c r="AG28" s="239" t="str">
        <f ca="1">IF($AI28,דלק!$C25,"")</f>
        <v/>
      </c>
      <c r="AH28" s="242" t="b">
        <f t="shared" ca="1" si="2"/>
        <v>0</v>
      </c>
      <c r="AI28" s="236" t="b">
        <f t="shared" ca="1" si="3"/>
        <v>0</v>
      </c>
      <c r="AJ28" s="26" t="b">
        <f t="shared" ca="1" si="4"/>
        <v>0</v>
      </c>
      <c r="AL28" s="16" t="b">
        <f t="shared" ca="1" si="6"/>
        <v>0</v>
      </c>
      <c r="AM28" s="246" t="b">
        <f t="shared" ca="1" si="5"/>
        <v>0</v>
      </c>
      <c r="AN28" s="239" t="str">
        <f ca="1">IF(OR(AL28:AM28),דלק!C25,"")</f>
        <v/>
      </c>
      <c r="AQ28" s="9">
        <f ca="1">T76</f>
        <v>3200</v>
      </c>
      <c r="AR28" s="11">
        <f ca="1">MAX($V$5:$V$76)</f>
        <v>-4.6023558619715894</v>
      </c>
      <c r="BA28">
        <v>125</v>
      </c>
      <c r="BB28">
        <v>25</v>
      </c>
      <c r="BH28">
        <v>3250</v>
      </c>
      <c r="BI28">
        <v>-50</v>
      </c>
    </row>
    <row r="29" spans="3:61" ht="15" thickBot="1">
      <c r="C29" s="218">
        <v>14</v>
      </c>
      <c r="D29" s="100" t="str">
        <f ca="1">IF(E29="","",INPUT14)</f>
        <v/>
      </c>
      <c r="E29" s="219" t="str">
        <f t="shared" ca="1" si="7"/>
        <v/>
      </c>
      <c r="F29" s="220" t="str">
        <f t="shared" ca="1" si="13"/>
        <v/>
      </c>
      <c r="G29" s="220" t="str">
        <f t="shared" ca="1" si="14"/>
        <v/>
      </c>
      <c r="H29" s="221" t="str">
        <f t="shared" ca="1" si="8"/>
        <v/>
      </c>
      <c r="I29" s="112"/>
      <c r="K29" s="4" t="s">
        <v>2</v>
      </c>
      <c r="L29" s="5" t="s">
        <v>0</v>
      </c>
      <c r="M29" s="5" t="s">
        <v>117</v>
      </c>
      <c r="N29" s="51" t="s">
        <v>3</v>
      </c>
      <c r="O29" s="5" t="s">
        <v>118</v>
      </c>
      <c r="P29" s="51" t="s">
        <v>119</v>
      </c>
      <c r="Q29" s="51" t="s">
        <v>4</v>
      </c>
      <c r="R29" s="6" t="s">
        <v>15</v>
      </c>
      <c r="T29" s="43">
        <f ca="1">IF($T$5+דלק!$C26&gt;takoffweight+1,takoffweight,$T$5+דלק!$C26)</f>
        <v>2939.6019999999999</v>
      </c>
      <c r="U29" s="29">
        <f ca="1">IF($T$5+דלק!$C26&gt;takoffweight+1,INDIRECT(ADDRESS(ROW()-1,COLUMN())),($T$5*$U$5+דלק!$C26*דלק!$D26)/($T$5+דלק!$C26))</f>
        <v>4468.1957812111978</v>
      </c>
      <c r="V29" s="31">
        <f ca="1">IF($T$5+דלק!$C26&gt;takoffweight,INDIRECT(ADDRESS(ROW()-1,COLUMN())),($T$5*$V$5+דלק!$C26*דלק!$E26)/($T$5+דלק!$C26))</f>
        <v>-4.8310544080457145</v>
      </c>
      <c r="X29" s="16" t="b">
        <f t="shared" ca="1" si="0"/>
        <v>0</v>
      </c>
      <c r="Y29" s="246" t="b">
        <f t="shared" ca="1" si="1"/>
        <v>0</v>
      </c>
      <c r="Z29" s="239" t="str">
        <f ca="1">IF($Y29,דלק!$C26,"")</f>
        <v/>
      </c>
      <c r="AA29" s="286">
        <v>240</v>
      </c>
      <c r="AB29" s="43">
        <f ca="1">IF($AB$5+דלק!$C26&gt;takoffweight+1,takoffweight,$AB$5+דלק!$C26)</f>
        <v>2939.6019999999999</v>
      </c>
      <c r="AC29" s="29">
        <f ca="1">IF($AB$5+דלק!$C26&gt;takoffweight+1,INDIRECT(ADDRESS(ROW()-1,COLUMN())),($AB$5*$AC$5+דלק!$C26*דלק!$D26)/($AB$5+דלק!$C26))</f>
        <v>4468.1957812111978</v>
      </c>
      <c r="AD29" s="31">
        <f ca="1">IF($AB$5+דלק!$C26&gt;takoffweight,INDIRECT(ADDRESS(ROW()-1,COLUMN())),($AB$5*$AD$5+דלק!$C26*דלק!$E26)/($AB$5+דלק!$C26))</f>
        <v>-4.8310544080457145</v>
      </c>
      <c r="AF29" s="239" t="str">
        <f ca="1">IF($AH29,דלק!$C26,"")</f>
        <v/>
      </c>
      <c r="AG29" s="239" t="str">
        <f ca="1">IF($AI29,דלק!$C26,"")</f>
        <v/>
      </c>
      <c r="AH29" s="242" t="b">
        <f t="shared" ca="1" si="2"/>
        <v>0</v>
      </c>
      <c r="AI29" s="236" t="b">
        <f t="shared" ca="1" si="3"/>
        <v>0</v>
      </c>
      <c r="AJ29" s="26" t="b">
        <f t="shared" ca="1" si="4"/>
        <v>0</v>
      </c>
      <c r="AL29" s="16" t="b">
        <f t="shared" ca="1" si="6"/>
        <v>0</v>
      </c>
      <c r="AM29" s="246" t="b">
        <f t="shared" ca="1" si="5"/>
        <v>0</v>
      </c>
      <c r="AN29" s="239" t="str">
        <f ca="1">IF(OR(AL29:AM29),דלק!C26,"")</f>
        <v/>
      </c>
      <c r="BA29">
        <v>130</v>
      </c>
      <c r="BB29">
        <v>26</v>
      </c>
      <c r="BH29">
        <v>3300</v>
      </c>
      <c r="BI29">
        <v>-100</v>
      </c>
    </row>
    <row r="30" spans="3:61" ht="15">
      <c r="C30" s="218">
        <v>15</v>
      </c>
      <c r="D30" s="100" t="str">
        <f ca="1">IF(E30="","",INPUT15)</f>
        <v/>
      </c>
      <c r="E30" s="219" t="str">
        <f t="shared" ca="1" si="7"/>
        <v/>
      </c>
      <c r="F30" s="220" t="str">
        <f t="shared" ca="1" si="13"/>
        <v/>
      </c>
      <c r="G30" s="220" t="str">
        <f t="shared" ca="1" si="14"/>
        <v/>
      </c>
      <c r="H30" s="221" t="str">
        <f t="shared" ca="1" si="8"/>
        <v/>
      </c>
      <c r="I30" s="112"/>
      <c r="K30" s="395" t="s">
        <v>273</v>
      </c>
      <c r="L30" s="118" t="str">
        <f>IF(M30="","",ראשי!D34)</f>
        <v/>
      </c>
      <c r="M30" s="118" t="str">
        <f>IF(ראשי!$F34="","",VLOOKUP(ראשי!$F34,LONG_LOADING_TABLE,2,FALSE))</f>
        <v/>
      </c>
      <c r="N30" s="118" t="str">
        <f>IF(M30&lt;&gt;"",L30*M30,"")</f>
        <v/>
      </c>
      <c r="O30" s="118" t="str">
        <f>IF(ראשי!$F34="","",VLOOKUP(ראשי!$F34,LONG_LOADING_TABLE,3,FALSE))</f>
        <v/>
      </c>
      <c r="P30" s="118" t="str">
        <f>IF(O30&lt;&gt;"",L30*O30,"")</f>
        <v/>
      </c>
      <c r="Q30" s="118" t="str">
        <f>IF(R30&lt;&gt;"",L30*R30,"")</f>
        <v/>
      </c>
      <c r="R30" s="119" t="str">
        <f>IF(ראשי!$H34="","",VLOOKUP(ראשי!$H34,LAT_LOADING_TABLE,2,FALSE))</f>
        <v/>
      </c>
      <c r="T30" s="43">
        <f ca="1">IF($T$5+דלק!$C27&gt;takoffweight+1,takoffweight,$T$5+דלק!$C27)</f>
        <v>2949.6019999999999</v>
      </c>
      <c r="U30" s="29">
        <f ca="1">IF($T$5+דלק!$C27&gt;takoffweight+1,INDIRECT(ADDRESS(ROW()-1,COLUMN())),($T$5*$U$5+דלק!$C27*דלק!$D27)/($T$5+דלק!$C27))</f>
        <v>4471.1107650591503</v>
      </c>
      <c r="V30" s="31">
        <f ca="1">IF($T$5+דלק!$C27&gt;takoffweight,INDIRECT(ADDRESS(ROW()-1,COLUMN())),($T$5*$V$5+דלק!$C27*דלק!$E27)/($T$5+דלק!$C27))</f>
        <v>-4.7909437273232118</v>
      </c>
      <c r="X30" s="16" t="b">
        <f t="shared" ca="1" si="0"/>
        <v>0</v>
      </c>
      <c r="Y30" s="246" t="b">
        <f t="shared" ca="1" si="1"/>
        <v>0</v>
      </c>
      <c r="Z30" s="239" t="str">
        <f ca="1">IF($Y30,דלק!$C27,"")</f>
        <v/>
      </c>
      <c r="AA30">
        <v>250</v>
      </c>
      <c r="AB30" s="43">
        <f ca="1">IF($AB$5+דלק!$C27&gt;takoffweight+1,takoffweight,$AB$5+דלק!$C27)</f>
        <v>2949.6019999999999</v>
      </c>
      <c r="AC30" s="29">
        <f ca="1">IF($AB$5+דלק!$C27&gt;takoffweight+1,INDIRECT(ADDRESS(ROW()-1,COLUMN())),($AB$5*$AC$5+דלק!$C27*דלק!$D27)/($AB$5+דלק!$C27))</f>
        <v>4471.1107650591503</v>
      </c>
      <c r="AD30" s="31">
        <f ca="1">IF($AB$5+דלק!$C27&gt;takoffweight,INDIRECT(ADDRESS(ROW()-1,COLUMN())),($AB$5*$AD$5+דלק!$C27*דלק!$E27)/($AB$5+דלק!$C27))</f>
        <v>-4.7909437273232118</v>
      </c>
      <c r="AF30" s="239" t="str">
        <f ca="1">IF($AH30,דלק!$C27,"")</f>
        <v/>
      </c>
      <c r="AG30" s="239" t="str">
        <f ca="1">IF($AI30,דלק!$C27,"")</f>
        <v/>
      </c>
      <c r="AH30" s="242" t="b">
        <f t="shared" ca="1" si="2"/>
        <v>0</v>
      </c>
      <c r="AI30" s="236" t="b">
        <f t="shared" ca="1" si="3"/>
        <v>0</v>
      </c>
      <c r="AJ30" s="26" t="b">
        <f t="shared" ca="1" si="4"/>
        <v>0</v>
      </c>
      <c r="AL30" s="16" t="b">
        <f t="shared" ca="1" si="6"/>
        <v>0</v>
      </c>
      <c r="AM30" s="246" t="b">
        <f t="shared" ca="1" si="5"/>
        <v>0</v>
      </c>
      <c r="AN30" s="239" t="str">
        <f ca="1">IF(OR(AL30:AM30),דלק!C27,"")</f>
        <v/>
      </c>
      <c r="AP30" s="359" t="s">
        <v>93</v>
      </c>
      <c r="AQ30" s="360"/>
      <c r="AR30" s="361"/>
      <c r="BA30">
        <v>135</v>
      </c>
      <c r="BB30">
        <v>27</v>
      </c>
      <c r="BH30">
        <v>3350</v>
      </c>
      <c r="BI30">
        <v>-150</v>
      </c>
    </row>
    <row r="31" spans="3:61" ht="14.25">
      <c r="C31" s="218">
        <v>21</v>
      </c>
      <c r="D31" s="100" t="str">
        <f ca="1">IF(E31="","",INPUT21)</f>
        <v/>
      </c>
      <c r="E31" s="219" t="str">
        <f t="shared" ca="1" si="7"/>
        <v/>
      </c>
      <c r="F31" s="220" t="str">
        <f t="shared" ca="1" si="13"/>
        <v/>
      </c>
      <c r="G31" s="220" t="str">
        <f t="shared" ca="1" si="14"/>
        <v/>
      </c>
      <c r="H31" s="221" t="str">
        <f t="shared" ca="1" si="8"/>
        <v/>
      </c>
      <c r="I31" s="112"/>
      <c r="K31" s="396"/>
      <c r="L31" s="118" t="str">
        <f>IF(M31="","",ראשי!D35)</f>
        <v/>
      </c>
      <c r="M31" s="118" t="str">
        <f>IF(ראשי!$F35="","",VLOOKUP(ראשי!$F35,LONG_LOADING_TABLE,2,FALSE))</f>
        <v/>
      </c>
      <c r="N31" s="118" t="str">
        <f t="shared" si="15" ref="N31:N33">IF(M31&lt;&gt;"",L31*M31,"")</f>
        <v/>
      </c>
      <c r="O31" s="118" t="str">
        <f>IF(ראשי!$F35="","",VLOOKUP(ראשי!$F35,LONG_LOADING_TABLE,3,FALSE))</f>
        <v/>
      </c>
      <c r="P31" s="118" t="str">
        <f t="shared" si="16" ref="P31:P33">IF(O31&lt;&gt;"",L31*O31,"")</f>
        <v/>
      </c>
      <c r="Q31" s="118" t="str">
        <f t="shared" si="17" ref="Q31:Q33">IF(R31&lt;&gt;"",L31*R31,"")</f>
        <v/>
      </c>
      <c r="R31" s="119" t="str">
        <f>IF(ראשי!$H35="","",VLOOKUP(ראשי!$H35,LAT_LOADING_TABLE,2,FALSE))</f>
        <v/>
      </c>
      <c r="T31" s="43">
        <f ca="1">IF($T$5+דלק!$C28&gt;takoffweight+1,takoffweight,$T$5+דלק!$C28)</f>
        <v>2959.6019999999999</v>
      </c>
      <c r="U31" s="29">
        <f ca="1">IF($T$5+דלק!$C28&gt;takoffweight+1,INDIRECT(ADDRESS(ROW()-1,COLUMN())),($T$5*$U$5+דלק!$C28*דלק!$D28)/($T$5+דלק!$C28))</f>
        <v>4473.7357438060926</v>
      </c>
      <c r="V31" s="31">
        <f ca="1">IF($T$5+דלק!$C28&gt;takoffweight,INDIRECT(ADDRESS(ROW()-1,COLUMN())),($T$5*$V$5+דלק!$C28*דלק!$E28)/($T$5+דלק!$C28))</f>
        <v>-4.7511041011595481</v>
      </c>
      <c r="X31" s="16" t="b">
        <f t="shared" ca="1" si="0"/>
        <v>0</v>
      </c>
      <c r="Y31" s="246" t="b">
        <f t="shared" ca="1" si="1"/>
        <v>0</v>
      </c>
      <c r="Z31" s="239" t="str">
        <f ca="1">IF($Y31,דלק!$C28,"")</f>
        <v/>
      </c>
      <c r="AA31">
        <v>260</v>
      </c>
      <c r="AB31" s="43">
        <f ca="1">IF($AB$5+דלק!$C28&gt;takoffweight+1,takoffweight,$AB$5+דלק!$C28)</f>
        <v>2959.6019999999999</v>
      </c>
      <c r="AC31" s="29">
        <f ca="1">IF($AB$5+דלק!$C28&gt;takoffweight+1,INDIRECT(ADDRESS(ROW()-1,COLUMN())),($AB$5*$AC$5+דלק!$C28*דלק!$D28)/($AB$5+דלק!$C28))</f>
        <v>4473.7357438060926</v>
      </c>
      <c r="AD31" s="31">
        <f ca="1">IF($AB$5+דלק!$C28&gt;takoffweight,INDIRECT(ADDRESS(ROW()-1,COLUMN())),($AB$5*$AD$5+דלק!$C28*דלק!$E28)/($AB$5+דלק!$C28))</f>
        <v>-4.7511041011595481</v>
      </c>
      <c r="AF31" s="239" t="str">
        <f ca="1">IF($AH31,דלק!$C28,"")</f>
        <v/>
      </c>
      <c r="AG31" s="239" t="str">
        <f ca="1">IF($AI31,דלק!$C28,"")</f>
        <v/>
      </c>
      <c r="AH31" s="242" t="b">
        <f t="shared" ca="1" si="2"/>
        <v>0</v>
      </c>
      <c r="AI31" s="236" t="b">
        <f t="shared" ca="1" si="3"/>
        <v>0</v>
      </c>
      <c r="AJ31" s="26" t="b">
        <f t="shared" ca="1" si="4"/>
        <v>0</v>
      </c>
      <c r="AL31" s="16" t="b">
        <f t="shared" ca="1" si="6"/>
        <v>0</v>
      </c>
      <c r="AM31" s="246" t="b">
        <f t="shared" ca="1" si="5"/>
        <v>0</v>
      </c>
      <c r="AN31" s="239" t="str">
        <f ca="1">IF(OR(AL31:AM31),דלק!C28,"")</f>
        <v/>
      </c>
      <c r="AP31" s="4"/>
      <c r="AQ31" s="5" t="s">
        <v>88</v>
      </c>
      <c r="AR31" s="6" t="s">
        <v>89</v>
      </c>
      <c r="BA31">
        <v>140</v>
      </c>
      <c r="BB31">
        <v>28</v>
      </c>
      <c r="BH31">
        <v>3400</v>
      </c>
      <c r="BI31">
        <v>-200</v>
      </c>
    </row>
    <row r="32" spans="3:61" ht="14.25">
      <c r="C32" s="218">
        <v>22</v>
      </c>
      <c r="D32" s="100" t="str">
        <f ca="1">IF(E32="","",INPUT22)</f>
        <v/>
      </c>
      <c r="E32" s="219" t="str">
        <f t="shared" ca="1" si="7"/>
        <v/>
      </c>
      <c r="F32" s="220" t="str">
        <f ca="1" t="shared" si="18" ref="F32:F35">IF(E32&lt;&gt;"",D32*E32,"")</f>
        <v/>
      </c>
      <c r="G32" s="220" t="str">
        <f ca="1" t="shared" si="19" ref="G32:G35">IF(E32&lt;&gt;"",D32*H32,"")</f>
        <v/>
      </c>
      <c r="H32" s="221" t="str">
        <f t="shared" ca="1" si="8"/>
        <v/>
      </c>
      <c r="I32" s="112"/>
      <c r="K32" s="397"/>
      <c r="L32" s="118" t="str">
        <f>IF(M32="","",ראשי!D36)</f>
        <v/>
      </c>
      <c r="M32" s="118" t="str">
        <f>IF(ראשי!$F36="","",VLOOKUP(ראשי!$F36,LONG_LOADING_TABLE,2,FALSE))</f>
        <v/>
      </c>
      <c r="N32" s="118" t="str">
        <f t="shared" si="15"/>
        <v/>
      </c>
      <c r="O32" s="118" t="str">
        <f>IF(ראשי!$F36="","",VLOOKUP(ראשי!$F36,LONG_LOADING_TABLE,3,FALSE))</f>
        <v/>
      </c>
      <c r="P32" s="118" t="str">
        <f t="shared" si="16"/>
        <v/>
      </c>
      <c r="Q32" s="118" t="str">
        <f t="shared" si="17"/>
        <v/>
      </c>
      <c r="R32" s="119" t="str">
        <f>IF(ראשי!$H36="","",VLOOKUP(ראשי!$H36,LAT_LOADING_TABLE,2,FALSE))</f>
        <v/>
      </c>
      <c r="T32" s="43">
        <f ca="1">IF($T$5+דלק!$C29&gt;takoffweight+1,takoffweight,$T$5+דלק!$C29)</f>
        <v>2969.6019999999999</v>
      </c>
      <c r="U32" s="29">
        <f ca="1">IF($T$5+דלק!$C29&gt;takoffweight+1,INDIRECT(ADDRESS(ROW()-1,COLUMN())),($T$5*$U$5+דלק!$C29*דלק!$D29)/($T$5+דלק!$C29))</f>
        <v>4474.9118753422181</v>
      </c>
      <c r="V32" s="31">
        <f ca="1">IF($T$5+דלק!$C29&gt;takoffweight,INDIRECT(ADDRESS(ROW()-1,COLUMN())),($T$5*$V$5+דלק!$C29*דלק!$E29)/($T$5+דלק!$C29))</f>
        <v>-4.8024540662351383</v>
      </c>
      <c r="X32" s="16" t="b">
        <f t="shared" ca="1" si="0"/>
        <v>0</v>
      </c>
      <c r="Y32" s="246" t="b">
        <f t="shared" ca="1" si="1"/>
        <v>0</v>
      </c>
      <c r="Z32" s="239" t="str">
        <f ca="1">IF($Y32,דלק!$C29,"")</f>
        <v/>
      </c>
      <c r="AA32">
        <v>270</v>
      </c>
      <c r="AB32" s="43">
        <f ca="1">IF($AB$5+דלק!$C29&gt;takoffweight+1,takoffweight,$AB$5+דלק!$C29)</f>
        <v>2969.6019999999999</v>
      </c>
      <c r="AC32" s="29">
        <f ca="1">IF($AB$5+דלק!$C29&gt;takoffweight+1,INDIRECT(ADDRESS(ROW()-1,COLUMN())),($AB$5*$AC$5+דלק!$C29*דלק!$D29)/($AB$5+דלק!$C29))</f>
        <v>4474.9118753422181</v>
      </c>
      <c r="AD32" s="31">
        <f ca="1">IF($AB$5+דלק!$C29&gt;takoffweight,INDIRECT(ADDRESS(ROW()-1,COLUMN())),($AB$5*$AD$5+דלק!$C29*דלק!$E29)/($AB$5+דלק!$C29))</f>
        <v>-4.8024540662351383</v>
      </c>
      <c r="AF32" s="239" t="str">
        <f ca="1">IF($AH32,דלק!$C29,"")</f>
        <v/>
      </c>
      <c r="AG32" s="239" t="str">
        <f ca="1">IF($AI32,דלק!$C29,"")</f>
        <v/>
      </c>
      <c r="AH32" s="242" t="b">
        <f t="shared" ca="1" si="2"/>
        <v>0</v>
      </c>
      <c r="AI32" s="236" t="b">
        <f t="shared" ca="1" si="3"/>
        <v>0</v>
      </c>
      <c r="AJ32" s="26" t="b">
        <f t="shared" ca="1" si="4"/>
        <v>0</v>
      </c>
      <c r="AL32" s="16" t="b">
        <f t="shared" ca="1" si="6"/>
        <v>0</v>
      </c>
      <c r="AM32" s="246" t="b">
        <f t="shared" ca="1" si="5"/>
        <v>0</v>
      </c>
      <c r="AN32" s="239" t="str">
        <f ca="1">IF(OR(AL32:AM32),דלק!C29,"")</f>
        <v/>
      </c>
      <c r="AP32" s="4" t="s">
        <v>90</v>
      </c>
      <c r="AQ32" s="65">
        <f>SLOPE(נתונים!AR8:AR9,נתונים!AQ8:AQ9)</f>
        <v>39.393939393939391</v>
      </c>
      <c r="AR32" s="66">
        <f>AR8-AQ8*AQ32</f>
        <v>-168845.45454545453</v>
      </c>
      <c r="BA32">
        <v>145</v>
      </c>
      <c r="BB32">
        <v>29</v>
      </c>
      <c r="BH32">
        <v>3450</v>
      </c>
      <c r="BI32">
        <v>-250</v>
      </c>
    </row>
    <row r="33" spans="3:61" ht="15" thickBot="1">
      <c r="C33" s="218">
        <v>23</v>
      </c>
      <c r="D33" s="100" t="str">
        <f ca="1">IF(E33="","",INPUT23)</f>
        <v/>
      </c>
      <c r="E33" s="219" t="str">
        <f t="shared" ca="1" si="7"/>
        <v/>
      </c>
      <c r="F33" s="220" t="str">
        <f t="shared" ca="1" si="18"/>
        <v/>
      </c>
      <c r="G33" s="220" t="str">
        <f t="shared" ca="1" si="19"/>
        <v/>
      </c>
      <c r="H33" s="221" t="str">
        <f t="shared" ca="1" si="8"/>
        <v/>
      </c>
      <c r="I33" s="112"/>
      <c r="K33" s="395" t="s">
        <v>274</v>
      </c>
      <c r="L33" s="118" t="str">
        <f>IF(M33="","",ראשי!D37)</f>
        <v/>
      </c>
      <c r="M33" s="118" t="str">
        <f>IF(ראשי!$F37="","",ראשי!F37)</f>
        <v/>
      </c>
      <c r="N33" s="118" t="str">
        <f t="shared" si="15"/>
        <v/>
      </c>
      <c r="O33" s="118" t="str">
        <f>IF(ראשי!$F37="","",ראשי!F37)</f>
        <v/>
      </c>
      <c r="P33" s="118" t="str">
        <f t="shared" si="16"/>
        <v/>
      </c>
      <c r="Q33" s="118" t="str">
        <f t="shared" si="17"/>
        <v/>
      </c>
      <c r="R33" s="119" t="str">
        <f>IF(ראשי!$H37="","",ראשי!H37)</f>
        <v/>
      </c>
      <c r="T33" s="43">
        <f ca="1">IF($T$5+דלק!$C30&gt;takoffweight+1,takoffweight,$T$5+דלק!$C30)</f>
        <v>2979.6019999999999</v>
      </c>
      <c r="U33" s="29">
        <f ca="1">IF($T$5+דלק!$C30&gt;takoffweight+1,INDIRECT(ADDRESS(ROW()-1,COLUMN())),($T$5*$U$5+דלק!$C30*דלק!$D30)/($T$5+דלק!$C30))</f>
        <v>4476.0599754061113</v>
      </c>
      <c r="V33" s="31">
        <f ca="1">IF($T$5+דלק!$C30&gt;takoffweight,INDIRECT(ADDRESS(ROW()-1,COLUMN())),($T$5*$V$5+דלק!$C30*דלק!$E30)/($T$5+דלק!$C30))</f>
        <v>-4.7661993783062302</v>
      </c>
      <c r="X33" s="16" t="b">
        <f t="shared" ca="1" si="0"/>
        <v>0</v>
      </c>
      <c r="Y33" s="246" t="b">
        <f t="shared" ca="1" si="1"/>
        <v>0</v>
      </c>
      <c r="Z33" s="239" t="str">
        <f ca="1">IF($Y33,דלק!$C30,"")</f>
        <v/>
      </c>
      <c r="AA33">
        <v>280</v>
      </c>
      <c r="AB33" s="43">
        <f ca="1">IF($AB$5+דלק!$C30&gt;takoffweight+1,takoffweight,$AB$5+דלק!$C30)</f>
        <v>2979.6019999999999</v>
      </c>
      <c r="AC33" s="29">
        <f ca="1">IF($AB$5+דלק!$C30&gt;takoffweight+1,INDIRECT(ADDRESS(ROW()-1,COLUMN())),($AB$5*$AC$5+דלק!$C30*דלק!$D30)/($AB$5+דלק!$C30))</f>
        <v>4476.0599754061113</v>
      </c>
      <c r="AD33" s="31">
        <f ca="1">IF($AB$5+דלק!$C30&gt;takoffweight,INDIRECT(ADDRESS(ROW()-1,COLUMN())),($AB$5*$AD$5+דלק!$C30*דלק!$E30)/($AB$5+דלק!$C30))</f>
        <v>-4.7661993783062302</v>
      </c>
      <c r="AF33" s="239" t="str">
        <f ca="1">IF($AH33,דלק!$C30,"")</f>
        <v/>
      </c>
      <c r="AG33" s="239" t="str">
        <f ca="1">IF($AI33,דלק!$C30,"")</f>
        <v/>
      </c>
      <c r="AH33" s="242" t="b">
        <f t="shared" ca="1" si="2"/>
        <v>0</v>
      </c>
      <c r="AI33" s="236" t="b">
        <f t="shared" ca="1" si="3"/>
        <v>0</v>
      </c>
      <c r="AJ33" s="26" t="b">
        <f t="shared" ca="1" si="4"/>
        <v>0</v>
      </c>
      <c r="AL33" s="16" t="b">
        <f t="shared" ca="1" si="6"/>
        <v>0</v>
      </c>
      <c r="AM33" s="246" t="b">
        <f t="shared" ca="1" si="5"/>
        <v>0</v>
      </c>
      <c r="AN33" s="239" t="str">
        <f ca="1">IF(OR(AL33:AM33),דלק!C30,"")</f>
        <v/>
      </c>
      <c r="AP33" s="69" t="s">
        <v>91</v>
      </c>
      <c r="AQ33" s="67">
        <f>SLOPE(נתונים!AR6:AR7,נתונים!AQ6:AQ7)</f>
        <v>-10.303030303030303</v>
      </c>
      <c r="AR33" s="68">
        <f>AR7-AQ7*AQ33</f>
        <v>50424.242424242424</v>
      </c>
      <c r="BA33">
        <v>150</v>
      </c>
      <c r="BB33">
        <v>30</v>
      </c>
      <c r="BH33">
        <v>3500</v>
      </c>
      <c r="BI33">
        <v>-300</v>
      </c>
    </row>
    <row r="34" spans="3:61" ht="15" thickBot="1">
      <c r="C34" s="218">
        <v>24</v>
      </c>
      <c r="D34" s="219" t="str">
        <f ca="1">IF(E34="","",INPUT24)</f>
        <v/>
      </c>
      <c r="E34" s="219" t="str">
        <f t="shared" ca="1" si="7"/>
        <v/>
      </c>
      <c r="F34" s="220" t="str">
        <f t="shared" ca="1" si="18"/>
        <v/>
      </c>
      <c r="G34" s="220" t="str">
        <f t="shared" ca="1" si="19"/>
        <v/>
      </c>
      <c r="H34" s="221" t="str">
        <f t="shared" ca="1" si="8"/>
        <v/>
      </c>
      <c r="I34" s="112"/>
      <c r="K34" s="396"/>
      <c r="L34" s="118" t="str">
        <f>IF(M34="","",ראשי!D38)</f>
        <v/>
      </c>
      <c r="M34" s="118" t="str">
        <f>IF(ראשי!$F38="","",ראשי!F38)</f>
        <v/>
      </c>
      <c r="N34" s="118" t="str">
        <f t="shared" si="20" ref="N34:N35">IF(M34&lt;&gt;"",L34*M34,"")</f>
        <v/>
      </c>
      <c r="O34" s="118" t="str">
        <f>IF(ראשי!$F38="","",ראשי!F38)</f>
        <v/>
      </c>
      <c r="P34" s="118" t="str">
        <f t="shared" si="21" ref="P34:P35">IF(O34&lt;&gt;"",L34*O34,"")</f>
        <v/>
      </c>
      <c r="Q34" s="118" t="str">
        <f t="shared" si="22" ref="Q34:Q35">IF(R34&lt;&gt;"",L34*R34,"")</f>
        <v/>
      </c>
      <c r="R34" s="119" t="str">
        <f>IF(ראשי!$H38="","",ראשי!H38)</f>
        <v/>
      </c>
      <c r="T34" s="43">
        <f ca="1">IF($T$5+דלק!$C31&gt;takoffweight+1,takoffweight,$T$5+דלק!$C31)</f>
        <v>2989.6019999999999</v>
      </c>
      <c r="U34" s="29">
        <f ca="1">IF($T$5+דלק!$C31&gt;takoffweight+1,INDIRECT(ADDRESS(ROW()-1,COLUMN())),($T$5*$U$5+דלק!$C31*דלק!$D31)/($T$5+דלק!$C31))</f>
        <v>4477.2572586049919</v>
      </c>
      <c r="V34" s="31">
        <f ca="1">IF($T$5+דלק!$C31&gt;takoffweight,INDIRECT(ADDRESS(ROW()-1,COLUMN())),($T$5*$V$5+דלק!$C31*דלק!$E31)/($T$5+דלק!$C31))</f>
        <v>-4.73018722893549</v>
      </c>
      <c r="X34" s="16" t="b">
        <f t="shared" ca="1" si="0"/>
        <v>0</v>
      </c>
      <c r="Y34" s="246" t="b">
        <f t="shared" ca="1" si="1"/>
        <v>0</v>
      </c>
      <c r="Z34" s="239" t="str">
        <f ca="1">IF($Y34,דלק!$C31,"")</f>
        <v/>
      </c>
      <c r="AA34">
        <v>290</v>
      </c>
      <c r="AB34" s="43">
        <f ca="1">IF($AB$5+דלק!$C31&gt;takoffweight+1,takoffweight,$AB$5+דלק!$C31)</f>
        <v>2989.6019999999999</v>
      </c>
      <c r="AC34" s="29">
        <f ca="1">IF($AB$5+דלק!$C31&gt;takoffweight+1,INDIRECT(ADDRESS(ROW()-1,COLUMN())),($AB$5*$AC$5+דלק!$C31*דלק!$D31)/($AB$5+דלק!$C31))</f>
        <v>4477.2572586049919</v>
      </c>
      <c r="AD34" s="31">
        <f ca="1">IF($AB$5+דלק!$C31&gt;takoffweight,INDIRECT(ADDRESS(ROW()-1,COLUMN())),($AB$5*$AD$5+דלק!$C31*דלק!$E31)/($AB$5+דלק!$C31))</f>
        <v>-4.73018722893549</v>
      </c>
      <c r="AF34" s="239" t="str">
        <f ca="1">IF($AH34,דלק!$C31,"")</f>
        <v/>
      </c>
      <c r="AG34" s="239" t="str">
        <f ca="1">IF($AI34,דלק!$C31,"")</f>
        <v/>
      </c>
      <c r="AH34" s="242" t="b">
        <f t="shared" ca="1" si="2"/>
        <v>0</v>
      </c>
      <c r="AI34" s="236" t="b">
        <f t="shared" ca="1" si="3"/>
        <v>0</v>
      </c>
      <c r="AJ34" s="26" t="b">
        <f t="shared" ca="1" si="4"/>
        <v>0</v>
      </c>
      <c r="AL34" s="16" t="b">
        <f t="shared" ca="1" si="6"/>
        <v>0</v>
      </c>
      <c r="AM34" s="246" t="b">
        <f t="shared" ca="1" si="5"/>
        <v>0</v>
      </c>
      <c r="AN34" s="239" t="str">
        <f ca="1">IF(OR(AL34:AM34),דלק!C31,"")</f>
        <v/>
      </c>
      <c r="AP34" s="69" t="s">
        <v>250</v>
      </c>
      <c r="AQ34" s="67">
        <f>SLOPE(נתונים!AU21:AU22,נתונים!AT21:AT22)</f>
        <v>-6.1855670103092786</v>
      </c>
      <c r="AR34" s="68">
        <f>AR8-AQ8*AQ34</f>
        <v>29288.659793814433</v>
      </c>
      <c r="BA34">
        <v>155</v>
      </c>
      <c r="BB34">
        <v>31</v>
      </c>
      <c r="BH34">
        <v>3550</v>
      </c>
      <c r="BI34">
        <v>-350</v>
      </c>
    </row>
    <row r="35" spans="3:61" ht="15" thickBot="1">
      <c r="C35" s="9">
        <v>25</v>
      </c>
      <c r="D35" s="99" t="str">
        <f ca="1">IF(E35="","",INPUT25)</f>
        <v/>
      </c>
      <c r="E35" s="99" t="str">
        <f t="shared" ca="1" si="7"/>
        <v/>
      </c>
      <c r="F35" s="40" t="str">
        <f t="shared" ca="1" si="18"/>
        <v/>
      </c>
      <c r="G35" s="40" t="str">
        <f t="shared" ca="1" si="19"/>
        <v/>
      </c>
      <c r="H35" s="279" t="str">
        <f t="shared" ca="1" si="8"/>
        <v/>
      </c>
      <c r="I35" s="28"/>
      <c r="K35" s="398"/>
      <c r="L35" s="120" t="str">
        <f>IF(M35="","",ראשי!D39)</f>
        <v/>
      </c>
      <c r="M35" s="120" t="str">
        <f>IF(ראשי!$F39="","",ראשי!F39)</f>
        <v/>
      </c>
      <c r="N35" s="120" t="str">
        <f t="shared" si="20"/>
        <v/>
      </c>
      <c r="O35" s="120" t="str">
        <f>IF(ראשי!$F39="","",ראשי!F39)</f>
        <v/>
      </c>
      <c r="P35" s="120" t="str">
        <f t="shared" si="21"/>
        <v/>
      </c>
      <c r="Q35" s="120" t="str">
        <f t="shared" si="22"/>
        <v/>
      </c>
      <c r="R35" s="116" t="str">
        <f>IF(ראשי!$H39="","",ראשי!H39)</f>
        <v/>
      </c>
      <c r="T35" s="43">
        <f ca="1">IF($T$5+דלק!$C32&gt;takoffweight+1,takoffweight,$T$5+דלק!$C32)</f>
        <v>2999.6019999999999</v>
      </c>
      <c r="U35" s="29">
        <f ca="1">IF($T$5+דלק!$C32&gt;takoffweight+1,INDIRECT(ADDRESS(ROW()-1,COLUMN())),($T$5*$U$5+דלק!$C32*דלק!$D32)/($T$5+דלק!$C32))</f>
        <v>4478.3932184469804</v>
      </c>
      <c r="V35" s="31">
        <f ca="1">IF($T$5+דלק!$C32&gt;takoffweight,INDIRECT(ADDRESS(ROW()-1,COLUMN())),($T$5*$V$5+דלק!$C32*דלק!$E32)/($T$5+דלק!$C32))</f>
        <v>-4.6944151924155273</v>
      </c>
      <c r="X35" s="16" t="b">
        <f t="shared" ca="1" si="0"/>
        <v>0</v>
      </c>
      <c r="Y35" s="246" t="b">
        <f t="shared" ca="1" si="1"/>
        <v>0</v>
      </c>
      <c r="Z35" s="239" t="str">
        <f ca="1">IF($Y35,דלק!$C32,"")</f>
        <v/>
      </c>
      <c r="AA35">
        <v>300</v>
      </c>
      <c r="AB35" s="43">
        <f ca="1">IF($AB$5+דלק!$C32&gt;takoffweight+1,takoffweight,$AB$5+דלק!$C32)</f>
        <v>2999.6019999999999</v>
      </c>
      <c r="AC35" s="29">
        <f ca="1">IF($AB$5+דלק!$C32&gt;takoffweight+1,INDIRECT(ADDRESS(ROW()-1,COLUMN())),($AB$5*$AC$5+דלק!$C32*דלק!$D32)/($AB$5+דלק!$C32))</f>
        <v>4478.3932184469804</v>
      </c>
      <c r="AD35" s="31">
        <f ca="1">IF($AB$5+דלק!$C32&gt;takoffweight,INDIRECT(ADDRESS(ROW()-1,COLUMN())),($AB$5*$AD$5+דלק!$C32*דלק!$E32)/($AB$5+דלק!$C32))</f>
        <v>-4.6944151924155273</v>
      </c>
      <c r="AF35" s="239" t="str">
        <f ca="1">IF($AH35,דלק!$C32,"")</f>
        <v/>
      </c>
      <c r="AG35" s="239" t="str">
        <f ca="1">IF($AI35,דלק!$C32,"")</f>
        <v/>
      </c>
      <c r="AH35" s="242" t="b">
        <f t="shared" ca="1" si="2"/>
        <v>0</v>
      </c>
      <c r="AI35" s="236" t="b">
        <f t="shared" ca="1" si="3"/>
        <v>0</v>
      </c>
      <c r="AJ35" s="26" t="b">
        <f t="shared" ca="1" si="4"/>
        <v>0</v>
      </c>
      <c r="AL35" s="16" t="b">
        <f t="shared" ca="1" si="6"/>
        <v>0</v>
      </c>
      <c r="AM35" s="246" t="b">
        <f t="shared" ca="1" si="5"/>
        <v>0</v>
      </c>
      <c r="AN35" s="239" t="str">
        <f ca="1">IF(OR(AL35:AM35),דלק!C32,"")</f>
        <v/>
      </c>
      <c r="BA35">
        <v>160</v>
      </c>
      <c r="BB35">
        <v>32</v>
      </c>
      <c r="BH35">
        <v>3600</v>
      </c>
      <c r="BI35">
        <v>-400</v>
      </c>
    </row>
    <row r="36" spans="20:61" ht="15">
      <c r="T36" s="43">
        <f ca="1">IF($T$5+דלק!$C33&gt;takoffweight+1,takoffweight,$T$5+דלק!$C33)</f>
        <v>3009.6019999999999</v>
      </c>
      <c r="U36" s="29">
        <f ca="1">IF($T$5+דלק!$C33&gt;takoffweight+1,INDIRECT(ADDRESS(ROW()-1,COLUMN())),($T$5*$U$5+דלק!$C33*דלק!$D33)/($T$5+דלק!$C33))</f>
        <v>4479.5515336712297</v>
      </c>
      <c r="V36" s="31">
        <f ca="1">IF($T$5+דלק!$C33&gt;takoffweight,INDIRECT(ADDRESS(ROW()-1,COLUMN())),($T$5*$V$5+דלק!$C33*דלק!$E33)/($T$5+דלק!$C33))</f>
        <v>-4.6588808752785251</v>
      </c>
      <c r="X36" s="16" t="b">
        <f t="shared" ca="1" si="0"/>
        <v>0</v>
      </c>
      <c r="Y36" s="246" t="b">
        <f t="shared" ca="1" si="1"/>
        <v>0</v>
      </c>
      <c r="Z36" s="239" t="str">
        <f ca="1">IF($Y36,דלק!$C33,"")</f>
        <v/>
      </c>
      <c r="AA36">
        <v>310</v>
      </c>
      <c r="AB36" s="43">
        <f ca="1">IF($AB$5+דלק!$C33&gt;takoffweight+1,takoffweight,$AB$5+דלק!$C33)</f>
        <v>3009.6019999999999</v>
      </c>
      <c r="AC36" s="29">
        <f ca="1">IF($AB$5+דלק!$C33&gt;takoffweight+1,INDIRECT(ADDRESS(ROW()-1,COLUMN())),($AB$5*$AC$5+דלק!$C33*דלק!$D33)/($AB$5+דלק!$C33))</f>
        <v>4479.5515336712297</v>
      </c>
      <c r="AD36" s="31">
        <f ca="1">IF($AB$5+דלק!$C33&gt;takoffweight,INDIRECT(ADDRESS(ROW()-1,COLUMN())),($AB$5*$AD$5+דלק!$C33*דלק!$E33)/($AB$5+דלק!$C33))</f>
        <v>-4.6588808752785251</v>
      </c>
      <c r="AF36" s="239" t="str">
        <f ca="1">IF($AH36,דלק!$C33,"")</f>
        <v/>
      </c>
      <c r="AG36" s="239" t="str">
        <f ca="1">IF($AI36,דלק!$C33,"")</f>
        <v/>
      </c>
      <c r="AH36" s="242" t="b">
        <f t="shared" ca="1" si="2"/>
        <v>0</v>
      </c>
      <c r="AI36" s="236" t="b">
        <f t="shared" ca="1" si="3"/>
        <v>0</v>
      </c>
      <c r="AJ36" s="26" t="b">
        <f t="shared" ca="1" si="4"/>
        <v>0</v>
      </c>
      <c r="AL36" s="16" t="b">
        <f t="shared" ca="1" si="6"/>
        <v>0</v>
      </c>
      <c r="AM36" s="246" t="b">
        <f t="shared" ca="1" si="5"/>
        <v>0</v>
      </c>
      <c r="AN36" s="239" t="str">
        <f ca="1">IF(OR(AL36:AM36),דלק!C33,"")</f>
        <v/>
      </c>
      <c r="AP36" s="356" t="s">
        <v>165</v>
      </c>
      <c r="AQ36" s="357"/>
      <c r="AR36" s="358"/>
      <c r="BA36">
        <v>165</v>
      </c>
      <c r="BB36">
        <v>33</v>
      </c>
      <c r="BH36">
        <v>3650</v>
      </c>
      <c r="BI36">
        <v>-450</v>
      </c>
    </row>
    <row r="37" spans="3:61" ht="15" thickBot="1">
      <c r="C37" t="s">
        <v>38</v>
      </c>
      <c r="D37" s="399" t="str">
        <f>ראשי!D7</f>
        <v>01: קבועה - 4 כסאות</v>
      </c>
      <c r="E37" s="399"/>
      <c r="T37" s="43">
        <f ca="1">IF($T$5+דלק!$C34&gt;takoffweight+1,takoffweight,$T$5+דלק!$C34)</f>
        <v>3019.6019999999999</v>
      </c>
      <c r="U37" s="29">
        <f ca="1">IF($T$5+דלק!$C34&gt;takoffweight+1,INDIRECT(ADDRESS(ROW()-1,COLUMN())),($T$5*$U$5+דלק!$C34*דלק!$D34)/($T$5+דלק!$C34))</f>
        <v>4480.7220470909742</v>
      </c>
      <c r="V37" s="31">
        <f ca="1">IF($T$5+דלק!$C34&gt;takoffweight,INDIRECT(ADDRESS(ROW()-1,COLUMN())),($T$5*$V$5+דלק!$C34*דלק!$E34)/($T$5+דלק!$C34))</f>
        <v>-4.7295561468034526</v>
      </c>
      <c r="X37" s="16" t="b">
        <f ca="1" t="shared" si="23" ref="X37:X68">IF($T37&lt;$AR$5,$U37&lt;($T37-$AR$32)/$AQ$32,FALSE)</f>
        <v>0</v>
      </c>
      <c r="Y37" s="246" t="b">
        <f ca="1" t="shared" si="24" ref="Y37:Y68">IF($T37&lt;$AR$5,$U37&gt;($T37-$AR$33)/$AQ$33,FALSE)</f>
        <v>0</v>
      </c>
      <c r="Z37" s="239" t="str">
        <f ca="1">IF($Y37,דלק!$C34,"")</f>
        <v/>
      </c>
      <c r="AA37">
        <v>320</v>
      </c>
      <c r="AB37" s="43">
        <f ca="1">IF($AB$5+דלק!$C34&gt;takoffweight+1,takoffweight,$AB$5+דלק!$C34)</f>
        <v>3019.6019999999999</v>
      </c>
      <c r="AC37" s="29">
        <f ca="1">IF($AB$5+דלק!$C34&gt;takoffweight+1,INDIRECT(ADDRESS(ROW()-1,COLUMN())),($AB$5*$AC$5+דלק!$C34*דלק!$D34)/($AB$5+דלק!$C34))</f>
        <v>4480.7220470909742</v>
      </c>
      <c r="AD37" s="31">
        <f ca="1">IF($AB$5+דלק!$C34&gt;takoffweight,INDIRECT(ADDRESS(ROW()-1,COLUMN())),($AB$5*$AD$5+דלק!$C34*דלק!$E34)/($AB$5+דלק!$C34))</f>
        <v>-4.7295561468034526</v>
      </c>
      <c r="AF37" s="239" t="str">
        <f ca="1">IF($AH37,דלק!$C34,"")</f>
        <v/>
      </c>
      <c r="AG37" s="239" t="str">
        <f ca="1">IF($AI37,דלק!$C34,"")</f>
        <v/>
      </c>
      <c r="AH37" s="242" t="b">
        <f ca="1" t="shared" si="25" ref="AH37:AH68">OR($AC37&lt;($AB37-$AR$34)/$AQ$34,$AC37&lt;4250)</f>
        <v>0</v>
      </c>
      <c r="AI37" s="236" t="b">
        <f ca="1" t="shared" si="26" ref="AI37:AI68">IF(AB37&lt;takeoffWT2,IF($AB37&lt;$AR$5,$AC37&lt;($AB37-$AR$32)/$AQ$32,FALSE),FALSE)</f>
        <v>0</v>
      </c>
      <c r="AJ37" s="26" t="b">
        <f ca="1" t="shared" si="27" ref="AJ37:AJ68">IF($AB37&lt;$AR$5,$AC37&gt;($AB37-$AR$33)/$AQ$33,FALSE)</f>
        <v>0</v>
      </c>
      <c r="AL37" s="16" t="b">
        <f ca="1" t="shared" si="28" ref="AL37:AL68">OR($AD37&gt;$AQ$17,AND($AB37&gt;$AR$16,$AD37&gt;$AQ$16))</f>
        <v>0</v>
      </c>
      <c r="AM37" s="246" t="b">
        <f ca="1" t="shared" si="29" ref="AM37:AM68">OR($AD37&lt;$AQ$20,AND($AB37&gt;$AR$16,$AD37&lt;$AQ$21))</f>
        <v>0</v>
      </c>
      <c r="AN37" s="239" t="str">
        <f ca="1">IF(OR(AL37:AM37),דלק!C34,"")</f>
        <v/>
      </c>
      <c r="AP37" s="101"/>
      <c r="AQ37" s="102" t="s">
        <v>129</v>
      </c>
      <c r="AR37" s="103" t="s">
        <v>130</v>
      </c>
      <c r="BA37">
        <v>170</v>
      </c>
      <c r="BB37">
        <v>34</v>
      </c>
      <c r="BH37">
        <v>3700</v>
      </c>
      <c r="BI37">
        <v>-500</v>
      </c>
    </row>
    <row r="38" spans="3:61" ht="15">
      <c r="C38" s="359" t="s">
        <v>61</v>
      </c>
      <c r="D38" s="360"/>
      <c r="E38" s="360"/>
      <c r="F38" s="360"/>
      <c r="G38" s="360"/>
      <c r="H38" s="360"/>
      <c r="I38" s="361"/>
      <c r="K38" s="58"/>
      <c r="O38"/>
      <c r="P38"/>
      <c r="T38" s="43">
        <f ca="1">IF($T$5+דלק!$C35&gt;takoffweight+1,takoffweight,$T$5+דלק!$C35)</f>
        <v>3029.6019999999999</v>
      </c>
      <c r="U38" s="29">
        <f ca="1">IF($T$5+דלק!$C35&gt;takoffweight+1,INDIRECT(ADDRESS(ROW()-1,COLUMN())),($T$5*$U$5+דלק!$C35*דלק!$D35)/($T$5+דלק!$C35))</f>
        <v>4481.8947356253393</v>
      </c>
      <c r="V38" s="31">
        <f ca="1">IF($T$5+דלק!$C35&gt;takoffweight,INDIRECT(ADDRESS(ROW()-1,COLUMN())),($T$5*$V$5+דלק!$C35*דלק!$E35)/($T$5+דלק!$C35))</f>
        <v>-4.6974411820430539</v>
      </c>
      <c r="X38" s="16" t="b">
        <f t="shared" ca="1" si="23"/>
        <v>0</v>
      </c>
      <c r="Y38" s="246" t="b">
        <f t="shared" ca="1" si="24"/>
        <v>0</v>
      </c>
      <c r="Z38" s="239" t="str">
        <f ca="1">IF($Y38,דלק!$C35,"")</f>
        <v/>
      </c>
      <c r="AA38">
        <v>330</v>
      </c>
      <c r="AB38" s="43">
        <f ca="1">IF($AB$5+דלק!$C35&gt;takoffweight+1,takoffweight,$AB$5+דלק!$C35)</f>
        <v>3029.6019999999999</v>
      </c>
      <c r="AC38" s="29">
        <f ca="1">IF($AB$5+דלק!$C35&gt;takoffweight+1,INDIRECT(ADDRESS(ROW()-1,COLUMN())),($AB$5*$AC$5+דלק!$C35*דלק!$D35)/($AB$5+דלק!$C35))</f>
        <v>4481.8947356253393</v>
      </c>
      <c r="AD38" s="31">
        <f ca="1">IF($AB$5+דלק!$C35&gt;takoffweight,INDIRECT(ADDRESS(ROW()-1,COLUMN())),($AB$5*$AD$5+דלק!$C35*דלק!$E35)/($AB$5+דלק!$C35))</f>
        <v>-4.6974411820430539</v>
      </c>
      <c r="AF38" s="239" t="str">
        <f ca="1">IF($AH38,דלק!$C35,"")</f>
        <v/>
      </c>
      <c r="AG38" s="239" t="str">
        <f ca="1">IF($AI38,דלק!$C35,"")</f>
        <v/>
      </c>
      <c r="AH38" s="242" t="b">
        <f t="shared" ca="1" si="25"/>
        <v>0</v>
      </c>
      <c r="AI38" s="236" t="b">
        <f t="shared" ca="1" si="26"/>
        <v>0</v>
      </c>
      <c r="AJ38" s="26" t="b">
        <f t="shared" ca="1" si="27"/>
        <v>0</v>
      </c>
      <c r="AL38" s="16" t="b">
        <f t="shared" ca="1" si="28"/>
        <v>0</v>
      </c>
      <c r="AM38" s="246" t="b">
        <f t="shared" ca="1" si="29"/>
        <v>0</v>
      </c>
      <c r="AN38" s="239" t="str">
        <f ca="1">IF(OR(AL38:AM38),דלק!C35,"")</f>
        <v/>
      </c>
      <c r="AP38" s="104" t="s">
        <v>122</v>
      </c>
      <c r="AQ38" s="105">
        <v>3500</v>
      </c>
      <c r="AR38" s="106">
        <v>3000</v>
      </c>
      <c r="BA38">
        <v>175</v>
      </c>
      <c r="BB38">
        <v>35</v>
      </c>
      <c r="BH38">
        <v>3750</v>
      </c>
      <c r="BI38">
        <v>-550</v>
      </c>
    </row>
    <row r="39" spans="3:61" ht="15" thickBot="1">
      <c r="C39" s="4" t="s">
        <v>2</v>
      </c>
      <c r="D39" s="5" t="s">
        <v>0</v>
      </c>
      <c r="E39" s="5" t="s">
        <v>14</v>
      </c>
      <c r="F39" s="51" t="s">
        <v>3</v>
      </c>
      <c r="G39" s="51" t="s">
        <v>4</v>
      </c>
      <c r="H39" s="5" t="s">
        <v>15</v>
      </c>
      <c r="I39" s="6" t="s">
        <v>75</v>
      </c>
      <c r="O39"/>
      <c r="P39"/>
      <c r="T39" s="43">
        <f ca="1">IF($T$5+דלק!$C36&gt;takoffweight+1,takoffweight,$T$5+דלק!$C36)</f>
        <v>3039.6019999999999</v>
      </c>
      <c r="U39" s="29">
        <f ca="1">IF($T$5+דלק!$C36&gt;takoffweight+1,INDIRECT(ADDRESS(ROW()-1,COLUMN())),($T$5*$U$5+דלק!$C36*דלק!$D36)/($T$5+דלק!$C36))</f>
        <v>4482.9478513436961</v>
      </c>
      <c r="V39" s="31">
        <f ca="1">IF($T$5+דלק!$C36&gt;takoffweight,INDIRECT(ADDRESS(ROW()-1,COLUMN())),($T$5*$V$5+דלק!$C36*דלק!$E36)/($T$5+דלק!$C36))</f>
        <v>-4.6655375276105229</v>
      </c>
      <c r="X39" s="16" t="b">
        <f t="shared" ca="1" si="23"/>
        <v>0</v>
      </c>
      <c r="Y39" s="246" t="b">
        <f t="shared" ca="1" si="24"/>
        <v>0</v>
      </c>
      <c r="Z39" s="239" t="str">
        <f ca="1">IF($Y39,דלק!$C36,"")</f>
        <v/>
      </c>
      <c r="AA39">
        <v>340</v>
      </c>
      <c r="AB39" s="43">
        <f ca="1">IF($AB$5+דלק!$C36&gt;takoffweight+1,takoffweight,$AB$5+דלק!$C36)</f>
        <v>3039.6019999999999</v>
      </c>
      <c r="AC39" s="29">
        <f ca="1">IF($AB$5+דלק!$C36&gt;takoffweight+1,INDIRECT(ADDRESS(ROW()-1,COLUMN())),($AB$5*$AC$5+דלק!$C36*דלק!$D36)/($AB$5+דלק!$C36))</f>
        <v>4482.9478513436961</v>
      </c>
      <c r="AD39" s="31">
        <f ca="1">IF($AB$5+דלק!$C36&gt;takoffweight,INDIRECT(ADDRESS(ROW()-1,COLUMN())),($AB$5*$AD$5+דלק!$C36*דלק!$E36)/($AB$5+דלק!$C36))</f>
        <v>-4.6655375276105229</v>
      </c>
      <c r="AF39" s="239" t="str">
        <f ca="1">IF($AH39,דלק!$C36,"")</f>
        <v/>
      </c>
      <c r="AG39" s="239" t="str">
        <f ca="1">IF($AI39,דלק!$C36,"")</f>
        <v/>
      </c>
      <c r="AH39" s="242" t="b">
        <f t="shared" ca="1" si="25"/>
        <v>0</v>
      </c>
      <c r="AI39" s="236" t="b">
        <f t="shared" ca="1" si="26"/>
        <v>0</v>
      </c>
      <c r="AJ39" s="26" t="b">
        <f t="shared" ca="1" si="27"/>
        <v>0</v>
      </c>
      <c r="AL39" s="16" t="b">
        <f t="shared" ca="1" si="28"/>
        <v>0</v>
      </c>
      <c r="AM39" s="246" t="b">
        <f t="shared" ca="1" si="29"/>
        <v>0</v>
      </c>
      <c r="AN39" s="239" t="str">
        <f ca="1">IF(OR(AL39:AM39),דלק!C36,"")</f>
        <v/>
      </c>
      <c r="AP39" s="69" t="s">
        <v>123</v>
      </c>
      <c r="AQ39" s="27">
        <v>4000</v>
      </c>
      <c r="AR39" s="28">
        <v>3500</v>
      </c>
      <c r="BA39">
        <v>180</v>
      </c>
      <c r="BB39">
        <v>36</v>
      </c>
      <c r="BH39">
        <v>3800</v>
      </c>
      <c r="BI39">
        <v>-600</v>
      </c>
    </row>
    <row r="40" spans="3:61" ht="14.25">
      <c r="C40" s="25" t="str">
        <f ca="1" t="shared" si="30" ref="C40:C51">IF(INDIRECT("תצורות!A"&amp;(LEFT($D$37,2)-1)*13+ROW(A3))=0,"",INDIRECT("תצורות!A"&amp;(LEFT($D$37,2)-1)*13+ROW(A3)))</f>
        <v>כסא נוסע ימין - שורה אמצעית</v>
      </c>
      <c r="D40" s="100">
        <f ca="1" t="shared" si="31" ref="D40:D51">IF(INDIRECT("תצורות!A"&amp;(LEFT($D$37,2)-1)*13+ROW(A3))=0,"",INDIRECT("תצורות!b"&amp;(LEFT($D$37,2)-1)*13+ROW(A3)))</f>
        <v>12.598000000000001</v>
      </c>
      <c r="E40" s="100">
        <f ca="1" t="shared" si="32" ref="E40:E51">IF(INDIRECT("תצורות!A"&amp;(LEFT($D$37,2)-1)*13+ROW(A3))=0,"",INDIRECT("תצורות!c"&amp;(LEFT($D$37,2)-1)*13+ROW(A3)))</f>
        <v>4400</v>
      </c>
      <c r="F40" s="35">
        <f ca="1">IF(D40&lt;&gt;"",D40*E40,"")</f>
        <v>55431.20</v>
      </c>
      <c r="G40" s="35">
        <f ca="1">IF(D40&lt;&gt;"",D40*H40,"")</f>
        <v>4648.6620000000003</v>
      </c>
      <c r="H40" s="100">
        <f ca="1" t="shared" si="33" ref="H40:H51">IF(INDIRECT("תצורות!A"&amp;(LEFT($D$37,2)-1)*13+ROW(A3))=0,"",INDIRECT("תצורות!d"&amp;(LEFT($D$37,2)-1)*13+ROW(A3)))</f>
        <v>369</v>
      </c>
      <c r="I40" s="53">
        <f ca="1" t="shared" si="34" ref="I40:I51">IF(INDIRECT("תצורות!A"&amp;(LEFT($D$37,2)-1)*13+ROW(B3))=0,"",INT(INDIRECT("תצורות!E"&amp;(LEFT($D$37,2)-1)*13+ROW(B3))))</f>
        <v>6</v>
      </c>
      <c r="T40" s="43">
        <f ca="1">IF($T$5+דלק!$C37&gt;takoffweight+1,takoffweight,$T$5+דלק!$C37)</f>
        <v>3049.6019999999999</v>
      </c>
      <c r="U40" s="29">
        <f ca="1">IF($T$5+דלק!$C37&gt;takoffweight+1,INDIRECT(ADDRESS(ROW()-1,COLUMN())),($T$5*$U$5+דלק!$C37*דלק!$D37)/($T$5+דלק!$C37))</f>
        <v>4484.0924339766307</v>
      </c>
      <c r="V40" s="31">
        <f ca="1">IF($T$5+דלק!$C37&gt;takoffweight,INDIRECT(ADDRESS(ROW()-1,COLUMN())),($T$5*$V$5+דלק!$C37*דלק!$E37)/($T$5+דלק!$C37))</f>
        <v>-4.6338431047723603</v>
      </c>
      <c r="X40" s="16" t="b">
        <f t="shared" ca="1" si="23"/>
        <v>0</v>
      </c>
      <c r="Y40" s="246" t="b">
        <f t="shared" ca="1" si="24"/>
        <v>0</v>
      </c>
      <c r="Z40" s="239" t="str">
        <f ca="1">IF($Y40,דלק!$C37,"")</f>
        <v/>
      </c>
      <c r="AA40">
        <v>350</v>
      </c>
      <c r="AB40" s="43">
        <f ca="1">IF($AB$5+דלק!$C37&gt;takoffweight+1,takoffweight,$AB$5+דלק!$C37)</f>
        <v>3049.6019999999999</v>
      </c>
      <c r="AC40" s="29">
        <f ca="1">IF($AB$5+דלק!$C37&gt;takoffweight+1,INDIRECT(ADDRESS(ROW()-1,COLUMN())),($AB$5*$AC$5+דלק!$C37*דלק!$D37)/($AB$5+דלק!$C37))</f>
        <v>4484.0924339766307</v>
      </c>
      <c r="AD40" s="31">
        <f ca="1">IF($AB$5+דלק!$C37&gt;takoffweight,INDIRECT(ADDRESS(ROW()-1,COLUMN())),($AB$5*$AD$5+דלק!$C37*דלק!$E37)/($AB$5+דלק!$C37))</f>
        <v>-4.6338431047723603</v>
      </c>
      <c r="AF40" s="239" t="str">
        <f ca="1">IF($AH40,דלק!$C37,"")</f>
        <v/>
      </c>
      <c r="AG40" s="239" t="str">
        <f ca="1">IF($AI40,דלק!$C37,"")</f>
        <v/>
      </c>
      <c r="AH40" s="242" t="b">
        <f t="shared" ca="1" si="25"/>
        <v>0</v>
      </c>
      <c r="AI40" s="236" t="b">
        <f t="shared" ca="1" si="26"/>
        <v>0</v>
      </c>
      <c r="AJ40" s="26" t="b">
        <f t="shared" ca="1" si="27"/>
        <v>0</v>
      </c>
      <c r="AL40" s="16" t="b">
        <f t="shared" ca="1" si="28"/>
        <v>0</v>
      </c>
      <c r="AM40" s="246" t="b">
        <f t="shared" ca="1" si="29"/>
        <v>0</v>
      </c>
      <c r="AN40" s="239" t="str">
        <f ca="1">IF(OR(AL40:AM40),דלק!C37,"")</f>
        <v/>
      </c>
      <c r="AP40" s="107" t="s">
        <v>124</v>
      </c>
      <c r="AQ40" s="108">
        <v>4500</v>
      </c>
      <c r="AR40" s="109">
        <v>4000</v>
      </c>
      <c r="BA40">
        <v>185</v>
      </c>
      <c r="BB40">
        <v>37</v>
      </c>
      <c r="BH40">
        <v>3850</v>
      </c>
      <c r="BI40">
        <v>-650</v>
      </c>
    </row>
    <row r="41" spans="3:61" ht="15" thickBot="1">
      <c r="C41" s="25" t="str">
        <f t="shared" ca="1" si="30"/>
        <v>כסא נוסע שמאל - שורה קדמית - פונה אחורה</v>
      </c>
      <c r="D41" s="100">
        <f t="shared" ca="1" si="31"/>
        <v>12.598000000000001</v>
      </c>
      <c r="E41" s="100">
        <f t="shared" ca="1" si="32"/>
        <v>3265</v>
      </c>
      <c r="F41" s="35">
        <f ca="1" t="shared" si="35" ref="F41:F51">IF(D41&lt;&gt;"",D41*E41,"")</f>
        <v>41132.47</v>
      </c>
      <c r="G41" s="35">
        <f ca="1" t="shared" si="36" ref="G41:G51">IF(D41&lt;&gt;"",D41*H41,"")</f>
        <v>-6928.90</v>
      </c>
      <c r="H41" s="100">
        <f t="shared" ca="1" si="33"/>
        <v>-550</v>
      </c>
      <c r="I41" s="53">
        <f t="shared" ca="1" si="34"/>
        <v>1</v>
      </c>
      <c r="T41" s="43">
        <f ca="1">IF($T$5+דלק!$C38&gt;takoffweight+1,takoffweight,$T$5+דלק!$C38)</f>
        <v>3059.6019999999999</v>
      </c>
      <c r="U41" s="29">
        <f ca="1">IF($T$5+דלק!$C38&gt;takoffweight+1,INDIRECT(ADDRESS(ROW()-1,COLUMN())),($T$5*$U$5+דלק!$C38*דלק!$D38)/($T$5+דלק!$C38))</f>
        <v>4485.2099243104167</v>
      </c>
      <c r="V41" s="31">
        <f ca="1">IF($T$5+דלק!$C38&gt;takoffweight,INDIRECT(ADDRESS(ROW()-1,COLUMN())),($T$5*$V$5+דלק!$C38*דלק!$E38)/($T$5+דלק!$C38))</f>
        <v>-4.6023558619715894</v>
      </c>
      <c r="X41" s="16" t="b">
        <f t="shared" ca="1" si="23"/>
        <v>0</v>
      </c>
      <c r="Y41" s="246" t="b">
        <f t="shared" ca="1" si="24"/>
        <v>0</v>
      </c>
      <c r="Z41" s="239" t="str">
        <f ca="1">IF($Y41,דלק!$C38,"")</f>
        <v/>
      </c>
      <c r="AA41">
        <v>360</v>
      </c>
      <c r="AB41" s="43">
        <f ca="1">IF($AB$5+דלק!$C38&gt;takoffweight+1,takoffweight,$AB$5+דלק!$C38)</f>
        <v>3059.6019999999999</v>
      </c>
      <c r="AC41" s="29">
        <f ca="1">IF($AB$5+דלק!$C38&gt;takoffweight+1,INDIRECT(ADDRESS(ROW()-1,COLUMN())),($AB$5*$AC$5+דלק!$C38*דלק!$D38)/($AB$5+דלק!$C38))</f>
        <v>4485.2099243104167</v>
      </c>
      <c r="AD41" s="31">
        <f ca="1">IF($AB$5+דלק!$C38&gt;takoffweight,INDIRECT(ADDRESS(ROW()-1,COLUMN())),($AB$5*$AD$5+דלק!$C38*דלק!$E38)/($AB$5+דלק!$C38))</f>
        <v>-4.6023558619715894</v>
      </c>
      <c r="AF41" s="239" t="str">
        <f ca="1">IF($AH41,דלק!$C38,"")</f>
        <v/>
      </c>
      <c r="AG41" s="239" t="str">
        <f ca="1">IF($AI41,דלק!$C38,"")</f>
        <v/>
      </c>
      <c r="AH41" s="242" t="b">
        <f t="shared" ca="1" si="25"/>
        <v>0</v>
      </c>
      <c r="AI41" s="236" t="b">
        <f t="shared" ca="1" si="26"/>
        <v>0</v>
      </c>
      <c r="AJ41" s="26" t="b">
        <f t="shared" ca="1" si="27"/>
        <v>0</v>
      </c>
      <c r="AL41" s="16" t="b">
        <f t="shared" ca="1" si="28"/>
        <v>0</v>
      </c>
      <c r="AM41" s="246" t="b">
        <f t="shared" ca="1" si="29"/>
        <v>0</v>
      </c>
      <c r="AN41" s="239" t="str">
        <f ca="1">IF(OR(AL41:AM41),דלק!C38,"")</f>
        <v/>
      </c>
      <c r="AP41" s="110" t="s">
        <v>125</v>
      </c>
      <c r="AQ41" s="111">
        <v>5000</v>
      </c>
      <c r="AR41" s="112">
        <v>4500</v>
      </c>
      <c r="BA41">
        <v>190</v>
      </c>
      <c r="BB41">
        <v>38</v>
      </c>
      <c r="BH41">
        <v>3900</v>
      </c>
      <c r="BI41">
        <v>-700</v>
      </c>
    </row>
    <row r="42" spans="3:61" ht="14.25">
      <c r="C42" s="25" t="str">
        <f t="shared" ca="1" si="30"/>
        <v>כסא נוסע שמאל - שורה אמצעית</v>
      </c>
      <c r="D42" s="100">
        <f t="shared" ca="1" si="31"/>
        <v>12.598000000000001</v>
      </c>
      <c r="E42" s="100">
        <f t="shared" ca="1" si="32"/>
        <v>4400</v>
      </c>
      <c r="F42" s="35">
        <f t="shared" ca="1" si="35"/>
        <v>55431.20</v>
      </c>
      <c r="G42" s="35">
        <f t="shared" ca="1" si="36"/>
        <v>-4648.6620000000003</v>
      </c>
      <c r="H42" s="100">
        <f t="shared" ca="1" si="33"/>
        <v>-369</v>
      </c>
      <c r="I42" s="53">
        <f t="shared" ca="1" si="34"/>
        <v>4</v>
      </c>
      <c r="T42" s="43">
        <f ca="1">IF($T$5+דלק!$C39&gt;takoffweight+1,takoffweight,$T$5+דלק!$C39)</f>
        <v>3069.6019999999999</v>
      </c>
      <c r="U42" s="29">
        <f ca="1">IF($T$5+דלק!$C39&gt;takoffweight+1,INDIRECT(ADDRESS(ROW()-1,COLUMN())),($T$5*$U$5+דלק!$C39*דלק!$D39)/($T$5+דלק!$C39))</f>
        <v>4485.5675930755842</v>
      </c>
      <c r="V42" s="31">
        <f ca="1">IF($T$5+דלק!$C39&gt;takoffweight,INDIRECT(ADDRESS(ROW()-1,COLUMN())),($T$5*$V$5+דלק!$C39*דלק!$E39)/($T$5+דלק!$C39))</f>
        <v>-4.8121473728515944</v>
      </c>
      <c r="X42" s="16" t="b">
        <f t="shared" ca="1" si="23"/>
        <v>0</v>
      </c>
      <c r="Y42" s="246" t="b">
        <f t="shared" ca="1" si="24"/>
        <v>0</v>
      </c>
      <c r="Z42" s="239" t="str">
        <f ca="1">IF($Y42,דלק!$C39,"")</f>
        <v/>
      </c>
      <c r="AA42">
        <v>370</v>
      </c>
      <c r="AB42" s="43">
        <f ca="1">IF($AB$5+דלק!$C39&gt;takoffweight+1,takoffweight,$AB$5+דלק!$C39)</f>
        <v>3069.6019999999999</v>
      </c>
      <c r="AC42" s="29">
        <f ca="1">IF($AB$5+דלק!$C39&gt;takoffweight+1,INDIRECT(ADDRESS(ROW()-1,COLUMN())),($AB$5*$AC$5+דלק!$C39*דלק!$D39)/($AB$5+דלק!$C39))</f>
        <v>4485.5675930755842</v>
      </c>
      <c r="AD42" s="31">
        <f ca="1">IF($AB$5+דלק!$C39&gt;takoffweight,INDIRECT(ADDRESS(ROW()-1,COLUMN())),($AB$5*$AD$5+דלק!$C39*דלק!$E39)/($AB$5+דלק!$C39))</f>
        <v>-4.8121473728515944</v>
      </c>
      <c r="AF42" s="239" t="str">
        <f ca="1">IF($AH42,דלק!$C39,"")</f>
        <v/>
      </c>
      <c r="AG42" s="239" t="str">
        <f ca="1">IF($AI42,דלק!$C39,"")</f>
        <v/>
      </c>
      <c r="AH42" s="242" t="b">
        <f t="shared" ca="1" si="25"/>
        <v>0</v>
      </c>
      <c r="AI42" s="236" t="b">
        <f t="shared" ca="1" si="26"/>
        <v>0</v>
      </c>
      <c r="AJ42" s="26" t="b">
        <f t="shared" ca="1" si="27"/>
        <v>0</v>
      </c>
      <c r="AL42" s="16" t="b">
        <f t="shared" ca="1" si="28"/>
        <v>0</v>
      </c>
      <c r="AM42" s="246" t="b">
        <f t="shared" ca="1" si="29"/>
        <v>0</v>
      </c>
      <c r="AN42" s="239" t="str">
        <f ca="1">IF(OR(AL42:AM42),דלק!C39,"")</f>
        <v/>
      </c>
      <c r="AP42" s="104" t="s">
        <v>126</v>
      </c>
      <c r="AQ42" s="105">
        <v>5500</v>
      </c>
      <c r="AR42" s="106">
        <v>5000</v>
      </c>
      <c r="BA42">
        <v>195</v>
      </c>
      <c r="BB42">
        <v>39</v>
      </c>
      <c r="BH42">
        <v>3950</v>
      </c>
      <c r="BI42">
        <v>-750</v>
      </c>
    </row>
    <row r="43" spans="3:61" ht="15" thickBot="1">
      <c r="C43" s="25" t="str">
        <f t="shared" ca="1" si="30"/>
        <v>כסא נוסע ימין - שורה קדמית - פונה אחורה</v>
      </c>
      <c r="D43" s="100">
        <f t="shared" ca="1" si="31"/>
        <v>12.598000000000001</v>
      </c>
      <c r="E43" s="100">
        <f t="shared" ca="1" si="32"/>
        <v>3265</v>
      </c>
      <c r="F43" s="35">
        <f t="shared" ca="1" si="35"/>
        <v>41132.47</v>
      </c>
      <c r="G43" s="35">
        <f t="shared" ca="1" si="36"/>
        <v>6928.90</v>
      </c>
      <c r="H43" s="100">
        <f t="shared" ca="1" si="33"/>
        <v>550</v>
      </c>
      <c r="I43" s="53">
        <f t="shared" ca="1" si="34"/>
        <v>3</v>
      </c>
      <c r="T43" s="43">
        <f ca="1">IF($T$5+דלק!$C40&gt;takoffweight+1,takoffweight,$T$5+דלק!$C40)</f>
        <v>3079.6019999999999</v>
      </c>
      <c r="U43" s="29">
        <f ca="1">IF($T$5+דלק!$C40&gt;takoffweight+1,INDIRECT(ADDRESS(ROW()-1,COLUMN())),($T$5*$U$5+דלק!$C40*דלק!$D40)/($T$5+דלק!$C40))</f>
        <v>4485.7216142995103</v>
      </c>
      <c r="V43" s="31">
        <f ca="1">IF($T$5+דלק!$C40&gt;takoffweight,INDIRECT(ADDRESS(ROW()-1,COLUMN())),($T$5*$V$5+דלק!$C40*דלק!$E40)/($T$5+דלק!$C40))</f>
        <v>-5.0335651165312916</v>
      </c>
      <c r="X43" s="16" t="b">
        <f t="shared" ca="1" si="23"/>
        <v>0</v>
      </c>
      <c r="Y43" s="246" t="b">
        <f t="shared" ca="1" si="24"/>
        <v>0</v>
      </c>
      <c r="Z43" s="239" t="str">
        <f ca="1">IF($Y43,דלק!$C40,"")</f>
        <v/>
      </c>
      <c r="AA43">
        <v>380</v>
      </c>
      <c r="AB43" s="43">
        <f ca="1">IF($AB$5+דלק!$C40&gt;takoffweight+1,takoffweight,$AB$5+דלק!$C40)</f>
        <v>3079.6019999999999</v>
      </c>
      <c r="AC43" s="29">
        <f ca="1">IF($AB$5+דלק!$C40&gt;takoffweight+1,INDIRECT(ADDRESS(ROW()-1,COLUMN())),($AB$5*$AC$5+דלק!$C40*דלק!$D40)/($AB$5+דלק!$C40))</f>
        <v>4485.7216142995103</v>
      </c>
      <c r="AD43" s="31">
        <f ca="1">IF($AB$5+דלק!$C40&gt;takoffweight,INDIRECT(ADDRESS(ROW()-1,COLUMN())),($AB$5*$AD$5+דלק!$C40*דלק!$E40)/($AB$5+דלק!$C40))</f>
        <v>-5.0335651165312916</v>
      </c>
      <c r="AF43" s="239" t="str">
        <f ca="1">IF($AH43,דלק!$C40,"")</f>
        <v/>
      </c>
      <c r="AG43" s="239" t="str">
        <f ca="1">IF($AI43,דלק!$C40,"")</f>
        <v/>
      </c>
      <c r="AH43" s="242" t="b">
        <f t="shared" ca="1" si="25"/>
        <v>0</v>
      </c>
      <c r="AI43" s="236" t="b">
        <f t="shared" ca="1" si="26"/>
        <v>0</v>
      </c>
      <c r="AJ43" s="26" t="b">
        <f t="shared" ca="1" si="27"/>
        <v>0</v>
      </c>
      <c r="AL43" s="16" t="b">
        <f t="shared" ca="1" si="28"/>
        <v>0</v>
      </c>
      <c r="AM43" s="246" t="b">
        <f t="shared" ca="1" si="29"/>
        <v>0</v>
      </c>
      <c r="AN43" s="239" t="str">
        <f ca="1">IF(OR(AL43:AM43),דלק!C40,"")</f>
        <v/>
      </c>
      <c r="AP43" s="69" t="s">
        <v>127</v>
      </c>
      <c r="AQ43" s="27">
        <v>6000</v>
      </c>
      <c r="AR43" s="28">
        <v>5500</v>
      </c>
      <c r="BA43">
        <v>200</v>
      </c>
      <c r="BB43">
        <v>40</v>
      </c>
      <c r="BH43">
        <v>4000</v>
      </c>
      <c r="BI43">
        <v>-800</v>
      </c>
    </row>
    <row r="44" spans="3:61" ht="15" thickBot="1">
      <c r="C44" s="25" t="str">
        <f t="shared" ca="1" si="30"/>
        <v/>
      </c>
      <c r="D44" s="100" t="str">
        <f t="shared" ca="1" si="31"/>
        <v/>
      </c>
      <c r="E44" s="100" t="str">
        <f t="shared" ca="1" si="32"/>
        <v/>
      </c>
      <c r="F44" s="35" t="str">
        <f t="shared" ca="1" si="35"/>
        <v/>
      </c>
      <c r="G44" s="35" t="str">
        <f t="shared" ca="1" si="36"/>
        <v/>
      </c>
      <c r="H44" s="100" t="str">
        <f t="shared" ca="1" si="33"/>
        <v/>
      </c>
      <c r="I44" s="53" t="str">
        <f t="shared" ca="1" si="34"/>
        <v/>
      </c>
      <c r="T44" s="43">
        <f ca="1">IF($T$5+דלק!$C41&gt;takoffweight+1,takoffweight,$T$5+דלק!$C41)</f>
        <v>3089.6019999999999</v>
      </c>
      <c r="U44" s="29">
        <f ca="1">IF($T$5+דלק!$C41&gt;takoffweight+1,INDIRECT(ADDRESS(ROW()-1,COLUMN())),($T$5*$U$5+דלק!$C41*דלק!$D41)/($T$5+דלק!$C41))</f>
        <v>4485.9070051223425</v>
      </c>
      <c r="V44" s="31">
        <f ca="1">IF($T$5+דלק!$C41&gt;takoffweight,INDIRECT(ADDRESS(ROW()-1,COLUMN())),($T$5*$V$5+דלק!$C41*דלק!$E41)/($T$5+דלק!$C41))</f>
        <v>-5.1402663514588607</v>
      </c>
      <c r="X44" s="16" t="b">
        <f t="shared" ca="1" si="23"/>
        <v>0</v>
      </c>
      <c r="Y44" s="246" t="b">
        <f t="shared" ca="1" si="24"/>
        <v>0</v>
      </c>
      <c r="Z44" s="239" t="str">
        <f ca="1">IF($Y44,דלק!$C41,"")</f>
        <v/>
      </c>
      <c r="AA44">
        <v>390</v>
      </c>
      <c r="AB44" s="43">
        <f ca="1">IF($AB$5+דלק!$C41&gt;takoffweight+1,takoffweight,$AB$5+דלק!$C41)</f>
        <v>3089.6019999999999</v>
      </c>
      <c r="AC44" s="29">
        <f ca="1">IF($AB$5+דלק!$C41&gt;takoffweight+1,INDIRECT(ADDRESS(ROW()-1,COLUMN())),($AB$5*$AC$5+דלק!$C41*דלק!$D41)/($AB$5+דלק!$C41))</f>
        <v>4485.9070051223425</v>
      </c>
      <c r="AD44" s="31">
        <f ca="1">IF($AB$5+דלק!$C41&gt;takoffweight,INDIRECT(ADDRESS(ROW()-1,COLUMN())),($AB$5*$AD$5+דלק!$C41*דלק!$E41)/($AB$5+דלק!$C41))</f>
        <v>-5.1402663514588607</v>
      </c>
      <c r="AF44" s="239" t="str">
        <f ca="1">IF($AH44,דלק!$C41,"")</f>
        <v/>
      </c>
      <c r="AG44" s="239" t="str">
        <f ca="1">IF($AI44,דלק!$C41,"")</f>
        <v/>
      </c>
      <c r="AH44" s="242" t="b">
        <f t="shared" ca="1" si="25"/>
        <v>0</v>
      </c>
      <c r="AI44" s="236" t="b">
        <f t="shared" ca="1" si="26"/>
        <v>0</v>
      </c>
      <c r="AJ44" s="26" t="b">
        <f t="shared" ca="1" si="27"/>
        <v>0</v>
      </c>
      <c r="AL44" s="16" t="b">
        <f t="shared" ca="1" si="28"/>
        <v>0</v>
      </c>
      <c r="AM44" s="246" t="b">
        <f t="shared" ca="1" si="29"/>
        <v>0</v>
      </c>
      <c r="AN44" s="239" t="str">
        <f ca="1">IF(OR(AL44:AM44),דלק!C41,"")</f>
        <v/>
      </c>
      <c r="BA44">
        <v>205</v>
      </c>
      <c r="BB44">
        <v>41</v>
      </c>
      <c r="BH44">
        <v>4050</v>
      </c>
      <c r="BI44">
        <v>-850</v>
      </c>
    </row>
    <row r="45" spans="3:61" ht="15">
      <c r="C45" s="25" t="str">
        <f t="shared" ca="1" si="30"/>
        <v/>
      </c>
      <c r="D45" s="100" t="str">
        <f t="shared" ca="1" si="31"/>
        <v/>
      </c>
      <c r="E45" s="100" t="str">
        <f t="shared" ca="1" si="32"/>
        <v/>
      </c>
      <c r="F45" s="35" t="str">
        <f t="shared" ca="1" si="35"/>
        <v/>
      </c>
      <c r="G45" s="35" t="str">
        <f t="shared" ca="1" si="36"/>
        <v/>
      </c>
      <c r="H45" s="100" t="str">
        <f t="shared" ca="1" si="33"/>
        <v/>
      </c>
      <c r="I45" s="53" t="str">
        <f t="shared" ca="1" si="34"/>
        <v/>
      </c>
      <c r="T45" s="43">
        <f ca="1">IF($T$5+דלק!$C42&gt;takoffweight+1,takoffweight,$T$5+דלק!$C42)</f>
        <v>3099.6019999999999</v>
      </c>
      <c r="U45" s="29">
        <f ca="1">IF($T$5+דלק!$C42&gt;takoffweight+1,INDIRECT(ADDRESS(ROW()-1,COLUMN())),($T$5*$U$5+דלק!$C42*דלק!$D42)/($T$5+דלק!$C42))</f>
        <v>4485.6072666232631</v>
      </c>
      <c r="V45" s="31">
        <f ca="1">IF($T$5+דלק!$C42&gt;takoffweight,INDIRECT(ADDRESS(ROW()-1,COLUMN())),($T$5*$V$5+דלק!$C42*דלק!$E42)/($T$5+דלק!$C42))</f>
        <v>-5.1236827179747593</v>
      </c>
      <c r="X45" s="16" t="b">
        <f t="shared" ca="1" si="23"/>
        <v>0</v>
      </c>
      <c r="Y45" s="246" t="b">
        <f t="shared" ca="1" si="24"/>
        <v>0</v>
      </c>
      <c r="Z45" s="239" t="str">
        <f ca="1">IF($Y45,דלק!$C42,"")</f>
        <v/>
      </c>
      <c r="AA45">
        <v>400</v>
      </c>
      <c r="AB45" s="43">
        <f ca="1">IF($AB$5+דלק!$C42&gt;takoffweight+1,takoffweight,$AB$5+דלק!$C42)</f>
        <v>3099.6019999999999</v>
      </c>
      <c r="AC45" s="29">
        <f ca="1">IF($AB$5+דלק!$C42&gt;takoffweight+1,INDIRECT(ADDRESS(ROW()-1,COLUMN())),($AB$5*$AC$5+דלק!$C42*דלק!$D42)/($AB$5+דלק!$C42))</f>
        <v>4485.6072666232631</v>
      </c>
      <c r="AD45" s="31">
        <f ca="1">IF($AB$5+דלק!$C42&gt;takoffweight,INDIRECT(ADDRESS(ROW()-1,COLUMN())),($AB$5*$AD$5+דלק!$C42*דלק!$E42)/($AB$5+דלק!$C42))</f>
        <v>-5.1236827179747593</v>
      </c>
      <c r="AF45" s="239" t="str">
        <f ca="1">IF($AH45,דלק!$C42,"")</f>
        <v/>
      </c>
      <c r="AG45" s="239" t="str">
        <f ca="1">IF($AI45,דלק!$C42,"")</f>
        <v/>
      </c>
      <c r="AH45" s="242" t="b">
        <f t="shared" ca="1" si="25"/>
        <v>0</v>
      </c>
      <c r="AI45" s="236" t="b">
        <f t="shared" ca="1" si="26"/>
        <v>0</v>
      </c>
      <c r="AJ45" s="26" t="b">
        <f t="shared" ca="1" si="27"/>
        <v>0</v>
      </c>
      <c r="AL45" s="16" t="b">
        <f t="shared" ca="1" si="28"/>
        <v>0</v>
      </c>
      <c r="AM45" s="246" t="b">
        <f t="shared" ca="1" si="29"/>
        <v>0</v>
      </c>
      <c r="AN45" s="239" t="str">
        <f ca="1">IF(OR(AL45:AM45),דלק!C42,"")</f>
        <v/>
      </c>
      <c r="AP45" s="356" t="s">
        <v>166</v>
      </c>
      <c r="AQ45" s="357"/>
      <c r="AR45" s="358"/>
      <c r="BA45">
        <v>210</v>
      </c>
      <c r="BB45">
        <v>42</v>
      </c>
      <c r="BH45">
        <v>4100</v>
      </c>
      <c r="BI45">
        <v>-900</v>
      </c>
    </row>
    <row r="46" spans="3:61" ht="14.25">
      <c r="C46" s="25" t="str">
        <f t="shared" ca="1" si="30"/>
        <v/>
      </c>
      <c r="D46" s="100" t="str">
        <f t="shared" ca="1" si="31"/>
        <v/>
      </c>
      <c r="E46" s="100" t="str">
        <f t="shared" ca="1" si="32"/>
        <v/>
      </c>
      <c r="F46" s="35" t="str">
        <f t="shared" ca="1" si="35"/>
        <v/>
      </c>
      <c r="G46" s="35" t="str">
        <f t="shared" ca="1" si="36"/>
        <v/>
      </c>
      <c r="H46" s="100" t="str">
        <f t="shared" ca="1" si="33"/>
        <v/>
      </c>
      <c r="I46" s="53" t="str">
        <f t="shared" ca="1" si="34"/>
        <v/>
      </c>
      <c r="T46" s="43">
        <f ca="1">IF($T$5+דלק!$C43&gt;takoffweight+1,takoffweight,$T$5+דלק!$C43)</f>
        <v>3109.6019999999999</v>
      </c>
      <c r="U46" s="29">
        <f ca="1">IF($T$5+דלק!$C43&gt;takoffweight+1,INDIRECT(ADDRESS(ROW()-1,COLUMN())),($T$5*$U$5+דלק!$C43*דלק!$D43)/($T$5+דלק!$C43))</f>
        <v>4485.3158876409261</v>
      </c>
      <c r="V46" s="31">
        <f ca="1">IF($T$5+דלק!$C43&gt;takoffweight,INDIRECT(ADDRESS(ROW()-1,COLUMN())),($T$5*$V$5+דלק!$C43*דלק!$E43)/($T$5+דלק!$C43))</f>
        <v>-5.107205745301167</v>
      </c>
      <c r="X46" s="16" t="b">
        <f t="shared" ca="1" si="23"/>
        <v>0</v>
      </c>
      <c r="Y46" s="246" t="b">
        <f t="shared" ca="1" si="24"/>
        <v>0</v>
      </c>
      <c r="Z46" s="239" t="str">
        <f ca="1">IF($Y46,דלק!$C43,"")</f>
        <v/>
      </c>
      <c r="AA46">
        <v>410</v>
      </c>
      <c r="AB46" s="43">
        <f ca="1">IF($AB$5+דלק!$C43&gt;takoffweight+1,takoffweight,$AB$5+דלק!$C43)</f>
        <v>3109.6019999999999</v>
      </c>
      <c r="AC46" s="29">
        <f ca="1">IF($AB$5+דלק!$C43&gt;takoffweight+1,INDIRECT(ADDRESS(ROW()-1,COLUMN())),($AB$5*$AC$5+דלק!$C43*דלק!$D43)/($AB$5+דלק!$C43))</f>
        <v>4485.3158876409261</v>
      </c>
      <c r="AD46" s="31">
        <f ca="1">IF($AB$5+דלק!$C43&gt;takoffweight,INDIRECT(ADDRESS(ROW()-1,COLUMN())),($AB$5*$AD$5+דלק!$C43*דלק!$E43)/($AB$5+דלק!$C43))</f>
        <v>-5.107205745301167</v>
      </c>
      <c r="AF46" s="239" t="str">
        <f ca="1">IF($AH46,דלק!$C43,"")</f>
        <v/>
      </c>
      <c r="AG46" s="239" t="str">
        <f ca="1">IF($AI46,דלק!$C43,"")</f>
        <v/>
      </c>
      <c r="AH46" s="242" t="b">
        <f t="shared" ca="1" si="25"/>
        <v>0</v>
      </c>
      <c r="AI46" s="236" t="b">
        <f t="shared" ca="1" si="26"/>
        <v>0</v>
      </c>
      <c r="AJ46" s="26" t="b">
        <f t="shared" ca="1" si="27"/>
        <v>0</v>
      </c>
      <c r="AL46" s="16" t="b">
        <f t="shared" ca="1" si="28"/>
        <v>0</v>
      </c>
      <c r="AM46" s="246" t="b">
        <f t="shared" ca="1" si="29"/>
        <v>0</v>
      </c>
      <c r="AN46" s="239" t="str">
        <f ca="1">IF(OR(AL46:AM46),דלק!C43,"")</f>
        <v/>
      </c>
      <c r="AP46" s="4" t="s">
        <v>162</v>
      </c>
      <c r="AQ46" s="375">
        <v>550</v>
      </c>
      <c r="AR46" s="380"/>
      <c r="BA46">
        <v>215</v>
      </c>
      <c r="BB46">
        <v>43</v>
      </c>
      <c r="BH46">
        <v>4150</v>
      </c>
      <c r="BI46">
        <v>-950</v>
      </c>
    </row>
    <row r="47" spans="3:61" ht="14.25">
      <c r="C47" s="25" t="str">
        <f t="shared" ca="1" si="30"/>
        <v/>
      </c>
      <c r="D47" s="100" t="str">
        <f t="shared" ca="1" si="31"/>
        <v/>
      </c>
      <c r="E47" s="100" t="str">
        <f t="shared" ca="1" si="32"/>
        <v/>
      </c>
      <c r="F47" s="35" t="str">
        <f t="shared" ca="1" si="35"/>
        <v/>
      </c>
      <c r="G47" s="35" t="str">
        <f t="shared" ca="1" si="36"/>
        <v/>
      </c>
      <c r="H47" s="100" t="str">
        <f t="shared" ca="1" si="33"/>
        <v/>
      </c>
      <c r="I47" s="53" t="str">
        <f t="shared" ca="1" si="34"/>
        <v/>
      </c>
      <c r="T47" s="43">
        <f ca="1">IF($T$5+דלק!$C44&gt;takoffweight+1,takoffweight,$T$5+דלק!$C44)</f>
        <v>3119.6019999999999</v>
      </c>
      <c r="U47" s="29">
        <f ca="1">IF($T$5+דלק!$C44&gt;takoffweight+1,INDIRECT(ADDRESS(ROW()-1,COLUMN())),($T$5*$U$5+דלק!$C44*דלק!$D44)/($T$5+דלק!$C44))</f>
        <v>4484.8981552262112</v>
      </c>
      <c r="V47" s="31">
        <f ca="1">IF($T$5+דלק!$C44&gt;takoffweight,INDIRECT(ADDRESS(ROW()-1,COLUMN())),($T$5*$V$5+דלק!$C44*דלק!$E44)/($T$5+דלק!$C44))</f>
        <v>-5.0908344077225234</v>
      </c>
      <c r="X47" s="16" t="b">
        <f t="shared" ca="1" si="23"/>
        <v>0</v>
      </c>
      <c r="Y47" s="246" t="b">
        <f t="shared" ca="1" si="24"/>
        <v>0</v>
      </c>
      <c r="Z47" s="239" t="str">
        <f ca="1">IF($Y47,דלק!$C44,"")</f>
        <v/>
      </c>
      <c r="AA47">
        <v>420</v>
      </c>
      <c r="AB47" s="43">
        <f ca="1">IF($AB$5+דלק!$C44&gt;takoffweight+1,takoffweight,$AB$5+דלק!$C44)</f>
        <v>3119.6019999999999</v>
      </c>
      <c r="AC47" s="29">
        <f ca="1">IF($AB$5+דלק!$C44&gt;takoffweight+1,INDIRECT(ADDRESS(ROW()-1,COLUMN())),($AB$5*$AC$5+דלק!$C44*דלק!$D44)/($AB$5+דלק!$C44))</f>
        <v>4484.8981552262112</v>
      </c>
      <c r="AD47" s="31">
        <f ca="1">IF($AB$5+דלק!$C44&gt;takoffweight,INDIRECT(ADDRESS(ROW()-1,COLUMN())),($AB$5*$AD$5+דלק!$C44*דלק!$E44)/($AB$5+דלק!$C44))</f>
        <v>-5.0908344077225234</v>
      </c>
      <c r="AF47" s="239" t="str">
        <f ca="1">IF($AH47,דלק!$C44,"")</f>
        <v/>
      </c>
      <c r="AG47" s="239" t="str">
        <f ca="1">IF($AI47,דלק!$C44,"")</f>
        <v/>
      </c>
      <c r="AH47" s="242" t="b">
        <f t="shared" ca="1" si="25"/>
        <v>0</v>
      </c>
      <c r="AI47" s="236" t="b">
        <f t="shared" ca="1" si="26"/>
        <v>0</v>
      </c>
      <c r="AJ47" s="26" t="b">
        <f t="shared" ca="1" si="27"/>
        <v>0</v>
      </c>
      <c r="AL47" s="16" t="b">
        <f t="shared" ca="1" si="28"/>
        <v>0</v>
      </c>
      <c r="AM47" s="246" t="b">
        <f t="shared" ca="1" si="29"/>
        <v>0</v>
      </c>
      <c r="AN47" s="239" t="str">
        <f ca="1">IF(OR(AL47:AM47),דלק!C44,"")</f>
        <v/>
      </c>
      <c r="AP47" s="4" t="s">
        <v>163</v>
      </c>
      <c r="AQ47" s="375">
        <v>0</v>
      </c>
      <c r="AR47" s="380"/>
      <c r="BA47">
        <v>220</v>
      </c>
      <c r="BB47">
        <v>44</v>
      </c>
      <c r="BH47">
        <v>4200</v>
      </c>
      <c r="BI47">
        <v>-1000</v>
      </c>
    </row>
    <row r="48" spans="3:61" ht="15" thickBot="1">
      <c r="C48" s="25" t="str">
        <f t="shared" ca="1" si="30"/>
        <v/>
      </c>
      <c r="D48" s="100" t="str">
        <f t="shared" ca="1" si="31"/>
        <v/>
      </c>
      <c r="E48" s="100" t="str">
        <f t="shared" ca="1" si="32"/>
        <v/>
      </c>
      <c r="F48" s="35" t="str">
        <f t="shared" ca="1" si="35"/>
        <v/>
      </c>
      <c r="G48" s="35" t="str">
        <f t="shared" ca="1" si="36"/>
        <v/>
      </c>
      <c r="H48" s="100" t="str">
        <f t="shared" ca="1" si="33"/>
        <v/>
      </c>
      <c r="I48" s="53" t="str">
        <f t="shared" ca="1" si="34"/>
        <v/>
      </c>
      <c r="T48" s="43">
        <f ca="1">IF($T$5+דלק!$C45&gt;takoffweight+1,takoffweight,$T$5+דלק!$C45)</f>
        <v>3129.6019999999999</v>
      </c>
      <c r="U48" s="29">
        <f ca="1">IF($T$5+דלק!$C45&gt;takoffweight+1,INDIRECT(ADDRESS(ROW()-1,COLUMN())),($T$5*$U$5+דלק!$C45*דלק!$D45)/($T$5+דלק!$C45))</f>
        <v>4484.6204900303619</v>
      </c>
      <c r="V48" s="31">
        <f ca="1">IF($T$5+דלק!$C45&gt;takoffweight,INDIRECT(ADDRESS(ROW()-1,COLUMN())),($T$5*$V$5+דלק!$C45*דלק!$E45)/($T$5+דלק!$C45))</f>
        <v>-5.0745676926331207</v>
      </c>
      <c r="X48" s="16" t="b">
        <f t="shared" ca="1" si="23"/>
        <v>0</v>
      </c>
      <c r="Y48" s="246" t="b">
        <f t="shared" ca="1" si="24"/>
        <v>0</v>
      </c>
      <c r="Z48" s="239" t="str">
        <f ca="1">IF($Y48,דלק!$C45,"")</f>
        <v/>
      </c>
      <c r="AA48">
        <v>430</v>
      </c>
      <c r="AB48" s="43">
        <f ca="1">IF($AB$5+דלק!$C45&gt;takoffweight+1,takoffweight,$AB$5+דלק!$C45)</f>
        <v>3129.6019999999999</v>
      </c>
      <c r="AC48" s="29">
        <f ca="1">IF($AB$5+דלק!$C45&gt;takoffweight+1,INDIRECT(ADDRESS(ROW()-1,COLUMN())),($AB$5*$AC$5+דלק!$C45*דלק!$D45)/($AB$5+דלק!$C45))</f>
        <v>4484.6204900303619</v>
      </c>
      <c r="AD48" s="31">
        <f ca="1">IF($AB$5+דלק!$C45&gt;takoffweight,INDIRECT(ADDRESS(ROW()-1,COLUMN())),($AB$5*$AD$5+דלק!$C45*דלק!$E45)/($AB$5+דלק!$C45))</f>
        <v>-5.0745676926331207</v>
      </c>
      <c r="AF48" s="239" t="str">
        <f ca="1">IF($AH48,דלק!$C45,"")</f>
        <v/>
      </c>
      <c r="AG48" s="239" t="str">
        <f ca="1">IF($AI48,דלק!$C45,"")</f>
        <v/>
      </c>
      <c r="AH48" s="242" t="b">
        <f t="shared" ca="1" si="25"/>
        <v>0</v>
      </c>
      <c r="AI48" s="236" t="b">
        <f t="shared" ca="1" si="26"/>
        <v>0</v>
      </c>
      <c r="AJ48" s="26" t="b">
        <f t="shared" ca="1" si="27"/>
        <v>0</v>
      </c>
      <c r="AL48" s="16" t="b">
        <f t="shared" ca="1" si="28"/>
        <v>0</v>
      </c>
      <c r="AM48" s="246" t="b">
        <f t="shared" ca="1" si="29"/>
        <v>0</v>
      </c>
      <c r="AN48" s="239" t="str">
        <f ca="1">IF(OR(AL48:AM48),דלק!C45,"")</f>
        <v/>
      </c>
      <c r="AP48" s="69" t="s">
        <v>164</v>
      </c>
      <c r="AQ48" s="377">
        <v>-550</v>
      </c>
      <c r="AR48" s="381"/>
      <c r="BA48">
        <v>225</v>
      </c>
      <c r="BB48">
        <v>45</v>
      </c>
      <c r="BH48">
        <v>4250</v>
      </c>
      <c r="BI48">
        <v>-1050</v>
      </c>
    </row>
    <row r="49" spans="3:61" ht="14.25">
      <c r="C49" s="25" t="str">
        <f t="shared" ca="1" si="30"/>
        <v/>
      </c>
      <c r="D49" s="100" t="str">
        <f t="shared" ca="1" si="31"/>
        <v/>
      </c>
      <c r="E49" s="100" t="str">
        <f t="shared" ca="1" si="32"/>
        <v/>
      </c>
      <c r="F49" s="35" t="str">
        <f t="shared" ca="1" si="35"/>
        <v/>
      </c>
      <c r="G49" s="35" t="str">
        <f t="shared" ca="1" si="36"/>
        <v/>
      </c>
      <c r="H49" s="100" t="str">
        <f t="shared" ca="1" si="33"/>
        <v/>
      </c>
      <c r="I49" s="53" t="str">
        <f t="shared" ca="1" si="34"/>
        <v/>
      </c>
      <c r="T49" s="43">
        <f ca="1">IF($T$5+דלק!$C46&gt;takoffweight+1,takoffweight,$T$5+דלק!$C46)</f>
        <v>3139.6019999999999</v>
      </c>
      <c r="U49" s="29">
        <f ca="1">IF($T$5+דלק!$C46&gt;takoffweight+1,INDIRECT(ADDRESS(ROW()-1,COLUMN())),($T$5*$U$5+דלק!$C46*דלק!$D46)/($T$5+דלק!$C46))</f>
        <v>4484.3509638610249</v>
      </c>
      <c r="V49" s="31">
        <f ca="1">IF($T$5+דלק!$C46&gt;takoffweight,INDIRECT(ADDRESS(ROW()-1,COLUMN())),($T$5*$V$5+דלק!$C46*דלק!$E46)/($T$5+דלק!$C46))</f>
        <v>-5.0584046003283216</v>
      </c>
      <c r="X49" s="16" t="b">
        <f t="shared" ca="1" si="23"/>
        <v>0</v>
      </c>
      <c r="Y49" s="246" t="b">
        <f t="shared" ca="1" si="24"/>
        <v>0</v>
      </c>
      <c r="Z49" s="239" t="str">
        <f ca="1">IF($Y49,דלק!$C46,"")</f>
        <v/>
      </c>
      <c r="AA49">
        <v>440</v>
      </c>
      <c r="AB49" s="43">
        <f ca="1">IF($AB$5+דלק!$C46&gt;takoffweight+1,takoffweight,$AB$5+דלק!$C46)</f>
        <v>3139.6019999999999</v>
      </c>
      <c r="AC49" s="29">
        <f ca="1">IF($AB$5+דלק!$C46&gt;takoffweight+1,INDIRECT(ADDRESS(ROW()-1,COLUMN())),($AB$5*$AC$5+דלק!$C46*דלק!$D46)/($AB$5+דלק!$C46))</f>
        <v>4484.3509638610249</v>
      </c>
      <c r="AD49" s="31">
        <f ca="1">IF($AB$5+דלק!$C46&gt;takoffweight,INDIRECT(ADDRESS(ROW()-1,COLUMN())),($AB$5*$AD$5+דלק!$C46*דלק!$E46)/($AB$5+דלק!$C46))</f>
        <v>-5.0584046003283216</v>
      </c>
      <c r="AF49" s="239" t="str">
        <f ca="1">IF($AH49,דלק!$C46,"")</f>
        <v/>
      </c>
      <c r="AG49" s="239" t="str">
        <f ca="1">IF($AI49,דלק!$C46,"")</f>
        <v/>
      </c>
      <c r="AH49" s="242" t="b">
        <f t="shared" ca="1" si="25"/>
        <v>0</v>
      </c>
      <c r="AI49" s="236" t="b">
        <f t="shared" ca="1" si="26"/>
        <v>0</v>
      </c>
      <c r="AJ49" s="26" t="b">
        <f t="shared" ca="1" si="27"/>
        <v>0</v>
      </c>
      <c r="AL49" s="16" t="b">
        <f t="shared" ca="1" si="28"/>
        <v>0</v>
      </c>
      <c r="AM49" s="246" t="b">
        <f t="shared" ca="1" si="29"/>
        <v>0</v>
      </c>
      <c r="AN49" s="239" t="str">
        <f ca="1">IF(OR(AL49:AM49),דלק!C46,"")</f>
        <v/>
      </c>
      <c r="BA49">
        <v>230</v>
      </c>
      <c r="BB49">
        <v>46</v>
      </c>
      <c r="BH49">
        <v>4300</v>
      </c>
      <c r="BI49">
        <v>-1100</v>
      </c>
    </row>
    <row r="50" spans="3:61" ht="15" thickBot="1">
      <c r="C50" s="25" t="str">
        <f t="shared" ca="1" si="30"/>
        <v/>
      </c>
      <c r="D50" s="100" t="str">
        <f t="shared" ca="1" si="31"/>
        <v/>
      </c>
      <c r="E50" s="100" t="str">
        <f t="shared" ca="1" si="32"/>
        <v/>
      </c>
      <c r="F50" s="35" t="str">
        <f t="shared" ca="1" si="35"/>
        <v/>
      </c>
      <c r="G50" s="35" t="str">
        <f t="shared" ca="1" si="36"/>
        <v/>
      </c>
      <c r="H50" s="100" t="str">
        <f t="shared" ca="1" si="33"/>
        <v/>
      </c>
      <c r="I50" s="53" t="str">
        <f t="shared" ca="1" si="34"/>
        <v/>
      </c>
      <c r="T50" s="43">
        <f ca="1">IF($T$5+דלק!$C47&gt;takoffweight+1,takoffweight,$T$5+דלק!$C47)</f>
        <v>3149.6019999999999</v>
      </c>
      <c r="U50" s="29">
        <f ca="1">IF($T$5+דלק!$C47&gt;takoffweight+1,INDIRECT(ADDRESS(ROW()-1,COLUMN())),($T$5*$U$5+דלק!$C47*דלק!$D47)/($T$5+דלק!$C47))</f>
        <v>4484.0894991938667</v>
      </c>
      <c r="V50" s="31">
        <f ca="1">IF($T$5+דלק!$C47&gt;takoffweight,INDIRECT(ADDRESS(ROW()-1,COLUMN())),($T$5*$V$5+דלק!$C47*דלק!$E47)/($T$5+דלק!$C47))</f>
        <v>-5.042344143799756</v>
      </c>
      <c r="X50" s="16" t="b">
        <f t="shared" ca="1" si="23"/>
        <v>0</v>
      </c>
      <c r="Y50" s="246" t="b">
        <f t="shared" ca="1" si="24"/>
        <v>0</v>
      </c>
      <c r="Z50" s="239" t="str">
        <f ca="1">IF($Y50,דלק!$C47,"")</f>
        <v/>
      </c>
      <c r="AA50">
        <v>450</v>
      </c>
      <c r="AB50" s="43">
        <f ca="1">IF($AB$5+דלק!$C47&gt;takoffweight+1,takoffweight,$AB$5+דלק!$C47)</f>
        <v>3149.6019999999999</v>
      </c>
      <c r="AC50" s="29">
        <f ca="1">IF($AB$5+דלק!$C47&gt;takoffweight+1,INDIRECT(ADDRESS(ROW()-1,COLUMN())),($AB$5*$AC$5+דלק!$C47*דלק!$D47)/($AB$5+דלק!$C47))</f>
        <v>4484.0894991938667</v>
      </c>
      <c r="AD50" s="31">
        <f ca="1">IF($AB$5+דלק!$C47&gt;takoffweight,INDIRECT(ADDRESS(ROW()-1,COLUMN())),($AB$5*$AD$5+דלק!$C47*דלק!$E47)/($AB$5+דלק!$C47))</f>
        <v>-5.042344143799756</v>
      </c>
      <c r="AF50" s="239" t="str">
        <f ca="1">IF($AH50,דלק!$C47,"")</f>
        <v/>
      </c>
      <c r="AG50" s="239" t="str">
        <f ca="1">IF($AI50,דלק!$C47,"")</f>
        <v/>
      </c>
      <c r="AH50" s="242" t="b">
        <f t="shared" ca="1" si="25"/>
        <v>0</v>
      </c>
      <c r="AI50" s="236" t="b">
        <f t="shared" ca="1" si="26"/>
        <v>0</v>
      </c>
      <c r="AJ50" s="26" t="b">
        <f t="shared" ca="1" si="27"/>
        <v>0</v>
      </c>
      <c r="AL50" s="16" t="b">
        <f t="shared" ca="1" si="28"/>
        <v>0</v>
      </c>
      <c r="AM50" s="246" t="b">
        <f t="shared" ca="1" si="29"/>
        <v>0</v>
      </c>
      <c r="AN50" s="239" t="str">
        <f ca="1">IF(OR(AL50:AM50),דלק!C47,"")</f>
        <v/>
      </c>
      <c r="BA50">
        <v>235</v>
      </c>
      <c r="BB50">
        <v>47</v>
      </c>
      <c r="BH50">
        <v>4350</v>
      </c>
      <c r="BI50">
        <v>-1150</v>
      </c>
    </row>
    <row r="51" spans="3:61" ht="15.75" thickBot="1">
      <c r="C51" s="37" t="str">
        <f t="shared" ca="1" si="30"/>
        <v/>
      </c>
      <c r="D51" s="99" t="str">
        <f t="shared" ca="1" si="31"/>
        <v/>
      </c>
      <c r="E51" s="99" t="str">
        <f t="shared" ca="1" si="32"/>
        <v/>
      </c>
      <c r="F51" s="36" t="str">
        <f t="shared" ca="1" si="35"/>
        <v/>
      </c>
      <c r="G51" s="36" t="str">
        <f t="shared" ca="1" si="36"/>
        <v/>
      </c>
      <c r="H51" s="99" t="str">
        <f t="shared" ca="1" si="33"/>
        <v/>
      </c>
      <c r="I51" s="54" t="str">
        <f t="shared" ca="1" si="34"/>
        <v/>
      </c>
      <c r="T51" s="43">
        <f ca="1">IF($T$5+דלק!$C48&gt;takoffweight+1,takoffweight,$T$5+דלק!$C48)</f>
        <v>3159.6019999999999</v>
      </c>
      <c r="U51" s="29">
        <f ca="1">IF($T$5+דלק!$C48&gt;takoffweight+1,INDIRECT(ADDRESS(ROW()-1,COLUMN())),($T$5*$U$5+דלק!$C48*דלק!$D48)/($T$5+דלק!$C48))</f>
        <v>4483.6904315290349</v>
      </c>
      <c r="V51" s="31">
        <f ca="1">IF($T$5+דלק!$C48&gt;takoffweight,INDIRECT(ADDRESS(ROW()-1,COLUMN())),($T$5*$V$5+דלק!$C48*דלק!$E48)/($T$5+דלק!$C48))</f>
        <v>-5.0263853485344043</v>
      </c>
      <c r="X51" s="16" t="b">
        <f t="shared" ca="1" si="23"/>
        <v>0</v>
      </c>
      <c r="Y51" s="246" t="b">
        <f t="shared" ca="1" si="24"/>
        <v>0</v>
      </c>
      <c r="Z51" s="239" t="str">
        <f ca="1">IF($Y51,דלק!$C48,"")</f>
        <v/>
      </c>
      <c r="AA51">
        <v>460</v>
      </c>
      <c r="AB51" s="43">
        <f ca="1">IF($AB$5+דלק!$C48&gt;takoffweight+1,takoffweight,$AB$5+דלק!$C48)</f>
        <v>3159.6019999999999</v>
      </c>
      <c r="AC51" s="29">
        <f ca="1">IF($AB$5+דלק!$C48&gt;takoffweight+1,INDIRECT(ADDRESS(ROW()-1,COLUMN())),($AB$5*$AC$5+דלק!$C48*דלק!$D48)/($AB$5+דלק!$C48))</f>
        <v>4483.6904315290349</v>
      </c>
      <c r="AD51" s="31">
        <f ca="1">IF($AB$5+דלק!$C48&gt;takoffweight,INDIRECT(ADDRESS(ROW()-1,COLUMN())),($AB$5*$AD$5+דלק!$C48*דלק!$E48)/($AB$5+דלק!$C48))</f>
        <v>-5.0263853485344043</v>
      </c>
      <c r="AF51" s="239" t="str">
        <f ca="1">IF($AH51,דלק!$C48,"")</f>
        <v/>
      </c>
      <c r="AG51" s="239" t="str">
        <f ca="1">IF($AI51,דלק!$C48,"")</f>
        <v/>
      </c>
      <c r="AH51" s="242" t="b">
        <f t="shared" ca="1" si="25"/>
        <v>0</v>
      </c>
      <c r="AI51" s="236" t="b">
        <f t="shared" ca="1" si="26"/>
        <v>0</v>
      </c>
      <c r="AJ51" s="26" t="b">
        <f t="shared" ca="1" si="27"/>
        <v>0</v>
      </c>
      <c r="AL51" s="16" t="b">
        <f t="shared" ca="1" si="28"/>
        <v>0</v>
      </c>
      <c r="AM51" s="246" t="b">
        <f t="shared" ca="1" si="29"/>
        <v>0</v>
      </c>
      <c r="AN51" s="239" t="str">
        <f ca="1">IF(OR(AL51:AM51),דלק!C48,"")</f>
        <v/>
      </c>
      <c r="AP51" s="356" t="s">
        <v>131</v>
      </c>
      <c r="AQ51" s="357"/>
      <c r="AR51" s="358"/>
      <c r="BA51">
        <v>240</v>
      </c>
      <c r="BB51">
        <v>48</v>
      </c>
      <c r="BH51">
        <v>4400</v>
      </c>
      <c r="BI51">
        <v>-1200</v>
      </c>
    </row>
    <row r="52" spans="4:60" ht="14.25">
      <c r="D52" t="s">
        <v>381</v>
      </c>
      <c r="E52" s="299">
        <f ca="1">COUNTIFS($D$40:$D$51,"&gt;9",$D$40:$D$51,"&lt;13")</f>
        <v>4</v>
      </c>
      <c r="T52" s="43">
        <f ca="1">IF($T$5+דלק!$C49&gt;takoffweight+1,takoffweight,$T$5+דלק!$C49)</f>
        <v>3169.6019999999999</v>
      </c>
      <c r="U52" s="29">
        <f ca="1">IF($T$5+דלק!$C49&gt;takoffweight+1,INDIRECT(ADDRESS(ROW()-1,COLUMN())),($T$5*$U$5+דלק!$C49*דלק!$D49)/($T$5+דלק!$C49))</f>
        <v>4483.4421655589567</v>
      </c>
      <c r="V52" s="31">
        <f ca="1">IF($T$5+דלק!$C49&gt;takoffweight,INDIRECT(ADDRESS(ROW()-1,COLUMN())),($T$5*$V$5+דלק!$C49*דלק!$E49)/($T$5+דלק!$C49))</f>
        <v>-5.0105272523174831</v>
      </c>
      <c r="X52" s="16" t="b">
        <f t="shared" ca="1" si="23"/>
        <v>0</v>
      </c>
      <c r="Y52" s="246" t="b">
        <f t="shared" ca="1" si="24"/>
        <v>0</v>
      </c>
      <c r="Z52" s="239" t="str">
        <f ca="1">IF($Y52,דלק!$C49,"")</f>
        <v/>
      </c>
      <c r="AA52">
        <v>470</v>
      </c>
      <c r="AB52" s="43">
        <f ca="1">IF($AB$5+דלק!$C49&gt;takoffweight+1,takoffweight,$AB$5+דלק!$C49)</f>
        <v>3169.6019999999999</v>
      </c>
      <c r="AC52" s="29">
        <f ca="1">IF($AB$5+דלק!$C49&gt;takoffweight+1,INDIRECT(ADDRESS(ROW()-1,COLUMN())),($AB$5*$AC$5+דלק!$C49*דלק!$D49)/($AB$5+דלק!$C49))</f>
        <v>4483.4421655589567</v>
      </c>
      <c r="AD52" s="31">
        <f ca="1">IF($AB$5+דלק!$C49&gt;takoffweight,INDIRECT(ADDRESS(ROW()-1,COLUMN())),($AB$5*$AD$5+דלק!$C49*דלק!$E49)/($AB$5+דלק!$C49))</f>
        <v>-5.0105272523174831</v>
      </c>
      <c r="AF52" s="239" t="str">
        <f ca="1">IF($AH52,דלק!$C49,"")</f>
        <v/>
      </c>
      <c r="AG52" s="239" t="str">
        <f ca="1">IF($AI52,דלק!$C49,"")</f>
        <v/>
      </c>
      <c r="AH52" s="242" t="b">
        <f t="shared" ca="1" si="25"/>
        <v>0</v>
      </c>
      <c r="AI52" s="236" t="b">
        <f t="shared" ca="1" si="26"/>
        <v>0</v>
      </c>
      <c r="AJ52" s="26" t="b">
        <f t="shared" ca="1" si="27"/>
        <v>0</v>
      </c>
      <c r="AL52" s="16" t="b">
        <f t="shared" ca="1" si="28"/>
        <v>0</v>
      </c>
      <c r="AM52" s="246" t="b">
        <f t="shared" ca="1" si="29"/>
        <v>0</v>
      </c>
      <c r="AN52" s="239" t="str">
        <f ca="1">IF(OR(AL52:AM52),דלק!C49,"")</f>
        <v/>
      </c>
      <c r="AP52" s="113"/>
      <c r="AQ52" s="114" t="s">
        <v>132</v>
      </c>
      <c r="AR52" s="115" t="s">
        <v>133</v>
      </c>
      <c r="BA52">
        <v>245</v>
      </c>
      <c r="BB52">
        <v>49</v>
      </c>
      <c r="BH52">
        <v>4450</v>
      </c>
    </row>
    <row r="53" spans="4:60" ht="15" thickBot="1">
      <c r="D53" t="s">
        <v>344</v>
      </c>
      <c r="E53" s="285">
        <f ca="1">COUNTIFS($D$40:$D$51,"&gt;5",$D$40:$D$51,"&lt;8")</f>
        <v>0</v>
      </c>
      <c r="T53" s="43">
        <f ca="1">IF($T$5+דלק!$C50&gt;takoffweight+1,takoffweight,$T$5+דלק!$C50)</f>
        <v>3179.6019999999999</v>
      </c>
      <c r="U53" s="29">
        <f ca="1">IF($T$5+דלק!$C50&gt;takoffweight+1,INDIRECT(ADDRESS(ROW()-1,COLUMN())),($T$5*$U$5+דלק!$C50*דלק!$D50)/($T$5+דלק!$C50))</f>
        <v>4483.2017513009487</v>
      </c>
      <c r="V53" s="31">
        <f ca="1">IF($T$5+דלק!$C50&gt;takoffweight,INDIRECT(ADDRESS(ROW()-1,COLUMN())),($T$5*$V$5+דלק!$C50*דלק!$E50)/($T$5+דלק!$C50))</f>
        <v>-4.9947689050390585</v>
      </c>
      <c r="X53" s="16" t="b">
        <f t="shared" ca="1" si="23"/>
        <v>0</v>
      </c>
      <c r="Y53" s="246" t="b">
        <f t="shared" ca="1" si="24"/>
        <v>0</v>
      </c>
      <c r="Z53" s="239" t="str">
        <f ca="1">IF($Y53,דלק!$C50,"")</f>
        <v/>
      </c>
      <c r="AA53">
        <v>480</v>
      </c>
      <c r="AB53" s="43">
        <f ca="1">IF($AB$5+דלק!$C50&gt;takoffweight+1,takoffweight,$AB$5+דלק!$C50)</f>
        <v>3179.6019999999999</v>
      </c>
      <c r="AC53" s="29">
        <f ca="1">IF($AB$5+דלק!$C50&gt;takoffweight+1,INDIRECT(ADDRESS(ROW()-1,COLUMN())),($AB$5*$AC$5+דלק!$C50*דלק!$D50)/($AB$5+דלק!$C50))</f>
        <v>4483.2017513009487</v>
      </c>
      <c r="AD53" s="31">
        <f ca="1">IF($AB$5+דלק!$C50&gt;takoffweight,INDIRECT(ADDRESS(ROW()-1,COLUMN())),($AB$5*$AD$5+דלק!$C50*דלק!$E50)/($AB$5+דלק!$C50))</f>
        <v>-4.9947689050390585</v>
      </c>
      <c r="AF53" s="239" t="str">
        <f ca="1">IF($AH53,דלק!$C50,"")</f>
        <v/>
      </c>
      <c r="AG53" s="239" t="str">
        <f ca="1">IF($AI53,דלק!$C50,"")</f>
        <v/>
      </c>
      <c r="AH53" s="242" t="b">
        <f t="shared" ca="1" si="25"/>
        <v>0</v>
      </c>
      <c r="AI53" s="236" t="b">
        <f t="shared" ca="1" si="26"/>
        <v>0</v>
      </c>
      <c r="AJ53" s="26" t="b">
        <f t="shared" ca="1" si="27"/>
        <v>0</v>
      </c>
      <c r="AL53" s="16" t="b">
        <f t="shared" ca="1" si="28"/>
        <v>0</v>
      </c>
      <c r="AM53" s="246" t="b">
        <f t="shared" ca="1" si="29"/>
        <v>0</v>
      </c>
      <c r="AN53" s="239" t="str">
        <f ca="1">IF(OR(AL53:AM53),דלק!C50,"")</f>
        <v/>
      </c>
      <c r="AP53" s="4" t="s">
        <v>90</v>
      </c>
      <c r="AQ53" s="362">
        <f>SUM($L$30:$L$33)+0.1</f>
        <v>0.10</v>
      </c>
      <c r="AR53" s="2">
        <f>(SUM($P$30:$P$33))/$AQ$53</f>
        <v>0</v>
      </c>
      <c r="BA53">
        <v>250</v>
      </c>
      <c r="BB53">
        <v>50</v>
      </c>
      <c r="BH53">
        <v>4500</v>
      </c>
    </row>
    <row r="54" spans="3:60" ht="15.75" thickBot="1">
      <c r="C54" s="359" t="s">
        <v>64</v>
      </c>
      <c r="D54" s="360"/>
      <c r="E54" s="360"/>
      <c r="F54" s="360"/>
      <c r="G54" s="360"/>
      <c r="H54" s="361"/>
      <c r="T54" s="43">
        <f ca="1">IF($T$5+דלק!$C51&gt;takoffweight+1,takoffweight,$T$5+דלק!$C51)</f>
        <v>3189.6019999999999</v>
      </c>
      <c r="U54" s="29">
        <f ca="1">IF($T$5+דלק!$C51&gt;takoffweight+1,INDIRECT(ADDRESS(ROW()-1,COLUMN())),($T$5*$U$5+דלק!$C51*דלק!$D51)/($T$5+דלק!$C51))</f>
        <v>4482.8154907226672</v>
      </c>
      <c r="V54" s="31">
        <f ca="1">IF($T$5+דלק!$C51&gt;takoffweight,INDIRECT(ADDRESS(ROW()-1,COLUMN())),($T$5*$V$5+דלק!$C51*דלק!$E51)/($T$5+דלק!$C51))</f>
        <v>-4.9791093685042833</v>
      </c>
      <c r="X54" s="16" t="b">
        <f t="shared" ca="1" si="23"/>
        <v>0</v>
      </c>
      <c r="Y54" s="246" t="b">
        <f t="shared" ca="1" si="24"/>
        <v>0</v>
      </c>
      <c r="Z54" s="239" t="str">
        <f ca="1">IF($Y54,דלק!$C51,"")</f>
        <v/>
      </c>
      <c r="AA54">
        <v>490</v>
      </c>
      <c r="AB54" s="43">
        <f ca="1">IF($AB$5+דלק!$C51&gt;takoffweight+1,takoffweight,$AB$5+דלק!$C51)</f>
        <v>3189.6019999999999</v>
      </c>
      <c r="AC54" s="29">
        <f ca="1">IF($AB$5+דלק!$C51&gt;takoffweight+1,INDIRECT(ADDRESS(ROW()-1,COLUMN())),($AB$5*$AC$5+דלק!$C51*דלק!$D51)/($AB$5+דלק!$C51))</f>
        <v>4482.8154907226672</v>
      </c>
      <c r="AD54" s="31">
        <f ca="1">IF($AB$5+דלק!$C51&gt;takoffweight,INDIRECT(ADDRESS(ROW()-1,COLUMN())),($AB$5*$AD$5+דלק!$C51*דלק!$E51)/($AB$5+דלק!$C51))</f>
        <v>-4.9791093685042833</v>
      </c>
      <c r="AF54" s="239" t="str">
        <f ca="1">IF($AH54,דלק!$C51,"")</f>
        <v/>
      </c>
      <c r="AG54" s="239" t="str">
        <f ca="1">IF($AI54,דלק!$C51,"")</f>
        <v/>
      </c>
      <c r="AH54" s="242" t="b">
        <f t="shared" ca="1" si="25"/>
        <v>0</v>
      </c>
      <c r="AI54" s="236" t="b">
        <f t="shared" ca="1" si="26"/>
        <v>0</v>
      </c>
      <c r="AJ54" s="26" t="b">
        <f t="shared" ca="1" si="27"/>
        <v>0</v>
      </c>
      <c r="AL54" s="16" t="b">
        <f t="shared" ca="1" si="28"/>
        <v>0</v>
      </c>
      <c r="AM54" s="246" t="b">
        <f t="shared" ca="1" si="29"/>
        <v>0</v>
      </c>
      <c r="AN54" s="239" t="str">
        <f ca="1">IF(OR(AL54:AM54),דלק!C51,"")</f>
        <v/>
      </c>
      <c r="AP54" s="69" t="s">
        <v>91</v>
      </c>
      <c r="AQ54" s="363"/>
      <c r="AR54" s="116">
        <f>(SUM($N$30:$N$33))/$AQ$53</f>
        <v>0</v>
      </c>
      <c r="BA54">
        <v>255</v>
      </c>
      <c r="BB54">
        <v>51</v>
      </c>
      <c r="BH54">
        <v>4550</v>
      </c>
    </row>
    <row r="55" spans="3:60" ht="15" thickBot="1">
      <c r="C55" s="4" t="s">
        <v>8</v>
      </c>
      <c r="D55" s="5" t="s">
        <v>0</v>
      </c>
      <c r="E55" s="5" t="s">
        <v>14</v>
      </c>
      <c r="F55" s="42" t="s">
        <v>3</v>
      </c>
      <c r="G55" s="42" t="s">
        <v>4</v>
      </c>
      <c r="H55" s="6" t="s">
        <v>15</v>
      </c>
      <c r="T55" s="43">
        <f ca="1">IF($T$5+דלק!$C52&gt;takoffweight+1,takoffweight,$T$5+דלק!$C52)</f>
        <v>3199.6019999999999</v>
      </c>
      <c r="U55" s="29">
        <f ca="1">IF($T$5+דלק!$C52&gt;takoffweight+1,INDIRECT(ADDRESS(ROW()-1,COLUMN())),($T$5*$U$5+דלק!$C52*דלק!$D52)/($T$5+דלק!$C52))</f>
        <v>4482.5879140093048</v>
      </c>
      <c r="V55" s="31">
        <f ca="1">IF($T$5+דלק!$C52&gt;takoffweight,INDIRECT(ADDRESS(ROW()-1,COLUMN())),($T$5*$V$5+דלק!$C52*דלק!$E52)/($T$5+דלק!$C52))</f>
        <v>-5.119817152258312</v>
      </c>
      <c r="X55" s="16" t="b">
        <f t="shared" ca="1" si="23"/>
        <v>0</v>
      </c>
      <c r="Y55" s="246" t="b">
        <f t="shared" ca="1" si="24"/>
        <v>0</v>
      </c>
      <c r="Z55" s="239" t="str">
        <f ca="1">IF($Y55,דלק!$C52,"")</f>
        <v/>
      </c>
      <c r="AA55">
        <v>500</v>
      </c>
      <c r="AB55" s="43">
        <f ca="1">IF($AB$5+דלק!$C52&gt;takoffweight+1,takoffweight,$AB$5+דלק!$C52)</f>
        <v>3199.6019999999999</v>
      </c>
      <c r="AC55" s="29">
        <f ca="1">IF($AB$5+דלק!$C52&gt;takoffweight+1,INDIRECT(ADDRESS(ROW()-1,COLUMN())),($AB$5*$AC$5+דלק!$C52*דלק!$D52)/($AB$5+דלק!$C52))</f>
        <v>4482.5879140093048</v>
      </c>
      <c r="AD55" s="31">
        <f ca="1">IF($AB$5+דלק!$C52&gt;takoffweight,INDIRECT(ADDRESS(ROW()-1,COLUMN())),($AB$5*$AD$5+דלק!$C52*דלק!$E52)/($AB$5+דלק!$C52))</f>
        <v>-5.119817152258312</v>
      </c>
      <c r="AF55" s="239" t="str">
        <f ca="1">IF($AH55,דלק!$C52,"")</f>
        <v/>
      </c>
      <c r="AG55" s="239" t="str">
        <f ca="1">IF($AI55,דלק!$C52,"")</f>
        <v/>
      </c>
      <c r="AH55" s="242" t="b">
        <f t="shared" ca="1" si="25"/>
        <v>0</v>
      </c>
      <c r="AI55" s="236" t="b">
        <f t="shared" ca="1" si="26"/>
        <v>0</v>
      </c>
      <c r="AJ55" s="26" t="b">
        <f t="shared" ca="1" si="27"/>
        <v>0</v>
      </c>
      <c r="AL55" s="16" t="b">
        <f t="shared" ca="1" si="28"/>
        <v>0</v>
      </c>
      <c r="AM55" s="246" t="b">
        <f t="shared" ca="1" si="29"/>
        <v>0</v>
      </c>
      <c r="AN55" s="239" t="str">
        <f ca="1">IF(OR(AL55:AM55),דלק!C52,"")</f>
        <v/>
      </c>
      <c r="BA55">
        <v>260</v>
      </c>
      <c r="BB55">
        <v>52</v>
      </c>
      <c r="BH55">
        <v>4600</v>
      </c>
    </row>
    <row r="56" spans="3:60" ht="15">
      <c r="C56" s="7" t="s">
        <v>5</v>
      </c>
      <c r="D56" s="39">
        <f ca="1">$D$7+SUMIF($D$12:$D$13,"&lt;&gt;",$D$12:$D$13)+SUMIF($D$17:$D$35,"&lt;&gt;",$D$17:$D$35)+SUMIF($D$40:$D$51,"&lt;&gt;",$D$40:$D$51)+SUMIF($L$29:$L$35,"&lt;&gt;",$L$29:$L$35)+SUMIF($L$7:$L$19,"&lt;&gt;",$L$7:$L$19)+SUMIF($L$23:$L$25,"&lt;&gt;",$L$23:$L$25)</f>
        <v>2703.1019999999999</v>
      </c>
      <c r="E56" s="35">
        <f ca="1">F56/D56</f>
        <v>4505.4299215123956</v>
      </c>
      <c r="F56" s="39">
        <f ca="1">F7+SUMIF(F$12:F$13,"&lt;&gt;",F$12:F$13)+SUMIF(F$17:F$35,"&lt;&gt;",F$17:F$35)+SUMIF(F$40:F$51,"&lt;&gt;",F$40:F$51)+SUMIF(N$29:N$35,"&lt;&gt;",N$29:N$35)+SUMIF(N$7:N$19,"&lt;&gt;",N$7:N$19)+SUMIF($N$23:$N$25,"&lt;&gt;",$N$23:$N$25)</f>
        <v>12178636.631699998</v>
      </c>
      <c r="G56" s="39">
        <f ca="1">G7+SUMIF(G$12:G$13,"&lt;&gt;",G$12:G$13)+SUMIF(G$17:G$35,"&lt;&gt;",G$17:G$35)+SUMIF(G$40:G$51,"&lt;&gt;",G$40:G$51)+SUMIF(Q$29:Q$35,"&lt;&gt;",Q$29:Q$35)+SUMIF(O$7:O$19,"&lt;&gt;",O$7:O$19)+SUMIF($O$23:$O$25,"&lt;&gt;",$O$23:$O$25)</f>
        <v>-24280.308199999999</v>
      </c>
      <c r="H56" s="10">
        <f ca="1">G56/D56</f>
        <v>-8.9823869761481436</v>
      </c>
      <c r="T56" s="43">
        <f ca="1">IF($T$5+דלק!$C53&gt;takoffweight+1,takoffweight,$T$5+דלק!$C53)</f>
        <v>3200</v>
      </c>
      <c r="U56" s="29">
        <f ca="1">IF($T$5+דלק!$C53&gt;takoffweight+1,INDIRECT(ADDRESS(ROW()-1,COLUMN())),($T$5*$U$5+דלק!$C53*דלק!$D53)/($T$5+דלק!$C53))</f>
        <v>4482.5879140093048</v>
      </c>
      <c r="V56" s="31">
        <f ca="1">IF($T$5+דלק!$C53&gt;takoffweight,INDIRECT(ADDRESS(ROW()-1,COLUMN())),($T$5*$V$5+דלק!$C53*דלק!$E53)/($T$5+דלק!$C53))</f>
        <v>-5.119817152258312</v>
      </c>
      <c r="X56" s="16" t="b">
        <f t="shared" ca="1" si="23"/>
        <v>0</v>
      </c>
      <c r="Y56" s="246" t="b">
        <f t="shared" ca="1" si="24"/>
        <v>0</v>
      </c>
      <c r="Z56" s="239" t="str">
        <f ca="1">IF($Y56,דלק!$C53,"")</f>
        <v/>
      </c>
      <c r="AA56">
        <v>510</v>
      </c>
      <c r="AB56" s="43">
        <f ca="1">IF($AB$5+דלק!$C53&gt;takoffweight+1,takoffweight,$AB$5+דלק!$C53)</f>
        <v>3200</v>
      </c>
      <c r="AC56" s="29">
        <f ca="1">IF($AB$5+דלק!$C53&gt;takoffweight+1,INDIRECT(ADDRESS(ROW()-1,COLUMN())),($AB$5*$AC$5+דלק!$C53*דלק!$D53)/($AB$5+דלק!$C53))</f>
        <v>4482.5879140093048</v>
      </c>
      <c r="AD56" s="31">
        <f ca="1">IF($AB$5+דלק!$C53&gt;takoffweight,INDIRECT(ADDRESS(ROW()-1,COLUMN())),($AB$5*$AD$5+דלק!$C53*דלק!$E53)/($AB$5+דלק!$C53))</f>
        <v>-5.119817152258312</v>
      </c>
      <c r="AF56" s="239" t="str">
        <f ca="1">IF($AH56,דלק!$C53,"")</f>
        <v/>
      </c>
      <c r="AG56" s="239" t="str">
        <f ca="1">IF($AI56,דלק!$C53,"")</f>
        <v/>
      </c>
      <c r="AH56" s="242" t="b">
        <f t="shared" ca="1" si="25"/>
        <v>0</v>
      </c>
      <c r="AI56" s="236" t="b">
        <f t="shared" ca="1" si="26"/>
        <v>0</v>
      </c>
      <c r="AJ56" s="26" t="b">
        <f t="shared" ca="1" si="27"/>
        <v>0</v>
      </c>
      <c r="AL56" s="16" t="b">
        <f t="shared" ca="1" si="28"/>
        <v>0</v>
      </c>
      <c r="AM56" s="246" t="b">
        <f t="shared" ca="1" si="29"/>
        <v>0</v>
      </c>
      <c r="AN56" s="239" t="str">
        <f ca="1">IF(OR(AL56:AM56),דלק!C53,"")</f>
        <v/>
      </c>
      <c r="AP56" s="248" t="b">
        <f ca="1">OR(נתונים!$AH$5:$AH$78)</f>
        <v>0</v>
      </c>
      <c r="AQ56" s="357" t="s">
        <v>253</v>
      </c>
      <c r="AR56" s="358"/>
      <c r="BA56">
        <v>265</v>
      </c>
      <c r="BB56">
        <v>53</v>
      </c>
      <c r="BH56">
        <v>4650</v>
      </c>
    </row>
    <row r="57" spans="3:60" ht="15.75" thickBot="1">
      <c r="C57" s="9" t="s">
        <v>6</v>
      </c>
      <c r="D57" s="36">
        <f ca="1">$D$8+SUMIF(D$12:D$13,"&lt;&gt;",D$12:D$13)+SUMIF(D$17:D$35,"&lt;&gt;",D$17:D$35)+SUMIF(D$40:D$51,"&lt;&gt;",D$40:D$51)+SUMIF(L$7:L$19,"&lt;&gt;",L$7:L$19)+SUMIF(L$29:L$35,"&lt;&gt;",L$29:L$35)+SUMIF($L$23:$L$25,"&lt;&gt;",$L$23:$L$25)</f>
        <v>2699.6019999999999</v>
      </c>
      <c r="E57" s="36">
        <f ca="1">F57/D57</f>
        <v>4505.1075139372397</v>
      </c>
      <c r="F57" s="40">
        <f ca="1">F8+SUMIF(F$12:F$13,"&lt;&gt;",F$12:F$13)+SUMIF(F$17:F$35,"&lt;&gt;",F$17:F$35)+SUMIF(F$40:F$51,"&lt;&gt;",F$40:F$51)+SUMIF(N$29:N$35,"&lt;&gt;",N$29:N$35)+SUMIF(N$7:N$19,"&lt;&gt;",N$7:N$19)+SUMIF($N$23:$N$25,"&lt;&gt;",$N$23:$N$25)</f>
        <v>12161997.25484</v>
      </c>
      <c r="G57" s="40">
        <f ca="1">G8+SUMIF(G$12:G$13,"&lt;&gt;",G$12:G$13)+SUMIF(G$17:G$35,"&lt;&gt;",G$17:G$35)+SUMIF(G$40:G$51,"&lt;&gt;",G$40:G$51)+SUMIF(Q$29:Q$35,"&lt;&gt;",Q$29:Q$35)+SUMIF(O$7:O$25,"&lt;&gt;",O$7:O$25)+SUMIF($O$23:$O$25,"&lt;&gt;",$O$23:$O$25)</f>
        <v>-15881.377200000001</v>
      </c>
      <c r="H57" s="11">
        <f ca="1">G57/D57</f>
        <v>-5.882858732509459</v>
      </c>
      <c r="T57" s="43">
        <f ca="1">IF($T$5+דלק!$C54&gt;takoffweight+1,takoffweight,$T$5+דלק!$C54)</f>
        <v>3200</v>
      </c>
      <c r="U57" s="29">
        <f ca="1">IF($T$5+דלק!$C54&gt;takoffweight+1,INDIRECT(ADDRESS(ROW()-1,COLUMN())),($T$5*$U$5+דלק!$C54*דלק!$D54)/($T$5+דלק!$C54))</f>
        <v>4482.5879140093048</v>
      </c>
      <c r="V57" s="31">
        <f ca="1">IF($T$5+דלק!$C54&gt;takoffweight,INDIRECT(ADDRESS(ROW()-1,COLUMN())),($T$5*$V$5+דלק!$C54*דלק!$E54)/($T$5+דלק!$C54))</f>
        <v>-5.119817152258312</v>
      </c>
      <c r="X57" s="16" t="b">
        <f t="shared" ca="1" si="23"/>
        <v>0</v>
      </c>
      <c r="Y57" s="246" t="b">
        <f t="shared" ca="1" si="24"/>
        <v>0</v>
      </c>
      <c r="Z57" s="239" t="str">
        <f ca="1">IF($Y57,דלק!$C54,"")</f>
        <v/>
      </c>
      <c r="AA57">
        <v>520</v>
      </c>
      <c r="AB57" s="43">
        <f ca="1">IF($AB$5+דלק!$C54&gt;takoffweight+1,takoffweight,$AB$5+דלק!$C54)</f>
        <v>3200</v>
      </c>
      <c r="AC57" s="29">
        <f ca="1">IF($AB$5+דלק!$C54&gt;takoffweight+1,INDIRECT(ADDRESS(ROW()-1,COLUMN())),($AB$5*$AC$5+דלק!$C54*דלק!$D54)/($AB$5+דלק!$C54))</f>
        <v>4482.5879140093048</v>
      </c>
      <c r="AD57" s="31">
        <f ca="1">IF($AB$5+דלק!$C54&gt;takoffweight,INDIRECT(ADDRESS(ROW()-1,COLUMN())),($AB$5*$AD$5+דלק!$C54*דלק!$E54)/($AB$5+דלק!$C54))</f>
        <v>-5.119817152258312</v>
      </c>
      <c r="AF57" s="239" t="str">
        <f ca="1">IF($AH57,דלק!$C54,"")</f>
        <v/>
      </c>
      <c r="AG57" s="239" t="str">
        <f ca="1">IF($AI57,דלק!$C54,"")</f>
        <v/>
      </c>
      <c r="AH57" s="242" t="b">
        <f t="shared" ca="1" si="25"/>
        <v>0</v>
      </c>
      <c r="AI57" s="236" t="b">
        <f t="shared" ca="1" si="26"/>
        <v>0</v>
      </c>
      <c r="AJ57" s="26" t="b">
        <f t="shared" ca="1" si="27"/>
        <v>0</v>
      </c>
      <c r="AL57" s="16" t="b">
        <f t="shared" ca="1" si="28"/>
        <v>0</v>
      </c>
      <c r="AM57" s="246" t="b">
        <f t="shared" ca="1" si="29"/>
        <v>0</v>
      </c>
      <c r="AN57" s="239" t="str">
        <f ca="1">IF(OR(AL57:AM57),דלק!C54,"")</f>
        <v/>
      </c>
      <c r="AP57" s="113" t="b">
        <f ca="1">OR(נתונים!$AI$5:$AI$78)</f>
        <v>0</v>
      </c>
      <c r="AQ57" s="370" t="s">
        <v>254</v>
      </c>
      <c r="AR57" s="371"/>
      <c r="BA57">
        <v>270</v>
      </c>
      <c r="BB57">
        <v>54</v>
      </c>
      <c r="BH57">
        <v>4700</v>
      </c>
    </row>
    <row r="58" spans="20:60" ht="15.75" thickBot="1">
      <c r="T58" s="43">
        <f ca="1">IF($T$5+דלק!$C55&gt;takoffweight+1,takoffweight,$T$5+דלק!$C55)</f>
        <v>3200</v>
      </c>
      <c r="U58" s="29">
        <f ca="1">IF($T$5+דלק!$C55&gt;takoffweight+1,INDIRECT(ADDRESS(ROW()-1,COLUMN())),($T$5*$U$5+דלק!$C55*דלק!$D55)/($T$5+דלק!$C55))</f>
        <v>4482.5879140093048</v>
      </c>
      <c r="V58" s="31">
        <f ca="1">IF($T$5+דלק!$C55&gt;takoffweight,INDIRECT(ADDRESS(ROW()-1,COLUMN())),($T$5*$V$5+דלק!$C55*דלק!$E55)/($T$5+דלק!$C55))</f>
        <v>-5.119817152258312</v>
      </c>
      <c r="X58" s="16" t="b">
        <f t="shared" ca="1" si="23"/>
        <v>0</v>
      </c>
      <c r="Y58" s="246" t="b">
        <f t="shared" ca="1" si="24"/>
        <v>0</v>
      </c>
      <c r="Z58" s="239" t="str">
        <f ca="1">IF($Y58,דלק!$C55,"")</f>
        <v/>
      </c>
      <c r="AA58">
        <v>530</v>
      </c>
      <c r="AB58" s="43">
        <f ca="1">IF($AB$5+דלק!$C55&gt;takoffweight+1,takoffweight,$AB$5+דלק!$C55)</f>
        <v>3200</v>
      </c>
      <c r="AC58" s="29">
        <f ca="1">IF($AB$5+דלק!$C55&gt;takoffweight+1,INDIRECT(ADDRESS(ROW()-1,COLUMN())),($AB$5*$AC$5+דלק!$C55*דלק!$D55)/($AB$5+דלק!$C55))</f>
        <v>4482.5879140093048</v>
      </c>
      <c r="AD58" s="31">
        <f ca="1">IF($AB$5+דלק!$C55&gt;takoffweight,INDIRECT(ADDRESS(ROW()-1,COLUMN())),($AB$5*$AD$5+דלק!$C55*דלק!$E55)/($AB$5+דלק!$C55))</f>
        <v>-5.119817152258312</v>
      </c>
      <c r="AF58" s="239" t="str">
        <f ca="1">IF($AH58,דלק!$C55,"")</f>
        <v/>
      </c>
      <c r="AG58" s="239" t="str">
        <f ca="1">IF($AI58,דלק!$C55,"")</f>
        <v/>
      </c>
      <c r="AH58" s="242" t="b">
        <f t="shared" ca="1" si="25"/>
        <v>0</v>
      </c>
      <c r="AI58" s="236" t="b">
        <f t="shared" ca="1" si="26"/>
        <v>0</v>
      </c>
      <c r="AJ58" s="26" t="b">
        <f t="shared" ca="1" si="27"/>
        <v>0</v>
      </c>
      <c r="AL58" s="16" t="b">
        <f t="shared" ca="1" si="28"/>
        <v>0</v>
      </c>
      <c r="AM58" s="246" t="b">
        <f t="shared" ca="1" si="29"/>
        <v>0</v>
      </c>
      <c r="AN58" s="239" t="str">
        <f ca="1">IF(OR(AL58:AM58),דלק!C55,"")</f>
        <v/>
      </c>
      <c r="AP58" s="249" t="b">
        <f ca="1">OR(נתונים!$Y$5:$Y$78)</f>
        <v>0</v>
      </c>
      <c r="AQ58" s="372" t="s">
        <v>255</v>
      </c>
      <c r="AR58" s="373"/>
      <c r="BA58">
        <v>275</v>
      </c>
      <c r="BB58">
        <v>55</v>
      </c>
      <c r="BH58">
        <v>4750</v>
      </c>
    </row>
    <row r="59" spans="3:60" ht="15.75" thickBot="1">
      <c r="C59" s="356" t="s">
        <v>134</v>
      </c>
      <c r="D59" s="357"/>
      <c r="E59" s="357"/>
      <c r="F59" s="384"/>
      <c r="G59" s="384"/>
      <c r="H59" s="358"/>
      <c r="T59" s="43">
        <f ca="1">IF($T$5+דלק!$C56&gt;takoffweight+1,takoffweight,$T$5+דלק!$C56)</f>
        <v>3200</v>
      </c>
      <c r="U59" s="29">
        <f ca="1">IF($T$5+דלק!$C56&gt;takoffweight+1,INDIRECT(ADDRESS(ROW()-1,COLUMN())),($T$5*$U$5+דלק!$C56*דלק!$D56)/($T$5+דלק!$C56))</f>
        <v>4482.5879140093048</v>
      </c>
      <c r="V59" s="31">
        <f ca="1">IF($T$5+דלק!$C56&gt;takoffweight,INDIRECT(ADDRESS(ROW()-1,COLUMN())),($T$5*$V$5+דלק!$C56*דלק!$E56)/($T$5+דלק!$C56))</f>
        <v>-5.119817152258312</v>
      </c>
      <c r="X59" s="16" t="b">
        <f t="shared" ca="1" si="23"/>
        <v>0</v>
      </c>
      <c r="Y59" s="246" t="b">
        <f t="shared" ca="1" si="24"/>
        <v>0</v>
      </c>
      <c r="Z59" s="239" t="str">
        <f ca="1">IF($Y59,דלק!$C56,"")</f>
        <v/>
      </c>
      <c r="AA59">
        <v>540</v>
      </c>
      <c r="AB59" s="43">
        <f ca="1">IF($AB$5+דלק!$C56&gt;takoffweight+1,takoffweight,$AB$5+דלק!$C56)</f>
        <v>3200</v>
      </c>
      <c r="AC59" s="29">
        <f ca="1">IF($AB$5+דלק!$C56&gt;takoffweight+1,INDIRECT(ADDRESS(ROW()-1,COLUMN())),($AB$5*$AC$5+דלק!$C56*דלק!$D56)/($AB$5+דלק!$C56))</f>
        <v>4482.5879140093048</v>
      </c>
      <c r="AD59" s="31">
        <f ca="1">IF($AB$5+דלק!$C56&gt;takoffweight,INDIRECT(ADDRESS(ROW()-1,COLUMN())),($AB$5*$AD$5+דלק!$C56*דלק!$E56)/($AB$5+דלק!$C56))</f>
        <v>-5.119817152258312</v>
      </c>
      <c r="AF59" s="239" t="str">
        <f ca="1">IF($AH59,דלק!$C56,"")</f>
        <v/>
      </c>
      <c r="AG59" s="239" t="str">
        <f ca="1">IF($AI59,דלק!$C56,"")</f>
        <v/>
      </c>
      <c r="AH59" s="242" t="b">
        <f t="shared" ca="1" si="25"/>
        <v>0</v>
      </c>
      <c r="AI59" s="236" t="b">
        <f t="shared" ca="1" si="26"/>
        <v>0</v>
      </c>
      <c r="AJ59" s="26" t="b">
        <f t="shared" ca="1" si="27"/>
        <v>0</v>
      </c>
      <c r="AL59" s="16" t="b">
        <f t="shared" ca="1" si="28"/>
        <v>0</v>
      </c>
      <c r="AM59" s="246" t="b">
        <f t="shared" ca="1" si="29"/>
        <v>0</v>
      </c>
      <c r="AN59" s="239" t="str">
        <f ca="1">IF(OR(AL59:AM59),דלק!C56,"")</f>
        <v/>
      </c>
      <c r="BA59">
        <v>280</v>
      </c>
      <c r="BB59">
        <v>56</v>
      </c>
      <c r="BH59">
        <v>4800</v>
      </c>
    </row>
    <row r="60" spans="3:60" ht="15">
      <c r="C60" s="4" t="s">
        <v>8</v>
      </c>
      <c r="D60" s="5" t="s">
        <v>0</v>
      </c>
      <c r="E60" s="5" t="s">
        <v>14</v>
      </c>
      <c r="F60" s="42" t="s">
        <v>3</v>
      </c>
      <c r="G60" s="42" t="s">
        <v>4</v>
      </c>
      <c r="H60" s="6" t="s">
        <v>15</v>
      </c>
      <c r="T60" s="43">
        <f ca="1">IF($T$5+דלק!$C57&gt;takoffweight+1,takoffweight,$T$5+דלק!$C57)</f>
        <v>3200</v>
      </c>
      <c r="U60" s="29">
        <f ca="1">IF($T$5+דלק!$C57&gt;takoffweight+1,INDIRECT(ADDRESS(ROW()-1,COLUMN())),($T$5*$U$5+דלק!$C57*דלק!$D57)/($T$5+דלק!$C57))</f>
        <v>4482.5879140093048</v>
      </c>
      <c r="V60" s="31">
        <f ca="1">IF($T$5+דלק!$C57&gt;takoffweight,INDIRECT(ADDRESS(ROW()-1,COLUMN())),($T$5*$V$5+דלק!$C57*דלק!$E57)/($T$5+דלק!$C57))</f>
        <v>-5.119817152258312</v>
      </c>
      <c r="X60" s="16" t="b">
        <f t="shared" ca="1" si="23"/>
        <v>0</v>
      </c>
      <c r="Y60" s="246" t="b">
        <f t="shared" ca="1" si="24"/>
        <v>0</v>
      </c>
      <c r="Z60" s="239" t="str">
        <f ca="1">IF($Y60,דלק!$C57,"")</f>
        <v/>
      </c>
      <c r="AA60">
        <v>550</v>
      </c>
      <c r="AB60" s="43">
        <f ca="1">IF($AB$5+דלק!$C57&gt;takoffweight+1,takoffweight,$AB$5+דלק!$C57)</f>
        <v>3200</v>
      </c>
      <c r="AC60" s="29">
        <f ca="1">IF($AB$5+דלק!$C57&gt;takoffweight+1,INDIRECT(ADDRESS(ROW()-1,COLUMN())),($AB$5*$AC$5+דלק!$C57*דלק!$D57)/($AB$5+דלק!$C57))</f>
        <v>4482.5879140093048</v>
      </c>
      <c r="AD60" s="31">
        <f ca="1">IF($AB$5+דלק!$C57&gt;takoffweight,INDIRECT(ADDRESS(ROW()-1,COLUMN())),($AB$5*$AD$5+דלק!$C57*דלק!$E57)/($AB$5+דלק!$C57))</f>
        <v>-5.119817152258312</v>
      </c>
      <c r="AF60" s="239" t="str">
        <f ca="1">IF($AH60,דלק!$C57,"")</f>
        <v/>
      </c>
      <c r="AG60" s="239" t="str">
        <f ca="1">IF($AI60,דלק!$C57,"")</f>
        <v/>
      </c>
      <c r="AH60" s="242" t="b">
        <f t="shared" ca="1" si="25"/>
        <v>0</v>
      </c>
      <c r="AI60" s="236" t="b">
        <f t="shared" ca="1" si="26"/>
        <v>0</v>
      </c>
      <c r="AJ60" s="26" t="b">
        <f t="shared" ca="1" si="27"/>
        <v>0</v>
      </c>
      <c r="AL60" s="16" t="b">
        <f t="shared" ca="1" si="28"/>
        <v>0</v>
      </c>
      <c r="AM60" s="246" t="b">
        <f t="shared" ca="1" si="29"/>
        <v>0</v>
      </c>
      <c r="AN60" s="239" t="str">
        <f ca="1">IF(OR(AL60:AM60),דלק!C57,"")</f>
        <v/>
      </c>
      <c r="AP60" s="359" t="s">
        <v>256</v>
      </c>
      <c r="AQ60" s="360"/>
      <c r="AR60" s="361"/>
      <c r="BA60">
        <v>285</v>
      </c>
      <c r="BB60">
        <v>57</v>
      </c>
      <c r="BH60">
        <v>4850</v>
      </c>
    </row>
    <row r="61" spans="3:60" ht="15">
      <c r="C61" s="7" t="s">
        <v>5</v>
      </c>
      <c r="D61" s="39">
        <f ca="1">$D$7+SUMIF(D$12:D$13,"&lt;&gt;",D$12:D$13)+SUMIF(D$17:D$35,"&lt;&gt;",D$17:D$35)+SUMIF(D$40:D$51,"&lt;&gt;",D$40:D$51)+SUMIF(L$29:L$35,"&lt;&gt;",L$29:L$35)+SUMIF(L$7:L$19,"&lt;&gt;",L$7:L$19)+SUMIF($L$23:$L$25,"&lt;&gt;",$L$23:$L$25)</f>
        <v>2703.1019999999999</v>
      </c>
      <c r="E61" s="35">
        <f ca="1">$F$61/$D$61</f>
        <v>4505.4299215123956</v>
      </c>
      <c r="F61" s="39">
        <f ca="1">$F$7+SUMIF(F$12:F$13,"&lt;&gt;",F$12:F$13)+SUMIF(F$17:F$35,"&lt;&gt;",F$17:F$35)+SUMIF(F$40:F$51,"&lt;&gt;",F$40:F$51)+SUMIF(P$29:P$35,"&lt;&gt;",P$29:P$35)+SUMIF(N$7:N$19,"&lt;&gt;",N$7:N$19)+SUMIF($N$23:$N$25,"&lt;&gt;",$N$23:$N$25)</f>
        <v>12178636.631699998</v>
      </c>
      <c r="G61" s="39">
        <f ca="1">$G7+SUMIF(G$12:G$13,"&lt;&gt;",G$12:G$13)+SUMIF(G$17:G$35,"&lt;&gt;",G$17:G$35)+SUMIF(G$40:G$51,"&lt;&gt;",G$40:G$51)+SUMIF(Q$29:Q$35,"&lt;&gt;",Q$29:Q$35)+SUMIF(O$7:O$19,"&lt;&gt;",O$7:O$19)+SUMIF($O$23:$O$25,"&lt;&gt;",$O$23:$O$25)</f>
        <v>-24280.308199999999</v>
      </c>
      <c r="H61" s="10">
        <f ca="1">$G$61/$D$61</f>
        <v>-8.9823869761481436</v>
      </c>
      <c r="T61" s="43">
        <f ca="1">IF($T$5+דלק!$C58&gt;takoffweight+1,takoffweight,$T$5+דלק!$C58)</f>
        <v>3200</v>
      </c>
      <c r="U61" s="29">
        <f ca="1">IF($T$5+דלק!$C58&gt;takoffweight+1,INDIRECT(ADDRESS(ROW()-1,COLUMN())),($T$5*$U$5+דלק!$C58*דלק!$D58)/($T$5+דלק!$C58))</f>
        <v>4482.5879140093048</v>
      </c>
      <c r="V61" s="31">
        <f ca="1">IF($T$5+דלק!$C58&gt;takoffweight,INDIRECT(ADDRESS(ROW()-1,COLUMN())),($T$5*$V$5+דלק!$C58*דלק!$E58)/($T$5+דלק!$C58))</f>
        <v>-5.119817152258312</v>
      </c>
      <c r="X61" s="16" t="b">
        <f t="shared" ca="1" si="23"/>
        <v>0</v>
      </c>
      <c r="Y61" s="246" t="b">
        <f t="shared" ca="1" si="24"/>
        <v>0</v>
      </c>
      <c r="Z61" s="239" t="str">
        <f ca="1">IF($Y61,דלק!$C58,"")</f>
        <v/>
      </c>
      <c r="AA61">
        <v>560</v>
      </c>
      <c r="AB61" s="43">
        <f ca="1">IF($AB$5+דלק!$C58&gt;takoffweight+1,takoffweight,$AB$5+דלק!$C58)</f>
        <v>3200</v>
      </c>
      <c r="AC61" s="29">
        <f ca="1">IF($AB$5+דלק!$C58&gt;takoffweight+1,INDIRECT(ADDRESS(ROW()-1,COLUMN())),($AB$5*$AC$5+דלק!$C58*דלק!$D58)/($AB$5+דלק!$C58))</f>
        <v>4482.5879140093048</v>
      </c>
      <c r="AD61" s="31">
        <f ca="1">IF($AB$5+דלק!$C58&gt;takoffweight,INDIRECT(ADDRESS(ROW()-1,COLUMN())),($AB$5*$AD$5+דלק!$C58*דלק!$E58)/($AB$5+דלק!$C58))</f>
        <v>-5.119817152258312</v>
      </c>
      <c r="AF61" s="239" t="str">
        <f ca="1">IF($AH61,דלק!$C58,"")</f>
        <v/>
      </c>
      <c r="AG61" s="239" t="str">
        <f ca="1">IF($AI61,דלק!$C58,"")</f>
        <v/>
      </c>
      <c r="AH61" s="242" t="b">
        <f t="shared" ca="1" si="25"/>
        <v>0</v>
      </c>
      <c r="AI61" s="236" t="b">
        <f t="shared" ca="1" si="26"/>
        <v>0</v>
      </c>
      <c r="AJ61" s="26" t="b">
        <f t="shared" ca="1" si="27"/>
        <v>0</v>
      </c>
      <c r="AL61" s="16" t="b">
        <f t="shared" ca="1" si="28"/>
        <v>0</v>
      </c>
      <c r="AM61" s="246" t="b">
        <f t="shared" ca="1" si="29"/>
        <v>0</v>
      </c>
      <c r="AN61" s="239" t="str">
        <f ca="1">IF(OR(AL61:AM61),דלק!C58,"")</f>
        <v/>
      </c>
      <c r="AP61" s="374">
        <f ca="1">MIN(IF(FWDtst,$AF$5:$AF$78,IF(EXTtst,$AG$5:$AG$78,$Z$5:$Z$78)))</f>
        <v>0</v>
      </c>
      <c r="AQ61" s="375"/>
      <c r="AR61" s="250" t="s">
        <v>257</v>
      </c>
      <c r="BA61">
        <v>290</v>
      </c>
      <c r="BB61">
        <v>58</v>
      </c>
      <c r="BH61">
        <v>4900</v>
      </c>
    </row>
    <row r="62" spans="3:60" ht="15.75" thickBot="1">
      <c r="C62" s="9" t="s">
        <v>6</v>
      </c>
      <c r="D62" s="36">
        <f ca="1">$D$8+SUMIF(D$12:D$13,"&lt;&gt;",D$12:D$13)+SUMIF(D$17:D$35,"&lt;&gt;",D$17:D$35)+SUMIF(D$40:D$51,"&lt;&gt;",D$40:D$51)+SUMIF(L$7:L$19,"&lt;&gt;",L$7:L$19)+SUMIF(L$29:L$35,"&lt;&gt;",L$29:L$35)+SUMIF($L$23:$L$25,"&lt;&gt;",$L$23:$L$25)</f>
        <v>2699.6019999999999</v>
      </c>
      <c r="E62" s="36">
        <f ca="1">$F$62/$D$62</f>
        <v>4505.1075139372397</v>
      </c>
      <c r="F62" s="40">
        <f ca="1">$F$8+SUMIF(F$12:F$13,"&lt;&gt;",F$12:F$13)+SUMIF(F$17:F$35,"&lt;&gt;",F$17:F$35)+SUMIF(F$40:F$51,"&lt;&gt;",F$40:F$51)+SUMIF(P$29:P$35,"&lt;&gt;",P$29:P$35)+SUMIF(N$7:N$19,"&lt;&gt;",N$7:N$19)+SUMIF($N$23:$N$25,"&lt;&gt;",$N$23:$N$25)</f>
        <v>12161997.25484</v>
      </c>
      <c r="G62" s="40">
        <f ca="1">$G8+SUMIF(G$12:G$13,"&lt;&gt;",G$12:G$13)+SUMIF(G$17:G$35,"&lt;&gt;",G$17:G$35)+SUMIF(G$40:G$51,"&lt;&gt;",G$40:G$51)+SUMIF(Q$29:Q$35,"&lt;&gt;",Q$29:Q$35)+SUMIF(O$7:O$19,"&lt;&gt;",O$7:O$19)+SUMIF($O$23:$O$25,"&lt;&gt;",$O$23:$O$25)</f>
        <v>-15881.377200000001</v>
      </c>
      <c r="H62" s="11">
        <f ca="1">$G$62/$D$62</f>
        <v>-5.882858732509459</v>
      </c>
      <c r="T62" s="43">
        <f ca="1">IF($T$5+דלק!$C59&gt;takoffweight+1,takoffweight,$T$5+דלק!$C59)</f>
        <v>3200</v>
      </c>
      <c r="U62" s="29">
        <f ca="1">IF($T$5+דלק!$C59&gt;takoffweight+1,INDIRECT(ADDRESS(ROW()-1,COLUMN())),($T$5*$U$5+דלק!$C59*דלק!$D59)/($T$5+דלק!$C59))</f>
        <v>4482.5879140093048</v>
      </c>
      <c r="V62" s="31">
        <f ca="1">IF($T$5+דלק!$C59&gt;takoffweight,INDIRECT(ADDRESS(ROW()-1,COLUMN())),($T$5*$V$5+דלק!$C59*דלק!$E59)/($T$5+דלק!$C59))</f>
        <v>-5.119817152258312</v>
      </c>
      <c r="X62" s="16" t="b">
        <f t="shared" ca="1" si="23"/>
        <v>0</v>
      </c>
      <c r="Y62" s="246" t="b">
        <f t="shared" ca="1" si="24"/>
        <v>0</v>
      </c>
      <c r="Z62" s="239" t="str">
        <f ca="1">IF($Y62,דלק!$C59,"")</f>
        <v/>
      </c>
      <c r="AA62">
        <v>570</v>
      </c>
      <c r="AB62" s="43">
        <f ca="1">IF($AB$5+דלק!$C59&gt;takoffweight+1,takoffweight,$AB$5+דלק!$C59)</f>
        <v>3200</v>
      </c>
      <c r="AC62" s="29">
        <f ca="1">IF($AB$5+דלק!$C59&gt;takoffweight+1,INDIRECT(ADDRESS(ROW()-1,COLUMN())),($AB$5*$AC$5+דלק!$C59*דלק!$D59)/($AB$5+דלק!$C59))</f>
        <v>4482.5879140093048</v>
      </c>
      <c r="AD62" s="31">
        <f ca="1">IF($AB$5+דלק!$C59&gt;takoffweight,INDIRECT(ADDRESS(ROW()-1,COLUMN())),($AB$5*$AD$5+דלק!$C59*דלק!$E59)/($AB$5+דלק!$C59))</f>
        <v>-5.119817152258312</v>
      </c>
      <c r="AF62" s="239" t="str">
        <f ca="1">IF($AH62,דלק!$C59,"")</f>
        <v/>
      </c>
      <c r="AG62" s="239" t="str">
        <f ca="1">IF($AI62,דלק!$C59,"")</f>
        <v/>
      </c>
      <c r="AH62" s="242" t="b">
        <f t="shared" ca="1" si="25"/>
        <v>0</v>
      </c>
      <c r="AI62" s="236" t="b">
        <f t="shared" ca="1" si="26"/>
        <v>0</v>
      </c>
      <c r="AJ62" s="26" t="b">
        <f t="shared" ca="1" si="27"/>
        <v>0</v>
      </c>
      <c r="AL62" s="16" t="b">
        <f t="shared" ca="1" si="28"/>
        <v>0</v>
      </c>
      <c r="AM62" s="246" t="b">
        <f t="shared" ca="1" si="29"/>
        <v>0</v>
      </c>
      <c r="AN62" s="239" t="str">
        <f ca="1">IF(OR(AL62:AM62),דלק!C59,"")</f>
        <v/>
      </c>
      <c r="AP62" s="376">
        <f ca="1">MAX(IF(FWDtst,$AF$5:$AF$78,IF(EXTtst,$AG$5:$AG$78,$Z$5:$Z$78)))</f>
        <v>0</v>
      </c>
      <c r="AQ62" s="377"/>
      <c r="AR62" s="251" t="s">
        <v>258</v>
      </c>
      <c r="BA62">
        <v>295</v>
      </c>
      <c r="BB62">
        <v>59</v>
      </c>
      <c r="BH62">
        <v>4950</v>
      </c>
    </row>
    <row r="63" spans="20:60" ht="15" thickBot="1">
      <c r="T63" s="43">
        <f ca="1">IF($T$5+דלק!$C60&gt;takoffweight+1,takoffweight,$T$5+דלק!$C60)</f>
        <v>3200</v>
      </c>
      <c r="U63" s="29">
        <f ca="1">IF($T$5+דלק!$C60&gt;takoffweight+1,INDIRECT(ADDRESS(ROW()-1,COLUMN())),($T$5*$U$5+דלק!$C60*דלק!$D60)/($T$5+דלק!$C60))</f>
        <v>4482.5879140093048</v>
      </c>
      <c r="V63" s="31">
        <f ca="1">IF($T$5+דלק!$C60&gt;takoffweight,INDIRECT(ADDRESS(ROW()-1,COLUMN())),($T$5*$V$5+דלק!$C60*דלק!$E60)/($T$5+דלק!$C60))</f>
        <v>-5.119817152258312</v>
      </c>
      <c r="X63" s="16" t="b">
        <f t="shared" ca="1" si="23"/>
        <v>0</v>
      </c>
      <c r="Y63" s="246" t="b">
        <f t="shared" ca="1" si="24"/>
        <v>0</v>
      </c>
      <c r="Z63" s="239" t="str">
        <f ca="1">IF($Y63,דלק!$C60,"")</f>
        <v/>
      </c>
      <c r="AA63">
        <v>580</v>
      </c>
      <c r="AB63" s="43">
        <f ca="1">IF($AB$5+דלק!$C60&gt;takoffweight+1,takoffweight,$AB$5+דלק!$C60)</f>
        <v>3200</v>
      </c>
      <c r="AC63" s="29">
        <f ca="1">IF($AB$5+דלק!$C60&gt;takoffweight+1,INDIRECT(ADDRESS(ROW()-1,COLUMN())),($AB$5*$AC$5+דלק!$C60*דלק!$D60)/($AB$5+דלק!$C60))</f>
        <v>4482.5879140093048</v>
      </c>
      <c r="AD63" s="31">
        <f ca="1">IF($AB$5+דלק!$C60&gt;takoffweight,INDIRECT(ADDRESS(ROW()-1,COLUMN())),($AB$5*$AD$5+דלק!$C60*דלק!$E60)/($AB$5+דלק!$C60))</f>
        <v>-5.119817152258312</v>
      </c>
      <c r="AF63" s="239" t="str">
        <f ca="1">IF($AH63,דלק!$C60,"")</f>
        <v/>
      </c>
      <c r="AG63" s="239" t="str">
        <f ca="1">IF($AI63,דלק!$C60,"")</f>
        <v/>
      </c>
      <c r="AH63" s="242" t="b">
        <f t="shared" ca="1" si="25"/>
        <v>0</v>
      </c>
      <c r="AI63" s="236" t="b">
        <f t="shared" ca="1" si="26"/>
        <v>0</v>
      </c>
      <c r="AJ63" s="26" t="b">
        <f t="shared" ca="1" si="27"/>
        <v>0</v>
      </c>
      <c r="AL63" s="16" t="b">
        <f t="shared" ca="1" si="28"/>
        <v>0</v>
      </c>
      <c r="AM63" s="246" t="b">
        <f t="shared" ca="1" si="29"/>
        <v>0</v>
      </c>
      <c r="AN63" s="239" t="str">
        <f ca="1">IF(OR(AL63:AM63),דלק!C60,"")</f>
        <v/>
      </c>
      <c r="BA63">
        <v>300</v>
      </c>
      <c r="BB63">
        <v>60</v>
      </c>
      <c r="BH63">
        <v>5000</v>
      </c>
    </row>
    <row r="64" spans="20:60" ht="15">
      <c r="T64" s="43">
        <f ca="1">IF($T$5+דלק!$C61&gt;takoffweight+1,takoffweight,$T$5+דלק!$C61)</f>
        <v>3200</v>
      </c>
      <c r="U64" s="29">
        <f ca="1">IF($T$5+דלק!$C61&gt;takoffweight+1,INDIRECT(ADDRESS(ROW()-1,COLUMN())),($T$5*$U$5+דלק!$C61*דלק!$D61)/($T$5+דלק!$C61))</f>
        <v>4482.5879140093048</v>
      </c>
      <c r="V64" s="31">
        <f ca="1">IF($T$5+דלק!$C61&gt;takoffweight,INDIRECT(ADDRESS(ROW()-1,COLUMN())),($T$5*$V$5+דלק!$C61*דלק!$E61)/($T$5+דלק!$C61))</f>
        <v>-5.119817152258312</v>
      </c>
      <c r="X64" s="16" t="b">
        <f t="shared" ca="1" si="23"/>
        <v>0</v>
      </c>
      <c r="Y64" s="246" t="b">
        <f t="shared" ca="1" si="24"/>
        <v>0</v>
      </c>
      <c r="Z64" s="239" t="str">
        <f ca="1">IF($Y64,דלק!$C61,"")</f>
        <v/>
      </c>
      <c r="AA64">
        <v>590</v>
      </c>
      <c r="AB64" s="43">
        <f ca="1">IF($AB$5+דלק!$C61&gt;takoffweight+1,takoffweight,$AB$5+דלק!$C61)</f>
        <v>3200</v>
      </c>
      <c r="AC64" s="29">
        <f ca="1">IF($AB$5+דלק!$C61&gt;takoffweight+1,INDIRECT(ADDRESS(ROW()-1,COLUMN())),($AB$5*$AC$5+דלק!$C61*דלק!$D61)/($AB$5+דלק!$C61))</f>
        <v>4482.5879140093048</v>
      </c>
      <c r="AD64" s="31">
        <f ca="1">IF($AB$5+דלק!$C61&gt;takoffweight,INDIRECT(ADDRESS(ROW()-1,COLUMN())),($AB$5*$AD$5+דלק!$C61*דלק!$E61)/($AB$5+דלק!$C61))</f>
        <v>-5.119817152258312</v>
      </c>
      <c r="AF64" s="239" t="str">
        <f ca="1">IF($AH64,דלק!$C61,"")</f>
        <v/>
      </c>
      <c r="AG64" s="239" t="str">
        <f ca="1">IF($AI64,דלק!$C61,"")</f>
        <v/>
      </c>
      <c r="AH64" s="242" t="b">
        <f t="shared" ca="1" si="25"/>
        <v>0</v>
      </c>
      <c r="AI64" s="236" t="b">
        <f t="shared" ca="1" si="26"/>
        <v>0</v>
      </c>
      <c r="AJ64" s="26" t="b">
        <f t="shared" ca="1" si="27"/>
        <v>0</v>
      </c>
      <c r="AL64" s="16" t="b">
        <f t="shared" ca="1" si="28"/>
        <v>0</v>
      </c>
      <c r="AM64" s="246" t="b">
        <f t="shared" ca="1" si="29"/>
        <v>0</v>
      </c>
      <c r="AN64" s="239" t="str">
        <f ca="1">IF(OR(AL64:AM64),דלק!C61,"")</f>
        <v/>
      </c>
      <c r="AP64" s="248" t="b">
        <f ca="1">OR(AL6:AL78)</f>
        <v>0</v>
      </c>
      <c r="AQ64" s="357" t="s">
        <v>261</v>
      </c>
      <c r="AR64" s="358"/>
      <c r="BA64">
        <v>305</v>
      </c>
      <c r="BB64">
        <v>61</v>
      </c>
      <c r="BH64">
        <v>5050</v>
      </c>
    </row>
    <row r="65" spans="20:60" ht="15.75" thickBot="1">
      <c r="T65" s="43">
        <f ca="1">IF($T$5+דלק!$C62&gt;takoffweight+1,takoffweight,$T$5+דלק!$C62)</f>
        <v>3200</v>
      </c>
      <c r="U65" s="29">
        <f ca="1">IF($T$5+דלק!$C62&gt;takoffweight+1,INDIRECT(ADDRESS(ROW()-1,COLUMN())),($T$5*$U$5+דלק!$C62*דלק!$D62)/($T$5+דלק!$C62))</f>
        <v>4482.5879140093048</v>
      </c>
      <c r="V65" s="31">
        <f ca="1">IF($T$5+דלק!$C62&gt;takoffweight,INDIRECT(ADDRESS(ROW()-1,COLUMN())),($T$5*$V$5+דלק!$C62*דלק!$E62)/($T$5+דלק!$C62))</f>
        <v>-5.119817152258312</v>
      </c>
      <c r="X65" s="16" t="b">
        <f t="shared" ca="1" si="23"/>
        <v>0</v>
      </c>
      <c r="Y65" s="246" t="b">
        <f t="shared" ca="1" si="24"/>
        <v>0</v>
      </c>
      <c r="Z65" s="239" t="str">
        <f ca="1">IF($Y65,דלק!$C62,"")</f>
        <v/>
      </c>
      <c r="AA65">
        <v>600</v>
      </c>
      <c r="AB65" s="43">
        <f ca="1">IF($AB$5+דלק!$C62&gt;takoffweight+1,takoffweight,$AB$5+דלק!$C62)</f>
        <v>3200</v>
      </c>
      <c r="AC65" s="29">
        <f ca="1">IF($AB$5+דלק!$C62&gt;takoffweight+1,INDIRECT(ADDRESS(ROW()-1,COLUMN())),($AB$5*$AC$5+דלק!$C62*דלק!$D62)/($AB$5+דלק!$C62))</f>
        <v>4482.5879140093048</v>
      </c>
      <c r="AD65" s="31">
        <f ca="1">IF($AB$5+דלק!$C62&gt;takoffweight,INDIRECT(ADDRESS(ROW()-1,COLUMN())),($AB$5*$AD$5+דלק!$C62*דלק!$E62)/($AB$5+דלק!$C62))</f>
        <v>-5.119817152258312</v>
      </c>
      <c r="AF65" s="239" t="str">
        <f ca="1">IF($AH65,דלק!$C62,"")</f>
        <v/>
      </c>
      <c r="AG65" s="239" t="str">
        <f ca="1">IF($AI65,דלק!$C62,"")</f>
        <v/>
      </c>
      <c r="AH65" s="242" t="b">
        <f t="shared" ca="1" si="25"/>
        <v>0</v>
      </c>
      <c r="AI65" s="236" t="b">
        <f t="shared" ca="1" si="26"/>
        <v>0</v>
      </c>
      <c r="AJ65" s="26" t="b">
        <f t="shared" ca="1" si="27"/>
        <v>0</v>
      </c>
      <c r="AL65" s="16" t="b">
        <f t="shared" ca="1" si="28"/>
        <v>0</v>
      </c>
      <c r="AM65" s="246" t="b">
        <f t="shared" ca="1" si="29"/>
        <v>0</v>
      </c>
      <c r="AN65" s="239" t="str">
        <f ca="1">IF(OR(AL65:AM65),דלק!C62,"")</f>
        <v/>
      </c>
      <c r="AP65" s="249" t="b">
        <f ca="1">OR(AM6:AM78)</f>
        <v>0</v>
      </c>
      <c r="AQ65" s="372" t="s">
        <v>262</v>
      </c>
      <c r="AR65" s="373"/>
      <c r="BA65">
        <v>310</v>
      </c>
      <c r="BB65">
        <v>62</v>
      </c>
      <c r="BH65">
        <v>5100</v>
      </c>
    </row>
    <row r="66" spans="20:60" ht="15" thickBot="1">
      <c r="T66" s="43">
        <f ca="1">IF($T$5+דלק!$C63&gt;takoffweight+1,takoffweight,$T$5+דלק!$C63)</f>
        <v>3200</v>
      </c>
      <c r="U66" s="29">
        <f ca="1">IF($T$5+דלק!$C63&gt;takoffweight+1,INDIRECT(ADDRESS(ROW()-1,COLUMN())),($T$5*$U$5+דלק!$C63*דלק!$D63)/($T$5+דלק!$C63))</f>
        <v>4482.5879140093048</v>
      </c>
      <c r="V66" s="31">
        <f ca="1">IF($T$5+דלק!$C63&gt;takoffweight,INDIRECT(ADDRESS(ROW()-1,COLUMN())),($T$5*$V$5+דלק!$C63*דלק!$E63)/($T$5+דלק!$C63))</f>
        <v>-5.119817152258312</v>
      </c>
      <c r="X66" s="16" t="b">
        <f t="shared" ca="1" si="23"/>
        <v>0</v>
      </c>
      <c r="Y66" s="246" t="b">
        <f t="shared" ca="1" si="24"/>
        <v>0</v>
      </c>
      <c r="Z66" s="239" t="str">
        <f ca="1">IF($Y66,דלק!$C63,"")</f>
        <v/>
      </c>
      <c r="AA66">
        <v>610</v>
      </c>
      <c r="AB66" s="43">
        <f ca="1">IF($AB$5+דלק!$C63&gt;takoffweight+1,takoffweight,$AB$5+דלק!$C63)</f>
        <v>3200</v>
      </c>
      <c r="AC66" s="29">
        <f ca="1">IF($AB$5+דלק!$C63&gt;takoffweight+1,INDIRECT(ADDRESS(ROW()-1,COLUMN())),($AB$5*$AC$5+דלק!$C63*דלק!$D63)/($AB$5+דלק!$C63))</f>
        <v>4482.5879140093048</v>
      </c>
      <c r="AD66" s="31">
        <f ca="1">IF($AB$5+דלק!$C63&gt;takoffweight,INDIRECT(ADDRESS(ROW()-1,COLUMN())),($AB$5*$AD$5+דלק!$C63*דלק!$E63)/($AB$5+דלק!$C63))</f>
        <v>-5.119817152258312</v>
      </c>
      <c r="AF66" s="239" t="str">
        <f ca="1">IF($AH66,דלק!$C63,"")</f>
        <v/>
      </c>
      <c r="AG66" s="239" t="str">
        <f ca="1">IF($AI66,דלק!$C63,"")</f>
        <v/>
      </c>
      <c r="AH66" s="242" t="b">
        <f t="shared" ca="1" si="25"/>
        <v>0</v>
      </c>
      <c r="AI66" s="236" t="b">
        <f t="shared" ca="1" si="26"/>
        <v>0</v>
      </c>
      <c r="AJ66" s="26" t="b">
        <f t="shared" ca="1" si="27"/>
        <v>0</v>
      </c>
      <c r="AL66" s="16" t="b">
        <f t="shared" ca="1" si="28"/>
        <v>0</v>
      </c>
      <c r="AM66" s="246" t="b">
        <f t="shared" ca="1" si="29"/>
        <v>0</v>
      </c>
      <c r="AN66" s="239" t="str">
        <f ca="1">IF(OR(AL66:AM66),דלק!C63,"")</f>
        <v/>
      </c>
      <c r="BA66">
        <v>315</v>
      </c>
      <c r="BB66">
        <v>63</v>
      </c>
      <c r="BH66">
        <v>5150</v>
      </c>
    </row>
    <row r="67" spans="20:60" ht="15">
      <c r="T67" s="43">
        <f ca="1">IF($T$5+דלק!$C64&gt;takoffweight+1,takoffweight,$T$5+דלק!$C64)</f>
        <v>3200</v>
      </c>
      <c r="U67" s="29">
        <f ca="1">IF($T$5+דלק!$C64&gt;takoffweight+1,INDIRECT(ADDRESS(ROW()-1,COLUMN())),($T$5*$U$5+דלק!$C64*דלק!$D64)/($T$5+דלק!$C64))</f>
        <v>4482.5879140093048</v>
      </c>
      <c r="V67" s="31">
        <f ca="1">IF($T$5+דלק!$C64&gt;takoffweight,INDIRECT(ADDRESS(ROW()-1,COLUMN())),($T$5*$V$5+דלק!$C64*דלק!$E64)/($T$5+דלק!$C64))</f>
        <v>-5.119817152258312</v>
      </c>
      <c r="X67" s="16" t="b">
        <f t="shared" ca="1" si="23"/>
        <v>0</v>
      </c>
      <c r="Y67" s="246" t="b">
        <f t="shared" ca="1" si="24"/>
        <v>0</v>
      </c>
      <c r="Z67" s="239" t="str">
        <f ca="1">IF($Y67,דלק!$C64,"")</f>
        <v/>
      </c>
      <c r="AA67">
        <v>620</v>
      </c>
      <c r="AB67" s="43">
        <f ca="1">IF($AB$5+דלק!$C64&gt;takoffweight+1,takoffweight,$AB$5+דלק!$C64)</f>
        <v>3200</v>
      </c>
      <c r="AC67" s="29">
        <f ca="1">IF($AB$5+דלק!$C64&gt;takoffweight+1,INDIRECT(ADDRESS(ROW()-1,COLUMN())),($AB$5*$AC$5+דלק!$C64*דלק!$D64)/($AB$5+דלק!$C64))</f>
        <v>4482.5879140093048</v>
      </c>
      <c r="AD67" s="31">
        <f ca="1">IF($AB$5+דלק!$C64&gt;takoffweight,INDIRECT(ADDRESS(ROW()-1,COLUMN())),($AB$5*$AD$5+דלק!$C64*דלק!$E64)/($AB$5+דלק!$C64))</f>
        <v>-5.119817152258312</v>
      </c>
      <c r="AF67" s="239" t="str">
        <f ca="1">IF($AH67,דלק!$C64,"")</f>
        <v/>
      </c>
      <c r="AG67" s="239" t="str">
        <f ca="1">IF($AI67,דלק!$C64,"")</f>
        <v/>
      </c>
      <c r="AH67" s="242" t="b">
        <f t="shared" ca="1" si="25"/>
        <v>0</v>
      </c>
      <c r="AI67" s="236" t="b">
        <f t="shared" ca="1" si="26"/>
        <v>0</v>
      </c>
      <c r="AJ67" s="26" t="b">
        <f t="shared" ca="1" si="27"/>
        <v>0</v>
      </c>
      <c r="AL67" s="16" t="b">
        <f t="shared" ca="1" si="28"/>
        <v>0</v>
      </c>
      <c r="AM67" s="246" t="b">
        <f t="shared" ca="1" si="29"/>
        <v>0</v>
      </c>
      <c r="AN67" s="239" t="str">
        <f ca="1">IF(OR(AL67:AM67),דלק!C64,"")</f>
        <v/>
      </c>
      <c r="AP67" s="359" t="s">
        <v>256</v>
      </c>
      <c r="AQ67" s="360"/>
      <c r="AR67" s="361"/>
      <c r="BA67">
        <v>320</v>
      </c>
      <c r="BB67">
        <v>64</v>
      </c>
      <c r="BH67">
        <v>5200</v>
      </c>
    </row>
    <row r="68" spans="20:60" ht="15">
      <c r="T68" s="43">
        <f ca="1">IF($T$5+דלק!$C65&gt;takoffweight+1,takoffweight,$T$5+דלק!$C65)</f>
        <v>3200</v>
      </c>
      <c r="U68" s="29">
        <f ca="1">IF($T$5+דלק!$C65&gt;takoffweight+1,INDIRECT(ADDRESS(ROW()-1,COLUMN())),($T$5*$U$5+דלק!$C65*דלק!$D65)/($T$5+דלק!$C65))</f>
        <v>4482.5879140093048</v>
      </c>
      <c r="V68" s="31">
        <f ca="1">IF($T$5+דלק!$C65&gt;takoffweight,INDIRECT(ADDRESS(ROW()-1,COLUMN())),($T$5*$V$5+דלק!$C65*דלק!$E65)/($T$5+דלק!$C65))</f>
        <v>-5.119817152258312</v>
      </c>
      <c r="X68" s="16" t="b">
        <f t="shared" ca="1" si="23"/>
        <v>0</v>
      </c>
      <c r="Y68" s="246" t="b">
        <f t="shared" ca="1" si="24"/>
        <v>0</v>
      </c>
      <c r="Z68" s="239" t="str">
        <f ca="1">IF($Y68,דלק!$C65,"")</f>
        <v/>
      </c>
      <c r="AA68">
        <v>630</v>
      </c>
      <c r="AB68" s="43">
        <f ca="1">IF($AB$5+דלק!$C65&gt;takoffweight+1,takoffweight,$AB$5+דלק!$C65)</f>
        <v>3200</v>
      </c>
      <c r="AC68" s="29">
        <f ca="1">IF($AB$5+דלק!$C65&gt;takoffweight+1,INDIRECT(ADDRESS(ROW()-1,COLUMN())),($AB$5*$AC$5+דלק!$C65*דלק!$D65)/($AB$5+דלק!$C65))</f>
        <v>4482.5879140093048</v>
      </c>
      <c r="AD68" s="31">
        <f ca="1">IF($AB$5+דלק!$C65&gt;takoffweight,INDIRECT(ADDRESS(ROW()-1,COLUMN())),($AB$5*$AD$5+דלק!$C65*דלק!$E65)/($AB$5+דלק!$C65))</f>
        <v>-5.119817152258312</v>
      </c>
      <c r="AF68" s="239" t="str">
        <f ca="1">IF($AH68,דלק!$C65,"")</f>
        <v/>
      </c>
      <c r="AG68" s="239" t="str">
        <f ca="1">IF($AI68,דלק!$C65,"")</f>
        <v/>
      </c>
      <c r="AH68" s="242" t="b">
        <f t="shared" ca="1" si="25"/>
        <v>0</v>
      </c>
      <c r="AI68" s="236" t="b">
        <f t="shared" ca="1" si="26"/>
        <v>0</v>
      </c>
      <c r="AJ68" s="26" t="b">
        <f t="shared" ca="1" si="27"/>
        <v>0</v>
      </c>
      <c r="AL68" s="16" t="b">
        <f t="shared" ca="1" si="28"/>
        <v>0</v>
      </c>
      <c r="AM68" s="246" t="b">
        <f t="shared" ca="1" si="29"/>
        <v>0</v>
      </c>
      <c r="AN68" s="239" t="str">
        <f ca="1">IF(OR(AL68:AM68),דלק!C65,"")</f>
        <v/>
      </c>
      <c r="AP68" s="374">
        <f ca="1">MIN($AN$5:$AN$78)</f>
        <v>0</v>
      </c>
      <c r="AQ68" s="375"/>
      <c r="AR68" s="250" t="s">
        <v>257</v>
      </c>
      <c r="BA68">
        <v>325</v>
      </c>
      <c r="BB68">
        <v>65</v>
      </c>
      <c r="BH68">
        <v>5250</v>
      </c>
    </row>
    <row r="69" spans="20:60" ht="15.75" thickBot="1">
      <c r="T69" s="43">
        <f ca="1">IF($T$5+דלק!$C66&gt;takoffweight+1,takoffweight,$T$5+דלק!$C66)</f>
        <v>3200</v>
      </c>
      <c r="U69" s="29">
        <f ca="1">IF($T$5+דלק!$C66&gt;takoffweight+1,INDIRECT(ADDRESS(ROW()-1,COLUMN())),($T$5*$U$5+דלק!$C66*דלק!$D66)/($T$5+דלק!$C66))</f>
        <v>4482.5879140093048</v>
      </c>
      <c r="V69" s="31">
        <f ca="1">IF($T$5+דלק!$C66&gt;takoffweight,INDIRECT(ADDRESS(ROW()-1,COLUMN())),($T$5*$V$5+דלק!$C66*דלק!$E66)/($T$5+דלק!$C66))</f>
        <v>-5.119817152258312</v>
      </c>
      <c r="X69" s="16" t="b">
        <f ca="1" t="shared" si="37" ref="X69:X78">IF($T69&lt;$AR$5,$U69&lt;($T69-$AR$32)/$AQ$32,FALSE)</f>
        <v>0</v>
      </c>
      <c r="Y69" s="246" t="b">
        <f ca="1" t="shared" si="38" ref="Y69:Y78">IF($T69&lt;$AR$5,$U69&gt;($T69-$AR$33)/$AQ$33,FALSE)</f>
        <v>0</v>
      </c>
      <c r="Z69" s="239" t="str">
        <f ca="1">IF($Y69,דלק!$C66,"")</f>
        <v/>
      </c>
      <c r="AA69">
        <v>640</v>
      </c>
      <c r="AB69" s="43">
        <f ca="1">IF($AB$5+דלק!$C66&gt;takoffweight+1,takoffweight,$AB$5+דלק!$C66)</f>
        <v>3200</v>
      </c>
      <c r="AC69" s="29">
        <f ca="1">IF($AB$5+דלק!$C66&gt;takoffweight+1,INDIRECT(ADDRESS(ROW()-1,COLUMN())),($AB$5*$AC$5+דלק!$C66*דלק!$D66)/($AB$5+דלק!$C66))</f>
        <v>4482.5879140093048</v>
      </c>
      <c r="AD69" s="31">
        <f ca="1">IF($AB$5+דלק!$C66&gt;takoffweight,INDIRECT(ADDRESS(ROW()-1,COLUMN())),($AB$5*$AD$5+דלק!$C66*דלק!$E66)/($AB$5+דלק!$C66))</f>
        <v>-5.119817152258312</v>
      </c>
      <c r="AF69" s="239" t="str">
        <f ca="1">IF($AH69,דלק!$C66,"")</f>
        <v/>
      </c>
      <c r="AG69" s="239" t="str">
        <f ca="1">IF($AI69,דלק!$C66,"")</f>
        <v/>
      </c>
      <c r="AH69" s="242" t="b">
        <f ca="1" t="shared" si="39" ref="AH69:AH78">OR($AC69&lt;($AB69-$AR$34)/$AQ$34,$AC69&lt;4250)</f>
        <v>0</v>
      </c>
      <c r="AI69" s="236" t="b">
        <f ca="1" t="shared" si="40" ref="AI69:AI78">IF(AB69&lt;takeoffWT2,IF($AB69&lt;$AR$5,$AC69&lt;($AB69-$AR$32)/$AQ$32,FALSE),FALSE)</f>
        <v>0</v>
      </c>
      <c r="AJ69" s="26" t="b">
        <f ca="1" t="shared" si="41" ref="AJ69:AJ78">IF($AB69&lt;$AR$5,$AC69&gt;($AB69-$AR$33)/$AQ$33,FALSE)</f>
        <v>0</v>
      </c>
      <c r="AL69" s="16" t="b">
        <f ca="1" t="shared" si="42" ref="AL69:AL78">OR($AD69&gt;$AQ$17,AND($AB69&gt;$AR$16,$AD69&gt;$AQ$16))</f>
        <v>0</v>
      </c>
      <c r="AM69" s="246" t="b">
        <f ca="1" t="shared" si="43" ref="AM69:AM78">OR($AD69&lt;$AQ$20,AND($AB69&gt;$AR$16,$AD69&lt;$AQ$21))</f>
        <v>0</v>
      </c>
      <c r="AN69" s="239" t="str">
        <f ca="1">IF(OR(AL69:AM69),דלק!C66,"")</f>
        <v/>
      </c>
      <c r="AP69" s="376">
        <f ca="1">MAX($AN$5:$AN$78)</f>
        <v>0</v>
      </c>
      <c r="AQ69" s="377"/>
      <c r="AR69" s="251" t="s">
        <v>258</v>
      </c>
      <c r="BA69">
        <v>330</v>
      </c>
      <c r="BB69">
        <v>66</v>
      </c>
      <c r="BH69">
        <v>5300</v>
      </c>
    </row>
    <row r="70" spans="20:60" ht="14.25">
      <c r="T70" s="43">
        <f ca="1">IF($T$5+דלק!$C67&gt;takoffweight+1,takoffweight,$T$5+דלק!$C67)</f>
        <v>3200</v>
      </c>
      <c r="U70" s="29">
        <f ca="1">IF($T$5+דלק!$C67&gt;takoffweight+1,INDIRECT(ADDRESS(ROW()-1,COLUMN())),($T$5*$U$5+דלק!$C67*דלק!$D67)/($T$5+דלק!$C67))</f>
        <v>4482.5879140093048</v>
      </c>
      <c r="V70" s="31">
        <f ca="1">IF($T$5+דלק!$C67&gt;takoffweight,INDIRECT(ADDRESS(ROW()-1,COLUMN())),($T$5*$V$5+דלק!$C67*דלק!$E67)/($T$5+דלק!$C67))</f>
        <v>-5.119817152258312</v>
      </c>
      <c r="X70" s="16" t="b">
        <f t="shared" ca="1" si="37"/>
        <v>0</v>
      </c>
      <c r="Y70" s="246" t="b">
        <f t="shared" ca="1" si="38"/>
        <v>0</v>
      </c>
      <c r="Z70" s="239" t="str">
        <f ca="1">IF($Y70,דלק!$C67,"")</f>
        <v/>
      </c>
      <c r="AA70">
        <v>650</v>
      </c>
      <c r="AB70" s="43">
        <f ca="1">IF($AB$5+דלק!$C67&gt;takoffweight+1,takoffweight,$AB$5+דלק!$C67)</f>
        <v>3200</v>
      </c>
      <c r="AC70" s="29">
        <f ca="1">IF($AB$5+דלק!$C67&gt;takoffweight+1,INDIRECT(ADDRESS(ROW()-1,COLUMN())),($AB$5*$AC$5+דלק!$C67*דלק!$D67)/($AB$5+דלק!$C67))</f>
        <v>4482.5879140093048</v>
      </c>
      <c r="AD70" s="31">
        <f ca="1">IF($AB$5+דלק!$C67&gt;takoffweight,INDIRECT(ADDRESS(ROW()-1,COLUMN())),($AB$5*$AD$5+דלק!$C67*דלק!$E67)/($AB$5+דלק!$C67))</f>
        <v>-5.119817152258312</v>
      </c>
      <c r="AF70" s="239" t="str">
        <f ca="1">IF($AH70,דלק!$C67,"")</f>
        <v/>
      </c>
      <c r="AG70" s="239" t="str">
        <f ca="1">IF($AI70,דלק!$C67,"")</f>
        <v/>
      </c>
      <c r="AH70" s="242" t="b">
        <f t="shared" ca="1" si="39"/>
        <v>0</v>
      </c>
      <c r="AI70" s="236" t="b">
        <f t="shared" ca="1" si="40"/>
        <v>0</v>
      </c>
      <c r="AJ70" s="26" t="b">
        <f t="shared" ca="1" si="41"/>
        <v>0</v>
      </c>
      <c r="AL70" s="16" t="b">
        <f t="shared" ca="1" si="42"/>
        <v>0</v>
      </c>
      <c r="AM70" s="246" t="b">
        <f t="shared" ca="1" si="43"/>
        <v>0</v>
      </c>
      <c r="AN70" s="239" t="str">
        <f ca="1">IF(OR(AL70:AM70),דלק!C67,"")</f>
        <v/>
      </c>
      <c r="BA70">
        <v>335</v>
      </c>
      <c r="BB70">
        <v>67</v>
      </c>
      <c r="BH70">
        <v>5350</v>
      </c>
    </row>
    <row r="71" spans="20:60" ht="14.25">
      <c r="T71" s="43">
        <f ca="1">IF($T$5+דלק!$C68&gt;takoffweight+1,takoffweight,$T$5+דלק!$C68)</f>
        <v>3200</v>
      </c>
      <c r="U71" s="29">
        <f ca="1">IF($T$5+דלק!$C68&gt;takoffweight+1,INDIRECT(ADDRESS(ROW()-1,COLUMN())),($T$5*$U$5+דלק!$C68*דלק!$D68)/($T$5+דלק!$C68))</f>
        <v>4482.5879140093048</v>
      </c>
      <c r="V71" s="31">
        <f ca="1">IF($T$5+דלק!$C68&gt;takoffweight,INDIRECT(ADDRESS(ROW()-1,COLUMN())),($T$5*$V$5+דלק!$C68*דלק!$E68)/($T$5+דלק!$C68))</f>
        <v>-5.119817152258312</v>
      </c>
      <c r="X71" s="16" t="b">
        <f t="shared" ca="1" si="37"/>
        <v>0</v>
      </c>
      <c r="Y71" s="246" t="b">
        <f t="shared" ca="1" si="38"/>
        <v>0</v>
      </c>
      <c r="Z71" s="239" t="str">
        <f ca="1">IF($Y71,דלק!$C68,"")</f>
        <v/>
      </c>
      <c r="AA71">
        <v>660</v>
      </c>
      <c r="AB71" s="43">
        <f ca="1">IF($AB$5+דלק!$C68&gt;takoffweight+1,takoffweight,$AB$5+דלק!$C68)</f>
        <v>3200</v>
      </c>
      <c r="AC71" s="29">
        <f ca="1">IF($AB$5+דלק!$C68&gt;takoffweight+1,INDIRECT(ADDRESS(ROW()-1,COLUMN())),($AB$5*$AC$5+דלק!$C68*דלק!$D68)/($AB$5+דלק!$C68))</f>
        <v>4482.5879140093048</v>
      </c>
      <c r="AD71" s="31">
        <f ca="1">IF($AB$5+דלק!$C68&gt;takoffweight,INDIRECT(ADDRESS(ROW()-1,COLUMN())),($AB$5*$AD$5+דלק!$C68*דלק!$E68)/($AB$5+דלק!$C68))</f>
        <v>-5.119817152258312</v>
      </c>
      <c r="AF71" s="239" t="str">
        <f ca="1">IF($AH71,דלק!$C68,"")</f>
        <v/>
      </c>
      <c r="AG71" s="239" t="str">
        <f ca="1">IF($AI71,דלק!$C68,"")</f>
        <v/>
      </c>
      <c r="AH71" s="242" t="b">
        <f t="shared" ca="1" si="39"/>
        <v>0</v>
      </c>
      <c r="AI71" s="236" t="b">
        <f t="shared" ca="1" si="40"/>
        <v>0</v>
      </c>
      <c r="AJ71" s="26" t="b">
        <f t="shared" ca="1" si="41"/>
        <v>0</v>
      </c>
      <c r="AL71" s="16" t="b">
        <f t="shared" ca="1" si="42"/>
        <v>0</v>
      </c>
      <c r="AM71" s="246" t="b">
        <f t="shared" ca="1" si="43"/>
        <v>0</v>
      </c>
      <c r="AN71" s="239" t="str">
        <f ca="1">IF(OR(AL71:AM71),דלק!C68,"")</f>
        <v/>
      </c>
      <c r="BA71">
        <v>340</v>
      </c>
      <c r="BB71">
        <v>68</v>
      </c>
      <c r="BH71">
        <v>5400</v>
      </c>
    </row>
    <row r="72" spans="20:60" ht="14.25">
      <c r="T72" s="43">
        <f ca="1">IF($T$5+דלק!$C69&gt;takoffweight+1,takoffweight,$T$5+דלק!$C69)</f>
        <v>3200</v>
      </c>
      <c r="U72" s="29">
        <f ca="1">IF($T$5+דלק!$C69&gt;takoffweight+1,INDIRECT(ADDRESS(ROW()-1,COLUMN())),($T$5*$U$5+דלק!$C69*דלק!$D69)/($T$5+דלק!$C69))</f>
        <v>4482.5879140093048</v>
      </c>
      <c r="V72" s="31">
        <f ca="1">IF($T$5+דלק!$C69&gt;takoffweight,INDIRECT(ADDRESS(ROW()-1,COLUMN())),($T$5*$V$5+דלק!$C69*דלק!$E69)/($T$5+דלק!$C69))</f>
        <v>-5.119817152258312</v>
      </c>
      <c r="X72" s="16" t="b">
        <f t="shared" ca="1" si="37"/>
        <v>0</v>
      </c>
      <c r="Y72" s="246" t="b">
        <f t="shared" ca="1" si="38"/>
        <v>0</v>
      </c>
      <c r="Z72" s="239" t="str">
        <f ca="1">IF($Y72,דלק!$C69,"")</f>
        <v/>
      </c>
      <c r="AA72">
        <v>670</v>
      </c>
      <c r="AB72" s="43">
        <f ca="1">IF($AB$5+דלק!$C69&gt;takoffweight+1,takoffweight,$AB$5+דלק!$C69)</f>
        <v>3200</v>
      </c>
      <c r="AC72" s="29">
        <f ca="1">IF($AB$5+דלק!$C69&gt;takoffweight+1,INDIRECT(ADDRESS(ROW()-1,COLUMN())),($AB$5*$AC$5+דלק!$C69*דלק!$D69)/($AB$5+דלק!$C69))</f>
        <v>4482.5879140093048</v>
      </c>
      <c r="AD72" s="31">
        <f ca="1">IF($AB$5+דלק!$C69&gt;takoffweight,INDIRECT(ADDRESS(ROW()-1,COLUMN())),($AB$5*$AD$5+דלק!$C69*דלק!$E69)/($AB$5+דלק!$C69))</f>
        <v>-5.119817152258312</v>
      </c>
      <c r="AF72" s="239" t="str">
        <f ca="1">IF($AH72,דלק!$C69,"")</f>
        <v/>
      </c>
      <c r="AG72" s="239" t="str">
        <f ca="1">IF($AI72,דלק!$C69,"")</f>
        <v/>
      </c>
      <c r="AH72" s="242" t="b">
        <f t="shared" ca="1" si="39"/>
        <v>0</v>
      </c>
      <c r="AI72" s="236" t="b">
        <f t="shared" ca="1" si="40"/>
        <v>0</v>
      </c>
      <c r="AJ72" s="26" t="b">
        <f t="shared" ca="1" si="41"/>
        <v>0</v>
      </c>
      <c r="AL72" s="16" t="b">
        <f t="shared" ca="1" si="42"/>
        <v>0</v>
      </c>
      <c r="AM72" s="246" t="b">
        <f t="shared" ca="1" si="43"/>
        <v>0</v>
      </c>
      <c r="AN72" s="239" t="str">
        <f ca="1">IF(OR(AL72:AM72),דלק!C69,"")</f>
        <v/>
      </c>
      <c r="BA72">
        <v>345</v>
      </c>
      <c r="BB72">
        <v>69</v>
      </c>
      <c r="BH72">
        <v>5450</v>
      </c>
    </row>
    <row r="73" spans="20:60" ht="14.25">
      <c r="T73" s="43">
        <f ca="1">IF($T$5+דלק!$C70&gt;takoffweight+1,takoffweight,$T$5+דלק!$C70)</f>
        <v>3200</v>
      </c>
      <c r="U73" s="29">
        <f ca="1">IF($T$5+דלק!$C70&gt;takoffweight+1,INDIRECT(ADDRESS(ROW()-1,COLUMN())),($T$5*$U$5+דלק!$C70*דלק!$D70)/($T$5+דלק!$C70))</f>
        <v>4482.5879140093048</v>
      </c>
      <c r="V73" s="31">
        <f ca="1">IF($T$5+דלק!$C70&gt;takoffweight,INDIRECT(ADDRESS(ROW()-1,COLUMN())),($T$5*$V$5+דלק!$C70*דלק!$E70)/($T$5+דלק!$C70))</f>
        <v>-5.119817152258312</v>
      </c>
      <c r="X73" s="16" t="b">
        <f t="shared" ca="1" si="37"/>
        <v>0</v>
      </c>
      <c r="Y73" s="246" t="b">
        <f t="shared" ca="1" si="38"/>
        <v>0</v>
      </c>
      <c r="Z73" s="239" t="str">
        <f ca="1">IF($Y73,דלק!$C70,"")</f>
        <v/>
      </c>
      <c r="AA73">
        <v>680</v>
      </c>
      <c r="AB73" s="43">
        <f ca="1">IF($AB$5+דלק!$C70&gt;takoffweight+1,takoffweight,$AB$5+דלק!$C70)</f>
        <v>3200</v>
      </c>
      <c r="AC73" s="29">
        <f ca="1">IF($AB$5+דלק!$C70&gt;takoffweight+1,INDIRECT(ADDRESS(ROW()-1,COLUMN())),($AB$5*$AC$5+דלק!$C70*דלק!$D70)/($AB$5+דלק!$C70))</f>
        <v>4482.5879140093048</v>
      </c>
      <c r="AD73" s="31">
        <f ca="1">IF($AB$5+דלק!$C70&gt;takoffweight,INDIRECT(ADDRESS(ROW()-1,COLUMN())),($AB$5*$AD$5+דלק!$C70*דלק!$E70)/($AB$5+דלק!$C70))</f>
        <v>-5.119817152258312</v>
      </c>
      <c r="AF73" s="239" t="str">
        <f ca="1">IF($AH73,דלק!$C70,"")</f>
        <v/>
      </c>
      <c r="AG73" s="239" t="str">
        <f ca="1">IF($AI73,דלק!$C70,"")</f>
        <v/>
      </c>
      <c r="AH73" s="242" t="b">
        <f t="shared" ca="1" si="39"/>
        <v>0</v>
      </c>
      <c r="AI73" s="236" t="b">
        <f t="shared" ca="1" si="40"/>
        <v>0</v>
      </c>
      <c r="AJ73" s="26" t="b">
        <f t="shared" ca="1" si="41"/>
        <v>0</v>
      </c>
      <c r="AL73" s="16" t="b">
        <f t="shared" ca="1" si="42"/>
        <v>0</v>
      </c>
      <c r="AM73" s="246" t="b">
        <f t="shared" ca="1" si="43"/>
        <v>0</v>
      </c>
      <c r="AN73" s="239" t="str">
        <f ca="1">IF(OR(AL73:AM73),דלק!C70,"")</f>
        <v/>
      </c>
      <c r="BA73">
        <v>350</v>
      </c>
      <c r="BB73">
        <v>70</v>
      </c>
      <c r="BH73">
        <v>5500</v>
      </c>
    </row>
    <row r="74" spans="20:60" ht="14.25">
      <c r="T74" s="43">
        <f ca="1">IF($T$5+דלק!$C71&gt;takoffweight+1,takoffweight,$T$5+דלק!$C71)</f>
        <v>3200</v>
      </c>
      <c r="U74" s="29">
        <f ca="1">IF($T$5+דלק!$C71&gt;takoffweight+1,INDIRECT(ADDRESS(ROW()-1,COLUMN())),($T$5*$U$5+דלק!$C71*דלק!$D71)/($T$5+דלק!$C71))</f>
        <v>4482.5879140093048</v>
      </c>
      <c r="V74" s="31">
        <f ca="1">IF($T$5+דלק!$C71&gt;takoffweight,INDIRECT(ADDRESS(ROW()-1,COLUMN())),($T$5*$V$5+דלק!$C71*דלק!$E71)/($T$5+דלק!$C71))</f>
        <v>-5.119817152258312</v>
      </c>
      <c r="X74" s="16" t="b">
        <f t="shared" ca="1" si="37"/>
        <v>0</v>
      </c>
      <c r="Y74" s="246" t="b">
        <f t="shared" ca="1" si="38"/>
        <v>0</v>
      </c>
      <c r="Z74" s="239" t="str">
        <f ca="1">IF($Y74,דלק!$C71,"")</f>
        <v/>
      </c>
      <c r="AA74">
        <v>690</v>
      </c>
      <c r="AB74" s="43">
        <f ca="1">IF($AB$5+דלק!$C71&gt;takoffweight+1,takoffweight,$AB$5+דלק!$C71)</f>
        <v>3200</v>
      </c>
      <c r="AC74" s="29">
        <f ca="1">IF($AB$5+דלק!$C71&gt;takoffweight+1,INDIRECT(ADDRESS(ROW()-1,COLUMN())),($AB$5*$AC$5+דלק!$C71*דלק!$D71)/($AB$5+דלק!$C71))</f>
        <v>4482.5879140093048</v>
      </c>
      <c r="AD74" s="31">
        <f ca="1">IF($AB$5+דלק!$C71&gt;takoffweight,INDIRECT(ADDRESS(ROW()-1,COLUMN())),($AB$5*$AD$5+דלק!$C71*דלק!$E71)/($AB$5+דלק!$C71))</f>
        <v>-5.119817152258312</v>
      </c>
      <c r="AF74" s="239" t="str">
        <f ca="1">IF($AH74,דלק!$C71,"")</f>
        <v/>
      </c>
      <c r="AG74" s="239" t="str">
        <f ca="1">IF($AI74,דלק!$C71,"")</f>
        <v/>
      </c>
      <c r="AH74" s="242" t="b">
        <f t="shared" ca="1" si="39"/>
        <v>0</v>
      </c>
      <c r="AI74" s="236" t="b">
        <f t="shared" ca="1" si="40"/>
        <v>0</v>
      </c>
      <c r="AJ74" s="26" t="b">
        <f t="shared" ca="1" si="41"/>
        <v>0</v>
      </c>
      <c r="AL74" s="16" t="b">
        <f t="shared" ca="1" si="42"/>
        <v>0</v>
      </c>
      <c r="AM74" s="246" t="b">
        <f t="shared" ca="1" si="43"/>
        <v>0</v>
      </c>
      <c r="AN74" s="239" t="str">
        <f ca="1">IF(OR(AL74:AM74),דלק!C71,"")</f>
        <v/>
      </c>
      <c r="BA74">
        <v>355</v>
      </c>
      <c r="BB74">
        <v>71</v>
      </c>
      <c r="BH74">
        <v>5550</v>
      </c>
    </row>
    <row r="75" spans="20:60" ht="14.25">
      <c r="T75" s="43">
        <f ca="1">IF($T$5+דלק!$C72&gt;takoffweight+1,takoffweight,$T$5+דלק!$C72)</f>
        <v>3200</v>
      </c>
      <c r="U75" s="29">
        <f ca="1">IF($T$5+דלק!$C72&gt;takoffweight+1,INDIRECT(ADDRESS(ROW()-1,COLUMN())),($T$5*$U$5+דלק!$C72*דלק!$D72)/($T$5+דלק!$C72))</f>
        <v>4482.5879140093048</v>
      </c>
      <c r="V75" s="31">
        <f ca="1">IF($T$5+דלק!$C72&gt;takoffweight,INDIRECT(ADDRESS(ROW()-1,COLUMN())),($T$5*$V$5+דלק!$C72*דלק!$E72)/($T$5+דלק!$C72))</f>
        <v>-5.119817152258312</v>
      </c>
      <c r="X75" s="16" t="b">
        <f t="shared" ca="1" si="37"/>
        <v>0</v>
      </c>
      <c r="Y75" s="246" t="b">
        <f t="shared" ca="1" si="38"/>
        <v>0</v>
      </c>
      <c r="Z75" s="239" t="str">
        <f ca="1">IF($Y75,דלק!$C72,"")</f>
        <v/>
      </c>
      <c r="AA75">
        <v>700</v>
      </c>
      <c r="AB75" s="43">
        <f ca="1">IF($AB$5+דלק!$C72&gt;takoffweight+1,takoffweight,$AB$5+דלק!$C72)</f>
        <v>3200</v>
      </c>
      <c r="AC75" s="29">
        <f ca="1">IF($AB$5+דלק!$C72&gt;takoffweight+1,INDIRECT(ADDRESS(ROW()-1,COLUMN())),($AB$5*$AC$5+דלק!$C72*דלק!$D72)/($AB$5+דלק!$C72))</f>
        <v>4482.5879140093048</v>
      </c>
      <c r="AD75" s="31">
        <f ca="1">IF($AB$5+דלק!$C72&gt;takoffweight,INDIRECT(ADDRESS(ROW()-1,COLUMN())),($AB$5*$AD$5+דלק!$C72*דלק!$E72)/($AB$5+דלק!$C72))</f>
        <v>-5.119817152258312</v>
      </c>
      <c r="AF75" s="239" t="str">
        <f ca="1">IF($AH75,דלק!$C72,"")</f>
        <v/>
      </c>
      <c r="AG75" s="239" t="str">
        <f ca="1">IF($AI75,דלק!$C72,"")</f>
        <v/>
      </c>
      <c r="AH75" s="242" t="b">
        <f t="shared" ca="1" si="39"/>
        <v>0</v>
      </c>
      <c r="AI75" s="236" t="b">
        <f t="shared" ca="1" si="40"/>
        <v>0</v>
      </c>
      <c r="AJ75" s="26" t="b">
        <f t="shared" ca="1" si="41"/>
        <v>0</v>
      </c>
      <c r="AL75" s="16" t="b">
        <f t="shared" ca="1" si="42"/>
        <v>0</v>
      </c>
      <c r="AM75" s="246" t="b">
        <f t="shared" ca="1" si="43"/>
        <v>0</v>
      </c>
      <c r="AN75" s="239" t="str">
        <f ca="1">IF(OR(AL75:AM75),דלק!C72,"")</f>
        <v/>
      </c>
      <c r="BA75">
        <v>360</v>
      </c>
      <c r="BB75">
        <v>72</v>
      </c>
      <c r="BH75">
        <v>5600</v>
      </c>
    </row>
    <row r="76" spans="20:60" ht="14.25">
      <c r="T76" s="43">
        <f ca="1">IF($T$5+דלק!$C73&gt;takoffweight+1,takoffweight,$T$5+דלק!$C73)</f>
        <v>3200</v>
      </c>
      <c r="U76" s="29">
        <f ca="1">IF($T$5+דלק!$C73&gt;takoffweight+1,INDIRECT(ADDRESS(ROW()-1,COLUMN())),($T$5*$U$5+דלק!$C73*דלק!$D73)/($T$5+דלק!$C73))</f>
        <v>4482.5879140093048</v>
      </c>
      <c r="V76" s="31">
        <f ca="1">IF($T$5+דלק!$C73&gt;takoffweight,INDIRECT(ADDRESS(ROW()-1,COLUMN())),($T$5*$V$5+דלק!$C73*דלק!$E73)/($T$5+דלק!$C73))</f>
        <v>-5.119817152258312</v>
      </c>
      <c r="X76" s="16" t="b">
        <f t="shared" ca="1" si="37"/>
        <v>0</v>
      </c>
      <c r="Y76" s="246" t="b">
        <f t="shared" ca="1" si="38"/>
        <v>0</v>
      </c>
      <c r="Z76" s="239" t="str">
        <f ca="1">IF($Y76,דלק!$C73,"")</f>
        <v/>
      </c>
      <c r="AA76">
        <v>710</v>
      </c>
      <c r="AB76" s="43">
        <f ca="1">IF($AB$5+דלק!$C73&gt;takoffweight+1,takoffweight,$AB$5+דלק!$C73)</f>
        <v>3200</v>
      </c>
      <c r="AC76" s="29">
        <f ca="1">IF($AB$5+דלק!$C73&gt;takoffweight+1,INDIRECT(ADDRESS(ROW()-1,COLUMN())),($AB$5*$AC$5+דלק!$C73*דלק!$D73)/($AB$5+דלק!$C73))</f>
        <v>4482.5879140093048</v>
      </c>
      <c r="AD76" s="31">
        <f ca="1">IF($AB$5+דלק!$C73&gt;takoffweight,INDIRECT(ADDRESS(ROW()-1,COLUMN())),($AB$5*$AD$5+דלק!$C73*דלק!$E73)/($AB$5+דלק!$C73))</f>
        <v>-5.119817152258312</v>
      </c>
      <c r="AF76" s="239" t="str">
        <f ca="1">IF($AH76,דלק!$C73,"")</f>
        <v/>
      </c>
      <c r="AG76" s="239" t="str">
        <f ca="1">IF($AI76,דלק!$C73,"")</f>
        <v/>
      </c>
      <c r="AH76" s="242" t="b">
        <f t="shared" ca="1" si="39"/>
        <v>0</v>
      </c>
      <c r="AI76" s="236" t="b">
        <f t="shared" ca="1" si="40"/>
        <v>0</v>
      </c>
      <c r="AJ76" s="26" t="b">
        <f t="shared" ca="1" si="41"/>
        <v>0</v>
      </c>
      <c r="AL76" s="16" t="b">
        <f t="shared" ca="1" si="42"/>
        <v>0</v>
      </c>
      <c r="AM76" s="246" t="b">
        <f t="shared" ca="1" si="43"/>
        <v>0</v>
      </c>
      <c r="AN76" s="239" t="str">
        <f ca="1">IF(OR(AL76:AM76),דלק!C73,"")</f>
        <v/>
      </c>
      <c r="BA76">
        <v>365</v>
      </c>
      <c r="BB76">
        <v>73</v>
      </c>
      <c r="BH76">
        <v>5650</v>
      </c>
    </row>
    <row r="77" spans="20:60" ht="14.25">
      <c r="T77" s="43">
        <f ca="1">IF($T$5+דלק!$C74&gt;takoffweight+1,takoffweight,$T$5+דלק!$C74)</f>
        <v>3200</v>
      </c>
      <c r="U77" s="29">
        <f ca="1">IF($T$5+דלק!$C74&gt;takoffweight+1,INDIRECT(ADDRESS(ROW()-1,COLUMN())),($T$5*$U$5+דלק!$C74*דלק!$D74)/($T$5+דלק!$C74))</f>
        <v>4482.5879140093048</v>
      </c>
      <c r="V77" s="31">
        <f ca="1">IF($T$5+דלק!$C74&gt;takoffweight,INDIRECT(ADDRESS(ROW()-1,COLUMN())),($T$5*$V$5+דלק!$C74*דלק!$E74)/($T$5+דלק!$C74))</f>
        <v>-5.119817152258312</v>
      </c>
      <c r="X77" s="16" t="b">
        <f t="shared" ca="1" si="37"/>
        <v>0</v>
      </c>
      <c r="Y77" s="246" t="b">
        <f t="shared" ca="1" si="38"/>
        <v>0</v>
      </c>
      <c r="Z77" s="239" t="str">
        <f ca="1">IF($Y77,דלק!$C74,"")</f>
        <v/>
      </c>
      <c r="AA77">
        <v>720</v>
      </c>
      <c r="AB77" s="43">
        <f ca="1">IF($AB$5+דלק!$C74&gt;takoffweight+1,takoffweight,$AB$5+דלק!$C74)</f>
        <v>3200</v>
      </c>
      <c r="AC77" s="29">
        <f ca="1">IF($AB$5+דלק!$C74&gt;takoffweight+1,INDIRECT(ADDRESS(ROW()-1,COLUMN())),($AB$5*$AC$5+דלק!$C74*דלק!$D74)/($AB$5+דלק!$C74))</f>
        <v>4482.5879140093048</v>
      </c>
      <c r="AD77" s="31">
        <f ca="1">IF($AB$5+דלק!$C74&gt;takoffweight,INDIRECT(ADDRESS(ROW()-1,COLUMN())),($AB$5*$AD$5+דלק!$C74*דלק!$E74)/($AB$5+דלק!$C74))</f>
        <v>-5.119817152258312</v>
      </c>
      <c r="AF77" s="239" t="str">
        <f ca="1">IF($AH77,דלק!$C74,"")</f>
        <v/>
      </c>
      <c r="AG77" s="239" t="str">
        <f ca="1">IF($AI77,דלק!$C74,"")</f>
        <v/>
      </c>
      <c r="AH77" s="242" t="b">
        <f t="shared" ca="1" si="39"/>
        <v>0</v>
      </c>
      <c r="AI77" s="236" t="b">
        <f t="shared" ca="1" si="40"/>
        <v>0</v>
      </c>
      <c r="AJ77" s="26" t="b">
        <f t="shared" ca="1" si="41"/>
        <v>0</v>
      </c>
      <c r="AL77" s="16" t="b">
        <f t="shared" ca="1" si="42"/>
        <v>0</v>
      </c>
      <c r="AM77" s="246" t="b">
        <f t="shared" ca="1" si="43"/>
        <v>0</v>
      </c>
      <c r="AN77" s="239" t="str">
        <f ca="1">IF(OR(AL77:AM77),דלק!C74,"")</f>
        <v/>
      </c>
      <c r="BA77">
        <v>370</v>
      </c>
      <c r="BB77">
        <v>74</v>
      </c>
      <c r="BH77">
        <v>5700</v>
      </c>
    </row>
    <row r="78" spans="20:60" ht="15" thickBot="1">
      <c r="T78" s="45">
        <f ca="1">IF($T$5+דלק!$C75&gt;takoffweight+1,takoffweight,$T$5+דלק!$C75)</f>
        <v>3200</v>
      </c>
      <c r="U78" s="30">
        <f ca="1">IF($T$5+דלק!$C75&gt;takoffweight+1,INDIRECT(ADDRESS(ROW()-1,COLUMN())),($T$5*$U$5+דלק!$C75*דלק!$D75)/($T$5+דלק!$C75))</f>
        <v>4482.5879140093048</v>
      </c>
      <c r="V78" s="32">
        <f ca="1">IF($T$5+דלק!$C75&gt;takoffweight,INDIRECT(ADDRESS(ROW()-1,COLUMN())),($T$5*$V$5+דלק!$C75*דלק!$E75)/($T$5+דלק!$C75))</f>
        <v>-5.119817152258312</v>
      </c>
      <c r="X78" s="17" t="b">
        <f t="shared" ca="1" si="37"/>
        <v>0</v>
      </c>
      <c r="Y78" s="247" t="b">
        <f t="shared" ca="1" si="38"/>
        <v>0</v>
      </c>
      <c r="Z78" s="240" t="str">
        <f ca="1">IF($Y78,דלק!$C75,"")</f>
        <v/>
      </c>
      <c r="AA78">
        <v>730</v>
      </c>
      <c r="AB78" s="45">
        <f ca="1">IF($AB$5+דלק!$C75&gt;takoffweight+1,takoffweight,$AB$5+דלק!$C75)</f>
        <v>3200</v>
      </c>
      <c r="AC78" s="30">
        <f ca="1">IF($AB$5+דלק!$C75&gt;takoffweight+1,INDIRECT(ADDRESS(ROW()-1,COLUMN())),($AB$5*$AC$5+דלק!$C75*דלק!$D75)/($AB$5+דלק!$C75))</f>
        <v>4482.5879140093048</v>
      </c>
      <c r="AD78" s="32">
        <f ca="1">IF($AB$5+דלק!$C75&gt;takoffweight,INDIRECT(ADDRESS(ROW()-1,COLUMN())),($AB$5*$AD$5+דלק!$C75*דלק!$E75)/($AB$5+דלק!$C75))</f>
        <v>-5.119817152258312</v>
      </c>
      <c r="AF78" s="240" t="str">
        <f ca="1">IF($AH78,דלק!$C75,"")</f>
        <v/>
      </c>
      <c r="AG78" s="240" t="str">
        <f ca="1">IF($AI78,דלק!$C75,"")</f>
        <v/>
      </c>
      <c r="AH78" s="243" t="b">
        <f t="shared" ca="1" si="39"/>
        <v>0</v>
      </c>
      <c r="AI78" s="237" t="b">
        <f t="shared" ca="1" si="40"/>
        <v>0</v>
      </c>
      <c r="AJ78" s="28" t="b">
        <f t="shared" ca="1" si="41"/>
        <v>0</v>
      </c>
      <c r="AL78" s="17" t="b">
        <f t="shared" ca="1" si="42"/>
        <v>0</v>
      </c>
      <c r="AM78" s="247" t="b">
        <f t="shared" ca="1" si="43"/>
        <v>0</v>
      </c>
      <c r="AN78" s="240" t="str">
        <f ca="1">IF(OR(AL78:AM78),דלק!C75,"")</f>
        <v/>
      </c>
      <c r="BA78">
        <v>375</v>
      </c>
      <c r="BB78">
        <v>75</v>
      </c>
      <c r="BH78">
        <v>5750</v>
      </c>
    </row>
    <row r="79" spans="53:60" ht="15" thickBot="1">
      <c r="BA79">
        <v>380</v>
      </c>
      <c r="BB79">
        <v>76</v>
      </c>
      <c r="BH79">
        <v>5800</v>
      </c>
    </row>
    <row r="80" spans="20:22 53:60" ht="15">
      <c r="T80" s="367" t="s">
        <v>115</v>
      </c>
      <c r="U80" s="368"/>
      <c r="V80" s="369"/>
      <c r="BA80">
        <v>385</v>
      </c>
      <c r="BB80">
        <v>77</v>
      </c>
      <c r="BH80">
        <v>5850</v>
      </c>
    </row>
    <row r="81" spans="20:22 53:60" ht="15" thickBot="1">
      <c r="T81" s="364">
        <f ca="1">IF(ROUND((MAXGROSS-SUM(ראשי!$F$47:$F$48)-ראשי!$F$49),0)&gt;723,723,ROUND((MAXGROSS-SUM(ראשי!$F$47:$F$48)-ראשי!$F$49),0))</f>
        <v>723</v>
      </c>
      <c r="U81" s="365"/>
      <c r="V81" s="366"/>
      <c r="BA81">
        <v>390</v>
      </c>
      <c r="BB81">
        <v>78</v>
      </c>
      <c r="BH81">
        <v>5900</v>
      </c>
    </row>
    <row r="82" spans="53:60" ht="14.25">
      <c r="BA82">
        <v>395</v>
      </c>
      <c r="BB82">
        <v>79</v>
      </c>
      <c r="BH82">
        <v>5950</v>
      </c>
    </row>
    <row r="83" spans="53:60" ht="14.25">
      <c r="BA83">
        <v>400</v>
      </c>
      <c r="BB83">
        <v>80</v>
      </c>
      <c r="BH83">
        <v>6000</v>
      </c>
    </row>
    <row r="84" spans="20:54" ht="14.25">
      <c r="T84" s="354" t="s">
        <v>135</v>
      </c>
      <c r="U84" s="354"/>
      <c r="V84" s="354"/>
      <c r="AB84" s="355" t="s">
        <v>128</v>
      </c>
      <c r="AC84" s="355"/>
      <c r="AD84" s="355"/>
      <c r="BA84">
        <v>405</v>
      </c>
      <c r="BB84">
        <v>81</v>
      </c>
    </row>
    <row r="85" spans="21:54" ht="14.25">
      <c r="U85" s="41">
        <f ca="1">MAX($U$5:$U$78)</f>
        <v>4505.1075139372397</v>
      </c>
      <c r="AC85" s="41">
        <f ca="1">MIN($AC$5:$AC$78)</f>
        <v>4461.7651540039769</v>
      </c>
      <c r="BA85">
        <v>410</v>
      </c>
      <c r="BB85">
        <v>82</v>
      </c>
    </row>
    <row r="86" spans="53:54" ht="14.25">
      <c r="BA86">
        <v>415</v>
      </c>
      <c r="BB86">
        <v>83</v>
      </c>
    </row>
    <row r="87" spans="53:54" ht="14.25">
      <c r="BA87">
        <v>420</v>
      </c>
      <c r="BB87">
        <v>84</v>
      </c>
    </row>
    <row r="88" spans="18:54" ht="14.25">
      <c r="R88">
        <v>70</v>
      </c>
      <c r="S88" s="198">
        <f ca="1">IF(ROUND(MAXGROSS-SUM(ראשי!$F$47:$F$49)-0.7*680-40,0)&gt;100,ROUND(MAXGROSS-SUM(ראשי!$F$47:$F$49)-0.7*680-40,0),"----")</f>
        <v>484</v>
      </c>
      <c r="T88" s="198">
        <f ca="1">zerofuelWT+ROUND(S88,-1)</f>
        <v>3179.6019999999999</v>
      </c>
      <c r="U88" s="41">
        <f ca="1">VLOOKUP(ROUND(S88,-1),דלק!$C$3:$D$75,2,FALSE)</f>
        <v>4360</v>
      </c>
      <c r="V88" s="198">
        <f ca="1">zerofuelWT*$U$5+ROUND(S88,-1)*U88</f>
        <v>14254797.25484</v>
      </c>
      <c r="W88">
        <f ca="1">V88/T88</f>
        <v>4483.2017513009487</v>
      </c>
      <c r="Y88">
        <v>70</v>
      </c>
      <c r="AA88" s="198">
        <f ca="1">IF(ROUND(MAXGROSS-SUM(ראשי!$F$47:$F$49)-0.7*680-40,0)&gt;100,ROUND(MAXGROSS-SUM(ראשי!$F$47:$F$49)-0.7*680-40,0),"----")</f>
        <v>484</v>
      </c>
      <c r="AB88" s="198">
        <f ca="1">zerofuelWT+ROUND(AA88,-1)</f>
        <v>3179.6019999999999</v>
      </c>
      <c r="AC88" s="41">
        <f ca="1">VLOOKUP(ROUND(AA88,-1),דלק!$C$3:$D$75,2,FALSE)</f>
        <v>4360</v>
      </c>
      <c r="AD88" s="198">
        <f ca="1">zerofuelWT*$AC$5+ROUND(AA88,-1)*AC88</f>
        <v>14254797.25484</v>
      </c>
      <c r="AG88">
        <f ca="1">AD88/AB88</f>
        <v>4483.2017513009487</v>
      </c>
      <c r="BA88">
        <v>425</v>
      </c>
      <c r="BB88">
        <v>85</v>
      </c>
    </row>
    <row r="89" spans="18:54" ht="14.25">
      <c r="R89">
        <v>80</v>
      </c>
      <c r="S89">
        <f ca="1">IF(ROUND(MAXGROSS-SUM(ראשי!$F$47:$F$49)-0.8*680-40,0)&gt;100,ROUND(MAXGROSS-SUM(ראשי!$F$47:$F$49)-0.8*680-40,0),"----")</f>
        <v>416</v>
      </c>
      <c r="T89" s="198">
        <f ca="1">ROUND(zerofuelWT+ROUND(S89,-1),0)</f>
        <v>3120</v>
      </c>
      <c r="U89" s="41">
        <f ca="1">VLOOKUP(ROUND(S89,-1),דלק!$C$3:$D$75,2,FALSE)</f>
        <v>4355</v>
      </c>
      <c r="V89" s="198">
        <f ca="1">zerofuelWT*$U$5+ROUND(S89,-1)*U89</f>
        <v>13991097.25484</v>
      </c>
      <c r="W89">
        <f ca="1" t="shared" si="44" ref="W89:W91">V89/T89</f>
        <v>4484.3260432179486</v>
      </c>
      <c r="Y89">
        <v>80</v>
      </c>
      <c r="AA89">
        <f ca="1">IF(ROUND(MAXGROSS-SUM(ראשי!$F$47:$F$49)-0.8*680-40,0)&gt;100,ROUND(MAXGROSS-SUM(ראשי!$F$47:$F$49)-0.8*680-40,0),"----")</f>
        <v>416</v>
      </c>
      <c r="AB89" s="198">
        <f ca="1">ROUND(zerofuelWT+ROUND(AA89,-1),0)</f>
        <v>3120</v>
      </c>
      <c r="AC89" s="41">
        <f ca="1">VLOOKUP(ROUND(AA89,-1),דלק!$C$3:$D$75,2,FALSE)</f>
        <v>4355</v>
      </c>
      <c r="AD89" s="198">
        <f ca="1">zerofuelWT*$AC$5+ROUND(AA89,-1)*AC89</f>
        <v>13991097.25484</v>
      </c>
      <c r="AG89">
        <f ca="1" t="shared" si="45" ref="AG89:AG91">AD89/AB89</f>
        <v>4484.3260432179486</v>
      </c>
      <c r="BA89">
        <v>430</v>
      </c>
      <c r="BB89">
        <v>86</v>
      </c>
    </row>
    <row r="90" spans="18:54" ht="14.25">
      <c r="R90">
        <v>90</v>
      </c>
      <c r="S90">
        <f ca="1">IF(ROUND(MAXGROSS-SUM(ראשי!$F$47:$F$49)-0.9*680-40,0)&gt;100,ROUND(MAXGROSS-SUM(ראשי!$F$47:$F$49)-0.9*680-40,0),"----")</f>
        <v>348</v>
      </c>
      <c r="T90" s="198">
        <f ca="1">ROUND(zerofuelWT+ROUND(S90,-1),0)</f>
        <v>3050</v>
      </c>
      <c r="U90" s="41">
        <f ca="1">VLOOKUP(ROUND(S90,-1),דלק!$C$3:$D$75,2,FALSE)</f>
        <v>4322</v>
      </c>
      <c r="V90" s="198">
        <f ca="1">zerofuelWT*$U$5+ROUND(S90,-1)*U90</f>
        <v>13674697.25484</v>
      </c>
      <c r="W90">
        <f t="shared" ca="1" si="44"/>
        <v>4483.5072966688522</v>
      </c>
      <c r="Y90">
        <v>90</v>
      </c>
      <c r="AA90">
        <f ca="1">IF(ROUND(MAXGROSS-SUM(ראשי!$F$47:$F$49)-0.9*680-40,0)&gt;100,ROUND(MAXGROSS-SUM(ראשי!$F$47:$F$49)-0.9*680-40,0),"----")</f>
        <v>348</v>
      </c>
      <c r="AB90" s="198">
        <f ca="1">ROUND(zerofuelWT+ROUND(AA90,-1),0)</f>
        <v>3050</v>
      </c>
      <c r="AC90" s="41">
        <f ca="1">VLOOKUP(ROUND(AA90,-1),דלק!$C$3:$D$75,2,FALSE)</f>
        <v>4322</v>
      </c>
      <c r="AD90" s="198">
        <f ca="1">zerofuelWT*$AC$5+ROUND(AA90,-1)*AC90</f>
        <v>13674697.25484</v>
      </c>
      <c r="AG90">
        <f t="shared" ca="1" si="45"/>
        <v>4483.5072966688522</v>
      </c>
      <c r="BA90">
        <v>435</v>
      </c>
      <c r="BB90">
        <v>87</v>
      </c>
    </row>
    <row r="91" spans="18:54" ht="14.25">
      <c r="R91">
        <v>100</v>
      </c>
      <c r="S91">
        <f ca="1">IF(ROUND(MAXGROSS-SUM(ראשי!$F$47:$F$49)-680-40,0)&gt;100,ROUND(MAXGROSS-SUM(ראשי!$F$47:$F$49)-680-40,0),"----")</f>
        <v>280</v>
      </c>
      <c r="T91" s="198">
        <f ca="1">ROUND(zerofuelWT+ROUND(S91,-1),0)</f>
        <v>2980</v>
      </c>
      <c r="U91" s="41">
        <f ca="1">VLOOKUP(ROUND(S91,-1),דלק!$C$3:$D$75,2,FALSE)</f>
        <v>4196</v>
      </c>
      <c r="V91" s="198">
        <f ca="1">zerofuelWT*$U$5+ROUND(S91,-1)*U91</f>
        <v>13336877.25484</v>
      </c>
      <c r="W91">
        <f t="shared" ca="1" si="44"/>
        <v>4475.4621660536914</v>
      </c>
      <c r="Y91">
        <v>100</v>
      </c>
      <c r="AA91">
        <f ca="1">IF(ROUND(MAXGROSS-SUM(ראשי!$F$47:$F$49)-680-40,0)&gt;100,ROUND(MAXGROSS-SUM(ראשי!$F$47:$F$49)-680-40,0),"----")</f>
        <v>280</v>
      </c>
      <c r="AB91" s="198">
        <f ca="1">ROUND(zerofuelWT+ROUND(AA91,-1),0)</f>
        <v>2980</v>
      </c>
      <c r="AC91" s="41">
        <f ca="1">VLOOKUP(ROUND(AA91,-1),דלק!$C$3:$D$75,2,FALSE)</f>
        <v>4196</v>
      </c>
      <c r="AD91" s="198">
        <f ca="1">zerofuelWT*$U$5+ROUND(AA91,-1)*AC91</f>
        <v>13336877.25484</v>
      </c>
      <c r="AG91">
        <f t="shared" ca="1" si="45"/>
        <v>4475.4621660536914</v>
      </c>
      <c r="BA91">
        <v>440</v>
      </c>
      <c r="BB91">
        <v>88</v>
      </c>
    </row>
    <row r="92" spans="53:54" ht="14.25">
      <c r="BA92">
        <v>445</v>
      </c>
      <c r="BB92">
        <v>89</v>
      </c>
    </row>
    <row r="93" spans="53:54" ht="14.25">
      <c r="BA93">
        <v>450</v>
      </c>
      <c r="BB93">
        <v>90</v>
      </c>
    </row>
    <row r="94" spans="53:54" ht="14.25">
      <c r="BA94">
        <v>455</v>
      </c>
      <c r="BB94">
        <v>91</v>
      </c>
    </row>
    <row r="95" spans="53:54" ht="14.25">
      <c r="BA95">
        <v>460</v>
      </c>
      <c r="BB95">
        <v>92</v>
      </c>
    </row>
    <row r="96" spans="53:54" ht="14.25">
      <c r="BA96">
        <v>465</v>
      </c>
      <c r="BB96">
        <v>93</v>
      </c>
    </row>
    <row r="97" spans="53:54" ht="14.25">
      <c r="BA97">
        <v>470</v>
      </c>
      <c r="BB97">
        <v>94</v>
      </c>
    </row>
    <row r="98" spans="53:54" ht="14.25">
      <c r="BA98">
        <v>475</v>
      </c>
      <c r="BB98">
        <v>95</v>
      </c>
    </row>
    <row r="99" spans="53:54" ht="14.25">
      <c r="BA99">
        <v>480</v>
      </c>
      <c r="BB99">
        <v>96</v>
      </c>
    </row>
    <row r="100" spans="53:54" ht="14.25">
      <c r="BA100">
        <v>485</v>
      </c>
      <c r="BB100">
        <v>97</v>
      </c>
    </row>
    <row r="101" spans="53:54" ht="14.25">
      <c r="BA101">
        <v>490</v>
      </c>
      <c r="BB101">
        <v>98</v>
      </c>
    </row>
    <row r="102" spans="53:54" ht="14.25">
      <c r="BA102">
        <v>495</v>
      </c>
      <c r="BB102">
        <v>99</v>
      </c>
    </row>
    <row r="103" spans="53:54" ht="14.25">
      <c r="BA103">
        <v>500</v>
      </c>
      <c r="BB103">
        <v>100</v>
      </c>
    </row>
    <row r="104" spans="53:54" ht="14.25">
      <c r="BA104">
        <v>505</v>
      </c>
      <c r="BB104">
        <v>101</v>
      </c>
    </row>
    <row r="105" spans="53:54" ht="14.25">
      <c r="BA105">
        <v>510</v>
      </c>
      <c r="BB105">
        <v>102</v>
      </c>
    </row>
    <row r="106" spans="53:54" ht="14.25">
      <c r="BA106">
        <v>515</v>
      </c>
      <c r="BB106">
        <v>103</v>
      </c>
    </row>
    <row r="107" spans="53:54" ht="14.25">
      <c r="BA107">
        <v>520</v>
      </c>
      <c r="BB107">
        <v>104</v>
      </c>
    </row>
    <row r="108" spans="53:54" ht="14.25">
      <c r="BA108">
        <v>525</v>
      </c>
      <c r="BB108">
        <v>105</v>
      </c>
    </row>
    <row r="109" spans="53:54" ht="14.25">
      <c r="BA109">
        <v>530</v>
      </c>
      <c r="BB109">
        <v>106</v>
      </c>
    </row>
    <row r="110" spans="53:54" ht="14.25">
      <c r="BA110">
        <v>535</v>
      </c>
      <c r="BB110">
        <v>107</v>
      </c>
    </row>
    <row r="111" spans="53:54" ht="14.25">
      <c r="BA111">
        <v>540</v>
      </c>
      <c r="BB111">
        <v>108</v>
      </c>
    </row>
    <row r="112" spans="53:54" ht="14.25">
      <c r="BA112">
        <v>545</v>
      </c>
      <c r="BB112">
        <v>109</v>
      </c>
    </row>
    <row r="113" spans="53:54" ht="14.25">
      <c r="BA113">
        <v>550</v>
      </c>
      <c r="BB113">
        <v>110</v>
      </c>
    </row>
    <row r="114" spans="53:54" ht="14.25">
      <c r="BA114">
        <v>555</v>
      </c>
      <c r="BB114">
        <v>111</v>
      </c>
    </row>
    <row r="115" spans="53:54" ht="14.25">
      <c r="BA115">
        <v>560</v>
      </c>
      <c r="BB115">
        <v>112</v>
      </c>
    </row>
    <row r="116" spans="53:54" ht="14.25">
      <c r="BA116">
        <v>565</v>
      </c>
      <c r="BB116">
        <v>113</v>
      </c>
    </row>
    <row r="117" spans="53:54" ht="14.25">
      <c r="BA117">
        <v>570</v>
      </c>
      <c r="BB117">
        <v>114</v>
      </c>
    </row>
    <row r="118" spans="53:54" ht="14.25">
      <c r="BA118">
        <v>575</v>
      </c>
      <c r="BB118">
        <v>115</v>
      </c>
    </row>
    <row r="119" spans="53:54" ht="14.25">
      <c r="BA119">
        <v>580</v>
      </c>
      <c r="BB119">
        <v>116</v>
      </c>
    </row>
    <row r="120" spans="53:54" ht="14.25">
      <c r="BA120">
        <v>585</v>
      </c>
      <c r="BB120">
        <v>117</v>
      </c>
    </row>
    <row r="121" spans="53:54" ht="14.25">
      <c r="BA121">
        <v>590</v>
      </c>
      <c r="BB121">
        <v>118</v>
      </c>
    </row>
    <row r="122" spans="53:54" ht="14.25">
      <c r="BA122">
        <v>595</v>
      </c>
      <c r="BB122">
        <v>119</v>
      </c>
    </row>
    <row r="123" spans="53:54" ht="14.25">
      <c r="BA123">
        <v>600</v>
      </c>
      <c r="BB123">
        <v>120</v>
      </c>
    </row>
    <row r="124" spans="53:54" ht="14.25">
      <c r="BA124">
        <v>605</v>
      </c>
      <c r="BB124">
        <v>121</v>
      </c>
    </row>
    <row r="125" spans="53:54" ht="14.25">
      <c r="BA125">
        <v>610</v>
      </c>
      <c r="BB125">
        <v>122</v>
      </c>
    </row>
    <row r="126" spans="53:54" ht="14.25">
      <c r="BA126">
        <v>615</v>
      </c>
      <c r="BB126">
        <v>123</v>
      </c>
    </row>
    <row r="127" spans="53:54" ht="14.25">
      <c r="BA127">
        <v>620</v>
      </c>
      <c r="BB127">
        <v>124</v>
      </c>
    </row>
    <row r="128" spans="53:54" ht="14.25">
      <c r="BA128">
        <v>625</v>
      </c>
      <c r="BB128">
        <v>125</v>
      </c>
    </row>
    <row r="129" spans="53:54" ht="14.25">
      <c r="BA129">
        <v>630</v>
      </c>
      <c r="BB129">
        <v>126</v>
      </c>
    </row>
    <row r="130" spans="53:54" ht="14.25">
      <c r="BA130">
        <v>635</v>
      </c>
      <c r="BB130">
        <v>127</v>
      </c>
    </row>
    <row r="131" spans="53:54" ht="14.25">
      <c r="BA131">
        <v>640</v>
      </c>
      <c r="BB131">
        <v>128</v>
      </c>
    </row>
    <row r="132" spans="53:54" ht="14.25">
      <c r="BA132">
        <v>645</v>
      </c>
      <c r="BB132">
        <v>129</v>
      </c>
    </row>
    <row r="133" spans="53:54" ht="14.25">
      <c r="BA133">
        <v>650</v>
      </c>
      <c r="BB133">
        <v>130</v>
      </c>
    </row>
    <row r="134" spans="53:54" ht="14.25">
      <c r="BA134">
        <v>655</v>
      </c>
      <c r="BB134">
        <v>131</v>
      </c>
    </row>
    <row r="135" spans="53:54" ht="14.25">
      <c r="BA135">
        <v>660</v>
      </c>
      <c r="BB135">
        <v>132</v>
      </c>
    </row>
    <row r="136" spans="53:54" ht="14.25">
      <c r="BA136">
        <v>665</v>
      </c>
      <c r="BB136">
        <v>133</v>
      </c>
    </row>
    <row r="137" spans="53:54" ht="14.25">
      <c r="BA137">
        <v>670</v>
      </c>
      <c r="BB137">
        <v>134</v>
      </c>
    </row>
    <row r="138" spans="53:54" ht="14.25">
      <c r="BA138">
        <v>675</v>
      </c>
      <c r="BB138">
        <v>135</v>
      </c>
    </row>
    <row r="139" spans="53:54" ht="14.25">
      <c r="BA139">
        <v>680</v>
      </c>
      <c r="BB139">
        <v>136</v>
      </c>
    </row>
    <row r="140" spans="53:54" ht="14.25">
      <c r="BA140">
        <v>685</v>
      </c>
      <c r="BB140">
        <v>137</v>
      </c>
    </row>
    <row r="141" spans="53:54" ht="14.25">
      <c r="BA141">
        <v>690</v>
      </c>
      <c r="BB141">
        <v>138</v>
      </c>
    </row>
    <row r="142" spans="53:54" ht="14.25">
      <c r="BA142">
        <v>695</v>
      </c>
      <c r="BB142">
        <v>139</v>
      </c>
    </row>
    <row r="143" spans="53:54" ht="14.25">
      <c r="BA143">
        <v>700</v>
      </c>
      <c r="BB143">
        <v>140</v>
      </c>
    </row>
    <row r="144" spans="53:54" ht="14.25">
      <c r="BA144">
        <v>705</v>
      </c>
      <c r="BB144">
        <v>141</v>
      </c>
    </row>
    <row r="145" spans="53:54" ht="14.25">
      <c r="BA145">
        <v>710</v>
      </c>
      <c r="BB145">
        <v>142</v>
      </c>
    </row>
    <row r="146" spans="53:54" ht="14.25">
      <c r="BA146">
        <v>715</v>
      </c>
      <c r="BB146">
        <v>143</v>
      </c>
    </row>
    <row r="147" spans="53:54" ht="14.25">
      <c r="BA147">
        <v>720</v>
      </c>
      <c r="BB147">
        <v>144</v>
      </c>
    </row>
    <row r="148" spans="53:54" ht="14.25">
      <c r="BA148">
        <v>725</v>
      </c>
      <c r="BB148">
        <v>145</v>
      </c>
    </row>
    <row r="149" spans="53:54" ht="14.25">
      <c r="BA149">
        <v>730</v>
      </c>
      <c r="BB149">
        <v>146</v>
      </c>
    </row>
    <row r="150" spans="53:54" ht="14.25">
      <c r="BA150">
        <v>735</v>
      </c>
      <c r="BB150">
        <v>147</v>
      </c>
    </row>
    <row r="151" spans="53:54" ht="14.25">
      <c r="BA151">
        <v>740</v>
      </c>
      <c r="BB151">
        <v>148</v>
      </c>
    </row>
    <row r="152" spans="53:54" ht="14.25">
      <c r="BA152">
        <v>745</v>
      </c>
      <c r="BB152">
        <v>149</v>
      </c>
    </row>
    <row r="153" spans="53:54" ht="14.25">
      <c r="BA153">
        <v>750</v>
      </c>
      <c r="BB153">
        <v>150</v>
      </c>
    </row>
    <row r="154" spans="53:54" ht="14.25">
      <c r="BA154">
        <v>755</v>
      </c>
      <c r="BB154">
        <v>151</v>
      </c>
    </row>
    <row r="155" spans="53:54" ht="14.25">
      <c r="BA155">
        <v>760</v>
      </c>
      <c r="BB155">
        <v>152</v>
      </c>
    </row>
    <row r="156" spans="53:54" ht="14.25">
      <c r="BA156">
        <v>765</v>
      </c>
      <c r="BB156">
        <v>153</v>
      </c>
    </row>
    <row r="157" spans="53:54" ht="14.25">
      <c r="BA157">
        <v>770</v>
      </c>
      <c r="BB157">
        <v>154</v>
      </c>
    </row>
    <row r="158" spans="53:54" ht="14.25">
      <c r="BA158">
        <v>775</v>
      </c>
      <c r="BB158">
        <v>155</v>
      </c>
    </row>
    <row r="159" spans="53:54" ht="14.25">
      <c r="BA159">
        <v>780</v>
      </c>
      <c r="BB159">
        <v>156</v>
      </c>
    </row>
    <row r="160" spans="53:54" ht="14.25">
      <c r="BA160">
        <v>785</v>
      </c>
      <c r="BB160">
        <v>157</v>
      </c>
    </row>
    <row r="161" spans="53:54" ht="14.25">
      <c r="BA161">
        <v>790</v>
      </c>
      <c r="BB161">
        <v>158</v>
      </c>
    </row>
    <row r="162" spans="53:54" ht="14.25">
      <c r="BA162">
        <v>795</v>
      </c>
      <c r="BB162">
        <v>159</v>
      </c>
    </row>
    <row r="163" spans="53:54" ht="14.25">
      <c r="BA163">
        <v>800</v>
      </c>
      <c r="BB163">
        <v>160</v>
      </c>
    </row>
    <row r="164" spans="53:54" ht="14.25">
      <c r="BA164">
        <v>805</v>
      </c>
      <c r="BB164">
        <v>161</v>
      </c>
    </row>
    <row r="165" spans="53:54" ht="14.25">
      <c r="BA165">
        <v>810</v>
      </c>
      <c r="BB165">
        <v>162</v>
      </c>
    </row>
    <row r="166" spans="53:54" ht="14.25">
      <c r="BA166">
        <v>815</v>
      </c>
      <c r="BB166">
        <v>163</v>
      </c>
    </row>
    <row r="167" spans="53:54" ht="14.25">
      <c r="BA167">
        <v>820</v>
      </c>
      <c r="BB167">
        <v>164</v>
      </c>
    </row>
    <row r="168" spans="53:54" ht="14.25">
      <c r="BA168">
        <v>825</v>
      </c>
      <c r="BB168">
        <v>165</v>
      </c>
    </row>
    <row r="169" spans="53:54" ht="14.25">
      <c r="BA169">
        <v>830</v>
      </c>
      <c r="BB169">
        <v>166</v>
      </c>
    </row>
    <row r="170" spans="53:54" ht="14.25">
      <c r="BA170">
        <v>835</v>
      </c>
      <c r="BB170">
        <v>167</v>
      </c>
    </row>
    <row r="171" spans="53:54" ht="14.25">
      <c r="BA171">
        <v>840</v>
      </c>
      <c r="BB171">
        <v>168</v>
      </c>
    </row>
    <row r="172" spans="53:54" ht="14.25">
      <c r="BA172">
        <v>845</v>
      </c>
      <c r="BB172">
        <v>169</v>
      </c>
    </row>
    <row r="173" spans="53:54" ht="14.25">
      <c r="BA173">
        <v>850</v>
      </c>
      <c r="BB173">
        <v>170</v>
      </c>
    </row>
    <row r="174" spans="53:54" ht="14.25">
      <c r="BA174">
        <v>855</v>
      </c>
      <c r="BB174">
        <v>171</v>
      </c>
    </row>
    <row r="175" spans="53:54" ht="14.25">
      <c r="BA175">
        <v>860</v>
      </c>
      <c r="BB175">
        <v>172</v>
      </c>
    </row>
    <row r="176" spans="53:54" ht="14.25">
      <c r="BA176">
        <v>865</v>
      </c>
      <c r="BB176">
        <v>173</v>
      </c>
    </row>
    <row r="177" spans="53:54" ht="14.25">
      <c r="BA177">
        <v>870</v>
      </c>
      <c r="BB177">
        <v>174</v>
      </c>
    </row>
    <row r="178" spans="53:54" ht="14.25">
      <c r="BA178">
        <v>875</v>
      </c>
      <c r="BB178">
        <v>175</v>
      </c>
    </row>
    <row r="179" spans="53:54" ht="14.25">
      <c r="BA179">
        <v>880</v>
      </c>
      <c r="BB179">
        <v>176</v>
      </c>
    </row>
    <row r="180" spans="53:54" ht="14.25">
      <c r="BA180">
        <v>885</v>
      </c>
      <c r="BB180">
        <v>177</v>
      </c>
    </row>
    <row r="181" spans="53:54" ht="14.25">
      <c r="BA181">
        <v>890</v>
      </c>
      <c r="BB181">
        <v>178</v>
      </c>
    </row>
    <row r="182" spans="53:54" ht="14.25">
      <c r="BA182">
        <v>895</v>
      </c>
      <c r="BB182">
        <v>179</v>
      </c>
    </row>
    <row r="183" spans="53:54" ht="14.25">
      <c r="BA183">
        <v>900</v>
      </c>
      <c r="BB183">
        <v>180</v>
      </c>
    </row>
    <row r="184" spans="53:54" ht="14.25">
      <c r="BA184">
        <v>905</v>
      </c>
      <c r="BB184">
        <v>181</v>
      </c>
    </row>
    <row r="185" spans="53:54" ht="14.25">
      <c r="BA185">
        <v>910</v>
      </c>
      <c r="BB185">
        <v>182</v>
      </c>
    </row>
    <row r="186" spans="53:54" ht="14.25">
      <c r="BA186">
        <v>915</v>
      </c>
      <c r="BB186">
        <v>183</v>
      </c>
    </row>
    <row r="187" spans="53:54" ht="14.25">
      <c r="BA187">
        <v>920</v>
      </c>
      <c r="BB187">
        <v>184</v>
      </c>
    </row>
    <row r="188" spans="53:54" ht="14.25">
      <c r="BA188">
        <v>925</v>
      </c>
      <c r="BB188">
        <v>185</v>
      </c>
    </row>
    <row r="189" spans="53:54" ht="14.25">
      <c r="BA189">
        <v>930</v>
      </c>
      <c r="BB189">
        <v>186</v>
      </c>
    </row>
    <row r="190" spans="53:54" ht="14.25">
      <c r="BA190">
        <v>935</v>
      </c>
      <c r="BB190">
        <v>187</v>
      </c>
    </row>
    <row r="191" spans="53:54" ht="14.25">
      <c r="BA191">
        <v>940</v>
      </c>
      <c r="BB191">
        <v>188</v>
      </c>
    </row>
    <row r="192" spans="53:54" ht="14.25">
      <c r="BA192">
        <v>945</v>
      </c>
      <c r="BB192">
        <v>189</v>
      </c>
    </row>
    <row r="193" spans="53:54" ht="14.25">
      <c r="BA193">
        <v>950</v>
      </c>
      <c r="BB193">
        <v>190</v>
      </c>
    </row>
    <row r="194" spans="53:54" ht="14.25">
      <c r="BA194">
        <v>955</v>
      </c>
      <c r="BB194">
        <v>191</v>
      </c>
    </row>
    <row r="195" spans="53:54" ht="14.25">
      <c r="BA195">
        <v>960</v>
      </c>
      <c r="BB195">
        <v>192</v>
      </c>
    </row>
    <row r="196" spans="53:54" ht="14.25">
      <c r="BA196">
        <v>965</v>
      </c>
      <c r="BB196">
        <v>193</v>
      </c>
    </row>
    <row r="197" spans="53:54" ht="14.25">
      <c r="BA197">
        <v>970</v>
      </c>
      <c r="BB197">
        <v>194</v>
      </c>
    </row>
    <row r="198" spans="53:54" ht="14.25">
      <c r="BA198">
        <v>975</v>
      </c>
      <c r="BB198">
        <v>195</v>
      </c>
    </row>
    <row r="199" spans="53:54" ht="14.25">
      <c r="BA199">
        <v>980</v>
      </c>
      <c r="BB199">
        <v>196</v>
      </c>
    </row>
    <row r="200" spans="53:54" ht="14.25">
      <c r="BA200">
        <v>985</v>
      </c>
      <c r="BB200">
        <v>197</v>
      </c>
    </row>
    <row r="201" spans="53:54" ht="14.25">
      <c r="BA201">
        <v>990</v>
      </c>
      <c r="BB201">
        <v>198</v>
      </c>
    </row>
    <row r="202" spans="53:54" ht="14.25">
      <c r="BA202">
        <v>995</v>
      </c>
      <c r="BB202">
        <v>199</v>
      </c>
    </row>
    <row r="203" spans="53:54" ht="14.25">
      <c r="BA203">
        <v>1000</v>
      </c>
      <c r="BB203">
        <v>200</v>
      </c>
    </row>
    <row r="204" spans="54:54" ht="14.25">
      <c r="BB204">
        <v>201</v>
      </c>
    </row>
    <row r="205" spans="54:54" ht="14.25">
      <c r="BB205">
        <v>202</v>
      </c>
    </row>
    <row r="206" spans="54:54" ht="14.25">
      <c r="BB206">
        <v>203</v>
      </c>
    </row>
    <row r="207" spans="54:54" ht="14.25">
      <c r="BB207">
        <v>204</v>
      </c>
    </row>
    <row r="208" spans="54:54" ht="14.25">
      <c r="BB208">
        <v>205</v>
      </c>
    </row>
    <row r="209" spans="54:54" ht="14.25">
      <c r="BB209">
        <v>206</v>
      </c>
    </row>
    <row r="210" spans="54:54" ht="14.25">
      <c r="BB210">
        <v>207</v>
      </c>
    </row>
    <row r="211" spans="54:54" ht="14.25">
      <c r="BB211">
        <v>208</v>
      </c>
    </row>
    <row r="212" spans="54:54" ht="14.25">
      <c r="BB212">
        <v>209</v>
      </c>
    </row>
    <row r="213" spans="54:54" ht="14.25">
      <c r="BB213">
        <v>210</v>
      </c>
    </row>
    <row r="214" spans="54:54" ht="14.25">
      <c r="BB214">
        <v>211</v>
      </c>
    </row>
    <row r="215" spans="54:54" ht="14.25">
      <c r="BB215">
        <v>212</v>
      </c>
    </row>
    <row r="216" spans="54:54" ht="14.25">
      <c r="BB216">
        <v>213</v>
      </c>
    </row>
    <row r="217" spans="54:54" ht="14.25">
      <c r="BB217">
        <v>214</v>
      </c>
    </row>
    <row r="218" spans="54:54" ht="14.25">
      <c r="BB218">
        <v>215</v>
      </c>
    </row>
    <row r="219" spans="54:54" ht="14.25">
      <c r="BB219">
        <v>216</v>
      </c>
    </row>
    <row r="220" spans="54:54" ht="14.25">
      <c r="BB220">
        <v>217</v>
      </c>
    </row>
    <row r="221" spans="54:54" ht="14.25">
      <c r="BB221">
        <v>218</v>
      </c>
    </row>
    <row r="222" spans="54:54" ht="14.25">
      <c r="BB222">
        <v>219</v>
      </c>
    </row>
    <row r="223" spans="54:54" ht="14.25">
      <c r="BB223">
        <v>220</v>
      </c>
    </row>
    <row r="224" spans="54:54" ht="14.25">
      <c r="BB224">
        <v>221</v>
      </c>
    </row>
    <row r="225" spans="54:54" ht="14.25">
      <c r="BB225">
        <v>222</v>
      </c>
    </row>
    <row r="226" spans="54:54" ht="14.25">
      <c r="BB226">
        <v>223</v>
      </c>
    </row>
    <row r="227" spans="54:54" ht="14.25">
      <c r="BB227">
        <v>224</v>
      </c>
    </row>
    <row r="228" spans="54:54" ht="14.25">
      <c r="BB228">
        <v>225</v>
      </c>
    </row>
    <row r="229" spans="54:54" ht="14.25">
      <c r="BB229">
        <v>226</v>
      </c>
    </row>
    <row r="230" spans="54:54" ht="14.25">
      <c r="BB230">
        <v>227</v>
      </c>
    </row>
    <row r="231" spans="54:54" ht="14.25">
      <c r="BB231">
        <v>228</v>
      </c>
    </row>
    <row r="232" spans="54:54" ht="14.25">
      <c r="BB232">
        <v>229</v>
      </c>
    </row>
    <row r="233" spans="54:54" ht="14.25">
      <c r="BB233">
        <v>230</v>
      </c>
    </row>
    <row r="234" spans="54:54" ht="14.25">
      <c r="BB234">
        <v>231</v>
      </c>
    </row>
    <row r="235" spans="54:54" ht="14.25">
      <c r="BB235">
        <v>232</v>
      </c>
    </row>
    <row r="236" spans="54:54" ht="14.25">
      <c r="BB236">
        <v>233</v>
      </c>
    </row>
    <row r="237" spans="54:54" ht="14.25">
      <c r="BB237">
        <v>234</v>
      </c>
    </row>
    <row r="238" spans="54:54" ht="14.25">
      <c r="BB238">
        <v>235</v>
      </c>
    </row>
    <row r="239" spans="54:54" ht="14.25">
      <c r="BB239">
        <v>236</v>
      </c>
    </row>
    <row r="240" spans="54:54" ht="14.25">
      <c r="BB240">
        <v>237</v>
      </c>
    </row>
    <row r="241" spans="54:54" ht="14.25">
      <c r="BB241">
        <v>238</v>
      </c>
    </row>
    <row r="242" spans="54:54" ht="14.25">
      <c r="BB242">
        <v>239</v>
      </c>
    </row>
    <row r="243" spans="54:54" ht="14.25">
      <c r="BB243">
        <v>240</v>
      </c>
    </row>
    <row r="244" spans="54:54" ht="14.25">
      <c r="BB244">
        <v>241</v>
      </c>
    </row>
    <row r="245" spans="54:54" ht="14.25">
      <c r="BB245">
        <v>242</v>
      </c>
    </row>
    <row r="246" spans="54:54" ht="14.25">
      <c r="BB246">
        <v>243</v>
      </c>
    </row>
    <row r="247" spans="54:54" ht="14.25">
      <c r="BB247">
        <v>244</v>
      </c>
    </row>
    <row r="248" spans="54:54" ht="14.25">
      <c r="BB248">
        <v>245</v>
      </c>
    </row>
    <row r="249" spans="54:54" ht="14.25">
      <c r="BB249">
        <v>246</v>
      </c>
    </row>
    <row r="250" spans="54:54" ht="14.25">
      <c r="BB250">
        <v>247</v>
      </c>
    </row>
    <row r="251" spans="54:54" ht="14.25">
      <c r="BB251">
        <v>248</v>
      </c>
    </row>
    <row r="252" spans="54:54" ht="14.25">
      <c r="BB252">
        <v>249</v>
      </c>
    </row>
    <row r="253" spans="54:54" ht="14.25">
      <c r="BB253">
        <v>250</v>
      </c>
    </row>
    <row r="254" spans="54:54" ht="14.25">
      <c r="BB254">
        <v>251</v>
      </c>
    </row>
    <row r="255" spans="54:54" ht="14.25">
      <c r="BB255">
        <v>252</v>
      </c>
    </row>
    <row r="256" spans="54:54" ht="14.25">
      <c r="BB256">
        <v>253</v>
      </c>
    </row>
    <row r="257" spans="54:54" ht="14.25">
      <c r="BB257">
        <v>254</v>
      </c>
    </row>
    <row r="258" spans="54:54" ht="14.25">
      <c r="BB258">
        <v>255</v>
      </c>
    </row>
    <row r="259" spans="54:54" ht="14.25">
      <c r="BB259">
        <v>256</v>
      </c>
    </row>
    <row r="260" spans="54:54" ht="14.25">
      <c r="BB260">
        <v>257</v>
      </c>
    </row>
    <row r="261" spans="54:54" ht="14.25">
      <c r="BB261">
        <v>258</v>
      </c>
    </row>
    <row r="262" spans="54:54" ht="14.25">
      <c r="BB262">
        <v>259</v>
      </c>
    </row>
    <row r="263" spans="54:54" ht="14.25">
      <c r="BB263">
        <v>260</v>
      </c>
    </row>
    <row r="264" spans="54:54" ht="14.25">
      <c r="BB264">
        <v>261</v>
      </c>
    </row>
    <row r="265" spans="54:54" ht="14.25">
      <c r="BB265">
        <v>262</v>
      </c>
    </row>
    <row r="266" spans="54:54" ht="14.25">
      <c r="BB266">
        <v>263</v>
      </c>
    </row>
    <row r="267" spans="54:54" ht="14.25">
      <c r="BB267">
        <v>264</v>
      </c>
    </row>
    <row r="268" spans="54:54" ht="14.25">
      <c r="BB268">
        <v>265</v>
      </c>
    </row>
    <row r="269" spans="54:54" ht="14.25">
      <c r="BB269">
        <v>266</v>
      </c>
    </row>
    <row r="270" spans="54:54" ht="14.25">
      <c r="BB270">
        <v>267</v>
      </c>
    </row>
    <row r="271" spans="54:54" ht="14.25">
      <c r="BB271">
        <v>268</v>
      </c>
    </row>
    <row r="272" spans="54:54" ht="14.25">
      <c r="BB272">
        <v>269</v>
      </c>
    </row>
    <row r="273" spans="54:54" ht="14.25">
      <c r="BB273">
        <v>270</v>
      </c>
    </row>
    <row r="274" spans="54:54" ht="14.25">
      <c r="BB274">
        <v>271</v>
      </c>
    </row>
    <row r="275" spans="54:54" ht="14.25">
      <c r="BB275">
        <v>272</v>
      </c>
    </row>
    <row r="276" spans="54:54" ht="14.25">
      <c r="BB276">
        <v>273</v>
      </c>
    </row>
    <row r="277" spans="54:54" ht="14.25">
      <c r="BB277">
        <v>274</v>
      </c>
    </row>
    <row r="278" spans="54:54" ht="14.25">
      <c r="BB278">
        <v>275</v>
      </c>
    </row>
    <row r="279" spans="54:54" ht="14.25">
      <c r="BB279">
        <v>276</v>
      </c>
    </row>
    <row r="280" spans="54:54" ht="14.25">
      <c r="BB280">
        <v>277</v>
      </c>
    </row>
    <row r="281" spans="54:54" ht="14.25">
      <c r="BB281">
        <v>278</v>
      </c>
    </row>
    <row r="282" spans="54:54" ht="14.25">
      <c r="BB282">
        <v>279</v>
      </c>
    </row>
    <row r="283" spans="54:54" ht="14.25">
      <c r="BB283">
        <v>280</v>
      </c>
    </row>
    <row r="284" spans="54:54" ht="14.25">
      <c r="BB284">
        <v>281</v>
      </c>
    </row>
    <row r="285" spans="54:54" ht="14.25">
      <c r="BB285">
        <v>282</v>
      </c>
    </row>
    <row r="286" spans="54:54" ht="14.25">
      <c r="BB286">
        <v>283</v>
      </c>
    </row>
    <row r="287" spans="54:54" ht="14.25">
      <c r="BB287">
        <v>284</v>
      </c>
    </row>
    <row r="288" spans="54:54" ht="14.25">
      <c r="BB288">
        <v>285</v>
      </c>
    </row>
    <row r="289" spans="54:54" ht="14.25">
      <c r="BB289">
        <v>286</v>
      </c>
    </row>
    <row r="290" spans="54:54" ht="14.25">
      <c r="BB290">
        <v>287</v>
      </c>
    </row>
    <row r="291" spans="54:54" ht="14.25">
      <c r="BB291">
        <v>288</v>
      </c>
    </row>
    <row r="292" spans="54:54" ht="14.25">
      <c r="BB292">
        <v>289</v>
      </c>
    </row>
    <row r="293" spans="54:54" ht="14.25">
      <c r="BB293">
        <v>290</v>
      </c>
    </row>
    <row r="294" spans="54:54" ht="14.25">
      <c r="BB294">
        <v>291</v>
      </c>
    </row>
    <row r="295" spans="54:54" ht="14.25">
      <c r="BB295">
        <v>292</v>
      </c>
    </row>
    <row r="296" spans="54:54" ht="14.25">
      <c r="BB296">
        <v>293</v>
      </c>
    </row>
    <row r="297" spans="54:54" ht="14.25">
      <c r="BB297">
        <v>294</v>
      </c>
    </row>
    <row r="298" spans="54:54" ht="14.25">
      <c r="BB298">
        <v>295</v>
      </c>
    </row>
    <row r="299" spans="54:54" ht="14.25">
      <c r="BB299">
        <v>296</v>
      </c>
    </row>
    <row r="300" spans="54:54" ht="14.25">
      <c r="BB300">
        <v>297</v>
      </c>
    </row>
    <row r="301" spans="54:54" ht="14.25">
      <c r="BB301">
        <v>298</v>
      </c>
    </row>
    <row r="302" spans="54:54" ht="14.25">
      <c r="BB302">
        <v>299</v>
      </c>
    </row>
    <row r="303" spans="54:54" ht="14.25">
      <c r="BB303">
        <v>300</v>
      </c>
    </row>
    <row r="304" spans="54:54" ht="14.25">
      <c r="BB304">
        <v>301</v>
      </c>
    </row>
    <row r="305" spans="54:54" ht="14.25">
      <c r="BB305">
        <v>302</v>
      </c>
    </row>
    <row r="306" spans="54:54" ht="14.25">
      <c r="BB306">
        <v>303</v>
      </c>
    </row>
    <row r="307" spans="54:54" ht="14.25">
      <c r="BB307">
        <v>304</v>
      </c>
    </row>
    <row r="308" spans="54:54" ht="14.25">
      <c r="BB308">
        <v>305</v>
      </c>
    </row>
    <row r="309" spans="54:54" ht="14.25">
      <c r="BB309">
        <v>306</v>
      </c>
    </row>
    <row r="310" spans="54:54" ht="14.25">
      <c r="BB310">
        <v>307</v>
      </c>
    </row>
    <row r="311" spans="54:54" ht="14.25">
      <c r="BB311">
        <v>308</v>
      </c>
    </row>
    <row r="312" spans="54:54" ht="14.25">
      <c r="BB312">
        <v>309</v>
      </c>
    </row>
    <row r="313" spans="54:54" ht="14.25">
      <c r="BB313">
        <v>310</v>
      </c>
    </row>
    <row r="314" spans="54:54" ht="14.25">
      <c r="BB314">
        <v>311</v>
      </c>
    </row>
    <row r="315" spans="54:54" ht="14.25">
      <c r="BB315">
        <v>312</v>
      </c>
    </row>
    <row r="316" spans="54:54" ht="14.25">
      <c r="BB316">
        <v>313</v>
      </c>
    </row>
    <row r="317" spans="54:54" ht="14.25">
      <c r="BB317">
        <v>314</v>
      </c>
    </row>
    <row r="318" spans="54:54" ht="14.25">
      <c r="BB318">
        <v>315</v>
      </c>
    </row>
    <row r="319" spans="54:54" ht="14.25">
      <c r="BB319">
        <v>316</v>
      </c>
    </row>
    <row r="320" spans="54:54" ht="14.25">
      <c r="BB320">
        <v>317</v>
      </c>
    </row>
    <row r="321" spans="54:54" ht="14.25">
      <c r="BB321">
        <v>318</v>
      </c>
    </row>
    <row r="322" spans="54:54" ht="14.25">
      <c r="BB322">
        <v>319</v>
      </c>
    </row>
    <row r="323" spans="54:54" ht="14.25">
      <c r="BB323">
        <v>320</v>
      </c>
    </row>
    <row r="324" spans="54:54" ht="14.25">
      <c r="BB324">
        <v>321</v>
      </c>
    </row>
    <row r="325" spans="54:54" ht="14.25">
      <c r="BB325">
        <v>322</v>
      </c>
    </row>
    <row r="326" spans="54:54" ht="14.25">
      <c r="BB326">
        <v>323</v>
      </c>
    </row>
    <row r="327" spans="54:54" ht="14.25">
      <c r="BB327">
        <v>324</v>
      </c>
    </row>
    <row r="328" spans="54:54" ht="14.25">
      <c r="BB328">
        <v>325</v>
      </c>
    </row>
    <row r="329" spans="54:54" ht="14.25">
      <c r="BB329">
        <v>326</v>
      </c>
    </row>
    <row r="330" spans="54:54" ht="14.25">
      <c r="BB330">
        <v>327</v>
      </c>
    </row>
    <row r="331" spans="54:54" ht="14.25">
      <c r="BB331">
        <v>328</v>
      </c>
    </row>
    <row r="332" spans="54:54" ht="14.25">
      <c r="BB332">
        <v>329</v>
      </c>
    </row>
    <row r="333" spans="54:54" ht="14.25">
      <c r="BB333">
        <v>330</v>
      </c>
    </row>
    <row r="334" spans="54:54" ht="14.25">
      <c r="BB334">
        <v>331</v>
      </c>
    </row>
    <row r="335" spans="54:54" ht="14.25">
      <c r="BB335">
        <v>332</v>
      </c>
    </row>
    <row r="336" spans="54:54" ht="14.25">
      <c r="BB336">
        <v>333</v>
      </c>
    </row>
    <row r="337" spans="54:54" ht="14.25">
      <c r="BB337">
        <v>334</v>
      </c>
    </row>
    <row r="338" spans="54:54" ht="14.25">
      <c r="BB338">
        <v>335</v>
      </c>
    </row>
    <row r="339" spans="54:54" ht="14.25">
      <c r="BB339">
        <v>336</v>
      </c>
    </row>
    <row r="340" spans="54:54" ht="14.25">
      <c r="BB340">
        <v>337</v>
      </c>
    </row>
    <row r="341" spans="54:54" ht="14.25">
      <c r="BB341">
        <v>338</v>
      </c>
    </row>
    <row r="342" spans="54:54" ht="14.25">
      <c r="BB342">
        <v>339</v>
      </c>
    </row>
    <row r="343" spans="54:54" ht="14.25">
      <c r="BB343">
        <v>340</v>
      </c>
    </row>
    <row r="344" spans="54:54" ht="14.25">
      <c r="BB344">
        <v>341</v>
      </c>
    </row>
    <row r="345" spans="54:54" ht="14.25">
      <c r="BB345">
        <v>342</v>
      </c>
    </row>
    <row r="346" spans="54:54" ht="14.25">
      <c r="BB346">
        <v>343</v>
      </c>
    </row>
    <row r="347" spans="54:54" ht="14.25">
      <c r="BB347">
        <v>344</v>
      </c>
    </row>
    <row r="348" spans="54:54" ht="14.25">
      <c r="BB348">
        <v>345</v>
      </c>
    </row>
    <row r="349" spans="54:54" ht="14.25">
      <c r="BB349">
        <v>346</v>
      </c>
    </row>
    <row r="350" spans="54:54" ht="14.25">
      <c r="BB350">
        <v>347</v>
      </c>
    </row>
    <row r="351" spans="54:54" ht="14.25">
      <c r="BB351">
        <v>348</v>
      </c>
    </row>
    <row r="352" spans="54:54" ht="14.25">
      <c r="BB352">
        <v>349</v>
      </c>
    </row>
    <row r="353" spans="54:54" ht="14.25">
      <c r="BB353">
        <v>350</v>
      </c>
    </row>
    <row r="354" spans="54:54" ht="14.25">
      <c r="BB354">
        <v>351</v>
      </c>
    </row>
    <row r="355" spans="54:54" ht="14.25">
      <c r="BB355">
        <v>352</v>
      </c>
    </row>
    <row r="356" spans="54:54" ht="14.25">
      <c r="BB356">
        <v>353</v>
      </c>
    </row>
    <row r="357" spans="54:54" ht="14.25">
      <c r="BB357">
        <v>354</v>
      </c>
    </row>
    <row r="358" spans="54:54" ht="14.25">
      <c r="BB358">
        <v>355</v>
      </c>
    </row>
    <row r="359" spans="54:54" ht="14.25">
      <c r="BB359">
        <v>356</v>
      </c>
    </row>
    <row r="360" spans="54:54" ht="14.25">
      <c r="BB360">
        <v>357</v>
      </c>
    </row>
    <row r="361" spans="54:54" ht="14.25">
      <c r="BB361">
        <v>358</v>
      </c>
    </row>
    <row r="362" spans="54:54" ht="14.25">
      <c r="BB362">
        <v>359</v>
      </c>
    </row>
    <row r="363" spans="54:54" ht="14.25">
      <c r="BB363">
        <v>360</v>
      </c>
    </row>
    <row r="364" spans="54:54" ht="14.25">
      <c r="BB364">
        <v>361</v>
      </c>
    </row>
    <row r="365" spans="54:54" ht="14.25">
      <c r="BB365">
        <v>362</v>
      </c>
    </row>
    <row r="366" spans="54:54" ht="14.25">
      <c r="BB366">
        <v>363</v>
      </c>
    </row>
    <row r="367" spans="54:54" ht="14.25">
      <c r="BB367">
        <v>364</v>
      </c>
    </row>
    <row r="368" spans="54:54" ht="14.25">
      <c r="BB368">
        <v>365</v>
      </c>
    </row>
    <row r="369" spans="54:54" ht="14.25">
      <c r="BB369">
        <v>366</v>
      </c>
    </row>
    <row r="370" spans="54:54" ht="14.25">
      <c r="BB370">
        <v>367</v>
      </c>
    </row>
    <row r="371" spans="54:54" ht="14.25">
      <c r="BB371">
        <v>368</v>
      </c>
    </row>
    <row r="372" spans="54:54" ht="14.25">
      <c r="BB372">
        <v>369</v>
      </c>
    </row>
    <row r="373" spans="54:54" ht="14.25">
      <c r="BB373">
        <v>370</v>
      </c>
    </row>
    <row r="374" spans="54:54" ht="14.25">
      <c r="BB374">
        <v>371</v>
      </c>
    </row>
    <row r="375" spans="54:54" ht="14.25">
      <c r="BB375">
        <v>372</v>
      </c>
    </row>
    <row r="376" spans="54:54" ht="14.25">
      <c r="BB376">
        <v>373</v>
      </c>
    </row>
    <row r="377" spans="54:54" ht="14.25">
      <c r="BB377">
        <v>374</v>
      </c>
    </row>
    <row r="378" spans="54:54" ht="14.25">
      <c r="BB378">
        <v>375</v>
      </c>
    </row>
    <row r="379" spans="54:54" ht="14.25">
      <c r="BB379">
        <v>376</v>
      </c>
    </row>
    <row r="380" spans="54:54" ht="14.25">
      <c r="BB380">
        <v>377</v>
      </c>
    </row>
    <row r="381" spans="54:54" ht="14.25">
      <c r="BB381">
        <v>378</v>
      </c>
    </row>
    <row r="382" spans="54:54" ht="14.25">
      <c r="BB382">
        <v>379</v>
      </c>
    </row>
    <row r="383" spans="54:54" ht="14.25">
      <c r="BB383">
        <v>380</v>
      </c>
    </row>
    <row r="384" spans="54:54" ht="14.25">
      <c r="BB384">
        <v>381</v>
      </c>
    </row>
    <row r="385" spans="54:54" ht="14.25">
      <c r="BB385">
        <v>382</v>
      </c>
    </row>
    <row r="386" spans="54:54" ht="14.25">
      <c r="BB386">
        <v>383</v>
      </c>
    </row>
    <row r="387" spans="54:54" ht="14.25">
      <c r="BB387">
        <v>384</v>
      </c>
    </row>
    <row r="388" spans="54:54" ht="14.25">
      <c r="BB388">
        <v>385</v>
      </c>
    </row>
    <row r="389" spans="54:54" ht="14.25">
      <c r="BB389">
        <v>386</v>
      </c>
    </row>
    <row r="390" spans="54:54" ht="14.25">
      <c r="BB390">
        <v>387</v>
      </c>
    </row>
    <row r="391" spans="54:54" ht="14.25">
      <c r="BB391">
        <v>388</v>
      </c>
    </row>
    <row r="392" spans="54:54" ht="14.25">
      <c r="BB392">
        <v>389</v>
      </c>
    </row>
    <row r="393" spans="54:54" ht="14.25">
      <c r="BB393">
        <v>390</v>
      </c>
    </row>
    <row r="394" spans="54:54" ht="14.25">
      <c r="BB394">
        <v>391</v>
      </c>
    </row>
    <row r="395" spans="54:54" ht="14.25">
      <c r="BB395">
        <v>392</v>
      </c>
    </row>
    <row r="396" spans="54:54" ht="14.25">
      <c r="BB396">
        <v>393</v>
      </c>
    </row>
    <row r="397" spans="54:54" ht="14.25">
      <c r="BB397">
        <v>394</v>
      </c>
    </row>
    <row r="398" spans="54:54" ht="14.25">
      <c r="BB398">
        <v>395</v>
      </c>
    </row>
    <row r="399" spans="54:54" ht="14.25">
      <c r="BB399">
        <v>396</v>
      </c>
    </row>
    <row r="400" spans="54:54" ht="14.25">
      <c r="BB400">
        <v>397</v>
      </c>
    </row>
    <row r="401" spans="54:54" ht="14.25">
      <c r="BB401">
        <v>398</v>
      </c>
    </row>
    <row r="402" spans="54:54" ht="14.25">
      <c r="BB402">
        <v>399</v>
      </c>
    </row>
    <row r="403" spans="54:54" ht="14.25">
      <c r="BB403">
        <v>400</v>
      </c>
    </row>
    <row r="404" spans="54:54" ht="14.25">
      <c r="BB404">
        <v>401</v>
      </c>
    </row>
    <row r="405" spans="54:54" ht="14.25">
      <c r="BB405">
        <v>402</v>
      </c>
    </row>
    <row r="406" spans="54:54" ht="14.25">
      <c r="BB406">
        <v>403</v>
      </c>
    </row>
    <row r="407" spans="54:54" ht="14.25">
      <c r="BB407">
        <v>404</v>
      </c>
    </row>
    <row r="408" spans="54:54" ht="14.25">
      <c r="BB408">
        <v>405</v>
      </c>
    </row>
    <row r="409" spans="54:54" ht="14.25">
      <c r="BB409">
        <v>406</v>
      </c>
    </row>
    <row r="410" spans="54:54" ht="14.25">
      <c r="BB410">
        <v>407</v>
      </c>
    </row>
    <row r="411" spans="54:54" ht="14.25">
      <c r="BB411">
        <v>408</v>
      </c>
    </row>
    <row r="412" spans="54:54" ht="14.25">
      <c r="BB412">
        <v>409</v>
      </c>
    </row>
    <row r="413" spans="54:54" ht="14.25">
      <c r="BB413">
        <v>410</v>
      </c>
    </row>
    <row r="414" spans="54:54" ht="14.25">
      <c r="BB414">
        <v>411</v>
      </c>
    </row>
    <row r="415" spans="54:54" ht="14.25">
      <c r="BB415">
        <v>412</v>
      </c>
    </row>
    <row r="416" spans="54:54" ht="14.25">
      <c r="BB416">
        <v>413</v>
      </c>
    </row>
    <row r="417" spans="54:54" ht="14.25">
      <c r="BB417">
        <v>414</v>
      </c>
    </row>
    <row r="418" spans="54:54" ht="14.25">
      <c r="BB418">
        <v>415</v>
      </c>
    </row>
    <row r="419" spans="54:54" ht="14.25">
      <c r="BB419">
        <v>416</v>
      </c>
    </row>
    <row r="420" spans="54:54" ht="14.25">
      <c r="BB420">
        <v>417</v>
      </c>
    </row>
    <row r="421" spans="54:54" ht="14.25">
      <c r="BB421">
        <v>418</v>
      </c>
    </row>
    <row r="422" spans="54:54" ht="14.25">
      <c r="BB422">
        <v>419</v>
      </c>
    </row>
    <row r="423" spans="54:54" ht="14.25">
      <c r="BB423">
        <v>420</v>
      </c>
    </row>
    <row r="424" spans="54:54" ht="14.25">
      <c r="BB424">
        <v>421</v>
      </c>
    </row>
    <row r="425" spans="54:54" ht="14.25">
      <c r="BB425">
        <v>422</v>
      </c>
    </row>
    <row r="426" spans="54:54" ht="14.25">
      <c r="BB426">
        <v>423</v>
      </c>
    </row>
    <row r="427" spans="54:54" ht="14.25">
      <c r="BB427">
        <v>424</v>
      </c>
    </row>
    <row r="428" spans="54:54" ht="14.25">
      <c r="BB428">
        <v>425</v>
      </c>
    </row>
    <row r="429" spans="54:54" ht="14.25">
      <c r="BB429">
        <v>426</v>
      </c>
    </row>
    <row r="430" spans="54:54" ht="14.25">
      <c r="BB430">
        <v>427</v>
      </c>
    </row>
    <row r="431" spans="54:54" ht="14.25">
      <c r="BB431">
        <v>428</v>
      </c>
    </row>
    <row r="432" spans="54:54" ht="14.25">
      <c r="BB432">
        <v>429</v>
      </c>
    </row>
    <row r="433" spans="54:54" ht="14.25">
      <c r="BB433">
        <v>430</v>
      </c>
    </row>
    <row r="434" spans="54:54" ht="14.25">
      <c r="BB434">
        <v>431</v>
      </c>
    </row>
    <row r="435" spans="54:54" ht="14.25">
      <c r="BB435">
        <v>432</v>
      </c>
    </row>
    <row r="436" spans="54:54" ht="14.25">
      <c r="BB436">
        <v>433</v>
      </c>
    </row>
    <row r="437" spans="54:54" ht="14.25">
      <c r="BB437">
        <v>434</v>
      </c>
    </row>
    <row r="438" spans="54:54" ht="14.25">
      <c r="BB438">
        <v>435</v>
      </c>
    </row>
    <row r="439" spans="54:54" ht="14.25">
      <c r="BB439">
        <v>436</v>
      </c>
    </row>
    <row r="440" spans="54:54" ht="14.25">
      <c r="BB440">
        <v>437</v>
      </c>
    </row>
    <row r="441" spans="54:54" ht="14.25">
      <c r="BB441">
        <v>438</v>
      </c>
    </row>
    <row r="442" spans="54:54" ht="14.25">
      <c r="BB442">
        <v>439</v>
      </c>
    </row>
    <row r="443" spans="54:54" ht="14.25">
      <c r="BB443">
        <v>440</v>
      </c>
    </row>
    <row r="444" spans="54:54" ht="14.25">
      <c r="BB444">
        <v>441</v>
      </c>
    </row>
    <row r="445" spans="54:54" ht="14.25">
      <c r="BB445">
        <v>442</v>
      </c>
    </row>
    <row r="446" spans="54:54" ht="14.25">
      <c r="BB446">
        <v>443</v>
      </c>
    </row>
    <row r="447" spans="54:54" ht="14.25">
      <c r="BB447">
        <v>444</v>
      </c>
    </row>
    <row r="448" spans="54:54" ht="14.25">
      <c r="BB448">
        <v>445</v>
      </c>
    </row>
    <row r="449" spans="54:54" ht="14.25">
      <c r="BB449">
        <v>446</v>
      </c>
    </row>
    <row r="450" spans="54:54" ht="14.25">
      <c r="BB450">
        <v>447</v>
      </c>
    </row>
    <row r="451" spans="54:54" ht="14.25">
      <c r="BB451">
        <v>448</v>
      </c>
    </row>
    <row r="452" spans="54:54" ht="14.25">
      <c r="BB452">
        <v>449</v>
      </c>
    </row>
    <row r="453" spans="54:54" ht="14.25">
      <c r="BB453">
        <v>450</v>
      </c>
    </row>
    <row r="454" spans="54:54" ht="14.25">
      <c r="BB454">
        <v>451</v>
      </c>
    </row>
    <row r="455" spans="54:54" ht="14.25">
      <c r="BB455">
        <v>452</v>
      </c>
    </row>
    <row r="456" spans="54:54" ht="14.25">
      <c r="BB456">
        <v>453</v>
      </c>
    </row>
    <row r="457" spans="54:54" ht="14.25">
      <c r="BB457">
        <v>454</v>
      </c>
    </row>
    <row r="458" spans="54:54" ht="14.25">
      <c r="BB458">
        <v>455</v>
      </c>
    </row>
    <row r="459" spans="54:54" ht="14.25">
      <c r="BB459">
        <v>456</v>
      </c>
    </row>
    <row r="460" spans="54:54" ht="14.25">
      <c r="BB460">
        <v>457</v>
      </c>
    </row>
    <row r="461" spans="54:54" ht="14.25">
      <c r="BB461">
        <v>458</v>
      </c>
    </row>
    <row r="462" spans="54:54" ht="14.25">
      <c r="BB462">
        <v>459</v>
      </c>
    </row>
    <row r="463" spans="54:54" ht="14.25">
      <c r="BB463">
        <v>460</v>
      </c>
    </row>
    <row r="464" spans="54:54" ht="14.25">
      <c r="BB464">
        <v>461</v>
      </c>
    </row>
    <row r="465" spans="54:54" ht="14.25">
      <c r="BB465">
        <v>462</v>
      </c>
    </row>
    <row r="466" spans="54:54" ht="14.25">
      <c r="BB466">
        <v>463</v>
      </c>
    </row>
    <row r="467" spans="54:54" ht="14.25">
      <c r="BB467">
        <v>464</v>
      </c>
    </row>
    <row r="468" spans="54:54" ht="14.25">
      <c r="BB468">
        <v>465</v>
      </c>
    </row>
    <row r="469" spans="54:54" ht="14.25">
      <c r="BB469">
        <v>466</v>
      </c>
    </row>
    <row r="470" spans="54:54" ht="14.25">
      <c r="BB470">
        <v>467</v>
      </c>
    </row>
    <row r="471" spans="54:54" ht="14.25">
      <c r="BB471">
        <v>468</v>
      </c>
    </row>
    <row r="472" spans="54:54" ht="14.25">
      <c r="BB472">
        <v>469</v>
      </c>
    </row>
    <row r="473" spans="54:54" ht="14.25">
      <c r="BB473">
        <v>470</v>
      </c>
    </row>
    <row r="474" spans="54:54" ht="14.25">
      <c r="BB474">
        <v>471</v>
      </c>
    </row>
    <row r="475" spans="54:54" ht="14.25">
      <c r="BB475">
        <v>472</v>
      </c>
    </row>
    <row r="476" spans="54:54" ht="14.25">
      <c r="BB476">
        <v>473</v>
      </c>
    </row>
    <row r="477" spans="54:54" ht="14.25">
      <c r="BB477">
        <v>474</v>
      </c>
    </row>
    <row r="478" spans="54:54" ht="14.25">
      <c r="BB478">
        <v>475</v>
      </c>
    </row>
    <row r="479" spans="54:54" ht="14.25">
      <c r="BB479">
        <v>476</v>
      </c>
    </row>
    <row r="480" spans="54:54" ht="14.25">
      <c r="BB480">
        <v>477</v>
      </c>
    </row>
    <row r="481" spans="54:54" ht="14.25">
      <c r="BB481">
        <v>478</v>
      </c>
    </row>
    <row r="482" spans="54:54" ht="14.25">
      <c r="BB482">
        <v>479</v>
      </c>
    </row>
    <row r="483" spans="54:54" ht="14.25">
      <c r="BB483">
        <v>480</v>
      </c>
    </row>
    <row r="484" spans="54:54" ht="14.25">
      <c r="BB484">
        <v>481</v>
      </c>
    </row>
    <row r="485" spans="54:54" ht="14.25">
      <c r="BB485">
        <v>482</v>
      </c>
    </row>
    <row r="486" spans="54:54" ht="14.25">
      <c r="BB486">
        <v>483</v>
      </c>
    </row>
    <row r="487" spans="54:54" ht="14.25">
      <c r="BB487">
        <v>484</v>
      </c>
    </row>
    <row r="488" spans="54:54" ht="14.25">
      <c r="BB488">
        <v>485</v>
      </c>
    </row>
    <row r="489" spans="54:54" ht="14.25">
      <c r="BB489">
        <v>486</v>
      </c>
    </row>
    <row r="490" spans="54:54" ht="14.25">
      <c r="BB490">
        <v>487</v>
      </c>
    </row>
    <row r="491" spans="54:54" ht="14.25">
      <c r="BB491">
        <v>488</v>
      </c>
    </row>
    <row r="492" spans="54:54" ht="14.25">
      <c r="BB492">
        <v>489</v>
      </c>
    </row>
    <row r="493" spans="54:54" ht="14.25">
      <c r="BB493">
        <v>490</v>
      </c>
    </row>
    <row r="494" spans="54:54" ht="14.25">
      <c r="BB494">
        <v>491</v>
      </c>
    </row>
    <row r="495" spans="54:54" ht="14.25">
      <c r="BB495">
        <v>492</v>
      </c>
    </row>
    <row r="496" spans="54:54" ht="14.25">
      <c r="BB496">
        <v>493</v>
      </c>
    </row>
    <row r="497" spans="54:54" ht="14.25">
      <c r="BB497">
        <v>494</v>
      </c>
    </row>
    <row r="498" spans="54:54" ht="14.25">
      <c r="BB498">
        <v>495</v>
      </c>
    </row>
    <row r="499" spans="54:54" ht="14.25">
      <c r="BB499">
        <v>496</v>
      </c>
    </row>
    <row r="500" spans="54:54" ht="14.25">
      <c r="BB500">
        <v>497</v>
      </c>
    </row>
    <row r="501" spans="54:54" ht="14.25">
      <c r="BB501">
        <v>498</v>
      </c>
    </row>
    <row r="502" spans="54:54" ht="14.25">
      <c r="BB502">
        <v>499</v>
      </c>
    </row>
    <row r="503" spans="54:54" ht="14.25">
      <c r="BB503">
        <v>500</v>
      </c>
    </row>
    <row r="504" spans="54:54" ht="14.25">
      <c r="BB504">
        <v>501</v>
      </c>
    </row>
    <row r="505" spans="54:54" ht="14.25">
      <c r="BB505">
        <v>502</v>
      </c>
    </row>
    <row r="506" spans="54:54" ht="14.25">
      <c r="BB506">
        <v>503</v>
      </c>
    </row>
    <row r="507" spans="54:54" ht="14.25">
      <c r="BB507">
        <v>504</v>
      </c>
    </row>
    <row r="508" spans="54:54" ht="14.25">
      <c r="BB508">
        <v>505</v>
      </c>
    </row>
    <row r="509" spans="54:54" ht="14.25">
      <c r="BB509">
        <v>506</v>
      </c>
    </row>
    <row r="510" spans="54:54" ht="14.25">
      <c r="BB510">
        <v>507</v>
      </c>
    </row>
    <row r="511" spans="54:54" ht="14.25">
      <c r="BB511">
        <v>508</v>
      </c>
    </row>
    <row r="512" spans="54:54" ht="14.25">
      <c r="BB512">
        <v>509</v>
      </c>
    </row>
    <row r="513" spans="54:54" ht="14.25">
      <c r="BB513">
        <v>510</v>
      </c>
    </row>
    <row r="514" spans="54:54" ht="14.25">
      <c r="BB514">
        <v>511</v>
      </c>
    </row>
    <row r="515" spans="54:54" ht="14.25">
      <c r="BB515">
        <v>512</v>
      </c>
    </row>
    <row r="516" spans="54:54" ht="14.25">
      <c r="BB516">
        <v>513</v>
      </c>
    </row>
    <row r="517" spans="54:54" ht="14.25">
      <c r="BB517">
        <v>514</v>
      </c>
    </row>
    <row r="518" spans="54:54" ht="14.25">
      <c r="BB518">
        <v>515</v>
      </c>
    </row>
    <row r="519" spans="54:54" ht="14.25">
      <c r="BB519">
        <v>516</v>
      </c>
    </row>
    <row r="520" spans="54:54" ht="14.25">
      <c r="BB520">
        <v>517</v>
      </c>
    </row>
    <row r="521" spans="54:54" ht="14.25">
      <c r="BB521">
        <v>518</v>
      </c>
    </row>
    <row r="522" spans="54:54" ht="14.25">
      <c r="BB522">
        <v>519</v>
      </c>
    </row>
    <row r="523" spans="54:54" ht="14.25">
      <c r="BB523">
        <v>520</v>
      </c>
    </row>
    <row r="524" spans="54:54" ht="14.25">
      <c r="BB524">
        <v>521</v>
      </c>
    </row>
    <row r="525" spans="54:54" ht="14.25">
      <c r="BB525">
        <v>522</v>
      </c>
    </row>
    <row r="526" spans="54:54" ht="14.25">
      <c r="BB526">
        <v>523</v>
      </c>
    </row>
    <row r="527" spans="54:54" ht="14.25">
      <c r="BB527">
        <v>524</v>
      </c>
    </row>
    <row r="528" spans="54:54" ht="14.25">
      <c r="BB528">
        <v>525</v>
      </c>
    </row>
    <row r="529" spans="54:54" ht="14.25">
      <c r="BB529">
        <v>526</v>
      </c>
    </row>
    <row r="530" spans="54:54" ht="14.25">
      <c r="BB530">
        <v>527</v>
      </c>
    </row>
    <row r="531" spans="54:54" ht="14.25">
      <c r="BB531">
        <v>528</v>
      </c>
    </row>
    <row r="532" spans="54:54" ht="14.25">
      <c r="BB532">
        <v>529</v>
      </c>
    </row>
    <row r="533" spans="54:54" ht="14.25">
      <c r="BB533">
        <v>530</v>
      </c>
    </row>
    <row r="534" spans="54:54" ht="14.25">
      <c r="BB534">
        <v>531</v>
      </c>
    </row>
    <row r="535" spans="54:54" ht="14.25">
      <c r="BB535">
        <v>532</v>
      </c>
    </row>
    <row r="536" spans="54:54" ht="14.25">
      <c r="BB536">
        <v>533</v>
      </c>
    </row>
    <row r="537" spans="54:54" ht="14.25">
      <c r="BB537">
        <v>534</v>
      </c>
    </row>
    <row r="538" spans="54:54" ht="14.25">
      <c r="BB538">
        <v>535</v>
      </c>
    </row>
    <row r="539" spans="54:54" ht="14.25">
      <c r="BB539">
        <v>536</v>
      </c>
    </row>
    <row r="540" spans="54:54" ht="14.25">
      <c r="BB540">
        <v>537</v>
      </c>
    </row>
    <row r="541" spans="54:54" ht="14.25">
      <c r="BB541">
        <v>538</v>
      </c>
    </row>
    <row r="542" spans="54:54" ht="14.25">
      <c r="BB542">
        <v>539</v>
      </c>
    </row>
    <row r="543" spans="54:54" ht="14.25">
      <c r="BB543">
        <v>540</v>
      </c>
    </row>
    <row r="544" spans="54:54" ht="14.25">
      <c r="BB544">
        <v>541</v>
      </c>
    </row>
    <row r="545" spans="54:54" ht="14.25">
      <c r="BB545">
        <v>542</v>
      </c>
    </row>
    <row r="546" spans="54:54" ht="14.25">
      <c r="BB546">
        <v>543</v>
      </c>
    </row>
    <row r="547" spans="54:54" ht="14.25">
      <c r="BB547">
        <v>544</v>
      </c>
    </row>
    <row r="548" spans="54:54" ht="14.25">
      <c r="BB548">
        <v>545</v>
      </c>
    </row>
    <row r="549" spans="54:54" ht="14.25">
      <c r="BB549">
        <v>546</v>
      </c>
    </row>
    <row r="550" spans="54:54" ht="14.25">
      <c r="BB550">
        <v>547</v>
      </c>
    </row>
    <row r="551" spans="54:54" ht="14.25">
      <c r="BB551">
        <v>548</v>
      </c>
    </row>
    <row r="552" spans="54:54" ht="14.25">
      <c r="BB552">
        <v>549</v>
      </c>
    </row>
    <row r="553" spans="54:54" ht="14.25">
      <c r="BB553">
        <v>550</v>
      </c>
    </row>
    <row r="554" spans="54:54" ht="14.25">
      <c r="BB554">
        <v>551</v>
      </c>
    </row>
    <row r="555" spans="54:54" ht="14.25">
      <c r="BB555">
        <v>552</v>
      </c>
    </row>
    <row r="556" spans="54:54" ht="14.25">
      <c r="BB556">
        <v>553</v>
      </c>
    </row>
    <row r="557" spans="54:54" ht="14.25">
      <c r="BB557">
        <v>554</v>
      </c>
    </row>
    <row r="558" spans="54:54" ht="14.25">
      <c r="BB558">
        <v>555</v>
      </c>
    </row>
    <row r="559" spans="54:54" ht="14.25">
      <c r="BB559">
        <v>556</v>
      </c>
    </row>
    <row r="560" spans="54:54" ht="14.25">
      <c r="BB560">
        <v>557</v>
      </c>
    </row>
    <row r="561" spans="54:54" ht="14.25">
      <c r="BB561">
        <v>558</v>
      </c>
    </row>
    <row r="562" spans="54:54" ht="14.25">
      <c r="BB562">
        <v>559</v>
      </c>
    </row>
    <row r="563" spans="54:54" ht="14.25">
      <c r="BB563">
        <v>560</v>
      </c>
    </row>
    <row r="564" spans="54:54" ht="14.25">
      <c r="BB564">
        <v>561</v>
      </c>
    </row>
    <row r="565" spans="54:54" ht="14.25">
      <c r="BB565">
        <v>562</v>
      </c>
    </row>
    <row r="566" spans="54:54" ht="14.25">
      <c r="BB566">
        <v>563</v>
      </c>
    </row>
    <row r="567" spans="54:54" ht="14.25">
      <c r="BB567">
        <v>564</v>
      </c>
    </row>
    <row r="568" spans="54:54" ht="14.25">
      <c r="BB568">
        <v>565</v>
      </c>
    </row>
    <row r="569" spans="54:54" ht="14.25">
      <c r="BB569">
        <v>566</v>
      </c>
    </row>
    <row r="570" spans="54:54" ht="14.25">
      <c r="BB570">
        <v>567</v>
      </c>
    </row>
    <row r="571" spans="54:54" ht="14.25">
      <c r="BB571">
        <v>568</v>
      </c>
    </row>
    <row r="572" spans="54:54" ht="14.25">
      <c r="BB572">
        <v>569</v>
      </c>
    </row>
    <row r="573" spans="54:54" ht="14.25">
      <c r="BB573">
        <v>570</v>
      </c>
    </row>
    <row r="574" spans="54:54" ht="14.25">
      <c r="BB574">
        <v>571</v>
      </c>
    </row>
    <row r="575" spans="54:54" ht="14.25">
      <c r="BB575">
        <v>572</v>
      </c>
    </row>
    <row r="576" spans="54:54" ht="14.25">
      <c r="BB576">
        <v>573</v>
      </c>
    </row>
    <row r="577" spans="54:54" ht="14.25">
      <c r="BB577">
        <v>574</v>
      </c>
    </row>
    <row r="578" spans="54:54" ht="14.25">
      <c r="BB578">
        <v>575</v>
      </c>
    </row>
    <row r="579" spans="54:54" ht="14.25">
      <c r="BB579">
        <v>576</v>
      </c>
    </row>
    <row r="580" spans="54:54" ht="14.25">
      <c r="BB580">
        <v>577</v>
      </c>
    </row>
    <row r="581" spans="54:54" ht="14.25">
      <c r="BB581">
        <v>578</v>
      </c>
    </row>
    <row r="582" spans="54:54" ht="14.25">
      <c r="BB582">
        <v>579</v>
      </c>
    </row>
    <row r="583" spans="54:54" ht="14.25">
      <c r="BB583">
        <v>580</v>
      </c>
    </row>
    <row r="584" spans="54:54" ht="14.25">
      <c r="BB584">
        <v>581</v>
      </c>
    </row>
    <row r="585" spans="54:54" ht="14.25">
      <c r="BB585">
        <v>582</v>
      </c>
    </row>
    <row r="586" spans="54:54" ht="14.25">
      <c r="BB586">
        <v>583</v>
      </c>
    </row>
    <row r="587" spans="54:54" ht="14.25">
      <c r="BB587">
        <v>584</v>
      </c>
    </row>
    <row r="588" spans="54:54" ht="14.25">
      <c r="BB588">
        <v>585</v>
      </c>
    </row>
    <row r="589" spans="54:54" ht="14.25">
      <c r="BB589">
        <v>586</v>
      </c>
    </row>
    <row r="590" spans="54:54" ht="14.25">
      <c r="BB590">
        <v>587</v>
      </c>
    </row>
    <row r="591" spans="54:54" ht="14.25">
      <c r="BB591">
        <v>588</v>
      </c>
    </row>
    <row r="592" spans="54:54" ht="14.25">
      <c r="BB592">
        <v>589</v>
      </c>
    </row>
    <row r="593" spans="54:54" ht="14.25">
      <c r="BB593">
        <v>590</v>
      </c>
    </row>
    <row r="594" spans="54:54" ht="14.25">
      <c r="BB594">
        <v>591</v>
      </c>
    </row>
    <row r="595" spans="54:54" ht="14.25">
      <c r="BB595">
        <v>592</v>
      </c>
    </row>
    <row r="596" spans="54:54" ht="14.25">
      <c r="BB596">
        <v>593</v>
      </c>
    </row>
    <row r="597" spans="54:54" ht="14.25">
      <c r="BB597">
        <v>594</v>
      </c>
    </row>
    <row r="598" spans="54:54" ht="14.25">
      <c r="BB598">
        <v>595</v>
      </c>
    </row>
    <row r="599" spans="54:54" ht="14.25">
      <c r="BB599">
        <v>596</v>
      </c>
    </row>
    <row r="600" spans="54:54" ht="14.25">
      <c r="BB600">
        <v>597</v>
      </c>
    </row>
    <row r="601" spans="54:54" ht="14.25">
      <c r="BB601">
        <v>598</v>
      </c>
    </row>
    <row r="602" spans="54:54" ht="14.25">
      <c r="BB602">
        <v>599</v>
      </c>
    </row>
    <row r="603" spans="54:54" ht="14.25">
      <c r="BB603">
        <v>600</v>
      </c>
    </row>
    <row r="604" spans="54:54" ht="14.25">
      <c r="BB604">
        <v>601</v>
      </c>
    </row>
    <row r="605" spans="54:54" ht="14.25">
      <c r="BB605">
        <v>602</v>
      </c>
    </row>
    <row r="606" spans="54:54" ht="14.25">
      <c r="BB606">
        <v>603</v>
      </c>
    </row>
    <row r="607" spans="54:54" ht="14.25">
      <c r="BB607">
        <v>604</v>
      </c>
    </row>
    <row r="608" spans="54:54" ht="14.25">
      <c r="BB608">
        <v>605</v>
      </c>
    </row>
    <row r="609" spans="54:54" ht="14.25">
      <c r="BB609">
        <v>606</v>
      </c>
    </row>
    <row r="610" spans="54:54" ht="14.25">
      <c r="BB610">
        <v>607</v>
      </c>
    </row>
    <row r="611" spans="54:54" ht="14.25">
      <c r="BB611">
        <v>608</v>
      </c>
    </row>
    <row r="612" spans="54:54" ht="14.25">
      <c r="BB612">
        <v>609</v>
      </c>
    </row>
    <row r="613" spans="54:54" ht="14.25">
      <c r="BB613">
        <v>610</v>
      </c>
    </row>
    <row r="614" spans="54:54" ht="14.25">
      <c r="BB614">
        <v>611</v>
      </c>
    </row>
    <row r="615" spans="54:54" ht="14.25">
      <c r="BB615">
        <v>612</v>
      </c>
    </row>
    <row r="616" spans="54:54" ht="14.25">
      <c r="BB616">
        <v>613</v>
      </c>
    </row>
    <row r="617" spans="54:54" ht="14.25">
      <c r="BB617">
        <v>614</v>
      </c>
    </row>
    <row r="618" spans="54:54" ht="14.25">
      <c r="BB618">
        <v>615</v>
      </c>
    </row>
    <row r="619" spans="54:54" ht="14.25">
      <c r="BB619">
        <v>616</v>
      </c>
    </row>
    <row r="620" spans="54:54" ht="14.25">
      <c r="BB620">
        <v>617</v>
      </c>
    </row>
    <row r="621" spans="54:54" ht="14.25">
      <c r="BB621">
        <v>618</v>
      </c>
    </row>
    <row r="622" spans="54:54" ht="14.25">
      <c r="BB622">
        <v>619</v>
      </c>
    </row>
    <row r="623" spans="54:54" ht="14.25">
      <c r="BB623">
        <v>620</v>
      </c>
    </row>
    <row r="624" spans="54:54" ht="14.25">
      <c r="BB624">
        <v>621</v>
      </c>
    </row>
    <row r="625" spans="54:54" ht="14.25">
      <c r="BB625">
        <v>622</v>
      </c>
    </row>
    <row r="626" spans="54:54" ht="14.25">
      <c r="BB626">
        <v>623</v>
      </c>
    </row>
    <row r="627" spans="54:54" ht="14.25">
      <c r="BB627">
        <v>624</v>
      </c>
    </row>
    <row r="628" spans="54:54" ht="14.25">
      <c r="BB628">
        <v>625</v>
      </c>
    </row>
    <row r="629" spans="54:54" ht="14.25">
      <c r="BB629">
        <v>626</v>
      </c>
    </row>
    <row r="630" spans="54:54" ht="14.25">
      <c r="BB630">
        <v>627</v>
      </c>
    </row>
    <row r="631" spans="54:54" ht="14.25">
      <c r="BB631">
        <v>628</v>
      </c>
    </row>
    <row r="632" spans="54:54" ht="14.25">
      <c r="BB632">
        <v>629</v>
      </c>
    </row>
    <row r="633" spans="54:54" ht="14.25">
      <c r="BB633">
        <v>630</v>
      </c>
    </row>
    <row r="634" spans="54:54" ht="14.25">
      <c r="BB634">
        <v>631</v>
      </c>
    </row>
    <row r="635" spans="54:54" ht="14.25">
      <c r="BB635">
        <v>632</v>
      </c>
    </row>
    <row r="636" spans="54:54" ht="14.25">
      <c r="BB636">
        <v>633</v>
      </c>
    </row>
    <row r="637" spans="54:54" ht="14.25">
      <c r="BB637">
        <v>634</v>
      </c>
    </row>
    <row r="638" spans="54:54" ht="14.25">
      <c r="BB638">
        <v>635</v>
      </c>
    </row>
    <row r="639" spans="54:54" ht="14.25">
      <c r="BB639">
        <v>636</v>
      </c>
    </row>
    <row r="640" spans="54:54" ht="14.25">
      <c r="BB640">
        <v>637</v>
      </c>
    </row>
    <row r="641" spans="54:54" ht="14.25">
      <c r="BB641">
        <v>638</v>
      </c>
    </row>
    <row r="642" spans="54:54" ht="14.25">
      <c r="BB642">
        <v>639</v>
      </c>
    </row>
    <row r="643" spans="54:54" ht="14.25">
      <c r="BB643">
        <v>640</v>
      </c>
    </row>
    <row r="644" spans="54:54" ht="14.25">
      <c r="BB644">
        <v>641</v>
      </c>
    </row>
    <row r="645" spans="54:54" ht="14.25">
      <c r="BB645">
        <v>642</v>
      </c>
    </row>
    <row r="646" spans="54:54" ht="14.25">
      <c r="BB646">
        <v>643</v>
      </c>
    </row>
    <row r="647" spans="54:54" ht="14.25">
      <c r="BB647">
        <v>644</v>
      </c>
    </row>
    <row r="648" spans="54:54" ht="14.25">
      <c r="BB648">
        <v>645</v>
      </c>
    </row>
    <row r="649" spans="54:54" ht="14.25">
      <c r="BB649">
        <v>646</v>
      </c>
    </row>
    <row r="650" spans="54:54" ht="14.25">
      <c r="BB650">
        <v>647</v>
      </c>
    </row>
    <row r="651" spans="54:54" ht="14.25">
      <c r="BB651">
        <v>648</v>
      </c>
    </row>
    <row r="652" spans="54:54" ht="14.25">
      <c r="BB652">
        <v>649</v>
      </c>
    </row>
    <row r="653" spans="54:54" ht="14.25">
      <c r="BB653">
        <v>650</v>
      </c>
    </row>
    <row r="654" spans="54:54" ht="14.25">
      <c r="BB654">
        <v>651</v>
      </c>
    </row>
    <row r="655" spans="54:54" ht="14.25">
      <c r="BB655">
        <v>652</v>
      </c>
    </row>
    <row r="656" spans="54:54" ht="14.25">
      <c r="BB656">
        <v>653</v>
      </c>
    </row>
    <row r="657" spans="54:54" ht="14.25">
      <c r="BB657">
        <v>654</v>
      </c>
    </row>
    <row r="658" spans="54:54" ht="14.25">
      <c r="BB658">
        <v>655</v>
      </c>
    </row>
    <row r="659" spans="54:54" ht="14.25">
      <c r="BB659">
        <v>656</v>
      </c>
    </row>
    <row r="660" spans="54:54" ht="14.25">
      <c r="BB660">
        <v>657</v>
      </c>
    </row>
    <row r="661" spans="54:54" ht="14.25">
      <c r="BB661">
        <v>658</v>
      </c>
    </row>
    <row r="662" spans="54:54" ht="14.25">
      <c r="BB662">
        <v>659</v>
      </c>
    </row>
    <row r="663" spans="54:54" ht="14.25">
      <c r="BB663">
        <v>660</v>
      </c>
    </row>
    <row r="664" spans="54:54" ht="14.25">
      <c r="BB664">
        <v>661</v>
      </c>
    </row>
    <row r="665" spans="54:54" ht="14.25">
      <c r="BB665">
        <v>662</v>
      </c>
    </row>
    <row r="666" spans="54:54" ht="14.25">
      <c r="BB666">
        <v>663</v>
      </c>
    </row>
    <row r="667" spans="54:54" ht="14.25">
      <c r="BB667">
        <v>664</v>
      </c>
    </row>
    <row r="668" spans="54:54" ht="14.25">
      <c r="BB668">
        <v>665</v>
      </c>
    </row>
    <row r="669" spans="54:54" ht="14.25">
      <c r="BB669">
        <v>666</v>
      </c>
    </row>
    <row r="670" spans="54:54" ht="14.25">
      <c r="BB670">
        <v>667</v>
      </c>
    </row>
    <row r="671" spans="54:54" ht="14.25">
      <c r="BB671">
        <v>668</v>
      </c>
    </row>
    <row r="672" spans="54:54" ht="14.25">
      <c r="BB672">
        <v>669</v>
      </c>
    </row>
    <row r="673" spans="54:54" ht="14.25">
      <c r="BB673">
        <v>670</v>
      </c>
    </row>
    <row r="674" spans="54:54" ht="14.25">
      <c r="BB674">
        <v>671</v>
      </c>
    </row>
    <row r="675" spans="54:54" ht="14.25">
      <c r="BB675">
        <v>672</v>
      </c>
    </row>
    <row r="676" spans="54:54" ht="14.25">
      <c r="BB676">
        <v>673</v>
      </c>
    </row>
    <row r="677" spans="54:54" ht="14.25">
      <c r="BB677">
        <v>674</v>
      </c>
    </row>
    <row r="678" spans="54:54" ht="14.25">
      <c r="BB678">
        <v>675</v>
      </c>
    </row>
    <row r="679" spans="54:54" ht="14.25">
      <c r="BB679">
        <v>676</v>
      </c>
    </row>
    <row r="680" spans="54:54" ht="14.25">
      <c r="BB680">
        <v>677</v>
      </c>
    </row>
    <row r="681" spans="54:54" ht="14.25">
      <c r="BB681">
        <v>678</v>
      </c>
    </row>
    <row r="682" spans="54:54" ht="14.25">
      <c r="BB682">
        <v>679</v>
      </c>
    </row>
    <row r="683" spans="54:54" ht="14.25">
      <c r="BB683">
        <v>680</v>
      </c>
    </row>
    <row r="684" spans="54:54" ht="14.25">
      <c r="BB684">
        <v>681</v>
      </c>
    </row>
    <row r="685" spans="54:54" ht="14.25">
      <c r="BB685">
        <v>682</v>
      </c>
    </row>
    <row r="686" spans="54:54" ht="14.25">
      <c r="BB686">
        <v>683</v>
      </c>
    </row>
    <row r="687" spans="54:54" ht="14.25">
      <c r="BB687">
        <v>684</v>
      </c>
    </row>
    <row r="688" spans="54:54" ht="14.25">
      <c r="BB688">
        <v>685</v>
      </c>
    </row>
    <row r="689" spans="54:54" ht="14.25">
      <c r="BB689">
        <v>686</v>
      </c>
    </row>
    <row r="690" spans="54:54" ht="14.25">
      <c r="BB690">
        <v>687</v>
      </c>
    </row>
    <row r="691" spans="54:54" ht="14.25">
      <c r="BB691">
        <v>688</v>
      </c>
    </row>
    <row r="692" spans="54:54" ht="14.25">
      <c r="BB692">
        <v>689</v>
      </c>
    </row>
    <row r="693" spans="54:54" ht="14.25">
      <c r="BB693">
        <v>690</v>
      </c>
    </row>
    <row r="694" spans="54:54" ht="14.25">
      <c r="BB694">
        <v>691</v>
      </c>
    </row>
    <row r="695" spans="54:54" ht="14.25">
      <c r="BB695">
        <v>692</v>
      </c>
    </row>
    <row r="696" spans="54:54" ht="14.25">
      <c r="BB696">
        <v>693</v>
      </c>
    </row>
    <row r="697" spans="54:54" ht="14.25">
      <c r="BB697">
        <v>694</v>
      </c>
    </row>
    <row r="698" spans="54:54" ht="14.25">
      <c r="BB698">
        <v>695</v>
      </c>
    </row>
    <row r="699" spans="54:54" ht="14.25">
      <c r="BB699">
        <v>696</v>
      </c>
    </row>
    <row r="700" spans="54:54" ht="14.25">
      <c r="BB700">
        <v>697</v>
      </c>
    </row>
    <row r="701" spans="54:54" ht="14.25">
      <c r="BB701">
        <v>698</v>
      </c>
    </row>
    <row r="702" spans="54:54" ht="14.25">
      <c r="BB702">
        <v>699</v>
      </c>
    </row>
    <row r="703" spans="54:54" ht="14.25">
      <c r="BB703">
        <v>700</v>
      </c>
    </row>
    <row r="704" spans="54:54" ht="14.25">
      <c r="BB704">
        <v>701</v>
      </c>
    </row>
    <row r="705" spans="54:54" ht="14.25">
      <c r="BB705">
        <v>702</v>
      </c>
    </row>
    <row r="706" spans="54:54" ht="14.25">
      <c r="BB706">
        <v>703</v>
      </c>
    </row>
    <row r="707" spans="54:54" ht="14.25">
      <c r="BB707">
        <v>704</v>
      </c>
    </row>
    <row r="708" spans="54:54" ht="14.25">
      <c r="BB708">
        <v>705</v>
      </c>
    </row>
    <row r="709" spans="54:54" ht="14.25">
      <c r="BB709">
        <v>706</v>
      </c>
    </row>
    <row r="710" spans="54:54" ht="14.25">
      <c r="BB710">
        <v>707</v>
      </c>
    </row>
    <row r="711" spans="54:54" ht="14.25">
      <c r="BB711">
        <v>708</v>
      </c>
    </row>
    <row r="712" spans="54:54" ht="14.25">
      <c r="BB712">
        <v>709</v>
      </c>
    </row>
    <row r="713" spans="54:54" ht="14.25">
      <c r="BB713">
        <v>710</v>
      </c>
    </row>
    <row r="714" spans="54:54" ht="14.25">
      <c r="BB714">
        <v>711</v>
      </c>
    </row>
    <row r="715" spans="54:54" ht="14.25">
      <c r="BB715">
        <v>712</v>
      </c>
    </row>
    <row r="716" spans="54:54" ht="14.25">
      <c r="BB716">
        <v>713</v>
      </c>
    </row>
    <row r="717" spans="54:54" ht="14.25">
      <c r="BB717">
        <v>714</v>
      </c>
    </row>
    <row r="718" spans="54:54" ht="14.25">
      <c r="BB718">
        <v>715</v>
      </c>
    </row>
    <row r="719" spans="54:54" ht="14.25">
      <c r="BB719">
        <v>716</v>
      </c>
    </row>
    <row r="720" spans="54:54" ht="14.25">
      <c r="BB720">
        <v>717</v>
      </c>
    </row>
    <row r="721" spans="54:54" ht="14.25">
      <c r="BB721">
        <v>718</v>
      </c>
    </row>
    <row r="722" spans="54:54" ht="14.25">
      <c r="BB722">
        <v>719</v>
      </c>
    </row>
    <row r="723" spans="54:54" ht="14.25">
      <c r="BB723">
        <v>720</v>
      </c>
    </row>
    <row r="724" spans="54:54" ht="14.25">
      <c r="BB724">
        <v>721</v>
      </c>
    </row>
    <row r="725" spans="54:54" ht="14.25">
      <c r="BB725">
        <v>722</v>
      </c>
    </row>
    <row r="726" spans="54:54" ht="14.25">
      <c r="BB726">
        <v>723</v>
      </c>
    </row>
  </sheetData>
  <sheetProtection algorithmName="SHA-512" hashValue="I85mccBSIMtq7A5kRecVG2QGy37B04XRULP8yxQ5agglo//CYaq/AbTqZw4xAcQ+p2ce0zQwzgBDWX7y7FcfUQ==" saltValue="skBiiB1WvYRrFqSTlm8WLg==" spinCount="100000" sheet="1" objects="1" scenarios="1"/>
  <mergeCells count="48">
    <mergeCell ref="AP67:AR67"/>
    <mergeCell ref="AP60:AR60"/>
    <mergeCell ref="AB2:AD2"/>
    <mergeCell ref="AB3:AD3"/>
    <mergeCell ref="AL3:AM3"/>
    <mergeCell ref="C59:H59"/>
    <mergeCell ref="X2:Y2"/>
    <mergeCell ref="K5:P5"/>
    <mergeCell ref="C54:H54"/>
    <mergeCell ref="T3:V3"/>
    <mergeCell ref="C38:I38"/>
    <mergeCell ref="C5:H5"/>
    <mergeCell ref="C10:H10"/>
    <mergeCell ref="C15:I15"/>
    <mergeCell ref="K28:R28"/>
    <mergeCell ref="X3:Y3"/>
    <mergeCell ref="K21:P21"/>
    <mergeCell ref="T2:V2"/>
    <mergeCell ref="K30:K32"/>
    <mergeCell ref="K33:K35"/>
    <mergeCell ref="D37:E37"/>
    <mergeCell ref="AT3:AU3"/>
    <mergeCell ref="AQ26:AR26"/>
    <mergeCell ref="AP51:AR51"/>
    <mergeCell ref="AQ12:AR12"/>
    <mergeCell ref="AQ47:AR47"/>
    <mergeCell ref="AQ46:AR46"/>
    <mergeCell ref="AP45:AR45"/>
    <mergeCell ref="AQ48:AR48"/>
    <mergeCell ref="AQ3:AR3"/>
    <mergeCell ref="AT12:AU12"/>
    <mergeCell ref="AT16:AU16"/>
    <mergeCell ref="T84:V84"/>
    <mergeCell ref="AB84:AD84"/>
    <mergeCell ref="AP36:AR36"/>
    <mergeCell ref="AP30:AR30"/>
    <mergeCell ref="AQ53:AQ54"/>
    <mergeCell ref="T81:V81"/>
    <mergeCell ref="T80:V80"/>
    <mergeCell ref="AQ56:AR56"/>
    <mergeCell ref="AQ57:AR57"/>
    <mergeCell ref="AQ58:AR58"/>
    <mergeCell ref="AQ64:AR64"/>
    <mergeCell ref="AQ65:AR65"/>
    <mergeCell ref="AP61:AQ61"/>
    <mergeCell ref="AP62:AQ62"/>
    <mergeCell ref="AP69:AQ69"/>
    <mergeCell ref="AP68:AQ68"/>
  </mergeCells>
  <conditionalFormatting sqref="F47">
    <cfRule type="dataBar" priority="1">
      <dataBar minLength="0" maxLength="100">
        <cfvo type="num" val="0"/>
        <cfvo type="num" val="$T$81"/>
        <color rgb="FF638EC6"/>
      </dataBar>
      <extLst>
        <ext xmlns:x14="http://schemas.microsoft.com/office/spreadsheetml/2009/9/main" uri="{B025F937-C7B1-47D3-B67F-A62EFF666E3E}">
          <x14:id>{c38aaf0f-5003-4685-8f8f-c30ff7ee3b07}</x14:id>
        </ext>
      </extLst>
    </cfRule>
  </conditionalFormatting>
  <pageMargins left="0.7" right="0.7" top="0.75" bottom="0.75" header="0.3" footer="0.3"/>
  <pageSetup orientation="portrait" paperSize="9" r:id="rId1"/>
  <ignoredErrors>
    <ignoredError sqref="N33:N3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aaf0f-5003-4685-8f8f-c30ff7ee3b07}">
            <x14:dataBar minLength="0" maxLength="100" gradient="0">
              <x14:cfvo type="num">
                <xm:f>0</xm:f>
              </x14:cfvo>
              <x14:cfvo type="num">
                <xm:f>$T$81</xm:f>
              </x14:cfvo>
              <x14:negativeFillColor rgb="FFFF0000"/>
              <x14:axisColor rgb="FF000000"/>
            </x14:dataBar>
            <x14:dxf/>
          </x14:cfRule>
          <xm:sqref>F47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tabColor rgb="FFFFFF00"/>
  </sheetPr>
  <dimension ref="A1:AB559"/>
  <sheetViews>
    <sheetView rightToLeft="1" zoomScale="85" zoomScaleNormal="85" workbookViewId="0" topLeftCell="A157">
      <selection pane="topLeft" activeCell="A188" sqref="A188"/>
    </sheetView>
  </sheetViews>
  <sheetFormatPr defaultColWidth="9.125" defaultRowHeight="14.25"/>
  <cols>
    <col min="1" max="1" width="45.625" bestFit="1" customWidth="1"/>
    <col min="2" max="2" width="6.875" bestFit="1" customWidth="1"/>
    <col min="3" max="3" width="11" bestFit="1" customWidth="1"/>
    <col min="4" max="4" width="8.25" customWidth="1"/>
    <col min="5" max="5" width="8.25" style="50" customWidth="1"/>
    <col min="6" max="6" width="8.25" customWidth="1"/>
    <col min="7" max="7" width="12.875" customWidth="1"/>
    <col min="11" max="11" width="9.125" customWidth="1"/>
    <col min="12" max="12" width="9.125" hidden="1" customWidth="1"/>
    <col min="13" max="14" width="0" hidden="1" customWidth="1"/>
    <col min="15" max="15" width="9.125" hidden="1" customWidth="1"/>
    <col min="16" max="16" width="9.125" style="50" hidden="1" customWidth="1"/>
    <col min="17" max="18" width="9.125" hidden="1" customWidth="1"/>
  </cols>
  <sheetData>
    <row r="1" spans="1:18" ht="15">
      <c r="A1" s="23" t="s">
        <v>35</v>
      </c>
      <c r="B1" s="23" t="s">
        <v>25</v>
      </c>
      <c r="C1" s="23" t="s">
        <v>14</v>
      </c>
      <c r="D1" s="23" t="s">
        <v>15</v>
      </c>
      <c r="E1" s="22" t="s">
        <v>71</v>
      </c>
      <c r="P1" s="403" t="s">
        <v>73</v>
      </c>
      <c r="Q1" s="404"/>
      <c r="R1" s="405"/>
    </row>
    <row r="2" spans="1:28" ht="15">
      <c r="A2" s="59" t="s">
        <v>116</v>
      </c>
      <c r="B2" s="402" t="s">
        <v>138</v>
      </c>
      <c r="C2" s="402"/>
      <c r="D2" s="270" t="s">
        <v>137</v>
      </c>
      <c r="E2" s="41"/>
      <c r="P2" s="52" t="s">
        <v>74</v>
      </c>
      <c r="Q2" s="15" t="s">
        <v>14</v>
      </c>
      <c r="R2" s="26" t="s">
        <v>15</v>
      </c>
      <c r="X2" s="22"/>
      <c r="AB2" s="50"/>
    </row>
    <row r="3" spans="1:28" ht="14.25">
      <c r="A3" t="s">
        <v>354</v>
      </c>
      <c r="B3">
        <v>12.598000000000001</v>
      </c>
      <c r="C3">
        <v>4400</v>
      </c>
      <c r="D3">
        <v>369</v>
      </c>
      <c r="E3" s="41">
        <v>6.01</v>
      </c>
      <c r="P3" s="43">
        <f t="array" ref="P3">INDEX($E$3:$E$358,MATCH(0,COUNTIF($P$1:P1,$E$3:$E$358),0))</f>
        <v>6.01</v>
      </c>
      <c r="Q3" s="15">
        <f t="shared" si="0" ref="Q3:Q76">IFERROR((INDEX($C$3:$D$358,MATCH($P3,$E$3:$E$358,0),1)),"")</f>
        <v>4400</v>
      </c>
      <c r="R3" s="26">
        <f t="shared" si="1" ref="R3:R76">IFERROR((INDEX($C$3:$D$358,MATCH($P3,$E$3:$E$358,0),2)),"")</f>
        <v>369</v>
      </c>
      <c r="AB3" s="50"/>
    </row>
    <row r="4" spans="1:28" ht="14.25">
      <c r="A4" t="s">
        <v>44</v>
      </c>
      <c r="B4">
        <v>12.598000000000001</v>
      </c>
      <c r="C4">
        <v>3265</v>
      </c>
      <c r="D4">
        <v>-550</v>
      </c>
      <c r="E4" s="41">
        <v>1.01</v>
      </c>
      <c r="P4" s="43">
        <f t="array" ref="P4">INDEX($E$3:$E$358,MATCH(0,COUNTIF($P$1:P3,$E$3:$E$358),0))</f>
        <v>1.01</v>
      </c>
      <c r="Q4" s="15">
        <f t="shared" si="0"/>
        <v>3265</v>
      </c>
      <c r="R4" s="26">
        <f t="shared" si="1"/>
        <v>-550</v>
      </c>
      <c r="AB4" s="50"/>
    </row>
    <row r="5" spans="1:28" ht="14.25">
      <c r="A5" t="s">
        <v>353</v>
      </c>
      <c r="B5">
        <v>12.598000000000001</v>
      </c>
      <c r="C5">
        <v>4400</v>
      </c>
      <c r="D5">
        <v>-369</v>
      </c>
      <c r="E5" s="41">
        <v>4.01</v>
      </c>
      <c r="P5" s="43">
        <f t="array" ref="P5">INDEX($E$3:$E$358,MATCH(0,COUNTIF($P$1:P4,$E$3:$E$358),0))</f>
        <v>4.01</v>
      </c>
      <c r="Q5" s="15">
        <f t="shared" si="0"/>
        <v>4400</v>
      </c>
      <c r="R5" s="26">
        <f t="shared" si="1"/>
        <v>-369</v>
      </c>
      <c r="AB5" s="50"/>
    </row>
    <row r="6" spans="1:28" ht="14.25">
      <c r="A6" t="s">
        <v>42</v>
      </c>
      <c r="B6">
        <v>12.598000000000001</v>
      </c>
      <c r="C6">
        <v>3265</v>
      </c>
      <c r="D6">
        <v>550</v>
      </c>
      <c r="E6" s="41">
        <v>3.01</v>
      </c>
      <c r="P6" s="43">
        <f t="array" ref="P6">INDEX($E$3:$E$358,MATCH(0,COUNTIF($P$1:P5,$E$3:$E$358),0))</f>
        <v>3.01</v>
      </c>
      <c r="Q6" s="15">
        <f t="shared" si="0"/>
        <v>3265</v>
      </c>
      <c r="R6" s="26">
        <f t="shared" si="1"/>
        <v>550</v>
      </c>
      <c r="AB6" s="50"/>
    </row>
    <row r="7" spans="5:28" ht="14.25">
      <c r="E7" s="41"/>
      <c r="P7" s="43">
        <f t="array" ref="P7">INDEX($E$3:$E$358,MATCH(0,COUNTIF($P$1:P6,$E$3:$E$358),0))</f>
        <v>0</v>
      </c>
      <c r="Q7" s="15" t="str">
        <f t="shared" si="0"/>
        <v/>
      </c>
      <c r="R7" s="26" t="str">
        <f t="shared" si="1"/>
        <v/>
      </c>
      <c r="AB7" s="50"/>
    </row>
    <row r="8" spans="5:28" ht="14.25">
      <c r="E8" s="41"/>
      <c r="P8" s="43">
        <f t="array" ref="P8">INDEX($E$3:$E$358,MATCH(0,COUNTIF($P$1:P7,$E$3:$E$358),0))</f>
        <v>4.0199999999999996</v>
      </c>
      <c r="Q8" s="15">
        <f t="shared" si="0"/>
        <v>4550</v>
      </c>
      <c r="R8" s="26">
        <f t="shared" si="1"/>
        <v>-480</v>
      </c>
      <c r="AB8" s="50"/>
    </row>
    <row r="9" spans="5:28" ht="15.75" customHeight="1">
      <c r="E9" s="41"/>
      <c r="P9" s="43">
        <f t="array" ref="P9">INDEX($E$3:$E$358,MATCH(0,COUNTIF($P$1:P8,$E$3:$E$358),0))</f>
        <v>6.02</v>
      </c>
      <c r="Q9" s="15">
        <f t="shared" si="0"/>
        <v>4550</v>
      </c>
      <c r="R9" s="26">
        <f t="shared" si="1"/>
        <v>480</v>
      </c>
      <c r="AB9" s="50"/>
    </row>
    <row r="10" spans="5:28" ht="14.25">
      <c r="E10" s="41"/>
      <c r="P10" s="43">
        <f t="array" ref="P10">INDEX($E$3:$E$358,MATCH(0,COUNTIF($P$1:P9,$E$3:$E$358),0))</f>
        <v>3.04</v>
      </c>
      <c r="Q10" s="15">
        <f t="shared" si="0"/>
        <v>3250</v>
      </c>
      <c r="R10" s="26">
        <f t="shared" si="1"/>
        <v>550</v>
      </c>
      <c r="AB10" s="50"/>
    </row>
    <row r="11" spans="5:28" ht="14.25">
      <c r="E11" s="41"/>
      <c r="P11" s="43">
        <f t="array" ref="P11">INDEX($E$3:$E$358,MATCH(0,COUNTIF($P$1:P10,$E$3:$E$358),0))</f>
        <v>1.04</v>
      </c>
      <c r="Q11" s="15">
        <f t="shared" si="0"/>
        <v>3250</v>
      </c>
      <c r="R11" s="26">
        <f t="shared" si="1"/>
        <v>-550</v>
      </c>
      <c r="AB11" s="50"/>
    </row>
    <row r="12" spans="5:28" ht="14.25">
      <c r="E12" s="41"/>
      <c r="P12" s="43">
        <f t="array" ref="P12">INDEX($E$3:$E$358,MATCH(0,COUNTIF($P$1:P11,$E$3:$E$358),0))</f>
        <v>6.04</v>
      </c>
      <c r="Q12" s="15">
        <f t="shared" si="0"/>
        <v>4208</v>
      </c>
      <c r="R12" s="26">
        <f t="shared" si="1"/>
        <v>480</v>
      </c>
      <c r="AB12" s="50"/>
    </row>
    <row r="13" spans="5:28" ht="14.25">
      <c r="E13" s="41"/>
      <c r="P13" s="43">
        <f t="array" ref="P13">INDEX($E$3:$E$358,MATCH(0,COUNTIF($P$1:P12,$E$3:$E$358),0))</f>
        <v>4.04</v>
      </c>
      <c r="Q13" s="15">
        <f t="shared" si="0"/>
        <v>4208</v>
      </c>
      <c r="R13" s="26">
        <f t="shared" si="1"/>
        <v>-480</v>
      </c>
      <c r="AB13" s="50"/>
    </row>
    <row r="14" spans="5:28" ht="14.25">
      <c r="E14" s="41"/>
      <c r="P14" s="43">
        <f t="array" ref="P14">INDEX($E$3:$E$358,MATCH(0,COUNTIF($P$1:P13,$E$3:$E$358),0))</f>
        <v>9.0399999999999991</v>
      </c>
      <c r="Q14" s="15">
        <f t="shared" si="0"/>
        <v>5072</v>
      </c>
      <c r="R14" s="26">
        <f t="shared" si="1"/>
        <v>460</v>
      </c>
      <c r="AB14" s="50"/>
    </row>
    <row r="15" spans="1:28" ht="15">
      <c r="A15" s="275" t="s">
        <v>347</v>
      </c>
      <c r="B15" s="402" t="s">
        <v>138</v>
      </c>
      <c r="C15" s="402"/>
      <c r="D15" s="270" t="s">
        <v>155</v>
      </c>
      <c r="E15" s="41"/>
      <c r="P15" s="43">
        <f t="array" ref="P15">INDEX($E$3:$E$358,MATCH(0,COUNTIF($P$1:P14,$E$3:$E$358),0))</f>
        <v>7.04</v>
      </c>
      <c r="Q15" s="15">
        <f t="shared" si="0"/>
        <v>5072</v>
      </c>
      <c r="R15" s="26">
        <f t="shared" si="1"/>
        <v>-460</v>
      </c>
      <c r="X15" s="22"/>
      <c r="AB15" s="50"/>
    </row>
    <row r="16" spans="5:28" ht="14.25">
      <c r="E16" s="41"/>
      <c r="P16" s="43">
        <f t="array" ref="P16">INDEX($E$3:$E$358,MATCH(0,COUNTIF($P$1:P15,$E$3:$E$358),0))</f>
        <v>3.05</v>
      </c>
      <c r="Q16" s="15">
        <f t="shared" si="0"/>
        <v>3250</v>
      </c>
      <c r="R16" s="26">
        <f t="shared" si="1"/>
        <v>550</v>
      </c>
      <c r="AB16" s="50"/>
    </row>
    <row r="17" spans="1:28" ht="14.25">
      <c r="A17" t="s">
        <v>355</v>
      </c>
      <c r="B17">
        <v>12.598000000000001</v>
      </c>
      <c r="C17">
        <v>4550</v>
      </c>
      <c r="D17">
        <v>-480</v>
      </c>
      <c r="E17" s="41">
        <v>4.0199999999999996</v>
      </c>
      <c r="P17" s="43">
        <f t="array" ref="P17">INDEX($E$3:$E$358,MATCH(0,COUNTIF($P$1:P16,$E$3:$E$358),0))</f>
        <v>1.05</v>
      </c>
      <c r="Q17" s="15">
        <f t="shared" si="0"/>
        <v>3250</v>
      </c>
      <c r="R17" s="26">
        <f t="shared" si="1"/>
        <v>-550</v>
      </c>
      <c r="AB17" s="50"/>
    </row>
    <row r="18" spans="5:28" ht="14.25">
      <c r="E18" s="41"/>
      <c r="P18" s="43">
        <f t="array" ref="P18">INDEX($E$3:$E$358,MATCH(0,COUNTIF($P$1:P17,$E$3:$E$358),0))</f>
        <v>6.05</v>
      </c>
      <c r="Q18" s="15">
        <f t="shared" si="0"/>
        <v>4208</v>
      </c>
      <c r="R18" s="26">
        <f t="shared" si="1"/>
        <v>480</v>
      </c>
      <c r="AB18" s="50"/>
    </row>
    <row r="19" spans="1:28" ht="14.25">
      <c r="A19" t="s">
        <v>356</v>
      </c>
      <c r="B19">
        <v>12.598000000000001</v>
      </c>
      <c r="C19">
        <v>4550</v>
      </c>
      <c r="D19">
        <v>480</v>
      </c>
      <c r="E19" s="41">
        <v>6.02</v>
      </c>
      <c r="P19" s="43">
        <f t="array" ref="P19">INDEX($E$3:$E$358,MATCH(0,COUNTIF($P$1:P18,$E$3:$E$358),0))</f>
        <v>4.05</v>
      </c>
      <c r="Q19" s="15">
        <f t="shared" si="0"/>
        <v>4208</v>
      </c>
      <c r="R19" s="26">
        <f t="shared" si="1"/>
        <v>-480</v>
      </c>
      <c r="AB19" s="50"/>
    </row>
    <row r="20" spans="5:28" ht="14.25">
      <c r="E20" s="41"/>
      <c r="P20" s="43">
        <f t="array" ref="P20">INDEX($E$3:$E$358,MATCH(0,COUNTIF($P$1:P19,$E$3:$E$358),0))</f>
        <v>9.0500000000000007</v>
      </c>
      <c r="Q20" s="15">
        <f t="shared" si="0"/>
        <v>5072</v>
      </c>
      <c r="R20" s="26">
        <f t="shared" si="1"/>
        <v>460</v>
      </c>
      <c r="AB20" s="50"/>
    </row>
    <row r="21" spans="5:28" ht="14.25">
      <c r="E21" s="41"/>
      <c r="P21" s="43">
        <f t="array" ref="P21">INDEX($E$3:$E$358,MATCH(0,COUNTIF($P$1:P20,$E$3:$E$358),0))</f>
        <v>8.0500000000000007</v>
      </c>
      <c r="Q21" s="15">
        <f t="shared" si="0"/>
        <v>5072</v>
      </c>
      <c r="R21" s="26">
        <f t="shared" si="1"/>
        <v>0</v>
      </c>
      <c r="AB21" s="50"/>
    </row>
    <row r="22" spans="5:28" ht="14.25">
      <c r="E22" s="41"/>
      <c r="P22" s="43">
        <f t="array" ref="P22">INDEX($E$3:$E$358,MATCH(0,COUNTIF($P$1:P21,$E$3:$E$358),0))</f>
        <v>7.05</v>
      </c>
      <c r="Q22" s="15">
        <f t="shared" si="0"/>
        <v>5072</v>
      </c>
      <c r="R22" s="26">
        <f t="shared" si="1"/>
        <v>-460</v>
      </c>
      <c r="AB22" s="50"/>
    </row>
    <row r="23" spans="5:28" ht="14.25">
      <c r="E23" s="41"/>
      <c r="P23" s="43">
        <f t="array" ref="P23">INDEX($E$3:$E$358,MATCH(0,COUNTIF($P$1:P22,$E$3:$E$358),0))</f>
        <v>3.06</v>
      </c>
      <c r="Q23" s="15">
        <f t="shared" si="0"/>
        <v>3250</v>
      </c>
      <c r="R23" s="26">
        <f t="shared" si="1"/>
        <v>550</v>
      </c>
      <c r="AB23" s="50"/>
    </row>
    <row r="24" spans="5:28" ht="14.25">
      <c r="E24" s="41"/>
      <c r="P24" s="43">
        <f t="array" ref="P24">INDEX($E$3:$E$358,MATCH(0,COUNTIF($P$1:P23,$E$3:$E$358),0))</f>
        <v>2.06</v>
      </c>
      <c r="Q24" s="15">
        <f t="shared" si="0"/>
        <v>3250</v>
      </c>
      <c r="R24" s="26">
        <f t="shared" si="1"/>
        <v>0</v>
      </c>
      <c r="AB24" s="50"/>
    </row>
    <row r="25" spans="5:28" ht="14.25">
      <c r="E25" s="41"/>
      <c r="P25" s="43">
        <f t="array" ref="P25">INDEX($E$3:$E$358,MATCH(0,COUNTIF($P$1:P24,$E$3:$E$358),0))</f>
        <v>1.06</v>
      </c>
      <c r="Q25" s="15">
        <f t="shared" si="0"/>
        <v>3250</v>
      </c>
      <c r="R25" s="26">
        <f t="shared" si="1"/>
        <v>-550</v>
      </c>
      <c r="AB25" s="50"/>
    </row>
    <row r="26" spans="5:28" ht="14.25">
      <c r="E26" s="41"/>
      <c r="P26" s="43">
        <f t="array" ref="P26">INDEX($E$3:$E$358,MATCH(0,COUNTIF($P$1:P25,$E$3:$E$358),0))</f>
        <v>6.06</v>
      </c>
      <c r="Q26" s="15">
        <f t="shared" si="0"/>
        <v>4208</v>
      </c>
      <c r="R26" s="26">
        <f t="shared" si="1"/>
        <v>480</v>
      </c>
      <c r="AB26" s="50"/>
    </row>
    <row r="27" spans="5:28" ht="14.25">
      <c r="E27" s="41"/>
      <c r="P27" s="43">
        <f t="array" ref="P27">INDEX($E$3:$E$358,MATCH(0,COUNTIF($P$1:P26,$E$3:$E$358),0))</f>
        <v>4.0599999999999996</v>
      </c>
      <c r="Q27" s="15">
        <f t="shared" si="0"/>
        <v>4208</v>
      </c>
      <c r="R27" s="26">
        <f t="shared" si="1"/>
        <v>-480</v>
      </c>
      <c r="AB27" s="50"/>
    </row>
    <row r="28" spans="1:28" ht="15">
      <c r="A28" s="59" t="s">
        <v>114</v>
      </c>
      <c r="B28" s="402" t="s">
        <v>138</v>
      </c>
      <c r="C28" s="402"/>
      <c r="D28" s="270" t="s">
        <v>154</v>
      </c>
      <c r="E28" s="41"/>
      <c r="P28" s="43">
        <f t="array" ref="P28">INDEX($E$3:$E$358,MATCH(0,COUNTIF($P$1:P27,$E$3:$E$358),0))</f>
        <v>9.06</v>
      </c>
      <c r="Q28" s="15">
        <f t="shared" si="0"/>
        <v>5072</v>
      </c>
      <c r="R28" s="26">
        <f t="shared" si="1"/>
        <v>460</v>
      </c>
      <c r="X28" s="22"/>
      <c r="AB28" s="50"/>
    </row>
    <row r="29" spans="5:28" ht="14.25">
      <c r="E29" s="41"/>
      <c r="P29" s="43">
        <f t="array" ref="P29">INDEX($E$3:$E$358,MATCH(0,COUNTIF($P$1:P28,$E$3:$E$358),0))</f>
        <v>8.06</v>
      </c>
      <c r="Q29" s="15">
        <f t="shared" si="0"/>
        <v>5072</v>
      </c>
      <c r="R29" s="26">
        <f t="shared" si="1"/>
        <v>0</v>
      </c>
      <c r="AB29" s="50"/>
    </row>
    <row r="30" spans="5:28" ht="14.25">
      <c r="E30" s="41"/>
      <c r="P30" s="43">
        <f t="array" ref="P30">INDEX($E$3:$E$358,MATCH(0,COUNTIF($P$1:P29,$E$3:$E$358),0))</f>
        <v>7.06</v>
      </c>
      <c r="Q30" s="15">
        <f t="shared" si="0"/>
        <v>5072</v>
      </c>
      <c r="R30" s="26">
        <f t="shared" si="1"/>
        <v>-460</v>
      </c>
      <c r="AB30" s="50"/>
    </row>
    <row r="31" spans="5:28" ht="14.25">
      <c r="E31" s="41"/>
      <c r="P31" s="43">
        <f t="array" ref="P31">INDEX($E$3:$E$358,MATCH(0,COUNTIF($P$1:P30,$E$3:$E$358),0))</f>
        <v>3.07</v>
      </c>
      <c r="Q31" s="15">
        <f t="shared" si="0"/>
        <v>3500</v>
      </c>
      <c r="R31" s="26">
        <f t="shared" si="1"/>
        <v>550</v>
      </c>
      <c r="AB31" s="50"/>
    </row>
    <row r="32" spans="5:28" ht="14.25">
      <c r="E32" s="41"/>
      <c r="P32" s="43">
        <f t="array" ref="P32">INDEX($E$3:$E$358,MATCH(0,COUNTIF($P$1:P31,$E$3:$E$358),0))</f>
        <v>6.07</v>
      </c>
      <c r="Q32" s="15">
        <f t="shared" si="0"/>
        <v>4500</v>
      </c>
      <c r="R32" s="26">
        <f t="shared" si="1"/>
        <v>550</v>
      </c>
      <c r="AB32" s="50"/>
    </row>
    <row r="33" spans="5:28" ht="14.25">
      <c r="E33" s="41"/>
      <c r="P33" s="43">
        <f t="array" ref="P33">INDEX($E$3:$E$358,MATCH(0,COUNTIF($P$1:P32,$E$3:$E$358),0))</f>
        <v>9.07</v>
      </c>
      <c r="Q33" s="15">
        <f t="shared" si="0"/>
        <v>5500</v>
      </c>
      <c r="R33" s="26">
        <f t="shared" si="1"/>
        <v>550</v>
      </c>
      <c r="AB33" s="50"/>
    </row>
    <row r="34" spans="5:28" ht="14.25">
      <c r="E34" s="41"/>
      <c r="P34" s="43">
        <f t="array" ref="P34">INDEX($E$3:$E$358,MATCH(0,COUNTIF($P$1:P33,$E$3:$E$358),0))</f>
        <v>1.07</v>
      </c>
      <c r="Q34" s="15">
        <f t="shared" si="0"/>
        <v>3500</v>
      </c>
      <c r="R34" s="26">
        <f t="shared" si="1"/>
        <v>-550</v>
      </c>
      <c r="AB34" s="50"/>
    </row>
    <row r="35" spans="5:28" ht="14.25">
      <c r="E35" s="41"/>
      <c r="P35" s="43">
        <f t="array" ref="P35">INDEX($E$3:$E$358,MATCH(0,COUNTIF($P$1:P34,$E$3:$E$358),0))</f>
        <v>4.07</v>
      </c>
      <c r="Q35" s="15">
        <f t="shared" si="0"/>
        <v>4500</v>
      </c>
      <c r="R35" s="26">
        <f t="shared" si="1"/>
        <v>-550</v>
      </c>
      <c r="AB35" s="50"/>
    </row>
    <row r="36" spans="5:28" ht="14.25">
      <c r="E36" s="41"/>
      <c r="P36" s="43">
        <f t="array" ref="P36">INDEX($E$3:$E$358,MATCH(0,COUNTIF($P$1:P35,$E$3:$E$358),0))</f>
        <v>7.07</v>
      </c>
      <c r="Q36" s="15">
        <f t="shared" si="0"/>
        <v>5500</v>
      </c>
      <c r="R36" s="26">
        <f t="shared" si="1"/>
        <v>-550</v>
      </c>
      <c r="AB36" s="50"/>
    </row>
    <row r="37" spans="5:28" ht="14.25">
      <c r="E37" s="41"/>
      <c r="P37" s="43">
        <f t="array" ref="P37">INDEX($E$3:$E$358,MATCH(0,COUNTIF($P$1:P36,$E$3:$E$358),0))</f>
        <v>3.08</v>
      </c>
      <c r="Q37" s="15">
        <f t="shared" si="0"/>
        <v>3950</v>
      </c>
      <c r="R37" s="26">
        <f t="shared" si="1"/>
        <v>540</v>
      </c>
      <c r="AB37" s="50"/>
    </row>
    <row r="38" spans="5:28" ht="14.25">
      <c r="E38" s="41"/>
      <c r="P38" s="43">
        <f t="array" ref="P38">INDEX($E$3:$E$358,MATCH(0,COUNTIF($P$1:P37,$E$3:$E$358),0))</f>
        <v>6.08</v>
      </c>
      <c r="Q38" s="15">
        <f t="shared" si="0"/>
        <v>4450</v>
      </c>
      <c r="R38" s="26">
        <f t="shared" si="1"/>
        <v>540</v>
      </c>
      <c r="AB38" s="50"/>
    </row>
    <row r="39" spans="5:28" ht="14.25">
      <c r="E39" s="41"/>
      <c r="P39" s="43">
        <f t="array" ref="P39">INDEX($E$3:$E$358,MATCH(0,COUNTIF($P$1:P38,$E$3:$E$358),0))</f>
        <v>9.08</v>
      </c>
      <c r="Q39" s="15">
        <f t="shared" si="0"/>
        <v>4950</v>
      </c>
      <c r="R39" s="26">
        <f t="shared" si="1"/>
        <v>540</v>
      </c>
      <c r="AB39" s="50"/>
    </row>
    <row r="40" spans="5:28" ht="14.25">
      <c r="E40" s="41"/>
      <c r="P40" s="43">
        <f t="array" ref="P40">INDEX($E$3:$E$358,MATCH(0,COUNTIF($P$1:P39,$E$3:$E$358),0))</f>
        <v>1.08</v>
      </c>
      <c r="Q40" s="15">
        <f t="shared" si="0"/>
        <v>3950</v>
      </c>
      <c r="R40" s="26">
        <f t="shared" si="1"/>
        <v>-540</v>
      </c>
      <c r="AB40" s="50"/>
    </row>
    <row r="41" spans="1:18" ht="15">
      <c r="A41" s="59" t="s">
        <v>348</v>
      </c>
      <c r="B41" s="402" t="s">
        <v>138</v>
      </c>
      <c r="C41" s="402"/>
      <c r="D41" s="270" t="s">
        <v>153</v>
      </c>
      <c r="E41" s="41"/>
      <c r="P41" s="43">
        <f t="array" ref="P41">INDEX($E$3:$E$358,MATCH(0,COUNTIF($P$1:P40,$E$3:$E$358),0))</f>
        <v>4.08</v>
      </c>
      <c r="Q41" s="15">
        <f t="shared" si="0"/>
        <v>4450</v>
      </c>
      <c r="R41" s="26">
        <f t="shared" si="1"/>
        <v>-540</v>
      </c>
    </row>
    <row r="42" spans="1:18" ht="14.25">
      <c r="A42" t="s">
        <v>42</v>
      </c>
      <c r="B42">
        <v>12.598000000000001</v>
      </c>
      <c r="C42">
        <v>3250</v>
      </c>
      <c r="D42">
        <v>550</v>
      </c>
      <c r="E42" s="41">
        <v>3.04</v>
      </c>
      <c r="P42" s="43">
        <f t="array" ref="P42">INDEX($E$3:$E$358,MATCH(0,COUNTIF($P$1:P41,$E$3:$E$358),0))</f>
        <v>7.08</v>
      </c>
      <c r="Q42" s="15">
        <f t="shared" si="0"/>
        <v>4950</v>
      </c>
      <c r="R42" s="26">
        <f t="shared" si="1"/>
        <v>-540</v>
      </c>
    </row>
    <row r="43" spans="1:18" ht="14.25">
      <c r="A43" t="s">
        <v>44</v>
      </c>
      <c r="B43">
        <v>12.598000000000001</v>
      </c>
      <c r="C43">
        <v>3250</v>
      </c>
      <c r="D43">
        <v>-550</v>
      </c>
      <c r="E43" s="41">
        <v>1.04</v>
      </c>
      <c r="P43" s="43">
        <f t="array" ref="P43">INDEX($E$3:$E$358,MATCH(0,COUNTIF($P$1:P42,$E$3:$E$358),0))</f>
        <v>23.09</v>
      </c>
      <c r="Q43" s="15">
        <f t="shared" si="0"/>
        <v>4425</v>
      </c>
      <c r="R43" s="26">
        <f t="shared" si="1"/>
        <v>0</v>
      </c>
    </row>
    <row r="44" spans="1:18" ht="14.25">
      <c r="A44" t="s">
        <v>45</v>
      </c>
      <c r="B44">
        <v>12.36</v>
      </c>
      <c r="C44">
        <v>4208</v>
      </c>
      <c r="D44">
        <v>480</v>
      </c>
      <c r="E44" s="41">
        <v>6.04</v>
      </c>
      <c r="P44" s="43">
        <f t="array" ref="P44">INDEX($E$3:$E$358,MATCH(0,COUNTIF($P$1:P43,$E$3:$E$358),0))</f>
        <v>25.09</v>
      </c>
      <c r="Q44" s="15">
        <f t="shared" si="0"/>
        <v>5275</v>
      </c>
      <c r="R44" s="26">
        <f t="shared" si="1"/>
        <v>0</v>
      </c>
    </row>
    <row r="45" spans="1:18" ht="14.25">
      <c r="A45" t="s">
        <v>46</v>
      </c>
      <c r="B45">
        <v>12.36</v>
      </c>
      <c r="C45">
        <v>4208</v>
      </c>
      <c r="D45">
        <v>-480</v>
      </c>
      <c r="E45" s="41">
        <v>4.04</v>
      </c>
      <c r="P45" s="43">
        <f t="array" ref="P45">INDEX($E$3:$E$358,MATCH(0,COUNTIF($P$1:P44,$E$3:$E$358),0))</f>
        <v>3.09</v>
      </c>
      <c r="Q45" s="15">
        <f t="shared" si="0"/>
        <v>3500</v>
      </c>
      <c r="R45" s="26">
        <f t="shared" si="1"/>
        <v>550</v>
      </c>
    </row>
    <row r="46" spans="1:18" ht="14.25">
      <c r="A46" t="s">
        <v>47</v>
      </c>
      <c r="B46">
        <v>12.38</v>
      </c>
      <c r="C46">
        <v>5072</v>
      </c>
      <c r="D46">
        <v>460</v>
      </c>
      <c r="E46" s="41">
        <v>9.0399999999999991</v>
      </c>
      <c r="P46" s="43">
        <f t="array" ref="P46">INDEX($E$3:$E$358,MATCH(0,COUNTIF($P$1:P45,$E$3:$E$358),0))</f>
        <v>6.09</v>
      </c>
      <c r="Q46" s="15">
        <f t="shared" si="0"/>
        <v>4000</v>
      </c>
      <c r="R46" s="26">
        <f t="shared" si="1"/>
        <v>550</v>
      </c>
    </row>
    <row r="47" spans="1:18" ht="14.25">
      <c r="A47" t="s">
        <v>49</v>
      </c>
      <c r="B47">
        <v>12.38</v>
      </c>
      <c r="C47">
        <v>5072</v>
      </c>
      <c r="D47">
        <v>-460</v>
      </c>
      <c r="E47" s="41">
        <v>7.04</v>
      </c>
      <c r="P47" s="43">
        <f t="array" ref="P47">INDEX($E$3:$E$358,MATCH(0,COUNTIF($P$1:P46,$E$3:$E$358),0))</f>
        <v>1.1299999999999999</v>
      </c>
      <c r="Q47" s="15">
        <f t="shared" si="0"/>
        <v>3265</v>
      </c>
      <c r="R47" s="26">
        <f t="shared" si="1"/>
        <v>-550</v>
      </c>
    </row>
    <row r="48" spans="5:18" ht="14.25">
      <c r="E48" s="41"/>
      <c r="P48" s="43">
        <f t="array" ref="P48">INDEX($E$3:$E$358,MATCH(0,COUNTIF($P$1:P47,$E$3:$E$358),0))</f>
        <v>7.13</v>
      </c>
      <c r="Q48" s="15">
        <f t="shared" si="0"/>
        <v>4400</v>
      </c>
      <c r="R48" s="26">
        <f t="shared" si="1"/>
        <v>-369</v>
      </c>
    </row>
    <row r="49" spans="5:18" ht="14.25">
      <c r="E49" s="41"/>
      <c r="P49" s="43">
        <f t="array" ref="P49">INDEX($E$3:$E$358,MATCH(0,COUNTIF($P$1:P48,$E$3:$E$358),0))</f>
        <v>3.10</v>
      </c>
      <c r="Q49" s="15">
        <f t="shared" si="0"/>
        <v>3250</v>
      </c>
      <c r="R49" s="26">
        <f t="shared" si="1"/>
        <v>550</v>
      </c>
    </row>
    <row r="50" spans="5:18" ht="14.25">
      <c r="E50" s="41"/>
      <c r="P50" s="43">
        <f t="array" ref="P50">INDEX($E$3:$E$358,MATCH(0,COUNTIF($P$1:P49,$E$3:$E$358),0))</f>
        <v>2.10</v>
      </c>
      <c r="Q50" s="15">
        <f t="shared" si="0"/>
        <v>3250</v>
      </c>
      <c r="R50" s="26">
        <f t="shared" si="1"/>
        <v>0</v>
      </c>
    </row>
    <row r="51" spans="5:18" ht="14.25">
      <c r="E51" s="41"/>
      <c r="P51" s="43">
        <f t="array" ref="P51">INDEX($E$3:$E$358,MATCH(0,COUNTIF($P$1:P50,$E$3:$E$358),0))</f>
        <v>1.1000000000000001</v>
      </c>
      <c r="Q51" s="15">
        <f t="shared" si="0"/>
        <v>3250</v>
      </c>
      <c r="R51" s="26">
        <f t="shared" si="1"/>
        <v>-550</v>
      </c>
    </row>
    <row r="52" spans="5:18" ht="14.25">
      <c r="E52" s="41"/>
      <c r="P52" s="43">
        <f t="array" ref="P52">INDEX($E$3:$E$358,MATCH(0,COUNTIF($P$1:P51,$E$3:$E$358),0))</f>
        <v>7.10</v>
      </c>
      <c r="Q52" s="15">
        <f t="shared" si="0"/>
        <v>4850</v>
      </c>
      <c r="R52" s="26">
        <f t="shared" si="1"/>
        <v>-400</v>
      </c>
    </row>
    <row r="53" spans="5:18" ht="14.25">
      <c r="E53" s="41"/>
      <c r="P53" s="43">
        <f t="array" ref="P53">INDEX($E$3:$E$358,MATCH(0,COUNTIF($P$1:P52,$E$3:$E$358),0))</f>
        <v>8.10</v>
      </c>
      <c r="Q53" s="15">
        <f t="shared" si="0"/>
        <v>4850</v>
      </c>
      <c r="R53" s="26">
        <f t="shared" si="1"/>
        <v>0</v>
      </c>
    </row>
    <row r="54" spans="1:18" ht="15">
      <c r="A54" s="59" t="s">
        <v>161</v>
      </c>
      <c r="B54" s="402" t="s">
        <v>138</v>
      </c>
      <c r="C54" s="402"/>
      <c r="D54" s="270" t="s">
        <v>152</v>
      </c>
      <c r="E54" s="41"/>
      <c r="P54" s="43">
        <f t="array" ref="P54">INDEX($E$3:$E$358,MATCH(0,COUNTIF($P$1:P53,$E$3:$E$358),0))</f>
        <v>9.11</v>
      </c>
      <c r="Q54" s="15">
        <f t="shared" si="0"/>
        <v>5000</v>
      </c>
      <c r="R54" s="26">
        <f t="shared" si="1"/>
        <v>550</v>
      </c>
    </row>
    <row r="55" spans="1:18" ht="14.25">
      <c r="A55" t="s">
        <v>42</v>
      </c>
      <c r="B55">
        <v>12.598000000000001</v>
      </c>
      <c r="C55">
        <v>3250</v>
      </c>
      <c r="D55">
        <v>550</v>
      </c>
      <c r="E55" s="41">
        <v>3.05</v>
      </c>
      <c r="P55" s="43">
        <f t="array" ref="P55">INDEX($E$3:$E$358,MATCH(0,COUNTIF($P$1:P54,$E$3:$E$358),0))</f>
        <v>7.11</v>
      </c>
      <c r="Q55" s="15">
        <f t="shared" si="0"/>
        <v>5000</v>
      </c>
      <c r="R55" s="26">
        <f t="shared" si="1"/>
        <v>-550</v>
      </c>
    </row>
    <row r="56" spans="1:18" ht="14.25">
      <c r="A56" t="s">
        <v>44</v>
      </c>
      <c r="B56">
        <v>12.598000000000001</v>
      </c>
      <c r="C56">
        <v>3250</v>
      </c>
      <c r="D56">
        <v>-550</v>
      </c>
      <c r="E56" s="41">
        <v>1.05</v>
      </c>
      <c r="P56" s="43">
        <f t="array" ref="P56">INDEX($E$3:$E$358,MATCH(0,COUNTIF($P$1:P55,$E$3:$E$358),0))</f>
        <v>21.11</v>
      </c>
      <c r="Q56" s="15">
        <f t="shared" si="0"/>
        <v>3282</v>
      </c>
      <c r="R56" s="26">
        <f t="shared" si="1"/>
        <v>1021</v>
      </c>
    </row>
    <row r="57" spans="1:18" ht="14.25">
      <c r="A57" t="s">
        <v>45</v>
      </c>
      <c r="B57">
        <v>12.36</v>
      </c>
      <c r="C57">
        <v>4208</v>
      </c>
      <c r="D57">
        <v>480</v>
      </c>
      <c r="E57" s="41">
        <v>6.05</v>
      </c>
      <c r="P57" s="43">
        <f t="array" ref="P57">INDEX($E$3:$E$358,MATCH(0,COUNTIF($P$1:P56,$E$3:$E$358),0))</f>
        <v>23.11</v>
      </c>
      <c r="Q57" s="15">
        <f t="shared" si="0"/>
        <v>4147</v>
      </c>
      <c r="R57" s="26">
        <f t="shared" si="1"/>
        <v>1021</v>
      </c>
    </row>
    <row r="58" spans="1:18" ht="14.25">
      <c r="A58" t="s">
        <v>46</v>
      </c>
      <c r="B58">
        <v>12.36</v>
      </c>
      <c r="C58">
        <v>4208</v>
      </c>
      <c r="D58">
        <v>-480</v>
      </c>
      <c r="E58" s="41">
        <v>4.05</v>
      </c>
      <c r="P58" s="43">
        <f t="array" ref="P58">INDEX($E$3:$E$358,MATCH(0,COUNTIF($P$1:P57,$E$3:$E$358),0))</f>
        <v>11.11</v>
      </c>
      <c r="Q58" s="15">
        <f t="shared" si="0"/>
        <v>3282</v>
      </c>
      <c r="R58" s="26">
        <f t="shared" si="1"/>
        <v>-1021</v>
      </c>
    </row>
    <row r="59" spans="1:18" ht="14.25">
      <c r="A59" t="s">
        <v>47</v>
      </c>
      <c r="B59">
        <v>12.38</v>
      </c>
      <c r="C59">
        <v>5072</v>
      </c>
      <c r="D59">
        <v>460</v>
      </c>
      <c r="E59" s="41">
        <v>9.0500000000000007</v>
      </c>
      <c r="P59" s="43">
        <f t="array" ref="P59">INDEX($E$3:$E$358,MATCH(0,COUNTIF($P$1:P58,$E$3:$E$358),0))</f>
        <v>13.11</v>
      </c>
      <c r="Q59" s="15">
        <f t="shared" si="0"/>
        <v>4147</v>
      </c>
      <c r="R59" s="26">
        <f t="shared" si="1"/>
        <v>-1021</v>
      </c>
    </row>
    <row r="60" spans="1:18" ht="14.25">
      <c r="A60" t="s">
        <v>48</v>
      </c>
      <c r="B60">
        <v>10.02</v>
      </c>
      <c r="C60">
        <v>5072</v>
      </c>
      <c r="D60">
        <v>0</v>
      </c>
      <c r="E60" s="41">
        <v>8.0500000000000007</v>
      </c>
      <c r="P60" s="43">
        <f t="array" ref="P60">INDEX($E$3:$E$358,MATCH(0,COUNTIF($P$1:P59,$E$3:$E$358),0))</f>
        <v>3.11</v>
      </c>
      <c r="Q60" s="15">
        <f t="shared" si="0"/>
        <v>3500</v>
      </c>
      <c r="R60" s="26">
        <f t="shared" si="1"/>
        <v>550</v>
      </c>
    </row>
    <row r="61" spans="1:18" ht="14.25">
      <c r="A61" t="s">
        <v>49</v>
      </c>
      <c r="B61">
        <v>12.38</v>
      </c>
      <c r="C61">
        <v>5072</v>
      </c>
      <c r="D61">
        <v>-460</v>
      </c>
      <c r="E61" s="41">
        <v>7.05</v>
      </c>
      <c r="P61" s="43">
        <f t="array" ref="P61">INDEX($E$3:$E$358,MATCH(0,COUNTIF($P$1:P60,$E$3:$E$358),0))</f>
        <v>6.11</v>
      </c>
      <c r="Q61" s="15">
        <f t="shared" si="0"/>
        <v>4000</v>
      </c>
      <c r="R61" s="26">
        <f t="shared" si="1"/>
        <v>550</v>
      </c>
    </row>
    <row r="62" spans="5:18" ht="14.25">
      <c r="E62" s="41"/>
      <c r="P62" s="43">
        <f t="array" ref="P62">INDEX($E$3:$E$358,MATCH(0,COUNTIF($P$1:P61,$E$3:$E$358),0))</f>
        <v>1.1100000000000001</v>
      </c>
      <c r="Q62" s="15">
        <f t="shared" si="0"/>
        <v>3500</v>
      </c>
      <c r="R62" s="26">
        <f t="shared" si="1"/>
        <v>-550</v>
      </c>
    </row>
    <row r="63" spans="5:18" ht="14.25">
      <c r="E63" s="41"/>
      <c r="P63" s="43">
        <f t="array" ref="P63">INDEX($E$3:$E$358,MATCH(0,COUNTIF($P$1:P62,$E$3:$E$358),0))</f>
        <v>4.1100000000000003</v>
      </c>
      <c r="Q63" s="15">
        <f t="shared" si="0"/>
        <v>4000</v>
      </c>
      <c r="R63" s="26">
        <f t="shared" si="1"/>
        <v>-550</v>
      </c>
    </row>
    <row r="64" spans="5:18" ht="14.25">
      <c r="E64" s="41"/>
      <c r="P64" s="43">
        <f t="array" ref="P64">INDEX($E$3:$E$358,MATCH(0,COUNTIF($P$1:P63,$E$3:$E$358),0))</f>
        <v>21.12</v>
      </c>
      <c r="Q64" s="15">
        <f t="shared" si="0"/>
        <v>3500</v>
      </c>
      <c r="R64" s="26">
        <f t="shared" si="1"/>
        <v>550</v>
      </c>
    </row>
    <row r="65" spans="5:18" ht="14.25">
      <c r="E65" s="41"/>
      <c r="P65" s="43">
        <f t="array" ref="P65">INDEX($E$3:$E$358,MATCH(0,COUNTIF($P$1:P64,$E$3:$E$358),0))</f>
        <v>3.12</v>
      </c>
      <c r="Q65" s="15">
        <f t="shared" si="0"/>
        <v>3950</v>
      </c>
      <c r="R65" s="26">
        <f t="shared" si="1"/>
        <v>370</v>
      </c>
    </row>
    <row r="66" spans="5:18" ht="14.25">
      <c r="E66" s="41"/>
      <c r="P66" s="43">
        <f t="array" ref="P66">INDEX($E$3:$E$358,MATCH(0,COUNTIF($P$1:P65,$E$3:$E$358),0))</f>
        <v>6.12</v>
      </c>
      <c r="Q66" s="15">
        <f t="shared" si="0"/>
        <v>4450</v>
      </c>
      <c r="R66" s="26">
        <f t="shared" si="1"/>
        <v>370</v>
      </c>
    </row>
    <row r="67" spans="1:18" ht="15">
      <c r="A67" s="59" t="s">
        <v>349</v>
      </c>
      <c r="B67" s="402" t="s">
        <v>138</v>
      </c>
      <c r="C67" s="402"/>
      <c r="D67" s="270" t="s">
        <v>151</v>
      </c>
      <c r="E67" s="41"/>
      <c r="P67" s="43">
        <f t="array" ref="P67">INDEX($E$3:$E$358,MATCH(0,COUNTIF($P$1:P66,$E$3:$E$358),0))</f>
        <v>9.1199999999999992</v>
      </c>
      <c r="Q67" s="15">
        <f t="shared" si="0"/>
        <v>4950</v>
      </c>
      <c r="R67" s="26">
        <f t="shared" si="1"/>
        <v>370</v>
      </c>
    </row>
    <row r="68" spans="1:18" ht="14.25">
      <c r="A68" t="s">
        <v>50</v>
      </c>
      <c r="B68">
        <v>12.598000000000001</v>
      </c>
      <c r="C68">
        <v>3250</v>
      </c>
      <c r="D68">
        <v>550</v>
      </c>
      <c r="E68" s="41">
        <v>3.06</v>
      </c>
      <c r="P68" s="43">
        <f t="array" ref="P68">INDEX($E$3:$E$358,MATCH(0,COUNTIF($P$1:P67,$E$3:$E$358),0))</f>
        <v>1.1200000000000001</v>
      </c>
      <c r="Q68" s="15">
        <f t="shared" si="0"/>
        <v>4500</v>
      </c>
      <c r="R68" s="26">
        <f t="shared" si="1"/>
        <v>-550</v>
      </c>
    </row>
    <row r="69" spans="1:18" ht="14.25">
      <c r="A69" t="s">
        <v>51</v>
      </c>
      <c r="B69">
        <v>10.02</v>
      </c>
      <c r="C69">
        <v>3250</v>
      </c>
      <c r="D69">
        <v>0</v>
      </c>
      <c r="E69" s="41">
        <v>2.06</v>
      </c>
      <c r="P69" s="43">
        <f t="array" ref="P69">INDEX($E$3:$E$358,MATCH(0,COUNTIF($P$1:P68,$E$3:$E$358),0))</f>
        <v>4.12</v>
      </c>
      <c r="Q69" s="15">
        <f t="shared" si="0"/>
        <v>5000</v>
      </c>
      <c r="R69" s="26">
        <f t="shared" si="1"/>
        <v>-550</v>
      </c>
    </row>
    <row r="70" spans="1:18" ht="14.25">
      <c r="A70" t="s">
        <v>52</v>
      </c>
      <c r="B70">
        <v>12.598000000000001</v>
      </c>
      <c r="C70">
        <v>3250</v>
      </c>
      <c r="D70">
        <v>-550</v>
      </c>
      <c r="E70" s="41">
        <v>1.06</v>
      </c>
      <c r="P70" s="43">
        <f t="array" ref="P70">INDEX($E$3:$E$358,MATCH(0,COUNTIF($P$1:P69,$E$3:$E$358),0))</f>
        <v>7.12</v>
      </c>
      <c r="Q70" s="15">
        <f t="shared" si="0"/>
        <v>5500</v>
      </c>
      <c r="R70" s="26">
        <f t="shared" si="1"/>
        <v>-550</v>
      </c>
    </row>
    <row r="71" spans="1:18" ht="14.25">
      <c r="A71" t="s">
        <v>45</v>
      </c>
      <c r="B71">
        <v>12.36</v>
      </c>
      <c r="C71">
        <v>4208</v>
      </c>
      <c r="D71">
        <v>480</v>
      </c>
      <c r="E71" s="41">
        <v>6.06</v>
      </c>
      <c r="P71" s="43">
        <f t="array" ref="P71">INDEX($E$3:$E$358,MATCH(0,COUNTIF($P$1:P70,$E$3:$E$358),0))</f>
        <v>3.13</v>
      </c>
      <c r="Q71" s="15">
        <f t="shared" si="0"/>
        <v>3265</v>
      </c>
      <c r="R71" s="26">
        <f t="shared" si="1"/>
        <v>550</v>
      </c>
    </row>
    <row r="72" spans="1:18" ht="14.25">
      <c r="A72" t="s">
        <v>46</v>
      </c>
      <c r="B72">
        <v>12.36</v>
      </c>
      <c r="C72">
        <v>4208</v>
      </c>
      <c r="D72">
        <v>-480</v>
      </c>
      <c r="E72" s="41">
        <v>4.0599999999999996</v>
      </c>
      <c r="P72" s="43">
        <f t="array" ref="P72">INDEX($E$3:$E$358,MATCH(0,COUNTIF($P$1:P71,$E$3:$E$358),0))</f>
        <v>6.13</v>
      </c>
      <c r="Q72" s="15">
        <f t="shared" si="0"/>
        <v>4400</v>
      </c>
      <c r="R72" s="26">
        <f t="shared" si="1"/>
        <v>369</v>
      </c>
    </row>
    <row r="73" spans="1:18" ht="14.25">
      <c r="A73" t="s">
        <v>47</v>
      </c>
      <c r="B73">
        <v>12.38</v>
      </c>
      <c r="C73">
        <v>5072</v>
      </c>
      <c r="D73">
        <v>460</v>
      </c>
      <c r="E73" s="41">
        <v>9.06</v>
      </c>
      <c r="P73" s="43">
        <f t="array" ref="P73">INDEX($E$3:$E$358,MATCH(0,COUNTIF($P$1:P72,$E$3:$E$358),0))</f>
        <v>4.13</v>
      </c>
      <c r="Q73" s="15">
        <f t="shared" si="0"/>
        <v>4400</v>
      </c>
      <c r="R73" s="26">
        <f t="shared" si="1"/>
        <v>-369</v>
      </c>
    </row>
    <row r="74" spans="1:18" ht="14.25">
      <c r="A74" t="s">
        <v>48</v>
      </c>
      <c r="B74">
        <v>10.02</v>
      </c>
      <c r="C74">
        <v>5072</v>
      </c>
      <c r="D74">
        <v>0</v>
      </c>
      <c r="E74" s="41">
        <v>8.06</v>
      </c>
      <c r="P74" s="43">
        <f t="array" ref="P74">INDEX($E$3:$E$358,MATCH(0,COUNTIF($P$1:P73,$E$3:$E$358),0))</f>
        <v>22.13</v>
      </c>
      <c r="Q74" s="15">
        <f t="shared" si="0"/>
        <v>3800</v>
      </c>
      <c r="R74" s="26">
        <f t="shared" si="1"/>
        <v>0</v>
      </c>
    </row>
    <row r="75" spans="1:18" ht="14.25">
      <c r="A75" t="s">
        <v>49</v>
      </c>
      <c r="B75">
        <v>12.38</v>
      </c>
      <c r="C75">
        <v>5072</v>
      </c>
      <c r="D75">
        <v>-460</v>
      </c>
      <c r="E75" s="41">
        <v>7.06</v>
      </c>
      <c r="P75" s="43">
        <f t="array" ref="P75">INDEX($E$3:$E$358,MATCH(0,COUNTIF($P$1:P74,$E$3:$E$358),0))</f>
        <v>23.14</v>
      </c>
      <c r="Q75" s="15">
        <f t="shared" si="0"/>
        <v>4500</v>
      </c>
      <c r="R75" s="26">
        <f t="shared" si="1"/>
        <v>0</v>
      </c>
    </row>
    <row r="76" spans="5:18" ht="14.25">
      <c r="E76" s="41"/>
      <c r="P76" s="43">
        <f t="array" ref="P76">INDEX($E$3:$E$358,MATCH(0,COUNTIF($P$1:P75,$E$3:$E$358),0))</f>
        <v>23.15</v>
      </c>
      <c r="Q76" s="15">
        <f t="shared" si="0"/>
        <v>4425</v>
      </c>
      <c r="R76" s="26">
        <f t="shared" si="1"/>
        <v>0</v>
      </c>
    </row>
    <row r="77" spans="5:18" ht="14.25">
      <c r="E77" s="41"/>
      <c r="P77" s="43"/>
      <c r="Q77" s="15"/>
      <c r="R77" s="26"/>
    </row>
    <row r="78" spans="5:18" ht="14.25">
      <c r="E78" s="41"/>
      <c r="P78" s="43"/>
      <c r="Q78" s="15"/>
      <c r="R78" s="26"/>
    </row>
    <row r="79" spans="5:18" ht="14.25">
      <c r="E79" s="41"/>
      <c r="P79" s="43"/>
      <c r="Q79" s="15"/>
      <c r="R79" s="26"/>
    </row>
    <row r="80" spans="1:18" ht="15">
      <c r="A80" s="59" t="s">
        <v>350</v>
      </c>
      <c r="B80" s="402" t="s">
        <v>138</v>
      </c>
      <c r="C80" s="402"/>
      <c r="D80" s="270" t="s">
        <v>150</v>
      </c>
      <c r="E80" s="41"/>
      <c r="P80" s="43"/>
      <c r="Q80" s="15"/>
      <c r="R80" s="26"/>
    </row>
    <row r="81" spans="5:18" ht="14.25">
      <c r="E81" s="41"/>
      <c r="P81" s="43"/>
      <c r="Q81" s="15"/>
      <c r="R81" s="26"/>
    </row>
    <row r="82" spans="1:18" ht="14.25">
      <c r="A82" t="s">
        <v>307</v>
      </c>
      <c r="B82" s="273"/>
      <c r="C82">
        <v>3500</v>
      </c>
      <c r="D82">
        <v>550</v>
      </c>
      <c r="E82" s="41">
        <v>3.07</v>
      </c>
      <c r="P82" s="43"/>
      <c r="Q82" s="15"/>
      <c r="R82" s="26"/>
    </row>
    <row r="83" spans="1:5" ht="14.25">
      <c r="A83" t="s">
        <v>308</v>
      </c>
      <c r="B83" s="273"/>
      <c r="C83">
        <v>4500</v>
      </c>
      <c r="D83">
        <v>550</v>
      </c>
      <c r="E83" s="41">
        <v>6.07</v>
      </c>
    </row>
    <row r="84" spans="1:5" ht="14.25">
      <c r="A84" t="s">
        <v>309</v>
      </c>
      <c r="B84" s="273"/>
      <c r="C84">
        <v>5500</v>
      </c>
      <c r="D84">
        <v>550</v>
      </c>
      <c r="E84" s="41">
        <v>9.07</v>
      </c>
    </row>
    <row r="85" spans="5:5" ht="14.25">
      <c r="E85" s="41"/>
    </row>
    <row r="86" spans="1:5" ht="14.25">
      <c r="A86" t="s">
        <v>311</v>
      </c>
      <c r="B86" s="273"/>
      <c r="C86">
        <v>3500</v>
      </c>
      <c r="D86">
        <v>-550</v>
      </c>
      <c r="E86" s="41">
        <v>1.07</v>
      </c>
    </row>
    <row r="87" spans="1:5" ht="14.25">
      <c r="A87" t="s">
        <v>312</v>
      </c>
      <c r="B87" s="273"/>
      <c r="C87">
        <v>4500</v>
      </c>
      <c r="D87">
        <v>-550</v>
      </c>
      <c r="E87" s="41">
        <v>4.07</v>
      </c>
    </row>
    <row r="88" spans="1:5" ht="14.25">
      <c r="A88" t="s">
        <v>313</v>
      </c>
      <c r="B88" s="273"/>
      <c r="C88">
        <v>5500</v>
      </c>
      <c r="D88">
        <v>-550</v>
      </c>
      <c r="E88" s="41">
        <v>7.07</v>
      </c>
    </row>
    <row r="89" spans="5:5" ht="14.25">
      <c r="E89" s="41"/>
    </row>
    <row r="90" spans="5:5" ht="14.25">
      <c r="E90" s="41"/>
    </row>
    <row r="91" spans="5:5" ht="14.25">
      <c r="E91" s="41"/>
    </row>
    <row r="92" spans="5:5" ht="14.25">
      <c r="E92" s="41"/>
    </row>
    <row r="93" spans="1:5" ht="15">
      <c r="A93" s="59" t="s">
        <v>351</v>
      </c>
      <c r="B93" s="402" t="s">
        <v>138</v>
      </c>
      <c r="C93" s="402"/>
      <c r="D93" s="270" t="s">
        <v>149</v>
      </c>
      <c r="E93" s="41"/>
    </row>
    <row r="94" spans="1:6" ht="14.25">
      <c r="A94" t="s">
        <v>306</v>
      </c>
      <c r="B94">
        <v>6</v>
      </c>
      <c r="C94">
        <v>4700</v>
      </c>
      <c r="D94">
        <v>540</v>
      </c>
      <c r="E94" s="41"/>
      <c r="F94" s="50"/>
    </row>
    <row r="95" spans="1:6" ht="14.25">
      <c r="A95" t="s">
        <v>307</v>
      </c>
      <c r="B95" s="273"/>
      <c r="C95">
        <v>3950</v>
      </c>
      <c r="D95">
        <v>540</v>
      </c>
      <c r="E95" s="41">
        <v>3.08</v>
      </c>
      <c r="F95" s="50"/>
    </row>
    <row r="96" spans="1:6" ht="14.25">
      <c r="A96" t="s">
        <v>308</v>
      </c>
      <c r="B96" s="273"/>
      <c r="C96">
        <v>4450</v>
      </c>
      <c r="D96">
        <v>540</v>
      </c>
      <c r="E96" s="41">
        <v>6.08</v>
      </c>
      <c r="F96" s="50"/>
    </row>
    <row r="97" spans="1:6" ht="14.25">
      <c r="A97" t="s">
        <v>309</v>
      </c>
      <c r="B97" s="273"/>
      <c r="C97">
        <v>4950</v>
      </c>
      <c r="D97">
        <v>540</v>
      </c>
      <c r="E97" s="41">
        <v>9.08</v>
      </c>
      <c r="F97" s="50"/>
    </row>
    <row r="98" spans="1:6" ht="14.25">
      <c r="A98" t="s">
        <v>310</v>
      </c>
      <c r="B98">
        <v>6</v>
      </c>
      <c r="C98">
        <v>4700</v>
      </c>
      <c r="D98">
        <v>-540</v>
      </c>
      <c r="E98" s="41"/>
      <c r="F98" s="50"/>
    </row>
    <row r="99" spans="1:6" ht="14.25">
      <c r="A99" t="s">
        <v>311</v>
      </c>
      <c r="B99" s="273"/>
      <c r="C99">
        <v>3950</v>
      </c>
      <c r="D99">
        <v>-540</v>
      </c>
      <c r="E99" s="41">
        <v>1.08</v>
      </c>
      <c r="F99" s="50"/>
    </row>
    <row r="100" spans="1:5" ht="14.25">
      <c r="A100" t="s">
        <v>312</v>
      </c>
      <c r="B100" s="273"/>
      <c r="C100">
        <v>4450</v>
      </c>
      <c r="D100">
        <v>-540</v>
      </c>
      <c r="E100" s="41">
        <v>4.08</v>
      </c>
    </row>
    <row r="101" spans="1:5" ht="14.25">
      <c r="A101" t="s">
        <v>313</v>
      </c>
      <c r="B101" s="273"/>
      <c r="C101">
        <v>4950</v>
      </c>
      <c r="D101">
        <v>-540</v>
      </c>
      <c r="E101" s="41">
        <v>7.08</v>
      </c>
    </row>
    <row r="102" spans="5:5" ht="14.25">
      <c r="E102" s="41"/>
    </row>
    <row r="103" spans="5:5" ht="14.25">
      <c r="E103" s="41"/>
    </row>
    <row r="104" spans="5:5" ht="14.25">
      <c r="E104" s="41"/>
    </row>
    <row r="105" spans="5:5" ht="14.25">
      <c r="E105" s="41"/>
    </row>
    <row r="106" spans="1:5" ht="15">
      <c r="A106" s="59" t="s">
        <v>384</v>
      </c>
      <c r="B106" s="270" t="s">
        <v>138</v>
      </c>
      <c r="C106" s="270"/>
      <c r="D106" s="270" t="s">
        <v>148</v>
      </c>
      <c r="E106" s="41"/>
    </row>
    <row r="107" spans="1:5" ht="14.25">
      <c r="A107" t="s">
        <v>314</v>
      </c>
      <c r="B107" s="278"/>
      <c r="C107">
        <v>4425</v>
      </c>
      <c r="D107">
        <v>0</v>
      </c>
      <c r="E107" s="41">
        <v>23.09</v>
      </c>
    </row>
    <row r="108" spans="1:5" ht="14.25">
      <c r="A108" t="s">
        <v>315</v>
      </c>
      <c r="B108" s="278"/>
      <c r="C108">
        <v>5275</v>
      </c>
      <c r="D108">
        <v>0</v>
      </c>
      <c r="E108" s="41">
        <v>25.09</v>
      </c>
    </row>
    <row r="109" spans="1:5" ht="14.25">
      <c r="A109" t="s">
        <v>307</v>
      </c>
      <c r="C109">
        <v>3500</v>
      </c>
      <c r="D109">
        <v>550</v>
      </c>
      <c r="E109" s="41">
        <v>3.09</v>
      </c>
    </row>
    <row r="110" spans="1:5" ht="14.25">
      <c r="A110" t="s">
        <v>309</v>
      </c>
      <c r="C110">
        <v>4000</v>
      </c>
      <c r="D110">
        <v>550</v>
      </c>
      <c r="E110" s="41">
        <v>6.09</v>
      </c>
    </row>
    <row r="111" spans="1:5" ht="14.25">
      <c r="A111" t="s">
        <v>44</v>
      </c>
      <c r="B111">
        <v>12.598000000000001</v>
      </c>
      <c r="C111">
        <v>3265</v>
      </c>
      <c r="D111">
        <v>-550</v>
      </c>
      <c r="E111" s="41">
        <v>1.1299999999999999</v>
      </c>
    </row>
    <row r="112" spans="1:5" ht="14.25">
      <c r="A112" t="s">
        <v>353</v>
      </c>
      <c r="B112">
        <v>12.598000000000001</v>
      </c>
      <c r="C112">
        <v>4400</v>
      </c>
      <c r="D112">
        <v>-369</v>
      </c>
      <c r="E112" s="41">
        <v>7.13</v>
      </c>
    </row>
    <row r="113" spans="5:5" ht="14.25">
      <c r="E113" s="41"/>
    </row>
    <row r="114" spans="5:5" ht="14.25">
      <c r="E114" s="41"/>
    </row>
    <row r="115" spans="5:5" ht="14.25">
      <c r="E115" s="41"/>
    </row>
    <row r="116" spans="5:5" ht="14.25">
      <c r="E116" s="41"/>
    </row>
    <row r="117" spans="5:5" ht="14.25">
      <c r="E117" s="41"/>
    </row>
    <row r="118" spans="5:5" ht="14.25">
      <c r="E118" s="41"/>
    </row>
    <row r="119" spans="1:5" ht="15">
      <c r="A119" s="59" t="s">
        <v>290</v>
      </c>
      <c r="B119" s="402" t="s">
        <v>138</v>
      </c>
      <c r="C119" s="402"/>
      <c r="D119" s="270" t="s">
        <v>147</v>
      </c>
      <c r="E119" s="41"/>
    </row>
    <row r="120" spans="1:5" ht="14.25">
      <c r="A120" t="s">
        <v>42</v>
      </c>
      <c r="B120">
        <v>12.598000000000001</v>
      </c>
      <c r="C120">
        <v>3250</v>
      </c>
      <c r="D120">
        <v>550</v>
      </c>
      <c r="E120" s="41">
        <v>3.10</v>
      </c>
    </row>
    <row r="121" spans="1:5" ht="14.25">
      <c r="A121" t="s">
        <v>43</v>
      </c>
      <c r="B121">
        <v>10.02</v>
      </c>
      <c r="C121">
        <v>3250</v>
      </c>
      <c r="D121">
        <v>0</v>
      </c>
      <c r="E121" s="41">
        <v>2.10</v>
      </c>
    </row>
    <row r="122" spans="1:5" ht="14.25">
      <c r="A122" t="s">
        <v>44</v>
      </c>
      <c r="B122">
        <v>12.598000000000001</v>
      </c>
      <c r="C122">
        <v>3250</v>
      </c>
      <c r="D122">
        <v>-550</v>
      </c>
      <c r="E122" s="41">
        <v>1.1000000000000001</v>
      </c>
    </row>
    <row r="123" spans="1:5" ht="14.25">
      <c r="A123" t="s">
        <v>316</v>
      </c>
      <c r="B123" s="273"/>
      <c r="C123">
        <v>4850</v>
      </c>
      <c r="D123">
        <v>-400</v>
      </c>
      <c r="E123" s="41">
        <v>7.10</v>
      </c>
    </row>
    <row r="124" spans="1:5" ht="14.25">
      <c r="A124" t="s">
        <v>317</v>
      </c>
      <c r="B124" s="273"/>
      <c r="C124">
        <v>4850</v>
      </c>
      <c r="D124">
        <v>0</v>
      </c>
      <c r="E124" s="41">
        <v>8.10</v>
      </c>
    </row>
    <row r="125" spans="5:5" ht="14.25">
      <c r="E125" s="41"/>
    </row>
    <row r="126" spans="5:5" ht="14.25">
      <c r="E126" s="41"/>
    </row>
    <row r="127" spans="5:5" ht="14.25">
      <c r="E127" s="41"/>
    </row>
    <row r="128" spans="5:5" ht="14.25">
      <c r="E128" s="41"/>
    </row>
    <row r="129" spans="5:5" ht="14.25">
      <c r="E129" s="41"/>
    </row>
    <row r="130" spans="5:5" ht="14.25">
      <c r="E130" s="41"/>
    </row>
    <row r="131" spans="5:5" ht="14.25">
      <c r="E131" s="41"/>
    </row>
    <row r="132" spans="1:5" ht="15">
      <c r="A132" s="59" t="s">
        <v>291</v>
      </c>
      <c r="B132" s="402" t="s">
        <v>138</v>
      </c>
      <c r="C132" s="402"/>
      <c r="D132" s="270" t="s">
        <v>146</v>
      </c>
      <c r="E132" s="41"/>
    </row>
    <row r="133" spans="1:5" ht="14.25">
      <c r="A133" t="s">
        <v>318</v>
      </c>
      <c r="B133" s="273"/>
      <c r="C133">
        <v>5000</v>
      </c>
      <c r="D133">
        <v>550</v>
      </c>
      <c r="E133" s="41">
        <v>9.11</v>
      </c>
    </row>
    <row r="134" spans="1:5" ht="14.25">
      <c r="A134" t="s">
        <v>319</v>
      </c>
      <c r="B134" s="273"/>
      <c r="C134">
        <v>5000</v>
      </c>
      <c r="D134">
        <v>-550</v>
      </c>
      <c r="E134" s="41">
        <v>7.11</v>
      </c>
    </row>
    <row r="135" spans="1:5" ht="14.25">
      <c r="A135" t="s">
        <v>320</v>
      </c>
      <c r="B135" s="273"/>
      <c r="C135">
        <v>3282</v>
      </c>
      <c r="D135">
        <v>1021</v>
      </c>
      <c r="E135" s="41">
        <v>21.11</v>
      </c>
    </row>
    <row r="136" spans="1:5" ht="14.25">
      <c r="A136" t="s">
        <v>321</v>
      </c>
      <c r="B136" s="273"/>
      <c r="C136">
        <v>4147</v>
      </c>
      <c r="D136">
        <v>1021</v>
      </c>
      <c r="E136" s="41">
        <v>23.11</v>
      </c>
    </row>
    <row r="137" spans="1:5" ht="14.25">
      <c r="A137" t="s">
        <v>322</v>
      </c>
      <c r="B137" s="273"/>
      <c r="C137">
        <v>3282</v>
      </c>
      <c r="D137">
        <v>-1021</v>
      </c>
      <c r="E137" s="41">
        <v>11.11</v>
      </c>
    </row>
    <row r="138" spans="1:5" ht="14.25">
      <c r="A138" t="s">
        <v>323</v>
      </c>
      <c r="B138" s="273"/>
      <c r="C138">
        <v>4147</v>
      </c>
      <c r="D138">
        <v>-1021</v>
      </c>
      <c r="E138" s="41">
        <v>13.11</v>
      </c>
    </row>
    <row r="139" spans="1:5" ht="14.25">
      <c r="A139" t="s">
        <v>332</v>
      </c>
      <c r="B139" s="273"/>
      <c r="C139">
        <v>3500</v>
      </c>
      <c r="D139">
        <v>550</v>
      </c>
      <c r="E139" s="41">
        <v>3.11</v>
      </c>
    </row>
    <row r="140" spans="1:5" ht="14.25">
      <c r="A140" t="s">
        <v>333</v>
      </c>
      <c r="B140" s="273"/>
      <c r="C140">
        <v>4000</v>
      </c>
      <c r="D140">
        <v>550</v>
      </c>
      <c r="E140" s="41">
        <v>6.11</v>
      </c>
    </row>
    <row r="141" spans="1:5" ht="14.25">
      <c r="A141" t="s">
        <v>334</v>
      </c>
      <c r="B141" s="273"/>
      <c r="C141">
        <v>3500</v>
      </c>
      <c r="D141">
        <v>-550</v>
      </c>
      <c r="E141" s="41">
        <v>1.1100000000000001</v>
      </c>
    </row>
    <row r="142" spans="1:5" ht="14.25">
      <c r="A142" t="s">
        <v>335</v>
      </c>
      <c r="B142" s="273"/>
      <c r="C142">
        <v>4000</v>
      </c>
      <c r="D142">
        <v>-550</v>
      </c>
      <c r="E142" s="41">
        <v>4.1100000000000003</v>
      </c>
    </row>
    <row r="143" spans="5:5" ht="14.25">
      <c r="E143" s="41"/>
    </row>
    <row r="144" spans="5:5" ht="14.25">
      <c r="E144" s="41"/>
    </row>
    <row r="145" spans="1:5" ht="15">
      <c r="A145" s="59" t="s">
        <v>336</v>
      </c>
      <c r="B145" s="402" t="s">
        <v>138</v>
      </c>
      <c r="C145" s="402"/>
      <c r="D145" s="270" t="s">
        <v>145</v>
      </c>
      <c r="E145" s="41"/>
    </row>
    <row r="146" spans="1:5" ht="14.25">
      <c r="A146" t="s">
        <v>337</v>
      </c>
      <c r="C146">
        <v>3500</v>
      </c>
      <c r="D146">
        <v>550</v>
      </c>
      <c r="E146" s="41">
        <v>21.12</v>
      </c>
    </row>
    <row r="147" spans="1:5" ht="14.25">
      <c r="A147" t="s">
        <v>338</v>
      </c>
      <c r="C147">
        <v>3950</v>
      </c>
      <c r="D147">
        <v>370</v>
      </c>
      <c r="E147" s="41">
        <v>3.12</v>
      </c>
    </row>
    <row r="148" spans="1:5" ht="14.25">
      <c r="A148" t="s">
        <v>339</v>
      </c>
      <c r="C148">
        <v>4450</v>
      </c>
      <c r="D148">
        <v>370</v>
      </c>
      <c r="E148" s="41">
        <v>6.12</v>
      </c>
    </row>
    <row r="149" spans="1:5" ht="14.25">
      <c r="A149" t="s">
        <v>340</v>
      </c>
      <c r="C149">
        <v>4950</v>
      </c>
      <c r="D149">
        <v>370</v>
      </c>
      <c r="E149" s="41">
        <v>9.1199999999999992</v>
      </c>
    </row>
    <row r="150" spans="1:5" ht="14.25">
      <c r="A150" t="s">
        <v>341</v>
      </c>
      <c r="C150">
        <v>4500</v>
      </c>
      <c r="D150">
        <v>-550</v>
      </c>
      <c r="E150" s="41">
        <v>1.1200000000000001</v>
      </c>
    </row>
    <row r="151" spans="1:5" ht="14.25">
      <c r="A151" t="s">
        <v>342</v>
      </c>
      <c r="C151">
        <v>5000</v>
      </c>
      <c r="D151">
        <v>-550</v>
      </c>
      <c r="E151" s="41">
        <v>4.12</v>
      </c>
    </row>
    <row r="152" spans="1:5" ht="14.25">
      <c r="A152" t="s">
        <v>343</v>
      </c>
      <c r="C152">
        <v>5500</v>
      </c>
      <c r="D152">
        <v>-550</v>
      </c>
      <c r="E152" s="41">
        <v>7.12</v>
      </c>
    </row>
    <row r="153" spans="1:5" ht="14.25">
      <c r="A153" t="s">
        <v>344</v>
      </c>
      <c r="B153">
        <v>6</v>
      </c>
      <c r="C153">
        <v>4700</v>
      </c>
      <c r="D153">
        <v>370</v>
      </c>
      <c r="E153" s="41"/>
    </row>
    <row r="154" spans="5:5" ht="14.25">
      <c r="E154" s="41"/>
    </row>
    <row r="155" spans="5:5" ht="14.25">
      <c r="E155" s="41"/>
    </row>
    <row r="156" spans="5:5" ht="14.25">
      <c r="E156" s="41"/>
    </row>
    <row r="157" spans="5:5" ht="14.25">
      <c r="E157" s="41"/>
    </row>
    <row r="158" spans="1:5" ht="15">
      <c r="A158" s="59" t="s">
        <v>292</v>
      </c>
      <c r="B158" s="402" t="s">
        <v>138</v>
      </c>
      <c r="C158" s="402"/>
      <c r="D158" s="270" t="s">
        <v>144</v>
      </c>
      <c r="E158" s="41"/>
    </row>
    <row r="159" spans="1:5" ht="14.25">
      <c r="A159" t="s">
        <v>44</v>
      </c>
      <c r="B159">
        <v>12.598000000000001</v>
      </c>
      <c r="C159">
        <v>3265</v>
      </c>
      <c r="D159">
        <v>-550</v>
      </c>
      <c r="E159" s="41">
        <v>1.1299999999999999</v>
      </c>
    </row>
    <row r="160" spans="1:5" ht="14.25">
      <c r="A160" t="s">
        <v>42</v>
      </c>
      <c r="B160">
        <v>12.598000000000001</v>
      </c>
      <c r="C160">
        <v>3265</v>
      </c>
      <c r="D160">
        <v>550</v>
      </c>
      <c r="E160" s="41">
        <v>3.13</v>
      </c>
    </row>
    <row r="161" spans="1:5" ht="14.25">
      <c r="A161" t="s">
        <v>354</v>
      </c>
      <c r="B161">
        <v>12.598000000000001</v>
      </c>
      <c r="C161">
        <v>4400</v>
      </c>
      <c r="D161">
        <v>369</v>
      </c>
      <c r="E161" s="41">
        <v>6.13</v>
      </c>
    </row>
    <row r="162" spans="1:5" ht="14.25">
      <c r="A162" t="s">
        <v>353</v>
      </c>
      <c r="B162">
        <v>12.598000000000001</v>
      </c>
      <c r="C162">
        <v>4400</v>
      </c>
      <c r="D162">
        <v>-369</v>
      </c>
      <c r="E162" s="41">
        <v>4.13</v>
      </c>
    </row>
    <row r="163" spans="1:5" ht="14.25">
      <c r="A163" t="s">
        <v>345</v>
      </c>
      <c r="B163">
        <v>40</v>
      </c>
      <c r="C163">
        <v>3800</v>
      </c>
      <c r="D163">
        <v>0</v>
      </c>
      <c r="E163" s="41">
        <v>22.13</v>
      </c>
    </row>
    <row r="164" spans="5:5" ht="14.25">
      <c r="E164" s="41"/>
    </row>
    <row r="165" spans="5:5" ht="14.25">
      <c r="E165" s="41"/>
    </row>
    <row r="166" spans="1:5" ht="14.25">
      <c r="A166" s="12"/>
      <c r="E166" s="41"/>
    </row>
    <row r="167" spans="5:5" ht="14.25">
      <c r="E167" s="41"/>
    </row>
    <row r="168" spans="5:5" ht="14.25">
      <c r="E168" s="41"/>
    </row>
    <row r="169" spans="5:5" ht="14.25">
      <c r="E169" s="41"/>
    </row>
    <row r="170" spans="5:5" ht="14.25">
      <c r="E170" s="41"/>
    </row>
    <row r="171" spans="1:16" ht="15">
      <c r="A171" s="59" t="s">
        <v>293</v>
      </c>
      <c r="B171" s="402" t="s">
        <v>138</v>
      </c>
      <c r="C171" s="402"/>
      <c r="D171" s="270" t="s">
        <v>143</v>
      </c>
      <c r="E171" s="41"/>
      <c r="P171"/>
    </row>
    <row r="172" spans="1:16" ht="14.25">
      <c r="A172" t="s">
        <v>357</v>
      </c>
      <c r="B172" s="273"/>
      <c r="C172">
        <v>4500</v>
      </c>
      <c r="D172">
        <v>0</v>
      </c>
      <c r="E172" s="41">
        <v>23.14</v>
      </c>
      <c r="P172"/>
    </row>
    <row r="173" spans="5:16" ht="14.25">
      <c r="E173" s="41"/>
      <c r="P173"/>
    </row>
    <row r="174" spans="5:16" ht="14.25">
      <c r="E174" s="41"/>
      <c r="P174"/>
    </row>
    <row r="175" spans="5:16" ht="14.25">
      <c r="E175" s="41"/>
      <c r="P175"/>
    </row>
    <row r="176" spans="5:16" ht="14.25">
      <c r="E176" s="41"/>
      <c r="P176"/>
    </row>
    <row r="177" spans="5:16" ht="14.25">
      <c r="E177" s="41"/>
      <c r="P177"/>
    </row>
    <row r="178" spans="5:16" ht="14.25">
      <c r="E178" s="41"/>
      <c r="P178"/>
    </row>
    <row r="179" spans="5:16" ht="14.25">
      <c r="E179" s="41"/>
      <c r="P179"/>
    </row>
    <row r="180" spans="5:5" ht="14.25">
      <c r="E180" s="41"/>
    </row>
    <row r="181" spans="5:5" ht="14.25">
      <c r="E181" s="41"/>
    </row>
    <row r="182" spans="5:5" ht="14.25">
      <c r="E182" s="41"/>
    </row>
    <row r="183" spans="5:5" ht="14.25">
      <c r="E183" s="41"/>
    </row>
    <row r="184" spans="1:5" ht="15">
      <c r="A184" s="275" t="s">
        <v>387</v>
      </c>
      <c r="B184" s="402" t="s">
        <v>138</v>
      </c>
      <c r="C184" s="402"/>
      <c r="D184" s="270" t="s">
        <v>142</v>
      </c>
      <c r="E184" s="41"/>
    </row>
    <row r="185" spans="1:5" ht="14.25">
      <c r="A185" t="s">
        <v>314</v>
      </c>
      <c r="B185" s="278"/>
      <c r="C185">
        <v>4425</v>
      </c>
      <c r="D185">
        <v>0</v>
      </c>
      <c r="E185" s="41">
        <v>23.15</v>
      </c>
    </row>
    <row r="186" spans="1:5" ht="14.25">
      <c r="A186" t="s">
        <v>315</v>
      </c>
      <c r="B186" s="278"/>
      <c r="C186">
        <v>5275</v>
      </c>
      <c r="D186">
        <v>0</v>
      </c>
      <c r="E186" s="41">
        <v>25.15</v>
      </c>
    </row>
    <row r="187" spans="1:5" ht="14.25">
      <c r="A187" t="s">
        <v>307</v>
      </c>
      <c r="C187">
        <v>3250</v>
      </c>
      <c r="D187">
        <v>600</v>
      </c>
      <c r="E187" s="41">
        <v>3.15</v>
      </c>
    </row>
    <row r="188" spans="1:5" ht="14.25">
      <c r="A188" t="s">
        <v>309</v>
      </c>
      <c r="C188">
        <v>3750</v>
      </c>
      <c r="D188">
        <v>600</v>
      </c>
      <c r="E188" s="41">
        <v>6.15</v>
      </c>
    </row>
    <row r="189" spans="1:5" ht="14.25">
      <c r="A189" t="s">
        <v>44</v>
      </c>
      <c r="B189">
        <v>12.598000000000001</v>
      </c>
      <c r="C189">
        <v>3265</v>
      </c>
      <c r="D189">
        <v>-550</v>
      </c>
      <c r="E189" s="41">
        <v>1.1299999999999999</v>
      </c>
    </row>
    <row r="190" spans="1:5" ht="14.25">
      <c r="A190" t="s">
        <v>353</v>
      </c>
      <c r="B190">
        <v>12.598000000000001</v>
      </c>
      <c r="C190">
        <v>4400</v>
      </c>
      <c r="D190">
        <v>-369</v>
      </c>
      <c r="E190" s="41">
        <v>7.13</v>
      </c>
    </row>
    <row r="191" spans="1:5" ht="14.25">
      <c r="A191" t="s">
        <v>385</v>
      </c>
      <c r="C191">
        <v>3750</v>
      </c>
      <c r="D191">
        <v>-600</v>
      </c>
      <c r="E191" s="41">
        <v>4.1500000000000004</v>
      </c>
    </row>
    <row r="192" spans="5:5" ht="14.25">
      <c r="E192" s="41"/>
    </row>
    <row r="193" spans="5:5" ht="14.25">
      <c r="E193" s="41"/>
    </row>
    <row r="194" spans="5:5" ht="14.25">
      <c r="E194" s="41"/>
    </row>
    <row r="195" spans="5:5" ht="14.25">
      <c r="E195" s="41"/>
    </row>
    <row r="196" spans="5:5" ht="14.25">
      <c r="E196" s="41"/>
    </row>
    <row r="197" spans="1:5" ht="15">
      <c r="A197" s="59"/>
      <c r="B197" s="402" t="s">
        <v>138</v>
      </c>
      <c r="C197" s="402"/>
      <c r="D197" s="270" t="s">
        <v>141</v>
      </c>
      <c r="E197" s="41"/>
    </row>
    <row r="198" spans="1:5" ht="14.25">
      <c r="A198" t="s">
        <v>42</v>
      </c>
      <c r="B198">
        <v>12.598000000000001</v>
      </c>
      <c r="C198">
        <v>3250</v>
      </c>
      <c r="D198">
        <v>550</v>
      </c>
      <c r="E198" s="41">
        <v>3.10</v>
      </c>
    </row>
    <row r="199" spans="1:5" ht="14.25">
      <c r="A199" t="s">
        <v>43</v>
      </c>
      <c r="B199">
        <v>10.02</v>
      </c>
      <c r="C199">
        <v>3250</v>
      </c>
      <c r="D199">
        <v>0</v>
      </c>
      <c r="E199" s="41">
        <v>2.10</v>
      </c>
    </row>
    <row r="200" spans="1:5" ht="14.25">
      <c r="A200" t="s">
        <v>44</v>
      </c>
      <c r="B200">
        <v>12.598000000000001</v>
      </c>
      <c r="C200">
        <v>3250</v>
      </c>
      <c r="D200">
        <v>-550</v>
      </c>
      <c r="E200" s="41">
        <v>1.1000000000000001</v>
      </c>
    </row>
    <row r="201" spans="1:5" ht="14.25">
      <c r="A201" t="s">
        <v>316</v>
      </c>
      <c r="B201" s="273"/>
      <c r="C201">
        <v>4850</v>
      </c>
      <c r="D201">
        <v>-400</v>
      </c>
      <c r="E201" s="41"/>
    </row>
    <row r="202" spans="1:5" ht="14.25">
      <c r="A202" t="s">
        <v>317</v>
      </c>
      <c r="B202" s="273"/>
      <c r="C202">
        <v>4850</v>
      </c>
      <c r="D202">
        <v>0</v>
      </c>
      <c r="E202" s="41"/>
    </row>
    <row r="203" spans="5:5" ht="14.25">
      <c r="E203" s="41"/>
    </row>
    <row r="204" spans="5:5" ht="14.25">
      <c r="E204" s="41"/>
    </row>
    <row r="205" spans="5:5" ht="14.25">
      <c r="E205" s="41"/>
    </row>
    <row r="206" spans="5:5" ht="14.25">
      <c r="E206" s="41"/>
    </row>
    <row r="207" spans="5:5" ht="14.25">
      <c r="E207" s="41"/>
    </row>
    <row r="208" spans="5:5" ht="14.25">
      <c r="E208" s="41"/>
    </row>
    <row r="209" spans="5:5" ht="14.25">
      <c r="E209" s="41"/>
    </row>
    <row r="210" spans="1:5" ht="15">
      <c r="A210" s="59"/>
      <c r="B210" s="402" t="s">
        <v>138</v>
      </c>
      <c r="C210" s="402"/>
      <c r="D210" s="270" t="s">
        <v>140</v>
      </c>
      <c r="E210" s="41"/>
    </row>
    <row r="211" spans="1:5" ht="14.25">
      <c r="A211" t="s">
        <v>318</v>
      </c>
      <c r="B211" s="273"/>
      <c r="C211">
        <v>5000</v>
      </c>
      <c r="D211">
        <v>550</v>
      </c>
      <c r="E211" s="41"/>
    </row>
    <row r="212" spans="1:5" ht="14.25">
      <c r="A212" t="s">
        <v>319</v>
      </c>
      <c r="B212" s="273"/>
      <c r="C212">
        <v>5000</v>
      </c>
      <c r="D212">
        <v>-550</v>
      </c>
      <c r="E212" s="41"/>
    </row>
    <row r="213" spans="1:5" ht="14.25">
      <c r="A213" t="s">
        <v>320</v>
      </c>
      <c r="B213" s="273"/>
      <c r="C213">
        <v>3282</v>
      </c>
      <c r="D213">
        <v>1021</v>
      </c>
      <c r="E213" s="41"/>
    </row>
    <row r="214" spans="1:5" ht="14.25">
      <c r="A214" t="s">
        <v>321</v>
      </c>
      <c r="B214" s="273"/>
      <c r="C214">
        <v>4147</v>
      </c>
      <c r="D214">
        <v>1021</v>
      </c>
      <c r="E214" s="41"/>
    </row>
    <row r="215" spans="1:5" ht="14.25">
      <c r="A215" t="s">
        <v>322</v>
      </c>
      <c r="B215" s="273"/>
      <c r="C215">
        <v>3282</v>
      </c>
      <c r="D215">
        <v>-1021</v>
      </c>
      <c r="E215" s="41"/>
    </row>
    <row r="216" spans="1:5" ht="14.25">
      <c r="A216" t="s">
        <v>323</v>
      </c>
      <c r="B216" s="273"/>
      <c r="C216">
        <v>4147</v>
      </c>
      <c r="D216">
        <v>-1021</v>
      </c>
      <c r="E216" s="41"/>
    </row>
    <row r="217" spans="1:5" ht="14.25">
      <c r="A217" t="s">
        <v>332</v>
      </c>
      <c r="B217" s="273"/>
      <c r="C217">
        <v>3500</v>
      </c>
      <c r="D217">
        <v>550</v>
      </c>
      <c r="E217" s="41"/>
    </row>
    <row r="218" spans="1:5" ht="14.25">
      <c r="A218" t="s">
        <v>333</v>
      </c>
      <c r="B218" s="273"/>
      <c r="C218">
        <v>4000</v>
      </c>
      <c r="D218">
        <v>550</v>
      </c>
      <c r="E218" s="41"/>
    </row>
    <row r="219" spans="1:5" ht="14.25">
      <c r="A219" t="s">
        <v>334</v>
      </c>
      <c r="B219" s="273"/>
      <c r="C219">
        <v>3500</v>
      </c>
      <c r="D219">
        <v>-550</v>
      </c>
      <c r="E219" s="41"/>
    </row>
    <row r="220" spans="1:5" ht="14.25">
      <c r="A220" t="s">
        <v>335</v>
      </c>
      <c r="B220" s="273"/>
      <c r="C220">
        <v>4000</v>
      </c>
      <c r="D220">
        <v>-550</v>
      </c>
      <c r="E220" s="41"/>
    </row>
    <row r="221" spans="5:5" ht="14.25">
      <c r="E221" s="41"/>
    </row>
    <row r="222" spans="5:5" ht="14.25">
      <c r="E222" s="41"/>
    </row>
    <row r="223" spans="1:5" ht="15">
      <c r="A223" s="59"/>
      <c r="B223" s="402" t="s">
        <v>138</v>
      </c>
      <c r="C223" s="402"/>
      <c r="D223" s="270" t="s">
        <v>139</v>
      </c>
      <c r="E223" s="41"/>
    </row>
    <row r="224" spans="1:5" ht="14.25">
      <c r="A224" t="s">
        <v>337</v>
      </c>
      <c r="C224">
        <v>3500</v>
      </c>
      <c r="D224">
        <v>550</v>
      </c>
      <c r="E224" s="41"/>
    </row>
    <row r="225" spans="1:5" ht="14.25">
      <c r="A225" t="s">
        <v>338</v>
      </c>
      <c r="C225">
        <v>3950</v>
      </c>
      <c r="D225">
        <v>370</v>
      </c>
      <c r="E225" s="41"/>
    </row>
    <row r="226" spans="1:5" ht="14.25">
      <c r="A226" t="s">
        <v>339</v>
      </c>
      <c r="C226">
        <v>4450</v>
      </c>
      <c r="D226">
        <v>370</v>
      </c>
      <c r="E226" s="41"/>
    </row>
    <row r="227" spans="1:5" ht="14.25">
      <c r="A227" t="s">
        <v>340</v>
      </c>
      <c r="C227">
        <v>4950</v>
      </c>
      <c r="D227">
        <v>370</v>
      </c>
      <c r="E227" s="41"/>
    </row>
    <row r="228" spans="1:5" ht="14.25">
      <c r="A228" t="s">
        <v>341</v>
      </c>
      <c r="C228">
        <v>4500</v>
      </c>
      <c r="D228">
        <v>-550</v>
      </c>
      <c r="E228" s="41"/>
    </row>
    <row r="229" spans="1:5" ht="14.25">
      <c r="A229" t="s">
        <v>342</v>
      </c>
      <c r="C229">
        <v>5000</v>
      </c>
      <c r="D229">
        <v>-550</v>
      </c>
      <c r="E229" s="41"/>
    </row>
    <row r="230" spans="1:5" ht="14.25">
      <c r="A230" t="s">
        <v>343</v>
      </c>
      <c r="C230">
        <v>5500</v>
      </c>
      <c r="D230">
        <v>-550</v>
      </c>
      <c r="E230" s="41"/>
    </row>
    <row r="231" spans="1:5" ht="14.25">
      <c r="A231" t="s">
        <v>344</v>
      </c>
      <c r="B231">
        <v>6</v>
      </c>
      <c r="C231">
        <v>4700</v>
      </c>
      <c r="D231">
        <v>370</v>
      </c>
      <c r="E231" s="41"/>
    </row>
    <row r="232" spans="5:5" ht="14.25">
      <c r="E232" s="41"/>
    </row>
    <row r="233" spans="5:5" ht="14.25">
      <c r="E233" s="41"/>
    </row>
    <row r="234" spans="5:5" ht="14.25">
      <c r="E234" s="41"/>
    </row>
    <row r="235" spans="5:5" ht="14.25">
      <c r="E235" s="41"/>
    </row>
    <row r="236" spans="1:5" ht="15">
      <c r="A236" s="59"/>
      <c r="B236" s="402" t="s">
        <v>138</v>
      </c>
      <c r="C236" s="402"/>
      <c r="D236" s="270" t="s">
        <v>263</v>
      </c>
      <c r="E236" s="41"/>
    </row>
    <row r="237" spans="1:5" ht="14.25">
      <c r="A237" t="s">
        <v>44</v>
      </c>
      <c r="B237">
        <v>12.598000000000001</v>
      </c>
      <c r="C237">
        <v>3265</v>
      </c>
      <c r="D237">
        <v>-550</v>
      </c>
      <c r="E237" s="41">
        <v>1.50</v>
      </c>
    </row>
    <row r="238" spans="1:5" ht="14.25">
      <c r="A238" t="s">
        <v>42</v>
      </c>
      <c r="B238">
        <v>12.598000000000001</v>
      </c>
      <c r="C238">
        <v>3265</v>
      </c>
      <c r="D238">
        <v>550</v>
      </c>
      <c r="E238" s="41">
        <v>3.50</v>
      </c>
    </row>
    <row r="239" spans="1:5" ht="14.25">
      <c r="A239" t="s">
        <v>111</v>
      </c>
      <c r="B239">
        <v>12.598000000000001</v>
      </c>
      <c r="C239">
        <v>4400</v>
      </c>
      <c r="D239">
        <v>369</v>
      </c>
      <c r="E239" s="41">
        <v>6.40</v>
      </c>
    </row>
    <row r="240" spans="1:5" ht="14.25">
      <c r="A240" t="s">
        <v>112</v>
      </c>
      <c r="B240">
        <v>12.598000000000001</v>
      </c>
      <c r="C240">
        <v>4400</v>
      </c>
      <c r="D240">
        <v>-369</v>
      </c>
      <c r="E240" s="41">
        <v>4.4000000000000004</v>
      </c>
    </row>
    <row r="241" spans="1:5" ht="14.25">
      <c r="A241" t="s">
        <v>345</v>
      </c>
      <c r="B241">
        <v>40</v>
      </c>
      <c r="C241">
        <v>3800</v>
      </c>
      <c r="D241">
        <v>0</v>
      </c>
      <c r="E241" s="41"/>
    </row>
    <row r="242" spans="5:5" ht="14.25">
      <c r="E242" s="41"/>
    </row>
    <row r="243" spans="5:5" ht="14.25">
      <c r="E243" s="41"/>
    </row>
    <row r="244" spans="5:5" ht="14.25">
      <c r="E244" s="41"/>
    </row>
    <row r="245" spans="5:5" ht="14.25">
      <c r="E245" s="41"/>
    </row>
    <row r="246" spans="5:5" ht="14.25">
      <c r="E246" s="41"/>
    </row>
    <row r="247" spans="5:5" ht="14.25">
      <c r="E247" s="41"/>
    </row>
    <row r="248" spans="5:5" ht="14.25">
      <c r="E248" s="41"/>
    </row>
    <row r="249" spans="1:5" ht="15">
      <c r="A249" s="59" t="s">
        <v>293</v>
      </c>
      <c r="B249" s="402" t="s">
        <v>138</v>
      </c>
      <c r="C249" s="402"/>
      <c r="D249" s="270" t="s">
        <v>294</v>
      </c>
      <c r="E249" s="41"/>
    </row>
    <row r="250" spans="2:5" ht="14.25">
      <c r="B250" s="273"/>
      <c r="C250">
        <v>4500</v>
      </c>
      <c r="D250">
        <v>0</v>
      </c>
      <c r="E250" s="41"/>
    </row>
    <row r="251" spans="5:5" ht="14.25">
      <c r="E251" s="41"/>
    </row>
    <row r="252" spans="5:5" ht="14.25">
      <c r="E252" s="41"/>
    </row>
    <row r="253" spans="5:5" ht="14.25">
      <c r="E253" s="41"/>
    </row>
    <row r="254" spans="5:5" ht="14.25">
      <c r="E254" s="41"/>
    </row>
    <row r="255" spans="5:5" ht="14.25">
      <c r="E255" s="41"/>
    </row>
    <row r="256" spans="5:5" ht="14.25">
      <c r="E256" s="41"/>
    </row>
    <row r="257" spans="5:5" ht="14.25">
      <c r="E257" s="41"/>
    </row>
    <row r="258" spans="5:5" ht="14.25">
      <c r="E258" s="41"/>
    </row>
    <row r="259" spans="5:5" ht="14.25">
      <c r="E259" s="41"/>
    </row>
    <row r="260" spans="5:5" ht="14.25">
      <c r="E260" s="41"/>
    </row>
    <row r="261" spans="5:5" ht="14.25">
      <c r="E261" s="41"/>
    </row>
    <row r="262" spans="1:5" ht="15">
      <c r="A262" s="59" t="s">
        <v>295</v>
      </c>
      <c r="B262" s="402" t="s">
        <v>138</v>
      </c>
      <c r="C262" s="402"/>
      <c r="D262" s="270" t="s">
        <v>296</v>
      </c>
      <c r="E262" s="41"/>
    </row>
    <row r="263" spans="5:5" ht="14.25">
      <c r="E263" s="41"/>
    </row>
    <row r="264" spans="5:5" ht="14.25">
      <c r="E264" s="41"/>
    </row>
    <row r="265" spans="5:5" ht="14.25">
      <c r="E265" s="41"/>
    </row>
    <row r="266" spans="5:5" ht="14.25">
      <c r="E266" s="41"/>
    </row>
    <row r="267" spans="5:5" ht="14.25">
      <c r="E267" s="41"/>
    </row>
    <row r="268" spans="5:5" ht="14.25">
      <c r="E268" s="41"/>
    </row>
    <row r="269" spans="5:5" ht="14.25">
      <c r="E269" s="41"/>
    </row>
    <row r="270" spans="5:5" ht="14.25">
      <c r="E270" s="41"/>
    </row>
    <row r="271" spans="5:5" ht="14.25">
      <c r="E271" s="41"/>
    </row>
    <row r="272" spans="5:5" ht="14.25">
      <c r="E272" s="41"/>
    </row>
    <row r="273" spans="5:5" ht="14.25">
      <c r="E273" s="41"/>
    </row>
    <row r="274" spans="5:5" ht="14.25">
      <c r="E274" s="41"/>
    </row>
    <row r="275" spans="1:5" ht="15">
      <c r="A275" s="59" t="s">
        <v>36</v>
      </c>
      <c r="B275" s="402" t="s">
        <v>138</v>
      </c>
      <c r="C275" s="402"/>
      <c r="D275" s="270" t="s">
        <v>297</v>
      </c>
      <c r="E275" s="41"/>
    </row>
    <row r="276" spans="1:5" ht="14.25">
      <c r="A276" t="s">
        <v>43</v>
      </c>
      <c r="B276">
        <v>12.598000000000001</v>
      </c>
      <c r="C276">
        <v>3367</v>
      </c>
      <c r="D276">
        <v>78</v>
      </c>
      <c r="E276" s="41">
        <v>2.2999999999999998</v>
      </c>
    </row>
    <row r="277" spans="1:5" ht="14.25">
      <c r="A277" t="s">
        <v>44</v>
      </c>
      <c r="B277">
        <v>12.598000000000001</v>
      </c>
      <c r="C277">
        <v>3265</v>
      </c>
      <c r="D277">
        <v>-480</v>
      </c>
      <c r="E277" s="41">
        <v>1.30</v>
      </c>
    </row>
    <row r="278" spans="1:5" ht="14.25">
      <c r="A278" t="s">
        <v>47</v>
      </c>
      <c r="B278">
        <v>12.38</v>
      </c>
      <c r="C278">
        <v>4498</v>
      </c>
      <c r="D278">
        <v>460</v>
      </c>
      <c r="E278" s="41">
        <v>9.40</v>
      </c>
    </row>
    <row r="279" spans="1:5" ht="14.25">
      <c r="A279" t="s">
        <v>48</v>
      </c>
      <c r="B279">
        <v>10.02</v>
      </c>
      <c r="C279">
        <v>4498</v>
      </c>
      <c r="D279">
        <v>0</v>
      </c>
      <c r="E279" s="41">
        <v>8.40</v>
      </c>
    </row>
    <row r="280" spans="1:5" ht="14.25">
      <c r="A280" t="s">
        <v>49</v>
      </c>
      <c r="B280">
        <v>12.38</v>
      </c>
      <c r="C280">
        <v>4498</v>
      </c>
      <c r="D280">
        <v>-460</v>
      </c>
      <c r="E280" s="41">
        <v>7.40</v>
      </c>
    </row>
    <row r="281" spans="5:5" ht="14.25">
      <c r="E281" s="41"/>
    </row>
    <row r="282" spans="5:5" ht="14.25">
      <c r="E282" s="41"/>
    </row>
    <row r="283" spans="5:5" ht="14.25">
      <c r="E283" s="41"/>
    </row>
    <row r="284" spans="5:5" ht="14.25">
      <c r="E284" s="41"/>
    </row>
    <row r="285" spans="5:5" ht="14.25">
      <c r="E285" s="41"/>
    </row>
    <row r="286" spans="5:5" ht="14.25">
      <c r="E286" s="41"/>
    </row>
    <row r="287" spans="5:5" ht="14.25">
      <c r="E287" s="41"/>
    </row>
    <row r="288" spans="1:5" ht="15">
      <c r="A288" s="59" t="s">
        <v>37</v>
      </c>
      <c r="B288" s="402" t="s">
        <v>138</v>
      </c>
      <c r="C288" s="402"/>
      <c r="D288" s="270" t="s">
        <v>298</v>
      </c>
      <c r="E288" s="41"/>
    </row>
    <row r="289" spans="1:5" ht="14.25">
      <c r="A289" t="s">
        <v>42</v>
      </c>
      <c r="B289">
        <v>12.598000000000001</v>
      </c>
      <c r="C289">
        <v>3265</v>
      </c>
      <c r="D289">
        <v>480</v>
      </c>
      <c r="E289" s="41">
        <v>3.30</v>
      </c>
    </row>
    <row r="290" spans="1:5" ht="14.25">
      <c r="A290" t="s">
        <v>43</v>
      </c>
      <c r="B290">
        <v>12.598000000000001</v>
      </c>
      <c r="C290">
        <v>3367</v>
      </c>
      <c r="D290">
        <v>-78</v>
      </c>
      <c r="E290" s="41">
        <v>2.50</v>
      </c>
    </row>
    <row r="291" spans="1:5" ht="14.25">
      <c r="A291" t="s">
        <v>47</v>
      </c>
      <c r="B291">
        <v>12.38</v>
      </c>
      <c r="C291">
        <v>4498</v>
      </c>
      <c r="D291">
        <v>460</v>
      </c>
      <c r="E291" s="41">
        <v>9.40</v>
      </c>
    </row>
    <row r="292" spans="1:5" ht="14.25">
      <c r="A292" t="s">
        <v>48</v>
      </c>
      <c r="B292">
        <v>10.02</v>
      </c>
      <c r="C292">
        <v>4498</v>
      </c>
      <c r="D292">
        <v>0</v>
      </c>
      <c r="E292" s="41">
        <v>8.40</v>
      </c>
    </row>
    <row r="293" spans="1:5" ht="14.25">
      <c r="A293" t="s">
        <v>49</v>
      </c>
      <c r="B293">
        <v>12.38</v>
      </c>
      <c r="C293">
        <v>4498</v>
      </c>
      <c r="D293">
        <v>-460</v>
      </c>
      <c r="E293" s="41">
        <v>7.40</v>
      </c>
    </row>
    <row r="294" spans="5:5" ht="14.25">
      <c r="E294" s="41"/>
    </row>
    <row r="295" spans="5:5" ht="14.25">
      <c r="E295" s="41"/>
    </row>
    <row r="296" spans="5:5" ht="14.25">
      <c r="E296" s="41"/>
    </row>
    <row r="297" spans="5:5" ht="14.25">
      <c r="E297" s="41"/>
    </row>
    <row r="298" spans="5:5" ht="14.25">
      <c r="E298" s="41"/>
    </row>
    <row r="299" spans="5:5" ht="14.25">
      <c r="E299" s="41"/>
    </row>
    <row r="300" spans="5:5" ht="14.25">
      <c r="E300" s="41"/>
    </row>
    <row r="301" spans="1:5" ht="15">
      <c r="A301" s="59" t="s">
        <v>55</v>
      </c>
      <c r="B301" s="402" t="s">
        <v>138</v>
      </c>
      <c r="C301" s="402"/>
      <c r="D301" s="270" t="s">
        <v>299</v>
      </c>
      <c r="E301" s="41"/>
    </row>
    <row r="302" spans="1:5" ht="14.25">
      <c r="A302" t="s">
        <v>53</v>
      </c>
      <c r="B302">
        <v>19.18</v>
      </c>
      <c r="C302">
        <v>2854</v>
      </c>
      <c r="D302">
        <v>369</v>
      </c>
      <c r="E302" s="41"/>
    </row>
    <row r="303" spans="1:5" ht="14.25">
      <c r="A303" t="s">
        <v>54</v>
      </c>
      <c r="B303">
        <v>12.598000000000001</v>
      </c>
      <c r="C303">
        <v>3812</v>
      </c>
      <c r="D303">
        <v>369</v>
      </c>
      <c r="E303" s="41">
        <v>6.40</v>
      </c>
    </row>
    <row r="304" spans="1:5" ht="14.25">
      <c r="A304" t="s">
        <v>44</v>
      </c>
      <c r="B304">
        <v>12.598000000000001</v>
      </c>
      <c r="C304">
        <v>3265</v>
      </c>
      <c r="D304">
        <v>-550</v>
      </c>
      <c r="E304" s="41">
        <v>1.50</v>
      </c>
    </row>
    <row r="305" spans="1:5" ht="14.25">
      <c r="A305" t="s">
        <v>46</v>
      </c>
      <c r="B305">
        <v>12.36</v>
      </c>
      <c r="C305">
        <v>4193</v>
      </c>
      <c r="D305">
        <v>-480</v>
      </c>
      <c r="E305" s="41">
        <v>4.5999999999999996</v>
      </c>
    </row>
    <row r="306" spans="1:5" ht="14.25">
      <c r="A306" t="s">
        <v>47</v>
      </c>
      <c r="B306">
        <v>12.38</v>
      </c>
      <c r="C306">
        <v>5057</v>
      </c>
      <c r="D306">
        <v>460</v>
      </c>
      <c r="E306" s="41">
        <v>9.60</v>
      </c>
    </row>
    <row r="307" spans="1:5" ht="14.25">
      <c r="A307" t="s">
        <v>48</v>
      </c>
      <c r="B307">
        <v>10.02</v>
      </c>
      <c r="C307">
        <v>5057</v>
      </c>
      <c r="D307">
        <v>0</v>
      </c>
      <c r="E307" s="41">
        <v>8.60</v>
      </c>
    </row>
    <row r="308" spans="1:5" ht="14.25">
      <c r="A308" t="s">
        <v>49</v>
      </c>
      <c r="B308">
        <v>12.38</v>
      </c>
      <c r="C308">
        <v>5057</v>
      </c>
      <c r="D308">
        <v>-460</v>
      </c>
      <c r="E308" s="41">
        <v>7.60</v>
      </c>
    </row>
    <row r="309" spans="5:5" ht="14.25">
      <c r="E309" s="41"/>
    </row>
    <row r="310" spans="5:5" ht="14.25">
      <c r="E310" s="41"/>
    </row>
    <row r="311" spans="5:5" ht="14.25">
      <c r="E311" s="41"/>
    </row>
    <row r="312" spans="5:5" ht="14.25">
      <c r="E312" s="41"/>
    </row>
    <row r="313" spans="5:5" ht="14.25">
      <c r="E313" s="41"/>
    </row>
    <row r="314" spans="1:5" ht="15">
      <c r="A314" s="59" t="s">
        <v>56</v>
      </c>
      <c r="B314" s="402" t="s">
        <v>138</v>
      </c>
      <c r="C314" s="402"/>
      <c r="D314" s="270" t="s">
        <v>300</v>
      </c>
      <c r="E314" s="41"/>
    </row>
    <row r="315" spans="1:5" ht="14.25">
      <c r="A315" t="s">
        <v>53</v>
      </c>
      <c r="B315">
        <v>19.18</v>
      </c>
      <c r="C315">
        <v>2854</v>
      </c>
      <c r="D315">
        <v>369</v>
      </c>
      <c r="E315" s="41"/>
    </row>
    <row r="316" spans="1:5" ht="14.25">
      <c r="A316" t="s">
        <v>54</v>
      </c>
      <c r="B316">
        <v>12.598000000000001</v>
      </c>
      <c r="C316">
        <v>3812</v>
      </c>
      <c r="D316">
        <v>369</v>
      </c>
      <c r="E316" s="41">
        <v>6.40</v>
      </c>
    </row>
    <row r="317" spans="1:5" ht="14.25">
      <c r="A317" t="s">
        <v>44</v>
      </c>
      <c r="B317">
        <v>12.598000000000001</v>
      </c>
      <c r="C317">
        <v>3265</v>
      </c>
      <c r="D317">
        <v>-550</v>
      </c>
      <c r="E317" s="41">
        <v>1.50</v>
      </c>
    </row>
    <row r="318" spans="1:5" ht="14.25">
      <c r="A318" t="s">
        <v>46</v>
      </c>
      <c r="B318">
        <v>12.36</v>
      </c>
      <c r="C318">
        <v>4193</v>
      </c>
      <c r="D318">
        <v>-480</v>
      </c>
      <c r="E318" s="41">
        <v>4.5999999999999996</v>
      </c>
    </row>
    <row r="319" spans="5:5" ht="14.25">
      <c r="E319" s="41"/>
    </row>
    <row r="320" spans="5:5" ht="14.25">
      <c r="E320" s="41"/>
    </row>
    <row r="321" spans="5:5" ht="14.25">
      <c r="E321" s="41"/>
    </row>
    <row r="322" spans="5:5" ht="14.25">
      <c r="E322" s="41"/>
    </row>
    <row r="323" spans="5:5" ht="14.25">
      <c r="E323" s="41"/>
    </row>
    <row r="324" spans="5:5" ht="14.25">
      <c r="E324" s="41"/>
    </row>
    <row r="325" spans="5:5" ht="14.25">
      <c r="E325" s="41"/>
    </row>
    <row r="326" spans="5:5" ht="14.25">
      <c r="E326" s="41"/>
    </row>
    <row r="327" spans="1:5" ht="15">
      <c r="A327" s="59" t="s">
        <v>57</v>
      </c>
      <c r="B327" s="402" t="s">
        <v>138</v>
      </c>
      <c r="C327" s="402"/>
      <c r="D327" s="270" t="s">
        <v>301</v>
      </c>
      <c r="E327" s="41"/>
    </row>
    <row r="328" spans="1:5" ht="14.25">
      <c r="A328" t="s">
        <v>53</v>
      </c>
      <c r="B328">
        <v>19.18</v>
      </c>
      <c r="C328">
        <v>2854</v>
      </c>
      <c r="D328">
        <v>369</v>
      </c>
      <c r="E328" s="41"/>
    </row>
    <row r="329" spans="1:5" ht="14.25">
      <c r="A329" t="s">
        <v>54</v>
      </c>
      <c r="B329">
        <v>12.598000000000001</v>
      </c>
      <c r="C329">
        <v>3698</v>
      </c>
      <c r="D329">
        <v>369</v>
      </c>
      <c r="E329" s="41">
        <v>6.60</v>
      </c>
    </row>
    <row r="330" spans="1:5" ht="14.25">
      <c r="A330" t="s">
        <v>44</v>
      </c>
      <c r="B330">
        <v>12.598000000000001</v>
      </c>
      <c r="C330">
        <v>3265</v>
      </c>
      <c r="D330">
        <v>-550</v>
      </c>
      <c r="E330" s="41">
        <v>1.50</v>
      </c>
    </row>
    <row r="331" spans="1:5" ht="14.25">
      <c r="A331" t="s">
        <v>49</v>
      </c>
      <c r="B331">
        <v>12.38</v>
      </c>
      <c r="C331">
        <v>3265</v>
      </c>
      <c r="D331">
        <v>-460</v>
      </c>
      <c r="E331" s="41">
        <v>7.60</v>
      </c>
    </row>
    <row r="332" spans="5:5" ht="14.25">
      <c r="E332" s="41"/>
    </row>
    <row r="333" spans="5:5" ht="14.25">
      <c r="E333" s="41"/>
    </row>
    <row r="334" spans="5:5" ht="14.25">
      <c r="E334" s="41"/>
    </row>
    <row r="335" spans="5:5" ht="14.25">
      <c r="E335" s="41"/>
    </row>
    <row r="336" spans="5:5" ht="14.25">
      <c r="E336" s="41"/>
    </row>
    <row r="337" spans="5:5" ht="14.25">
      <c r="E337" s="41"/>
    </row>
    <row r="338" spans="5:5" ht="14.25">
      <c r="E338" s="41"/>
    </row>
    <row r="339" spans="5:5" ht="14.25">
      <c r="E339" s="41"/>
    </row>
    <row r="340" spans="1:5" ht="15">
      <c r="A340" s="59" t="s">
        <v>58</v>
      </c>
      <c r="B340" s="402" t="s">
        <v>138</v>
      </c>
      <c r="C340" s="402"/>
      <c r="D340" s="270" t="s">
        <v>302</v>
      </c>
      <c r="E340" s="41"/>
    </row>
    <row r="341" spans="1:5" ht="14.25">
      <c r="A341" t="s">
        <v>53</v>
      </c>
      <c r="B341">
        <v>19.18</v>
      </c>
      <c r="C341">
        <v>3896</v>
      </c>
      <c r="D341">
        <v>369</v>
      </c>
      <c r="E341" s="41"/>
    </row>
    <row r="342" spans="1:5" ht="14.25">
      <c r="A342" t="s">
        <v>54</v>
      </c>
      <c r="B342">
        <v>12.598000000000001</v>
      </c>
      <c r="C342">
        <v>4715</v>
      </c>
      <c r="D342">
        <v>369</v>
      </c>
      <c r="E342" s="41">
        <v>6.80</v>
      </c>
    </row>
    <row r="343" spans="1:5" ht="14.25">
      <c r="A343" t="s">
        <v>42</v>
      </c>
      <c r="B343">
        <v>12.598000000000001</v>
      </c>
      <c r="C343">
        <v>3265</v>
      </c>
      <c r="D343">
        <v>550</v>
      </c>
      <c r="E343" s="41">
        <v>1.50</v>
      </c>
    </row>
    <row r="344" spans="1:5" ht="14.25">
      <c r="A344" t="s">
        <v>43</v>
      </c>
      <c r="B344">
        <v>10.02</v>
      </c>
      <c r="C344">
        <v>3265</v>
      </c>
      <c r="D344">
        <v>0</v>
      </c>
      <c r="E344" s="41">
        <v>2.70</v>
      </c>
    </row>
    <row r="345" spans="1:5" ht="14.25">
      <c r="A345" t="s">
        <v>44</v>
      </c>
      <c r="B345">
        <v>12.598000000000001</v>
      </c>
      <c r="C345">
        <v>3265</v>
      </c>
      <c r="D345">
        <v>-550</v>
      </c>
      <c r="E345" s="41">
        <v>3.70</v>
      </c>
    </row>
    <row r="346" spans="1:5" ht="14.25">
      <c r="A346" t="s">
        <v>49</v>
      </c>
      <c r="B346">
        <v>12.38</v>
      </c>
      <c r="C346">
        <v>5057</v>
      </c>
      <c r="D346">
        <v>-460</v>
      </c>
      <c r="E346" s="41">
        <v>7.60</v>
      </c>
    </row>
    <row r="347" spans="5:5" ht="14.25">
      <c r="E347" s="41"/>
    </row>
    <row r="348" spans="5:5" ht="14.25">
      <c r="E348" s="41"/>
    </row>
    <row r="349" spans="5:5" ht="14.25">
      <c r="E349" s="41"/>
    </row>
    <row r="350" spans="5:5" ht="14.25">
      <c r="E350" s="41"/>
    </row>
    <row r="351" spans="5:5" ht="14.25">
      <c r="E351" s="41"/>
    </row>
    <row r="352" spans="5:5" ht="14.25">
      <c r="E352" s="41"/>
    </row>
    <row r="353" spans="1:5" ht="15">
      <c r="A353" s="59"/>
      <c r="B353" s="402" t="s">
        <v>138</v>
      </c>
      <c r="C353" s="402"/>
      <c r="D353" s="270" t="s">
        <v>305</v>
      </c>
      <c r="E353" s="41"/>
    </row>
    <row r="354" spans="5:5" ht="14.25">
      <c r="E354"/>
    </row>
    <row r="355" spans="5:5" ht="14.25">
      <c r="E355"/>
    </row>
    <row r="356" spans="5:5" ht="14.25">
      <c r="E356"/>
    </row>
    <row r="357" spans="5:5" ht="14.25">
      <c r="E357"/>
    </row>
    <row r="358" spans="5:5" ht="14.25">
      <c r="E358"/>
    </row>
    <row r="359" spans="5:5" ht="14.25">
      <c r="E359"/>
    </row>
    <row r="360" spans="5:5" ht="14.25">
      <c r="E360"/>
    </row>
    <row r="361" spans="5:5" ht="14.25">
      <c r="E361"/>
    </row>
    <row r="362" spans="5:5" ht="14.25">
      <c r="E362"/>
    </row>
    <row r="363" spans="5:5" ht="14.25">
      <c r="E363"/>
    </row>
    <row r="364" spans="5:5" ht="14.25">
      <c r="E364"/>
    </row>
    <row r="365" spans="5:5" ht="14.25">
      <c r="E365"/>
    </row>
    <row r="366" spans="5:5" ht="14.25">
      <c r="E366"/>
    </row>
    <row r="367" spans="5:5" ht="14.25">
      <c r="E367"/>
    </row>
    <row r="368" spans="5:5" ht="14.25">
      <c r="E368"/>
    </row>
    <row r="369" spans="5:5" ht="14.25">
      <c r="E369"/>
    </row>
    <row r="370" spans="5:5" ht="14.25">
      <c r="E370"/>
    </row>
    <row r="371" spans="5:5" ht="14.25">
      <c r="E371"/>
    </row>
    <row r="372" spans="5:5" ht="14.25">
      <c r="E372"/>
    </row>
    <row r="373" spans="5:5" ht="14.25">
      <c r="E373"/>
    </row>
    <row r="374" spans="5:5" ht="14.25">
      <c r="E374"/>
    </row>
    <row r="375" spans="5:5" ht="14.25">
      <c r="E375"/>
    </row>
    <row r="376" spans="5:5" ht="14.25">
      <c r="E376"/>
    </row>
    <row r="377" spans="5:5" ht="14.25">
      <c r="E377"/>
    </row>
    <row r="378" spans="5:5" ht="14.25">
      <c r="E378"/>
    </row>
    <row r="379" spans="5:5" ht="14.25">
      <c r="E379"/>
    </row>
    <row r="380" spans="5:5" ht="14.25">
      <c r="E380"/>
    </row>
    <row r="381" spans="5:5" ht="14.25">
      <c r="E381"/>
    </row>
    <row r="382" spans="5:5" ht="14.25">
      <c r="E382"/>
    </row>
    <row r="383" spans="5:5" ht="14.25">
      <c r="E383"/>
    </row>
    <row r="384" spans="5:5" ht="14.25">
      <c r="E384"/>
    </row>
    <row r="385" spans="5:5" ht="14.25">
      <c r="E385"/>
    </row>
    <row r="386" spans="5:5" ht="14.25">
      <c r="E386"/>
    </row>
    <row r="387" spans="5:5" ht="14.25">
      <c r="E387"/>
    </row>
    <row r="388" spans="5:5" ht="14.25">
      <c r="E388"/>
    </row>
    <row r="389" spans="5:5" ht="14.25">
      <c r="E389"/>
    </row>
    <row r="390" spans="5:5" ht="14.25">
      <c r="E390"/>
    </row>
    <row r="391" spans="5:5" ht="14.25">
      <c r="E391"/>
    </row>
    <row r="392" spans="5:5" ht="14.25">
      <c r="E392"/>
    </row>
    <row r="393" spans="5:5" ht="14.25">
      <c r="E393"/>
    </row>
    <row r="394" spans="5:5" ht="14.25">
      <c r="E394"/>
    </row>
    <row r="395" spans="5:5" ht="14.25">
      <c r="E395"/>
    </row>
    <row r="396" spans="5:5" ht="14.25">
      <c r="E396"/>
    </row>
    <row r="397" spans="5:5" ht="14.25">
      <c r="E397"/>
    </row>
    <row r="398" spans="5:5" ht="14.25">
      <c r="E398"/>
    </row>
    <row r="399" spans="5:5" ht="14.25">
      <c r="E399"/>
    </row>
    <row r="400" spans="5:5" ht="14.25">
      <c r="E400"/>
    </row>
    <row r="401" spans="5:5" ht="14.25">
      <c r="E401"/>
    </row>
    <row r="402" spans="5:5" ht="14.25">
      <c r="E402"/>
    </row>
    <row r="403" spans="5:5" ht="14.25">
      <c r="E403"/>
    </row>
    <row r="404" spans="5:5" ht="14.25">
      <c r="E404"/>
    </row>
    <row r="405" spans="5:5" ht="14.25">
      <c r="E405"/>
    </row>
    <row r="406" spans="5:5" ht="14.25">
      <c r="E406"/>
    </row>
    <row r="407" spans="5:5" ht="14.25">
      <c r="E407"/>
    </row>
    <row r="408" spans="5:5" ht="14.25">
      <c r="E408"/>
    </row>
    <row r="409" spans="5:5" ht="14.25">
      <c r="E409"/>
    </row>
    <row r="410" spans="5:5" ht="14.25">
      <c r="E410"/>
    </row>
    <row r="411" spans="5:5" ht="14.25">
      <c r="E411"/>
    </row>
    <row r="412" spans="5:5" ht="14.25">
      <c r="E412"/>
    </row>
    <row r="413" spans="5:5" ht="14.25">
      <c r="E413"/>
    </row>
    <row r="414" spans="5:5" ht="14.25">
      <c r="E414"/>
    </row>
    <row r="415" spans="5:5" ht="14.25">
      <c r="E415"/>
    </row>
    <row r="416" spans="5:5" ht="14.25">
      <c r="E416"/>
    </row>
    <row r="417" spans="5:5" ht="14.25">
      <c r="E417"/>
    </row>
    <row r="418" spans="5:5" ht="14.25">
      <c r="E418"/>
    </row>
    <row r="419" spans="5:5" ht="14.25">
      <c r="E419"/>
    </row>
    <row r="420" spans="5:5" ht="14.25">
      <c r="E420"/>
    </row>
    <row r="421" spans="5:5" ht="14.25">
      <c r="E421"/>
    </row>
    <row r="422" spans="5:5" ht="14.25">
      <c r="E422"/>
    </row>
    <row r="423" spans="5:5" ht="14.25">
      <c r="E423"/>
    </row>
    <row r="424" spans="5:5" ht="14.25">
      <c r="E424"/>
    </row>
    <row r="425" spans="5:5" ht="14.25">
      <c r="E425"/>
    </row>
    <row r="426" spans="5:5" ht="14.25">
      <c r="E426"/>
    </row>
    <row r="427" spans="5:5" ht="14.25">
      <c r="E427"/>
    </row>
    <row r="428" spans="5:5" ht="14.25">
      <c r="E428"/>
    </row>
    <row r="429" spans="5:5" ht="14.25">
      <c r="E429"/>
    </row>
    <row r="430" spans="5:5" ht="14.25">
      <c r="E430"/>
    </row>
    <row r="431" spans="5:5" ht="14.25">
      <c r="E431"/>
    </row>
    <row r="432" spans="5:5" ht="14.25">
      <c r="E432"/>
    </row>
    <row r="433" spans="5:5" ht="14.25">
      <c r="E433"/>
    </row>
    <row r="434" spans="5:5" ht="14.25">
      <c r="E434"/>
    </row>
    <row r="435" spans="5:5" ht="14.25">
      <c r="E435"/>
    </row>
    <row r="436" spans="5:5" ht="14.25">
      <c r="E436"/>
    </row>
    <row r="437" spans="5:5" ht="14.25">
      <c r="E437"/>
    </row>
    <row r="438" spans="5:5" ht="14.25">
      <c r="E438"/>
    </row>
    <row r="439" spans="5:5" ht="14.25">
      <c r="E439"/>
    </row>
    <row r="440" spans="5:5" ht="14.25">
      <c r="E440"/>
    </row>
    <row r="441" spans="5:5" ht="14.25">
      <c r="E441"/>
    </row>
    <row r="442" spans="5:5" ht="14.25">
      <c r="E442"/>
    </row>
    <row r="443" spans="5:5" ht="14.25">
      <c r="E443"/>
    </row>
    <row r="444" spans="5:5" ht="14.25">
      <c r="E444"/>
    </row>
    <row r="445" spans="5:5" ht="14.25">
      <c r="E445"/>
    </row>
    <row r="446" spans="5:5" ht="14.25">
      <c r="E446"/>
    </row>
    <row r="447" spans="5:5" ht="14.25">
      <c r="E447"/>
    </row>
    <row r="448" spans="5:5" ht="14.25">
      <c r="E448"/>
    </row>
    <row r="449" spans="5:5" ht="14.25">
      <c r="E449"/>
    </row>
    <row r="450" spans="5:5" ht="14.25">
      <c r="E450"/>
    </row>
    <row r="451" spans="5:5" ht="14.25">
      <c r="E451"/>
    </row>
    <row r="452" spans="5:5" ht="14.25">
      <c r="E452"/>
    </row>
    <row r="453" spans="5:5" ht="14.25">
      <c r="E453"/>
    </row>
    <row r="454" spans="5:5" ht="14.25">
      <c r="E454"/>
    </row>
    <row r="455" spans="5:5" ht="14.25">
      <c r="E455"/>
    </row>
    <row r="456" spans="5:5" ht="14.25">
      <c r="E456"/>
    </row>
    <row r="457" spans="5:5" ht="14.25">
      <c r="E457"/>
    </row>
    <row r="458" spans="5:5" ht="14.25">
      <c r="E458"/>
    </row>
    <row r="459" spans="5:5" ht="14.25">
      <c r="E459"/>
    </row>
    <row r="460" spans="5:5" ht="14.25">
      <c r="E460"/>
    </row>
    <row r="461" spans="5:5" ht="14.25">
      <c r="E461"/>
    </row>
    <row r="462" spans="5:5" ht="14.25">
      <c r="E462"/>
    </row>
    <row r="463" spans="5:5" ht="14.25">
      <c r="E463"/>
    </row>
    <row r="464" spans="5:5" ht="14.25">
      <c r="E464"/>
    </row>
    <row r="465" spans="5:5" ht="14.25">
      <c r="E465"/>
    </row>
    <row r="466" spans="5:5" ht="14.25">
      <c r="E466"/>
    </row>
    <row r="467" spans="5:5" ht="14.25">
      <c r="E467"/>
    </row>
    <row r="468" spans="5:5" ht="14.25">
      <c r="E468"/>
    </row>
    <row r="469" spans="5:5" ht="14.25">
      <c r="E469"/>
    </row>
    <row r="470" spans="5:5" ht="14.25">
      <c r="E470"/>
    </row>
    <row r="471" spans="5:5" ht="14.25">
      <c r="E471"/>
    </row>
    <row r="472" spans="5:5" ht="14.25">
      <c r="E472"/>
    </row>
    <row r="473" spans="5:5" ht="14.25">
      <c r="E473"/>
    </row>
    <row r="474" spans="5:5" ht="14.25">
      <c r="E474"/>
    </row>
    <row r="475" spans="5:5" ht="14.25">
      <c r="E475"/>
    </row>
    <row r="476" spans="5:5" ht="14.25">
      <c r="E476"/>
    </row>
    <row r="477" spans="5:5" ht="14.25">
      <c r="E477"/>
    </row>
    <row r="478" spans="5:5" ht="14.25">
      <c r="E478"/>
    </row>
    <row r="479" spans="5:5" ht="14.25">
      <c r="E479"/>
    </row>
    <row r="480" spans="5:5" ht="14.25">
      <c r="E480"/>
    </row>
    <row r="481" spans="5:5" ht="14.25">
      <c r="E481"/>
    </row>
    <row r="482" spans="5:5" ht="14.25">
      <c r="E482"/>
    </row>
    <row r="483" spans="5:5" ht="14.25">
      <c r="E483"/>
    </row>
    <row r="484" spans="5:5" ht="14.25">
      <c r="E484"/>
    </row>
    <row r="485" spans="5:5" ht="14.25">
      <c r="E485"/>
    </row>
    <row r="486" spans="5:5" ht="14.25">
      <c r="E486"/>
    </row>
    <row r="487" spans="5:5" ht="14.25">
      <c r="E487"/>
    </row>
    <row r="488" spans="5:5" ht="14.25">
      <c r="E488"/>
    </row>
    <row r="489" spans="5:5" ht="14.25">
      <c r="E489"/>
    </row>
    <row r="490" spans="5:5" ht="14.25">
      <c r="E490"/>
    </row>
    <row r="491" spans="5:5" ht="14.25">
      <c r="E491"/>
    </row>
    <row r="492" spans="5:5" ht="14.25">
      <c r="E492"/>
    </row>
    <row r="493" spans="5:5" ht="14.25">
      <c r="E493"/>
    </row>
    <row r="494" spans="5:5" ht="14.25">
      <c r="E494"/>
    </row>
    <row r="495" spans="5:5" ht="14.25">
      <c r="E495"/>
    </row>
    <row r="496" spans="5:5" ht="14.25">
      <c r="E496"/>
    </row>
    <row r="497" spans="5:5" ht="14.25">
      <c r="E497"/>
    </row>
    <row r="498" spans="5:5" ht="14.25">
      <c r="E498"/>
    </row>
    <row r="499" spans="5:5" ht="14.25">
      <c r="E499"/>
    </row>
    <row r="500" spans="5:5" ht="14.25">
      <c r="E500"/>
    </row>
    <row r="501" spans="5:5" ht="14.25">
      <c r="E501"/>
    </row>
    <row r="502" spans="5:5" ht="14.25">
      <c r="E502"/>
    </row>
    <row r="503" spans="5:5" ht="14.25">
      <c r="E503"/>
    </row>
    <row r="504" spans="5:5" ht="14.25">
      <c r="E504"/>
    </row>
    <row r="505" spans="5:5" ht="14.25">
      <c r="E505"/>
    </row>
    <row r="506" spans="5:5" ht="14.25">
      <c r="E506"/>
    </row>
    <row r="507" spans="5:5" ht="14.25">
      <c r="E507"/>
    </row>
    <row r="508" spans="5:5" ht="14.25">
      <c r="E508"/>
    </row>
    <row r="509" spans="5:5" ht="14.25">
      <c r="E509"/>
    </row>
    <row r="510" spans="5:5" ht="14.25">
      <c r="E510"/>
    </row>
    <row r="511" spans="5:5" ht="14.25">
      <c r="E511"/>
    </row>
    <row r="512" spans="5:5" ht="14.25">
      <c r="E512"/>
    </row>
    <row r="513" spans="5:5" ht="14.25">
      <c r="E513"/>
    </row>
    <row r="514" spans="5:5" ht="14.25">
      <c r="E514"/>
    </row>
    <row r="515" spans="5:5" ht="14.25">
      <c r="E515"/>
    </row>
    <row r="516" spans="5:5" ht="14.25">
      <c r="E516"/>
    </row>
    <row r="517" spans="5:5" ht="14.25">
      <c r="E517"/>
    </row>
    <row r="518" spans="5:5" ht="14.25">
      <c r="E518"/>
    </row>
    <row r="519" spans="5:5" ht="14.25">
      <c r="E519"/>
    </row>
    <row r="520" spans="5:5" ht="14.25">
      <c r="E520"/>
    </row>
    <row r="521" spans="5:5" ht="14.25">
      <c r="E521"/>
    </row>
    <row r="522" spans="5:5" ht="14.25">
      <c r="E522"/>
    </row>
    <row r="523" spans="5:5" ht="14.25">
      <c r="E523"/>
    </row>
    <row r="524" spans="5:5" ht="14.25">
      <c r="E524"/>
    </row>
    <row r="525" spans="5:5" ht="14.25">
      <c r="E525"/>
    </row>
    <row r="526" spans="5:5" ht="14.25">
      <c r="E526"/>
    </row>
    <row r="527" spans="5:5" ht="14.25">
      <c r="E527"/>
    </row>
    <row r="528" spans="5:5" ht="14.25">
      <c r="E528"/>
    </row>
    <row r="529" spans="5:5" ht="14.25">
      <c r="E529"/>
    </row>
    <row r="530" spans="5:5" ht="14.25">
      <c r="E530"/>
    </row>
    <row r="531" spans="5:5" ht="14.25">
      <c r="E531"/>
    </row>
    <row r="532" spans="5:5" ht="14.25">
      <c r="E532"/>
    </row>
    <row r="533" spans="5:5" ht="14.25">
      <c r="E533"/>
    </row>
    <row r="534" spans="5:5" ht="14.25">
      <c r="E534"/>
    </row>
    <row r="535" spans="5:5" ht="14.25">
      <c r="E535"/>
    </row>
    <row r="536" spans="5:5" ht="14.25">
      <c r="E536"/>
    </row>
    <row r="537" spans="5:5" ht="14.25">
      <c r="E537"/>
    </row>
    <row r="538" spans="5:5" ht="14.25">
      <c r="E538"/>
    </row>
    <row r="539" spans="5:5" ht="14.25">
      <c r="E539"/>
    </row>
    <row r="540" spans="5:5" ht="14.25">
      <c r="E540"/>
    </row>
    <row r="541" spans="5:5" ht="14.25">
      <c r="E541"/>
    </row>
    <row r="542" spans="5:5" ht="14.25">
      <c r="E542"/>
    </row>
    <row r="543" spans="5:5" ht="14.25">
      <c r="E543"/>
    </row>
    <row r="544" spans="5:5" ht="14.25">
      <c r="E544"/>
    </row>
    <row r="545" spans="5:5" ht="14.25">
      <c r="E545"/>
    </row>
    <row r="546" spans="5:5" ht="14.25">
      <c r="E546"/>
    </row>
    <row r="547" spans="5:5" ht="14.25">
      <c r="E547"/>
    </row>
    <row r="548" spans="5:5" ht="14.25">
      <c r="E548"/>
    </row>
    <row r="549" spans="5:5" ht="14.25">
      <c r="E549"/>
    </row>
    <row r="550" spans="5:5" ht="14.25">
      <c r="E550"/>
    </row>
    <row r="551" spans="5:5" ht="14.25">
      <c r="E551"/>
    </row>
    <row r="552" spans="5:5" ht="14.25">
      <c r="E552"/>
    </row>
    <row r="553" spans="5:5" ht="14.25">
      <c r="E553"/>
    </row>
    <row r="554" spans="5:5" ht="14.25">
      <c r="E554"/>
    </row>
    <row r="555" spans="5:5" ht="14.25">
      <c r="E555"/>
    </row>
    <row r="556" spans="5:5" ht="14.25">
      <c r="E556"/>
    </row>
    <row r="557" spans="5:5" ht="14.25">
      <c r="E557"/>
    </row>
    <row r="558" spans="5:5" ht="14.25">
      <c r="E558"/>
    </row>
    <row r="559" spans="5:5" ht="14.25">
      <c r="E559"/>
    </row>
  </sheetData>
  <mergeCells count="28">
    <mergeCell ref="B353:C353"/>
    <mergeCell ref="B314:C314"/>
    <mergeCell ref="B327:C327"/>
    <mergeCell ref="B340:C340"/>
    <mergeCell ref="B249:C249"/>
    <mergeCell ref="B262:C262"/>
    <mergeCell ref="B275:C275"/>
    <mergeCell ref="B288:C288"/>
    <mergeCell ref="B301:C301"/>
    <mergeCell ref="B80:C80"/>
    <mergeCell ref="B93:C93"/>
    <mergeCell ref="B119:C119"/>
    <mergeCell ref="B236:C236"/>
    <mergeCell ref="B197:C197"/>
    <mergeCell ref="B210:C210"/>
    <mergeCell ref="B223:C223"/>
    <mergeCell ref="B132:C132"/>
    <mergeCell ref="B145:C145"/>
    <mergeCell ref="B158:C158"/>
    <mergeCell ref="B171:C171"/>
    <mergeCell ref="B184:C184"/>
    <mergeCell ref="B67:C67"/>
    <mergeCell ref="P1:R1"/>
    <mergeCell ref="B2:C2"/>
    <mergeCell ref="B15:C15"/>
    <mergeCell ref="B41:C41"/>
    <mergeCell ref="B28:C28"/>
    <mergeCell ref="B54:C54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7">
    <tabColor rgb="FF00B0F0"/>
  </sheetPr>
  <dimension ref="B1:AN99"/>
  <sheetViews>
    <sheetView rightToLeft="1" workbookViewId="0" topLeftCell="A1">
      <selection pane="topLeft" activeCell="AR70" sqref="AR70"/>
    </sheetView>
  </sheetViews>
  <sheetFormatPr defaultRowHeight="14.25"/>
  <cols>
    <col min="8" max="10" width="9.375" bestFit="1" customWidth="1"/>
    <col min="26" max="26" width="10.25" customWidth="1"/>
    <col min="29" max="29" width="10.375" bestFit="1" customWidth="1"/>
    <col min="30" max="30" width="11.375" bestFit="1" customWidth="1"/>
    <col min="31" max="31" width="11.375" customWidth="1"/>
    <col min="32" max="39" width="9" style="284"/>
    <col min="40" max="40" width="9" style="282"/>
  </cols>
  <sheetData>
    <row r="1" spans="22:23" ht="15" thickBot="1">
      <c r="V1" t="s">
        <v>171</v>
      </c>
      <c r="W1" t="s">
        <v>172</v>
      </c>
    </row>
    <row r="2" spans="22:40" ht="15">
      <c r="V2">
        <v>0</v>
      </c>
      <c r="W2">
        <v>0</v>
      </c>
      <c r="AB2" s="392" t="s">
        <v>371</v>
      </c>
      <c r="AC2" s="393"/>
      <c r="AD2" s="394"/>
      <c r="AE2" s="425" t="s">
        <v>374</v>
      </c>
      <c r="AF2" s="423" t="s">
        <v>379</v>
      </c>
      <c r="AG2" s="424"/>
      <c r="AH2" s="424"/>
      <c r="AI2" s="424"/>
      <c r="AJ2" s="424"/>
      <c r="AK2" s="424"/>
      <c r="AL2" s="424"/>
      <c r="AM2" s="424"/>
      <c r="AN2" s="426" t="s">
        <v>375</v>
      </c>
    </row>
    <row r="3" spans="9:40" ht="15">
      <c r="I3" t="s">
        <v>172</v>
      </c>
      <c r="J3">
        <f>userTEMP</f>
        <v>20</v>
      </c>
      <c r="K3">
        <f>userTEMP+273.15</f>
        <v>293.14999999999998</v>
      </c>
      <c r="L3" t="s">
        <v>329</v>
      </c>
      <c r="V3">
        <v>100</v>
      </c>
      <c r="W3">
        <v>1</v>
      </c>
      <c r="AB3" s="387" t="s">
        <v>372</v>
      </c>
      <c r="AC3" s="388"/>
      <c r="AD3" s="389"/>
      <c r="AE3" s="425"/>
      <c r="AF3" s="423"/>
      <c r="AG3" s="424"/>
      <c r="AH3" s="424"/>
      <c r="AI3" s="424"/>
      <c r="AJ3" s="424"/>
      <c r="AK3" s="424"/>
      <c r="AL3" s="424"/>
      <c r="AM3" s="424"/>
      <c r="AN3" s="426"/>
    </row>
    <row r="4" spans="9:39" ht="15">
      <c r="I4" t="s">
        <v>171</v>
      </c>
      <c r="J4">
        <f>userALT</f>
        <v>2000</v>
      </c>
      <c r="K4">
        <f>15-userALT/1000*2+273.15</f>
        <v>284.14999999999998</v>
      </c>
      <c r="L4" t="s">
        <v>330</v>
      </c>
      <c r="V4">
        <v>200</v>
      </c>
      <c r="W4">
        <v>2</v>
      </c>
      <c r="AB4" s="63" t="str">
        <f>נתונים!AB4</f>
        <v>MASS</v>
      </c>
      <c r="AC4" s="64" t="str">
        <f>נתונים!AC4</f>
        <v>LONG ARM</v>
      </c>
      <c r="AD4" s="62" t="s">
        <v>373</v>
      </c>
      <c r="AF4" s="291">
        <v>100</v>
      </c>
      <c r="AG4" s="291">
        <v>200</v>
      </c>
      <c r="AH4" s="291">
        <v>300</v>
      </c>
      <c r="AI4" s="291">
        <v>400</v>
      </c>
      <c r="AJ4" s="291">
        <v>500</v>
      </c>
      <c r="AK4" s="291">
        <v>600</v>
      </c>
      <c r="AL4" s="291">
        <v>700</v>
      </c>
      <c r="AM4" s="291">
        <v>800</v>
      </c>
    </row>
    <row r="5" spans="9:40" ht="14.25">
      <c r="I5" t="s">
        <v>366</v>
      </c>
      <c r="J5">
        <f>50-userALT/1000*2</f>
        <v>46</v>
      </c>
      <c r="V5">
        <v>300</v>
      </c>
      <c r="W5">
        <v>3</v>
      </c>
      <c r="AA5" s="283">
        <v>0</v>
      </c>
      <c r="AB5" s="44">
        <f ca="1">נתונים!AB5-SUM(externalLOADwt)</f>
        <v>2699.6019999999999</v>
      </c>
      <c r="AC5" s="33">
        <f ca="1">AD5/AB5</f>
        <v>4505.1075139372397</v>
      </c>
      <c r="AD5" s="34">
        <f ca="1">נתונים!AC5*נתונים!AB5-SUM(externalLOADmoment)</f>
        <v>12161997.25484</v>
      </c>
      <c r="AE5" s="423" t="s">
        <v>376</v>
      </c>
      <c r="AF5" s="424"/>
      <c r="AG5" s="424"/>
      <c r="AH5" s="424"/>
      <c r="AI5" s="424"/>
      <c r="AJ5" s="424"/>
      <c r="AK5" s="424"/>
      <c r="AL5" s="424"/>
      <c r="AM5" s="424"/>
      <c r="AN5" s="424"/>
    </row>
    <row r="6" spans="9:40" ht="14.25">
      <c r="I6" t="s">
        <v>324</v>
      </c>
      <c r="J6">
        <f>userALT+(ST_tempK/0.001981)*(1-POWER(ST_tempK/ACT_tempK,0.234969))</f>
        <v>3047.1040926590294</v>
      </c>
      <c r="V6">
        <v>400</v>
      </c>
      <c r="W6">
        <v>4</v>
      </c>
      <c r="AA6" s="283">
        <v>10</v>
      </c>
      <c r="AB6" s="43">
        <f ca="1">נתונים!AB6-SUM(externalLOADwt)</f>
        <v>2709.6019999999999</v>
      </c>
      <c r="AC6" s="29">
        <f ca="1" t="shared" si="0" ref="AC6:AC69">AD6/AB6</f>
        <v>4501.7782149703171</v>
      </c>
      <c r="AD6" s="31">
        <f ca="1">נתונים!AC6*נתונים!AB6-SUM(externalLOADmoment)</f>
        <v>12198027.25484</v>
      </c>
      <c r="AE6" s="423"/>
      <c r="AF6" s="424"/>
      <c r="AG6" s="424"/>
      <c r="AH6" s="424"/>
      <c r="AI6" s="424"/>
      <c r="AJ6" s="424"/>
      <c r="AK6" s="424"/>
      <c r="AL6" s="424"/>
      <c r="AM6" s="424"/>
      <c r="AN6" s="424"/>
    </row>
    <row r="7" spans="13:40" ht="14.25">
      <c r="M7" t="s">
        <v>327</v>
      </c>
      <c r="V7">
        <v>500</v>
      </c>
      <c r="W7">
        <v>5</v>
      </c>
      <c r="AA7" s="283">
        <v>20</v>
      </c>
      <c r="AB7" s="43">
        <f ca="1">נתונים!AB7-SUM(externalLOADwt)</f>
        <v>2719.6019999999999</v>
      </c>
      <c r="AC7" s="29">
        <f t="shared" ca="1" si="0"/>
        <v>4498.4586916909166</v>
      </c>
      <c r="AD7" s="31">
        <f ca="1">נתונים!AC7*נתונים!AB7-SUM(externalLOADmoment)</f>
        <v>12234017.25484</v>
      </c>
      <c r="AE7" s="423"/>
      <c r="AF7" s="424"/>
      <c r="AG7" s="424"/>
      <c r="AH7" s="424"/>
      <c r="AI7" s="424"/>
      <c r="AJ7" s="424"/>
      <c r="AK7" s="424"/>
      <c r="AL7" s="424"/>
      <c r="AM7" s="424"/>
      <c r="AN7" s="424"/>
    </row>
    <row r="8" spans="22:40" ht="14.25">
      <c r="V8">
        <v>600</v>
      </c>
      <c r="W8">
        <v>6</v>
      </c>
      <c r="AA8" s="283">
        <v>30</v>
      </c>
      <c r="AB8" s="43">
        <f ca="1">נתונים!AB8-SUM(externalLOADwt)</f>
        <v>2729.6019999999999</v>
      </c>
      <c r="AC8" s="29">
        <f t="shared" ca="1" si="0"/>
        <v>4495.137846044955</v>
      </c>
      <c r="AD8" s="31">
        <f ca="1">נתונים!AC8*נתונים!AB8-SUM(externalLOADmoment)</f>
        <v>12269937.254840001</v>
      </c>
      <c r="AE8" s="423"/>
      <c r="AF8" s="424"/>
      <c r="AG8" s="424"/>
      <c r="AH8" s="424"/>
      <c r="AI8" s="424"/>
      <c r="AJ8" s="424"/>
      <c r="AK8" s="424"/>
      <c r="AL8" s="424"/>
      <c r="AM8" s="424"/>
      <c r="AN8" s="424"/>
    </row>
    <row r="9" spans="10:40" ht="14.25">
      <c r="J9" t="s">
        <v>325</v>
      </c>
      <c r="L9" t="s">
        <v>367</v>
      </c>
      <c r="M9" t="b">
        <f>userTEMP&gt;ISA_35</f>
        <v>0</v>
      </c>
      <c r="V9">
        <v>700</v>
      </c>
      <c r="W9">
        <v>7</v>
      </c>
      <c r="AA9" s="283">
        <v>40</v>
      </c>
      <c r="AB9" s="43">
        <f ca="1">נתונים!AB9-SUM(externalLOADwt)</f>
        <v>2739.6019999999999</v>
      </c>
      <c r="AC9" s="29">
        <f t="shared" ca="1" si="0"/>
        <v>4491.8193426782427</v>
      </c>
      <c r="AD9" s="31">
        <f ca="1">נתונים!AC9*נתונים!AB9-SUM(externalLOADmoment)</f>
        <v>12305797.254839998</v>
      </c>
      <c r="AE9" s="423"/>
      <c r="AF9" s="424"/>
      <c r="AG9" s="424"/>
      <c r="AH9" s="424"/>
      <c r="AI9" s="424"/>
      <c r="AJ9" s="424"/>
      <c r="AK9" s="424"/>
      <c r="AL9" s="424"/>
      <c r="AM9" s="424"/>
      <c r="AN9" s="424"/>
    </row>
    <row r="10" spans="10:40" ht="14.25">
      <c r="J10" t="s">
        <v>326</v>
      </c>
      <c r="L10" t="s">
        <v>365</v>
      </c>
      <c r="M10" t="b">
        <f>DensityAlt&gt;8000</f>
        <v>0</v>
      </c>
      <c r="V10">
        <v>800</v>
      </c>
      <c r="W10">
        <v>8</v>
      </c>
      <c r="AA10" s="283">
        <v>50</v>
      </c>
      <c r="AB10" s="43">
        <f ca="1">נתונים!AB10-SUM(externalLOADwt)</f>
        <v>2749.6019999999999</v>
      </c>
      <c r="AC10" s="29">
        <f t="shared" ca="1" si="0"/>
        <v>4488.5213404849137</v>
      </c>
      <c r="AD10" s="31">
        <f ca="1">נתונים!AC10*נתונים!AB10-SUM(externalLOADmoment)</f>
        <v>12341647.25484</v>
      </c>
      <c r="AE10" s="423"/>
      <c r="AF10" s="424"/>
      <c r="AG10" s="424"/>
      <c r="AH10" s="424"/>
      <c r="AI10" s="424"/>
      <c r="AJ10" s="424"/>
      <c r="AK10" s="424"/>
      <c r="AL10" s="424"/>
      <c r="AM10" s="424"/>
      <c r="AN10" s="424"/>
    </row>
    <row r="11" spans="22:40" ht="14.25">
      <c r="V11">
        <v>900</v>
      </c>
      <c r="W11">
        <v>9</v>
      </c>
      <c r="AA11" s="283">
        <v>60</v>
      </c>
      <c r="AB11" s="43">
        <f ca="1">נתונים!AB11-SUM(externalLOADwt)</f>
        <v>2759.6019999999999</v>
      </c>
      <c r="AC11" s="29">
        <f t="shared" ca="1" si="0"/>
        <v>4485.211003195388</v>
      </c>
      <c r="AD11" s="31">
        <f ca="1">נתונים!AC11*נתונים!AB11-SUM(externalLOADmoment)</f>
        <v>12377397.254839998</v>
      </c>
      <c r="AE11" s="423"/>
      <c r="AF11" s="424"/>
      <c r="AG11" s="424"/>
      <c r="AH11" s="424"/>
      <c r="AI11" s="424"/>
      <c r="AJ11" s="424"/>
      <c r="AK11" s="424"/>
      <c r="AL11" s="424"/>
      <c r="AM11" s="424"/>
      <c r="AN11" s="424"/>
    </row>
    <row r="12" spans="9:40" ht="14.25">
      <c r="I12" s="355" t="str">
        <f>IF(OR($M$8,$M$9),"PROHIBITED",IF($M$10,"PROHIBITED FOR TAKEOFF AND LANDING","OVER 3700 APPROVED"))</f>
        <v>OVER 3700 APPROVED</v>
      </c>
      <c r="J12" s="355"/>
      <c r="K12" s="355"/>
      <c r="L12" s="355"/>
      <c r="M12" s="355"/>
      <c r="V12">
        <v>1000</v>
      </c>
      <c r="W12">
        <v>10</v>
      </c>
      <c r="AA12" s="283">
        <v>70</v>
      </c>
      <c r="AB12" s="43">
        <f ca="1">נתונים!AB12-SUM(externalLOADwt)</f>
        <v>2769.6019999999999</v>
      </c>
      <c r="AC12" s="29">
        <f t="shared" ca="1" si="0"/>
        <v>4481.9029069303097</v>
      </c>
      <c r="AD12" s="31">
        <f ca="1">נתונים!AC12*נתונים!AB12-SUM(externalLOADmoment)</f>
        <v>12413087.25484</v>
      </c>
      <c r="AE12" s="423"/>
      <c r="AF12" s="424"/>
      <c r="AG12" s="424"/>
      <c r="AH12" s="424"/>
      <c r="AI12" s="424"/>
      <c r="AJ12" s="424"/>
      <c r="AK12" s="424"/>
      <c r="AL12" s="424"/>
      <c r="AM12" s="424"/>
      <c r="AN12" s="424"/>
    </row>
    <row r="13" spans="22:40" ht="14.25">
      <c r="V13">
        <v>1100</v>
      </c>
      <c r="W13">
        <v>11</v>
      </c>
      <c r="AA13" s="283">
        <v>80</v>
      </c>
      <c r="AB13" s="43">
        <f ca="1">נתונים!AB13-SUM(externalLOADwt)</f>
        <v>2779.6019999999999</v>
      </c>
      <c r="AC13" s="29">
        <f t="shared" ca="1" si="0"/>
        <v>4478.5970275024983</v>
      </c>
      <c r="AD13" s="31">
        <f ca="1">נתונים!AC13*נתונים!AB13-SUM(externalLOADmoment)</f>
        <v>12448717.25484</v>
      </c>
      <c r="AE13" s="423"/>
      <c r="AF13" s="424"/>
      <c r="AG13" s="424"/>
      <c r="AH13" s="424"/>
      <c r="AI13" s="424"/>
      <c r="AJ13" s="424"/>
      <c r="AK13" s="424"/>
      <c r="AL13" s="424"/>
      <c r="AM13" s="424"/>
      <c r="AN13" s="424"/>
    </row>
    <row r="14" spans="22:40" ht="14.25">
      <c r="V14">
        <v>1200</v>
      </c>
      <c r="W14">
        <v>12</v>
      </c>
      <c r="AA14" s="283">
        <v>90</v>
      </c>
      <c r="AB14" s="43">
        <f ca="1">נתונים!AB14-SUM(externalLOADwt)</f>
        <v>2789.6019999999999</v>
      </c>
      <c r="AC14" s="29">
        <f t="shared" ca="1" si="0"/>
        <v>4475.3256037384544</v>
      </c>
      <c r="AD14" s="31">
        <f ca="1">נתונים!AC14*נתונים!AB14-SUM(externalLOADmoment)</f>
        <v>12484377.25484</v>
      </c>
      <c r="AE14" s="423"/>
      <c r="AF14" s="424"/>
      <c r="AG14" s="424"/>
      <c r="AH14" s="424"/>
      <c r="AI14" s="424"/>
      <c r="AJ14" s="424"/>
      <c r="AK14" s="424"/>
      <c r="AL14" s="424"/>
      <c r="AM14" s="424"/>
      <c r="AN14" s="424"/>
    </row>
    <row r="15" spans="22:40" ht="15">
      <c r="V15">
        <v>1300</v>
      </c>
      <c r="W15">
        <v>13</v>
      </c>
      <c r="AA15">
        <v>100</v>
      </c>
      <c r="AB15" s="43">
        <f ca="1">נתונים!AB15-SUM(externalLOADwt)</f>
        <v>2799.6019999999999</v>
      </c>
      <c r="AC15" s="29">
        <f t="shared" ca="1" si="0"/>
        <v>4472.0632628637932</v>
      </c>
      <c r="AD15" s="31">
        <f ca="1">נתונים!AC15*נתונים!AB15-SUM(externalLOADmoment)</f>
        <v>12519997.25484</v>
      </c>
      <c r="AE15" s="41">
        <f ca="1" t="shared" si="1" ref="AE15:AE69">IF(3700-AB15&gt;800,800,3700-AB15)</f>
        <v>800</v>
      </c>
      <c r="AF15" s="292">
        <f ca="1" t="shared" si="2" ref="AF15:AF32">IF((($AB15-H$49)/H$48)&lt;$AC15,AF$4,FALSE)</f>
        <v>100</v>
      </c>
      <c r="AG15" s="292">
        <f ca="1" t="shared" si="3" ref="AG15:AG32">IF((($AB15-I$49)/I$48)&lt;$AC15,AG$4,FALSE)</f>
        <v>200</v>
      </c>
      <c r="AH15" s="292">
        <f ca="1" t="shared" si="4" ref="AH15:AH32">IF((($AB15-J$49)/J$48)&lt;$AC15,AH$4,FALSE)</f>
        <v>300</v>
      </c>
      <c r="AI15" s="292">
        <f ca="1" t="shared" si="5" ref="AI15:AI31">IF((($AB15-K$49)/K$48)&lt;$AC15,AI$4,FALSE)</f>
        <v>400</v>
      </c>
      <c r="AJ15" s="292">
        <f ca="1" t="shared" si="6" ref="AJ15:AJ32">IF((($AB15-L$49)/L$48)&lt;$AC15,AJ$4,FALSE)</f>
        <v>500</v>
      </c>
      <c r="AK15" s="292">
        <f ca="1" t="shared" si="7" ref="AK15:AK32">IF((($AB15-M$49)/M$48)&lt;$AC15,AK$4,FALSE)</f>
        <v>600</v>
      </c>
      <c r="AL15" s="292">
        <f ca="1" t="shared" si="8" ref="AL15:AL32">IF((($AB15-N$49)/N$48)&lt;$AC15,AL$4,FALSE)</f>
        <v>700</v>
      </c>
      <c r="AM15" s="292">
        <f ca="1" t="shared" si="9" ref="AM15:AM32">IF((($AB15-O$49)/O$48)&lt;$AC15,AM$4,FALSE)</f>
        <v>800</v>
      </c>
      <c r="AN15" s="295" t="b">
        <f ca="1">IF(MAX(AF15:AM15)&lt;AE15,AA15,TRUE)</f>
        <v>1</v>
      </c>
    </row>
    <row r="16" spans="22:40" ht="15">
      <c r="V16">
        <v>1400</v>
      </c>
      <c r="W16">
        <v>14</v>
      </c>
      <c r="AA16">
        <v>110</v>
      </c>
      <c r="AB16" s="43">
        <f ca="1">נתונים!AB16-SUM(externalLOADwt)</f>
        <v>2809.6019999999999</v>
      </c>
      <c r="AC16" s="29">
        <f t="shared" ca="1" si="0"/>
        <v>4468.8490593471961</v>
      </c>
      <c r="AD16" s="31">
        <f ca="1">נתונים!AC16*נתונים!AB16-SUM(externalLOADmoment)</f>
        <v>12555687.25484</v>
      </c>
      <c r="AE16" s="41">
        <f t="shared" ca="1" si="1"/>
        <v>800</v>
      </c>
      <c r="AF16" s="293">
        <f t="shared" ca="1" si="2"/>
        <v>100</v>
      </c>
      <c r="AG16" s="293">
        <f t="shared" ca="1" si="3"/>
        <v>200</v>
      </c>
      <c r="AH16" s="293">
        <f t="shared" ca="1" si="4"/>
        <v>300</v>
      </c>
      <c r="AI16" s="293">
        <f t="shared" ca="1" si="5"/>
        <v>400</v>
      </c>
      <c r="AJ16" s="293">
        <f t="shared" ca="1" si="6"/>
        <v>500</v>
      </c>
      <c r="AK16" s="293">
        <f t="shared" ca="1" si="7"/>
        <v>600</v>
      </c>
      <c r="AL16" s="293">
        <f t="shared" ca="1" si="8"/>
        <v>700</v>
      </c>
      <c r="AM16" s="293">
        <f t="shared" ca="1" si="9"/>
        <v>800</v>
      </c>
      <c r="AN16" s="296" t="b">
        <f ca="1" t="shared" si="10" ref="AN16:AN78">IF(MAX(AF16:AM16)&lt;AE16,AA16,TRUE)</f>
        <v>1</v>
      </c>
    </row>
    <row r="17" spans="22:40" ht="15">
      <c r="V17">
        <v>1500</v>
      </c>
      <c r="W17">
        <v>15</v>
      </c>
      <c r="AA17">
        <v>120</v>
      </c>
      <c r="AB17" s="43">
        <f ca="1">נתונים!AB17-SUM(externalLOADwt)</f>
        <v>2819.6019999999999</v>
      </c>
      <c r="AC17" s="29">
        <f t="shared" ca="1" si="0"/>
        <v>4465.6080024202001</v>
      </c>
      <c r="AD17" s="31">
        <f ca="1">נתונים!AC17*נתונים!AB17-SUM(externalLOADmoment)</f>
        <v>12591237.25484</v>
      </c>
      <c r="AE17" s="41">
        <f t="shared" ca="1" si="1"/>
        <v>800</v>
      </c>
      <c r="AF17" s="293">
        <f t="shared" ca="1" si="2"/>
        <v>100</v>
      </c>
      <c r="AG17" s="293">
        <f t="shared" ca="1" si="3"/>
        <v>200</v>
      </c>
      <c r="AH17" s="293">
        <f t="shared" ca="1" si="4"/>
        <v>300</v>
      </c>
      <c r="AI17" s="293">
        <f t="shared" ca="1" si="5"/>
        <v>400</v>
      </c>
      <c r="AJ17" s="293">
        <f t="shared" ca="1" si="6"/>
        <v>500</v>
      </c>
      <c r="AK17" s="293">
        <f t="shared" ca="1" si="7"/>
        <v>600</v>
      </c>
      <c r="AL17" s="293">
        <f t="shared" ca="1" si="8"/>
        <v>700</v>
      </c>
      <c r="AM17" s="293">
        <f t="shared" ca="1" si="9"/>
        <v>800</v>
      </c>
      <c r="AN17" s="296" t="b">
        <f t="shared" ca="1" si="10"/>
        <v>1</v>
      </c>
    </row>
    <row r="18" spans="9:40" ht="15">
      <c r="I18" t="s">
        <v>331</v>
      </c>
      <c r="K18">
        <f>userMAXGROSS</f>
        <v>3700</v>
      </c>
      <c r="V18">
        <v>1600</v>
      </c>
      <c r="W18">
        <v>16</v>
      </c>
      <c r="AA18">
        <v>130</v>
      </c>
      <c r="AB18" s="43">
        <f ca="1">נתונים!AB18-SUM(externalLOADwt)</f>
        <v>2829.6019999999999</v>
      </c>
      <c r="AC18" s="29">
        <f t="shared" ca="1" si="0"/>
        <v>4462.4216603041705</v>
      </c>
      <c r="AD18" s="31">
        <f ca="1">נתונים!AC18*נתונים!AB18-SUM(externalLOADmoment)</f>
        <v>12626877.254840001</v>
      </c>
      <c r="AE18" s="41">
        <f t="shared" ca="1" si="1"/>
        <v>800</v>
      </c>
      <c r="AF18" s="293">
        <f t="shared" ca="1" si="2"/>
        <v>100</v>
      </c>
      <c r="AG18" s="293">
        <f t="shared" ca="1" si="3"/>
        <v>200</v>
      </c>
      <c r="AH18" s="293">
        <f t="shared" ca="1" si="4"/>
        <v>300</v>
      </c>
      <c r="AI18" s="293">
        <f t="shared" ca="1" si="5"/>
        <v>400</v>
      </c>
      <c r="AJ18" s="293">
        <f t="shared" ca="1" si="6"/>
        <v>500</v>
      </c>
      <c r="AK18" s="293">
        <f t="shared" ca="1" si="7"/>
        <v>600</v>
      </c>
      <c r="AL18" s="293">
        <f t="shared" ca="1" si="8"/>
        <v>700</v>
      </c>
      <c r="AM18" s="293">
        <f t="shared" ca="1" si="9"/>
        <v>800</v>
      </c>
      <c r="AN18" s="296" t="b">
        <f t="shared" ca="1" si="10"/>
        <v>1</v>
      </c>
    </row>
    <row r="19" spans="9:40" ht="15">
      <c r="I19" t="s">
        <v>328</v>
      </c>
      <c r="K19">
        <f>IF(userMAXGROSS=3700,3700,IF(OR(M9:M10),3700,3800))</f>
        <v>3700</v>
      </c>
      <c r="V19">
        <v>1700</v>
      </c>
      <c r="W19">
        <v>17</v>
      </c>
      <c r="AA19" s="286">
        <v>140</v>
      </c>
      <c r="AB19" s="287">
        <f ca="1">נתונים!AB19-SUM(externalLOADwt)</f>
        <v>2839.6019999999999</v>
      </c>
      <c r="AC19" s="288">
        <f t="shared" ca="1" si="0"/>
        <v>4461.7651540039769</v>
      </c>
      <c r="AD19" s="289">
        <f ca="1">נתונים!AC19*נתונים!AB19-SUM(externalLOADmoment)</f>
        <v>12669637.25484</v>
      </c>
      <c r="AE19" s="290">
        <f t="shared" ca="1" si="1"/>
        <v>800</v>
      </c>
      <c r="AF19" s="293">
        <f t="shared" ca="1" si="2"/>
        <v>100</v>
      </c>
      <c r="AG19" s="293">
        <f t="shared" ca="1" si="3"/>
        <v>200</v>
      </c>
      <c r="AH19" s="293">
        <f t="shared" ca="1" si="4"/>
        <v>300</v>
      </c>
      <c r="AI19" s="293">
        <f t="shared" ca="1" si="5"/>
        <v>400</v>
      </c>
      <c r="AJ19" s="293">
        <f t="shared" ca="1" si="6"/>
        <v>500</v>
      </c>
      <c r="AK19" s="293">
        <f t="shared" ca="1" si="7"/>
        <v>600</v>
      </c>
      <c r="AL19" s="293">
        <f t="shared" ca="1" si="8"/>
        <v>700</v>
      </c>
      <c r="AM19" s="293">
        <f t="shared" ca="1" si="9"/>
        <v>800</v>
      </c>
      <c r="AN19" s="297" t="b">
        <f t="shared" ca="1" si="10"/>
        <v>1</v>
      </c>
    </row>
    <row r="20" spans="22:40" ht="15.75" thickBot="1">
      <c r="V20">
        <v>1800</v>
      </c>
      <c r="W20">
        <v>18</v>
      </c>
      <c r="AA20">
        <v>150</v>
      </c>
      <c r="AB20" s="43">
        <f ca="1">נתונים!AB20-SUM(externalLOADwt)</f>
        <v>2849.6019999999999</v>
      </c>
      <c r="AC20" s="29">
        <f t="shared" ca="1" si="0"/>
        <v>4461.832654118014</v>
      </c>
      <c r="AD20" s="31">
        <f ca="1">נתונים!AC20*נתונים!AB20-SUM(externalLOADmoment)</f>
        <v>12714447.25484</v>
      </c>
      <c r="AE20" s="41">
        <f t="shared" ca="1" si="1"/>
        <v>800</v>
      </c>
      <c r="AF20" s="293">
        <f t="shared" ca="1" si="2"/>
        <v>100</v>
      </c>
      <c r="AG20" s="293">
        <f t="shared" ca="1" si="3"/>
        <v>200</v>
      </c>
      <c r="AH20" s="293">
        <f t="shared" ca="1" si="4"/>
        <v>300</v>
      </c>
      <c r="AI20" s="293">
        <f t="shared" ca="1" si="5"/>
        <v>400</v>
      </c>
      <c r="AJ20" s="293">
        <f t="shared" ca="1" si="6"/>
        <v>500</v>
      </c>
      <c r="AK20" s="293">
        <f t="shared" ca="1" si="7"/>
        <v>600</v>
      </c>
      <c r="AL20" s="293">
        <f t="shared" ca="1" si="8"/>
        <v>700</v>
      </c>
      <c r="AM20" s="293">
        <f t="shared" ca="1" si="9"/>
        <v>800</v>
      </c>
      <c r="AN20" s="296" t="b">
        <f t="shared" ca="1" si="10"/>
        <v>1</v>
      </c>
    </row>
    <row r="21" spans="5:40" ht="15.75" thickBot="1">
      <c r="E21" s="410" t="s">
        <v>183</v>
      </c>
      <c r="F21" s="411"/>
      <c r="G21" s="412"/>
      <c r="I21" t="s">
        <v>201</v>
      </c>
      <c r="K21" t="b">
        <f>ראשי!$L$43="כן"</f>
        <v>0</v>
      </c>
      <c r="V21">
        <v>1900</v>
      </c>
      <c r="W21">
        <v>19</v>
      </c>
      <c r="AA21">
        <v>160</v>
      </c>
      <c r="AB21" s="43">
        <f ca="1">נתונים!AB21-SUM(externalLOADwt)</f>
        <v>2859.6019999999999</v>
      </c>
      <c r="AC21" s="29">
        <f t="shared" ca="1" si="0"/>
        <v>4461.9626279601152</v>
      </c>
      <c r="AD21" s="31">
        <f ca="1">נתונים!AC21*נתונים!AB21-SUM(externalLOADmoment)</f>
        <v>12759437.254840001</v>
      </c>
      <c r="AE21" s="41">
        <f t="shared" ca="1" si="1"/>
        <v>800</v>
      </c>
      <c r="AF21" s="293">
        <f t="shared" ca="1" si="2"/>
        <v>100</v>
      </c>
      <c r="AG21" s="293">
        <f t="shared" ca="1" si="3"/>
        <v>200</v>
      </c>
      <c r="AH21" s="293">
        <f t="shared" ca="1" si="4"/>
        <v>300</v>
      </c>
      <c r="AI21" s="293">
        <f t="shared" ca="1" si="5"/>
        <v>400</v>
      </c>
      <c r="AJ21" s="293">
        <f t="shared" ca="1" si="6"/>
        <v>500</v>
      </c>
      <c r="AK21" s="293">
        <f t="shared" ca="1" si="7"/>
        <v>600</v>
      </c>
      <c r="AL21" s="293">
        <f t="shared" ca="1" si="8"/>
        <v>700</v>
      </c>
      <c r="AM21" s="293">
        <f t="shared" ca="1" si="9"/>
        <v>800</v>
      </c>
      <c r="AN21" s="296" t="b">
        <f t="shared" ca="1" si="10"/>
        <v>1</v>
      </c>
    </row>
    <row r="22" spans="5:40" ht="15.75" thickBot="1">
      <c r="E22" s="63"/>
      <c r="F22" s="51" t="s">
        <v>180</v>
      </c>
      <c r="G22" s="143" t="s">
        <v>181</v>
      </c>
      <c r="I22" s="427" t="s">
        <v>200</v>
      </c>
      <c r="J22" s="428"/>
      <c r="K22" s="168">
        <f>IF(MINUS100,$K$19-100,$K$19)</f>
        <v>3700</v>
      </c>
      <c r="V22">
        <v>2000</v>
      </c>
      <c r="W22">
        <v>20</v>
      </c>
      <c r="AA22">
        <v>170</v>
      </c>
      <c r="AB22" s="43">
        <f ca="1">נתונים!AB22-SUM(externalLOADwt)</f>
        <v>2869.6019999999999</v>
      </c>
      <c r="AC22" s="29">
        <f t="shared" ca="1" si="0"/>
        <v>4462.0324542706621</v>
      </c>
      <c r="AD22" s="31">
        <f ca="1">נתונים!AC22*נתונים!AB22-SUM(externalLOADmoment)</f>
        <v>12804257.25484</v>
      </c>
      <c r="AE22" s="41">
        <f t="shared" ca="1" si="1"/>
        <v>800</v>
      </c>
      <c r="AF22" s="293">
        <f t="shared" ca="1" si="2"/>
        <v>100</v>
      </c>
      <c r="AG22" s="293">
        <f t="shared" ca="1" si="3"/>
        <v>200</v>
      </c>
      <c r="AH22" s="293">
        <f t="shared" ca="1" si="4"/>
        <v>300</v>
      </c>
      <c r="AI22" s="293">
        <f t="shared" ca="1" si="5"/>
        <v>400</v>
      </c>
      <c r="AJ22" s="293">
        <f t="shared" ca="1" si="6"/>
        <v>500</v>
      </c>
      <c r="AK22" s="293">
        <f t="shared" ca="1" si="7"/>
        <v>600</v>
      </c>
      <c r="AL22" s="293">
        <f t="shared" ca="1" si="8"/>
        <v>700</v>
      </c>
      <c r="AM22" s="293">
        <f t="shared" ca="1" si="9"/>
        <v>800</v>
      </c>
      <c r="AN22" s="296" t="b">
        <f t="shared" ca="1" si="10"/>
        <v>1</v>
      </c>
    </row>
    <row r="23" spans="2:40" ht="15">
      <c r="B23">
        <v>4535</v>
      </c>
      <c r="C23">
        <v>4380</v>
      </c>
      <c r="E23" s="144" t="s">
        <v>90</v>
      </c>
      <c r="F23" s="157">
        <f>($G23-נתונים!$AR$32)/נתונים!AQ32</f>
        <v>4380</v>
      </c>
      <c r="G23" s="53">
        <f>MAXGROSS</f>
        <v>3700</v>
      </c>
      <c r="V23">
        <v>2100</v>
      </c>
      <c r="W23">
        <v>21</v>
      </c>
      <c r="AA23">
        <v>180</v>
      </c>
      <c r="AB23" s="43">
        <f ca="1">נתונים!AB23-SUM(externalLOADwt)</f>
        <v>2879.6019999999999</v>
      </c>
      <c r="AC23" s="29">
        <f t="shared" ca="1" si="0"/>
        <v>4462.1573588433403</v>
      </c>
      <c r="AD23" s="31">
        <f ca="1">נתונים!AC23*נתונים!AB23-SUM(externalLOADmoment)</f>
        <v>12849237.25484</v>
      </c>
      <c r="AE23" s="41">
        <f t="shared" ca="1" si="1"/>
        <v>800</v>
      </c>
      <c r="AF23" s="293">
        <f t="shared" ca="1" si="2"/>
        <v>100</v>
      </c>
      <c r="AG23" s="293">
        <f t="shared" ca="1" si="3"/>
        <v>200</v>
      </c>
      <c r="AH23" s="293">
        <f t="shared" ca="1" si="4"/>
        <v>300</v>
      </c>
      <c r="AI23" s="293">
        <f t="shared" ca="1" si="5"/>
        <v>400</v>
      </c>
      <c r="AJ23" s="293">
        <f t="shared" ca="1" si="6"/>
        <v>500</v>
      </c>
      <c r="AK23" s="293">
        <f t="shared" ca="1" si="7"/>
        <v>600</v>
      </c>
      <c r="AL23" s="293">
        <f t="shared" ca="1" si="8"/>
        <v>700</v>
      </c>
      <c r="AM23" s="293">
        <f t="shared" ca="1" si="9"/>
        <v>800</v>
      </c>
      <c r="AN23" s="296" t="b">
        <f t="shared" ca="1" si="10"/>
        <v>1</v>
      </c>
    </row>
    <row r="24" spans="2:40" ht="15.75" thickBot="1">
      <c r="B24">
        <v>4525</v>
      </c>
      <c r="C24">
        <v>4383</v>
      </c>
      <c r="E24" s="145" t="s">
        <v>91</v>
      </c>
      <c r="F24" s="158">
        <f>(MAXGROSS-נתונים!AR33)/נתונים!AQ33</f>
        <v>4535</v>
      </c>
      <c r="G24" s="54">
        <f>MAXGROSS</f>
        <v>3700</v>
      </c>
      <c r="V24">
        <v>2200</v>
      </c>
      <c r="W24">
        <v>22</v>
      </c>
      <c r="AA24">
        <v>190</v>
      </c>
      <c r="AB24" s="43">
        <f ca="1">נתונים!AB24-SUM(externalLOADwt)</f>
        <v>2889.6019999999999</v>
      </c>
      <c r="AC24" s="29">
        <f t="shared" ca="1" si="0"/>
        <v>4462.295241642275</v>
      </c>
      <c r="AD24" s="31">
        <f ca="1">נתונים!AC24*נתונים!AB24-SUM(externalLOADmoment)</f>
        <v>12894257.25484</v>
      </c>
      <c r="AE24" s="41">
        <f t="shared" ca="1" si="1"/>
        <v>800</v>
      </c>
      <c r="AF24" s="293">
        <f t="shared" ca="1" si="2"/>
        <v>100</v>
      </c>
      <c r="AG24" s="293">
        <f t="shared" ca="1" si="3"/>
        <v>200</v>
      </c>
      <c r="AH24" s="293">
        <f t="shared" ca="1" si="4"/>
        <v>300</v>
      </c>
      <c r="AI24" s="293">
        <f t="shared" ca="1" si="5"/>
        <v>400</v>
      </c>
      <c r="AJ24" s="293">
        <f t="shared" ca="1" si="6"/>
        <v>500</v>
      </c>
      <c r="AK24" s="293">
        <f t="shared" ca="1" si="7"/>
        <v>600</v>
      </c>
      <c r="AL24" s="293">
        <f t="shared" ca="1" si="8"/>
        <v>700</v>
      </c>
      <c r="AM24" s="293">
        <f t="shared" ca="1" si="9"/>
        <v>800</v>
      </c>
      <c r="AN24" s="296" t="b">
        <f ca="1">IF(MAX(AF24:AM24)&lt;AE24,AA24,TRUE)</f>
        <v>1</v>
      </c>
    </row>
    <row r="25" spans="22:40" ht="15">
      <c r="V25">
        <v>2300</v>
      </c>
      <c r="W25">
        <v>23</v>
      </c>
      <c r="AA25">
        <v>200</v>
      </c>
      <c r="AB25" s="43">
        <f ca="1">נתונים!AB25-SUM(externalLOADwt)</f>
        <v>2899.6019999999999</v>
      </c>
      <c r="AC25" s="29">
        <f t="shared" ca="1" si="0"/>
        <v>4462.4735583849097</v>
      </c>
      <c r="AD25" s="31">
        <f ca="1">נתונים!AC25*נתונים!AB25-SUM(externalLOADmoment)</f>
        <v>12939397.25484</v>
      </c>
      <c r="AE25" s="41">
        <f t="shared" ca="1" si="1"/>
        <v>800</v>
      </c>
      <c r="AF25" s="293">
        <f t="shared" ca="1" si="2"/>
        <v>100</v>
      </c>
      <c r="AG25" s="293">
        <f t="shared" ca="1" si="3"/>
        <v>200</v>
      </c>
      <c r="AH25" s="293">
        <f t="shared" ca="1" si="4"/>
        <v>300</v>
      </c>
      <c r="AI25" s="293">
        <f t="shared" ca="1" si="5"/>
        <v>400</v>
      </c>
      <c r="AJ25" s="293">
        <f t="shared" ca="1" si="6"/>
        <v>500</v>
      </c>
      <c r="AK25" s="293">
        <f t="shared" ca="1" si="7"/>
        <v>600</v>
      </c>
      <c r="AL25" s="293">
        <f t="shared" ca="1" si="8"/>
        <v>700</v>
      </c>
      <c r="AM25" s="293">
        <f t="shared" ca="1" si="9"/>
        <v>800</v>
      </c>
      <c r="AN25" s="296" t="b">
        <f t="shared" ca="1" si="10"/>
        <v>1</v>
      </c>
    </row>
    <row r="26" spans="22:40" ht="15.75" thickBot="1">
      <c r="V26">
        <v>2400</v>
      </c>
      <c r="W26">
        <v>24</v>
      </c>
      <c r="AA26">
        <v>210</v>
      </c>
      <c r="AB26" s="43">
        <f ca="1">נתונים!AB26-SUM(externalLOADwt)</f>
        <v>2909.6019999999999</v>
      </c>
      <c r="AC26" s="29">
        <f t="shared" ca="1" si="0"/>
        <v>4462.6609601038217</v>
      </c>
      <c r="AD26" s="31">
        <f ca="1">נתונים!AC26*נתונים!AB26-SUM(externalLOADmoment)</f>
        <v>12984567.25484</v>
      </c>
      <c r="AE26" s="41">
        <f t="shared" ca="1" si="1"/>
        <v>790.39800000000014</v>
      </c>
      <c r="AF26" s="293">
        <f t="shared" ca="1" si="2"/>
        <v>100</v>
      </c>
      <c r="AG26" s="293">
        <f t="shared" ca="1" si="3"/>
        <v>200</v>
      </c>
      <c r="AH26" s="293">
        <f t="shared" ca="1" si="4"/>
        <v>300</v>
      </c>
      <c r="AI26" s="293">
        <f t="shared" ca="1" si="5"/>
        <v>400</v>
      </c>
      <c r="AJ26" s="293">
        <f t="shared" ca="1" si="6"/>
        <v>500</v>
      </c>
      <c r="AK26" s="293">
        <f t="shared" ca="1" si="7"/>
        <v>600</v>
      </c>
      <c r="AL26" s="293">
        <f t="shared" ca="1" si="8"/>
        <v>700</v>
      </c>
      <c r="AM26" s="293">
        <f t="shared" ca="1" si="9"/>
        <v>800</v>
      </c>
      <c r="AN26" s="296" t="b">
        <f t="shared" ca="1" si="10"/>
        <v>1</v>
      </c>
    </row>
    <row r="27" spans="4:40" ht="15.75" thickBot="1">
      <c r="D27" s="413" t="s">
        <v>208</v>
      </c>
      <c r="E27" s="414"/>
      <c r="F27" s="414"/>
      <c r="G27" s="414"/>
      <c r="H27" s="414"/>
      <c r="I27" s="415"/>
      <c r="V27">
        <v>2500</v>
      </c>
      <c r="W27">
        <v>25</v>
      </c>
      <c r="AA27">
        <v>220</v>
      </c>
      <c r="AB27" s="43">
        <f ca="1">נתונים!AB27-SUM(externalLOADwt)</f>
        <v>2919.6019999999999</v>
      </c>
      <c r="AC27" s="29">
        <f t="shared" ca="1" si="0"/>
        <v>4462.8265273280404</v>
      </c>
      <c r="AD27" s="31">
        <f ca="1">נתונים!AC27*נתונים!AB27-SUM(externalLOADmoment)</f>
        <v>13029677.254840001</v>
      </c>
      <c r="AE27" s="41">
        <f t="shared" ca="1" si="1"/>
        <v>780.39800000000014</v>
      </c>
      <c r="AF27" s="293">
        <f t="shared" ca="1" si="2"/>
        <v>100</v>
      </c>
      <c r="AG27" s="293">
        <f t="shared" ca="1" si="3"/>
        <v>200</v>
      </c>
      <c r="AH27" s="293">
        <f t="shared" ca="1" si="4"/>
        <v>300</v>
      </c>
      <c r="AI27" s="293">
        <f t="shared" ca="1" si="5"/>
        <v>400</v>
      </c>
      <c r="AJ27" s="293">
        <f t="shared" ca="1" si="6"/>
        <v>500</v>
      </c>
      <c r="AK27" s="293">
        <f t="shared" ca="1" si="7"/>
        <v>600</v>
      </c>
      <c r="AL27" s="293">
        <f t="shared" ca="1" si="8"/>
        <v>700</v>
      </c>
      <c r="AM27" s="293">
        <f t="shared" ca="1" si="9"/>
        <v>800</v>
      </c>
      <c r="AN27" s="296" t="b">
        <f t="shared" ca="1" si="10"/>
        <v>1</v>
      </c>
    </row>
    <row r="28" spans="22:40" ht="15.75" thickBot="1">
      <c r="V28">
        <v>2600</v>
      </c>
      <c r="W28">
        <v>26</v>
      </c>
      <c r="AA28">
        <v>230</v>
      </c>
      <c r="AB28" s="43">
        <f ca="1">נתונים!AB28-SUM(externalLOADwt)</f>
        <v>2929.6019999999999</v>
      </c>
      <c r="AC28" s="29">
        <f t="shared" ca="1" si="0"/>
        <v>4465.2950314889194</v>
      </c>
      <c r="AD28" s="31">
        <f ca="1">נתונים!AC28*נתונים!AB28-SUM(externalLOADmoment)</f>
        <v>13081537.254840001</v>
      </c>
      <c r="AE28" s="41">
        <f t="shared" ca="1" si="1"/>
        <v>770.39800000000014</v>
      </c>
      <c r="AF28" s="293">
        <f t="shared" ca="1" si="2"/>
        <v>100</v>
      </c>
      <c r="AG28" s="293">
        <f t="shared" ca="1" si="3"/>
        <v>200</v>
      </c>
      <c r="AH28" s="293">
        <f t="shared" ca="1" si="4"/>
        <v>300</v>
      </c>
      <c r="AI28" s="293">
        <f t="shared" ca="1" si="5"/>
        <v>400</v>
      </c>
      <c r="AJ28" s="293">
        <f t="shared" ca="1" si="6"/>
        <v>500</v>
      </c>
      <c r="AK28" s="293">
        <f t="shared" ca="1" si="7"/>
        <v>600</v>
      </c>
      <c r="AL28" s="293">
        <f t="shared" ca="1" si="8"/>
        <v>700</v>
      </c>
      <c r="AM28" s="293">
        <f t="shared" ca="1" si="9"/>
        <v>800</v>
      </c>
      <c r="AN28" s="296" t="b">
        <f t="shared" ca="1" si="10"/>
        <v>1</v>
      </c>
    </row>
    <row r="29" spans="4:40" ht="15">
      <c r="D29" s="359" t="s">
        <v>206</v>
      </c>
      <c r="E29" s="360"/>
      <c r="F29" s="360"/>
      <c r="G29" s="360"/>
      <c r="H29" s="360"/>
      <c r="I29" s="361"/>
      <c r="V29">
        <v>2700</v>
      </c>
      <c r="W29">
        <v>27</v>
      </c>
      <c r="AA29">
        <v>240</v>
      </c>
      <c r="AB29" s="43">
        <f ca="1">נתונים!AB29-SUM(externalLOADwt)</f>
        <v>2939.6019999999999</v>
      </c>
      <c r="AC29" s="29">
        <f t="shared" ca="1" si="0"/>
        <v>4468.1957812111978</v>
      </c>
      <c r="AD29" s="31">
        <f ca="1">נתונים!AC29*נתונים!AB29-SUM(externalLOADmoment)</f>
        <v>13134717.25484</v>
      </c>
      <c r="AE29" s="41">
        <f t="shared" ca="1" si="1"/>
        <v>760.39800000000014</v>
      </c>
      <c r="AF29" s="293">
        <f t="shared" ca="1" si="2"/>
        <v>100</v>
      </c>
      <c r="AG29" s="293">
        <f t="shared" ca="1" si="3"/>
        <v>200</v>
      </c>
      <c r="AH29" s="293">
        <f t="shared" ca="1" si="4"/>
        <v>300</v>
      </c>
      <c r="AI29" s="293">
        <f t="shared" ca="1" si="5"/>
        <v>400</v>
      </c>
      <c r="AJ29" s="293">
        <f t="shared" ca="1" si="6"/>
        <v>500</v>
      </c>
      <c r="AK29" s="293">
        <f t="shared" ca="1" si="7"/>
        <v>600</v>
      </c>
      <c r="AL29" s="293">
        <f t="shared" ca="1" si="8"/>
        <v>700</v>
      </c>
      <c r="AM29" s="293">
        <f t="shared" ca="1" si="9"/>
        <v>800</v>
      </c>
      <c r="AN29" s="296" t="b">
        <f t="shared" ca="1" si="10"/>
        <v>1</v>
      </c>
    </row>
    <row r="30" spans="4:40" ht="15">
      <c r="D30" s="406" t="s">
        <v>8</v>
      </c>
      <c r="E30" s="407"/>
      <c r="F30" s="416" t="s">
        <v>14</v>
      </c>
      <c r="G30" s="407"/>
      <c r="H30" s="417" t="s">
        <v>3</v>
      </c>
      <c r="I30" s="418"/>
      <c r="V30">
        <v>2800</v>
      </c>
      <c r="W30">
        <v>28</v>
      </c>
      <c r="AA30">
        <v>250</v>
      </c>
      <c r="AB30" s="43">
        <f ca="1">נתונים!AB30-SUM(externalLOADwt)</f>
        <v>2949.6019999999999</v>
      </c>
      <c r="AC30" s="29">
        <f t="shared" ca="1" si="0"/>
        <v>4471.1107650591503</v>
      </c>
      <c r="AD30" s="31">
        <f ca="1">נתונים!AC30*נתונים!AB30-SUM(externalLOADmoment)</f>
        <v>13187997.25484</v>
      </c>
      <c r="AE30" s="41">
        <f t="shared" ca="1" si="1"/>
        <v>750.39800000000014</v>
      </c>
      <c r="AF30" s="293">
        <f t="shared" ca="1" si="2"/>
        <v>100</v>
      </c>
      <c r="AG30" s="293">
        <f t="shared" ca="1" si="3"/>
        <v>200</v>
      </c>
      <c r="AH30" s="293">
        <f t="shared" ca="1" si="4"/>
        <v>300</v>
      </c>
      <c r="AI30" s="293">
        <f t="shared" ca="1" si="5"/>
        <v>400</v>
      </c>
      <c r="AJ30" s="293">
        <f t="shared" ca="1" si="6"/>
        <v>500</v>
      </c>
      <c r="AK30" s="293">
        <f t="shared" ca="1" si="7"/>
        <v>600</v>
      </c>
      <c r="AL30" s="293">
        <f t="shared" ca="1" si="8"/>
        <v>700</v>
      </c>
      <c r="AM30" s="293">
        <f t="shared" ca="1" si="9"/>
        <v>800</v>
      </c>
      <c r="AN30" s="296" t="b">
        <f t="shared" ca="1" si="10"/>
        <v>1</v>
      </c>
    </row>
    <row r="31" spans="4:40" ht="15.75" thickBot="1">
      <c r="D31" s="408">
        <f ca="1">takeoffWT1-SUM(externalLOADwt)</f>
        <v>3200</v>
      </c>
      <c r="E31" s="409"/>
      <c r="F31" s="419">
        <f ca="1">H31/D31</f>
        <v>4482.5879140093048</v>
      </c>
      <c r="G31" s="409"/>
      <c r="H31" s="419">
        <f ca="1">takeoffWT1*takeoffARM1-SUM(externalLOADmoment)</f>
        <v>14344281.324829776</v>
      </c>
      <c r="I31" s="420"/>
      <c r="R31" s="197" t="str">
        <f ca="1">IF(F31&gt;4500,"AFT","FWD")</f>
        <v>FWD</v>
      </c>
      <c r="S31" s="197" t="s">
        <v>225</v>
      </c>
      <c r="V31">
        <v>2900</v>
      </c>
      <c r="W31">
        <v>29</v>
      </c>
      <c r="AA31">
        <v>260</v>
      </c>
      <c r="AB31" s="43">
        <f ca="1">נתונים!AB31-SUM(externalLOADwt)</f>
        <v>2959.6019999999999</v>
      </c>
      <c r="AC31" s="29">
        <f t="shared" ca="1" si="0"/>
        <v>4473.7357438060926</v>
      </c>
      <c r="AD31" s="31">
        <f ca="1">נתונים!AC31*נתונים!AB31-SUM(externalLOADmoment)</f>
        <v>13240477.25484</v>
      </c>
      <c r="AE31" s="41">
        <f t="shared" ca="1" si="1"/>
        <v>740.39800000000014</v>
      </c>
      <c r="AF31" s="293">
        <f t="shared" ca="1" si="2"/>
        <v>100</v>
      </c>
      <c r="AG31" s="293">
        <f t="shared" ca="1" si="3"/>
        <v>200</v>
      </c>
      <c r="AH31" s="293">
        <f t="shared" ca="1" si="4"/>
        <v>300</v>
      </c>
      <c r="AI31" s="293">
        <f t="shared" ca="1" si="5"/>
        <v>400</v>
      </c>
      <c r="AJ31" s="293">
        <f t="shared" ca="1" si="6"/>
        <v>500</v>
      </c>
      <c r="AK31" s="293">
        <f t="shared" ca="1" si="7"/>
        <v>600</v>
      </c>
      <c r="AL31" s="293">
        <f t="shared" ca="1" si="8"/>
        <v>700</v>
      </c>
      <c r="AM31" s="293">
        <f t="shared" ca="1" si="9"/>
        <v>800</v>
      </c>
      <c r="AN31" s="296" t="b">
        <f t="shared" ca="1" si="10"/>
        <v>1</v>
      </c>
    </row>
    <row r="32" spans="18:40" ht="15">
      <c r="R32">
        <v>800</v>
      </c>
      <c r="S32" s="197" t="s">
        <v>224</v>
      </c>
      <c r="V32">
        <v>3000</v>
      </c>
      <c r="W32">
        <v>30</v>
      </c>
      <c r="AA32">
        <v>270</v>
      </c>
      <c r="AB32" s="43">
        <f ca="1">נתונים!AB32-SUM(externalLOADwt)</f>
        <v>2969.6019999999999</v>
      </c>
      <c r="AC32" s="29">
        <f t="shared" ca="1" si="0"/>
        <v>4474.9118753422181</v>
      </c>
      <c r="AD32" s="31">
        <f ca="1">נתונים!AC32*נתונים!AB32-SUM(externalLOADmoment)</f>
        <v>13288707.254840001</v>
      </c>
      <c r="AE32" s="41">
        <f t="shared" ca="1" si="1"/>
        <v>730.39800000000014</v>
      </c>
      <c r="AF32" s="293">
        <f t="shared" ca="1" si="2"/>
        <v>100</v>
      </c>
      <c r="AG32" s="293">
        <f t="shared" ca="1" si="3"/>
        <v>200</v>
      </c>
      <c r="AH32" s="293">
        <f t="shared" ca="1" si="4"/>
        <v>300</v>
      </c>
      <c r="AI32" s="293">
        <f ca="1">IF((($AB32-K$49)/K$48)&lt;$AC32,AI$4,FALSE)</f>
        <v>400</v>
      </c>
      <c r="AJ32" s="293">
        <f t="shared" ca="1" si="6"/>
        <v>500</v>
      </c>
      <c r="AK32" s="293">
        <f t="shared" ca="1" si="7"/>
        <v>600</v>
      </c>
      <c r="AL32" s="293">
        <f t="shared" ca="1" si="8"/>
        <v>700</v>
      </c>
      <c r="AM32" s="293">
        <f t="shared" ca="1" si="9"/>
        <v>800</v>
      </c>
      <c r="AN32" s="296" t="b">
        <f t="shared" ca="1" si="10"/>
        <v>1</v>
      </c>
    </row>
    <row r="33" spans="7:40" ht="15.75" thickBot="1">
      <c r="G33" s="41"/>
      <c r="H33" s="41"/>
      <c r="V33">
        <v>3100</v>
      </c>
      <c r="W33">
        <v>31</v>
      </c>
      <c r="AA33">
        <v>280</v>
      </c>
      <c r="AB33" s="43">
        <f ca="1">נתונים!AB33-SUM(externalLOADwt)</f>
        <v>2979.6019999999999</v>
      </c>
      <c r="AC33" s="29">
        <f t="shared" ca="1" si="0"/>
        <v>4476.0599754061113</v>
      </c>
      <c r="AD33" s="31">
        <f ca="1">נתונים!AC33*נתונים!AB33-SUM(externalLOADmoment)</f>
        <v>13336877.25484</v>
      </c>
      <c r="AE33" s="41">
        <f t="shared" ca="1" si="1"/>
        <v>720.39800000000014</v>
      </c>
      <c r="AF33" s="293">
        <f ca="1" t="shared" si="11" ref="AF33:AF78">IF((($AB33-H$49)/H$48)&lt;$AC33,AF$4,FALSE)</f>
        <v>100</v>
      </c>
      <c r="AG33" s="293">
        <f ca="1" t="shared" si="12" ref="AG33:AG78">IF((($AB33-I$49)/I$48)&lt;$AC33,AG$4,FALSE)</f>
        <v>200</v>
      </c>
      <c r="AH33" s="293">
        <f ca="1" t="shared" si="13" ref="AH33:AH78">IF((($AB33-J$49)/J$48)&lt;$AC33,AH$4,FALSE)</f>
        <v>300</v>
      </c>
      <c r="AI33" s="293">
        <f ca="1" t="shared" si="14" ref="AI33:AI78">IF((($AB33-K$49)/K$48)&lt;$AC33,AI$4,FALSE)</f>
        <v>400</v>
      </c>
      <c r="AJ33" s="293">
        <f ca="1" t="shared" si="15" ref="AJ33:AJ78">IF((($AB33-L$49)/L$48)&lt;$AC33,AJ$4,FALSE)</f>
        <v>500</v>
      </c>
      <c r="AK33" s="293">
        <f ca="1" t="shared" si="16" ref="AK33:AK78">IF((($AB33-M$49)/M$48)&lt;$AC33,AK$4,FALSE)</f>
        <v>600</v>
      </c>
      <c r="AL33" s="293">
        <f ca="1" t="shared" si="17" ref="AL33:AL78">IF((($AB33-N$49)/N$48)&lt;$AC33,AL$4,FALSE)</f>
        <v>700</v>
      </c>
      <c r="AM33" s="293">
        <f ca="1" t="shared" si="18" ref="AM33:AM78">IF((($AB33-O$49)/O$48)&lt;$AC33,AM$4,FALSE)</f>
        <v>800</v>
      </c>
      <c r="AN33" s="296" t="b">
        <f t="shared" ca="1" si="10"/>
        <v>1</v>
      </c>
    </row>
    <row r="34" spans="4:40" ht="15">
      <c r="D34" s="359" t="s">
        <v>207</v>
      </c>
      <c r="E34" s="360"/>
      <c r="F34" s="360"/>
      <c r="G34" s="360"/>
      <c r="H34" s="360"/>
      <c r="I34" s="361"/>
      <c r="V34">
        <v>3200</v>
      </c>
      <c r="W34">
        <v>32</v>
      </c>
      <c r="AA34">
        <v>290</v>
      </c>
      <c r="AB34" s="43">
        <f ca="1">נתונים!AB34-SUM(externalLOADwt)</f>
        <v>2989.6019999999999</v>
      </c>
      <c r="AC34" s="29">
        <f t="shared" ca="1" si="0"/>
        <v>4477.2572586049919</v>
      </c>
      <c r="AD34" s="31">
        <f ca="1">נתונים!AC34*נתונים!AB34-SUM(externalLOADmoment)</f>
        <v>13385217.25484</v>
      </c>
      <c r="AE34" s="41">
        <f t="shared" ca="1" si="1"/>
        <v>710.39800000000014</v>
      </c>
      <c r="AF34" s="293">
        <f t="shared" ca="1" si="11"/>
        <v>100</v>
      </c>
      <c r="AG34" s="293">
        <f t="shared" ca="1" si="12"/>
        <v>200</v>
      </c>
      <c r="AH34" s="293">
        <f t="shared" ca="1" si="13"/>
        <v>300</v>
      </c>
      <c r="AI34" s="293">
        <f t="shared" ca="1" si="14"/>
        <v>400</v>
      </c>
      <c r="AJ34" s="293">
        <f t="shared" ca="1" si="15"/>
        <v>500</v>
      </c>
      <c r="AK34" s="293">
        <f t="shared" ca="1" si="16"/>
        <v>600</v>
      </c>
      <c r="AL34" s="293">
        <f t="shared" ca="1" si="17"/>
        <v>700</v>
      </c>
      <c r="AM34" s="293">
        <f t="shared" ca="1" si="18"/>
        <v>800</v>
      </c>
      <c r="AN34" s="296" t="b">
        <f t="shared" ca="1" si="10"/>
        <v>1</v>
      </c>
    </row>
    <row r="35" spans="4:40" ht="15">
      <c r="D35" s="406" t="s">
        <v>8</v>
      </c>
      <c r="E35" s="407"/>
      <c r="F35" s="416" t="s">
        <v>14</v>
      </c>
      <c r="G35" s="407"/>
      <c r="H35" s="417" t="s">
        <v>3</v>
      </c>
      <c r="I35" s="418"/>
      <c r="V35">
        <v>3300</v>
      </c>
      <c r="W35">
        <v>33</v>
      </c>
      <c r="AA35">
        <v>300</v>
      </c>
      <c r="AB35" s="43">
        <f ca="1">נתונים!AB35-SUM(externalLOADwt)</f>
        <v>2999.6019999999999</v>
      </c>
      <c r="AC35" s="29">
        <f t="shared" ca="1" si="0"/>
        <v>4478.3932184469804</v>
      </c>
      <c r="AD35" s="31">
        <f ca="1">נתונים!AC35*נתונים!AB35-SUM(externalLOADmoment)</f>
        <v>13433397.25484</v>
      </c>
      <c r="AE35" s="41">
        <f t="shared" ca="1" si="1"/>
        <v>700.39800000000014</v>
      </c>
      <c r="AF35" s="293">
        <f t="shared" ca="1" si="11"/>
        <v>100</v>
      </c>
      <c r="AG35" s="293">
        <f t="shared" ca="1" si="12"/>
        <v>200</v>
      </c>
      <c r="AH35" s="293">
        <f t="shared" ca="1" si="13"/>
        <v>300</v>
      </c>
      <c r="AI35" s="293">
        <f t="shared" ca="1" si="14"/>
        <v>400</v>
      </c>
      <c r="AJ35" s="293">
        <f t="shared" ca="1" si="15"/>
        <v>500</v>
      </c>
      <c r="AK35" s="293">
        <f t="shared" ca="1" si="16"/>
        <v>600</v>
      </c>
      <c r="AL35" s="293">
        <f t="shared" ca="1" si="17"/>
        <v>700</v>
      </c>
      <c r="AM35" s="293">
        <f t="shared" ca="1" si="18"/>
        <v>800</v>
      </c>
      <c r="AN35" s="296" t="b">
        <f t="shared" ca="1" si="10"/>
        <v>1</v>
      </c>
    </row>
    <row r="36" spans="4:40" ht="15.75" thickBot="1">
      <c r="D36" s="408">
        <f ca="1">takeoffWT2-SUM(externalLOADwt)</f>
        <v>3200</v>
      </c>
      <c r="E36" s="409"/>
      <c r="F36" s="419">
        <f ca="1">H36/D36</f>
        <v>4482.5879140093048</v>
      </c>
      <c r="G36" s="409"/>
      <c r="H36" s="419">
        <f ca="1">takeoffWT2*takeoffARM2-SUM(externalLOADmoment)</f>
        <v>14344281.324829776</v>
      </c>
      <c r="I36" s="420"/>
      <c r="V36">
        <v>3400</v>
      </c>
      <c r="W36">
        <v>34</v>
      </c>
      <c r="AA36">
        <v>310</v>
      </c>
      <c r="AB36" s="43">
        <f ca="1">נתונים!AB36-SUM(externalLOADwt)</f>
        <v>3009.6019999999999</v>
      </c>
      <c r="AC36" s="29">
        <f t="shared" ca="1" si="0"/>
        <v>4479.5515336712297</v>
      </c>
      <c r="AD36" s="31">
        <f ca="1">נתונים!AC36*נתונים!AB36-SUM(externalLOADmoment)</f>
        <v>13481667.25484</v>
      </c>
      <c r="AE36" s="41">
        <f t="shared" ca="1" si="1"/>
        <v>690.39800000000014</v>
      </c>
      <c r="AF36" s="293">
        <f t="shared" ca="1" si="11"/>
        <v>100</v>
      </c>
      <c r="AG36" s="293">
        <f t="shared" ca="1" si="12"/>
        <v>200</v>
      </c>
      <c r="AH36" s="293">
        <f t="shared" ca="1" si="13"/>
        <v>300</v>
      </c>
      <c r="AI36" s="293">
        <f t="shared" ca="1" si="14"/>
        <v>400</v>
      </c>
      <c r="AJ36" s="293">
        <f t="shared" ca="1" si="15"/>
        <v>500</v>
      </c>
      <c r="AK36" s="293">
        <f t="shared" ca="1" si="16"/>
        <v>600</v>
      </c>
      <c r="AL36" s="293">
        <f t="shared" ca="1" si="17"/>
        <v>700</v>
      </c>
      <c r="AM36" s="293">
        <f t="shared" ca="1" si="18"/>
        <v>800</v>
      </c>
      <c r="AN36" s="296" t="b">
        <f t="shared" ca="1" si="10"/>
        <v>1</v>
      </c>
    </row>
    <row r="37" spans="22:40" ht="15">
      <c r="V37">
        <v>3500</v>
      </c>
      <c r="W37">
        <v>35</v>
      </c>
      <c r="AA37">
        <v>320</v>
      </c>
      <c r="AB37" s="43">
        <f ca="1">נתונים!AB37-SUM(externalLOADwt)</f>
        <v>3019.6019999999999</v>
      </c>
      <c r="AC37" s="29">
        <f t="shared" ca="1" si="0"/>
        <v>4480.7220470909742</v>
      </c>
      <c r="AD37" s="31">
        <f ca="1">נתונים!AC37*נתונים!AB37-SUM(externalLOADmoment)</f>
        <v>13529997.25484</v>
      </c>
      <c r="AE37" s="41">
        <f t="shared" ca="1" si="1"/>
        <v>680.39800000000014</v>
      </c>
      <c r="AF37" s="293">
        <f t="shared" ca="1" si="11"/>
        <v>100</v>
      </c>
      <c r="AG37" s="293">
        <f t="shared" ca="1" si="12"/>
        <v>200</v>
      </c>
      <c r="AH37" s="293">
        <f t="shared" ca="1" si="13"/>
        <v>300</v>
      </c>
      <c r="AI37" s="293">
        <f t="shared" ca="1" si="14"/>
        <v>400</v>
      </c>
      <c r="AJ37" s="293">
        <f t="shared" ca="1" si="15"/>
        <v>500</v>
      </c>
      <c r="AK37" s="293">
        <f t="shared" ca="1" si="16"/>
        <v>600</v>
      </c>
      <c r="AL37" s="293">
        <f t="shared" ca="1" si="17"/>
        <v>700</v>
      </c>
      <c r="AM37" s="293">
        <f t="shared" ca="1" si="18"/>
        <v>800</v>
      </c>
      <c r="AN37" s="296" t="b">
        <f t="shared" ca="1" si="10"/>
        <v>1</v>
      </c>
    </row>
    <row r="38" spans="4:40" ht="15">
      <c r="D38" s="355" t="s">
        <v>213</v>
      </c>
      <c r="E38" s="355"/>
      <c r="G38" s="424" t="s">
        <v>377</v>
      </c>
      <c r="H38" s="424"/>
      <c r="I38" s="424"/>
      <c r="J38" s="424"/>
      <c r="K38" s="424"/>
      <c r="L38" s="424"/>
      <c r="M38" s="424"/>
      <c r="N38" s="424"/>
      <c r="O38" s="424"/>
      <c r="V38">
        <v>3600</v>
      </c>
      <c r="W38">
        <v>36</v>
      </c>
      <c r="AA38">
        <v>330</v>
      </c>
      <c r="AB38" s="43">
        <f ca="1">נתונים!AB38-SUM(externalLOADwt)</f>
        <v>3029.6019999999999</v>
      </c>
      <c r="AC38" s="29">
        <f t="shared" ca="1" si="0"/>
        <v>4481.8947356253393</v>
      </c>
      <c r="AD38" s="31">
        <f ca="1">נתונים!AC38*נתונים!AB38-SUM(externalLOADmoment)</f>
        <v>13578357.254839998</v>
      </c>
      <c r="AE38" s="41">
        <f t="shared" ca="1" si="1"/>
        <v>670.39800000000014</v>
      </c>
      <c r="AF38" s="293">
        <f t="shared" ca="1" si="11"/>
        <v>100</v>
      </c>
      <c r="AG38" s="293">
        <f t="shared" ca="1" si="12"/>
        <v>200</v>
      </c>
      <c r="AH38" s="293">
        <f t="shared" ca="1" si="13"/>
        <v>300</v>
      </c>
      <c r="AI38" s="293">
        <f t="shared" ca="1" si="14"/>
        <v>400</v>
      </c>
      <c r="AJ38" s="293">
        <f t="shared" ca="1" si="15"/>
        <v>500</v>
      </c>
      <c r="AK38" s="293">
        <f t="shared" ca="1" si="16"/>
        <v>600</v>
      </c>
      <c r="AL38" s="293">
        <f t="shared" ca="1" si="17"/>
        <v>700</v>
      </c>
      <c r="AM38" s="293">
        <f t="shared" ca="1" si="18"/>
        <v>800</v>
      </c>
      <c r="AN38" s="296" t="b">
        <f t="shared" ca="1" si="10"/>
        <v>1</v>
      </c>
    </row>
    <row r="39" spans="4:40" ht="15">
      <c r="D39" s="192">
        <f ca="1">F31</f>
        <v>4482.5879140093048</v>
      </c>
      <c r="E39" s="192">
        <f ca="1">D31</f>
        <v>3200</v>
      </c>
      <c r="G39" s="424"/>
      <c r="H39" s="424"/>
      <c r="I39" s="424"/>
      <c r="J39" s="424"/>
      <c r="K39" s="424"/>
      <c r="L39" s="424"/>
      <c r="M39" s="424"/>
      <c r="N39" s="424"/>
      <c r="O39" s="424"/>
      <c r="V39">
        <v>3700</v>
      </c>
      <c r="W39">
        <v>37</v>
      </c>
      <c r="AA39">
        <v>340</v>
      </c>
      <c r="AB39" s="43">
        <f ca="1">נתונים!AB39-SUM(externalLOADwt)</f>
        <v>3039.6019999999999</v>
      </c>
      <c r="AC39" s="29">
        <f t="shared" ca="1" si="0"/>
        <v>4482.9478513436961</v>
      </c>
      <c r="AD39" s="31">
        <f ca="1">נתונים!AC39*נתונים!AB39-SUM(externalLOADmoment)</f>
        <v>13626377.254840001</v>
      </c>
      <c r="AE39" s="41">
        <f t="shared" ca="1" si="1"/>
        <v>660.39800000000014</v>
      </c>
      <c r="AF39" s="293">
        <f t="shared" ca="1" si="11"/>
        <v>100</v>
      </c>
      <c r="AG39" s="293">
        <f t="shared" ca="1" si="12"/>
        <v>200</v>
      </c>
      <c r="AH39" s="293">
        <f t="shared" ca="1" si="13"/>
        <v>300</v>
      </c>
      <c r="AI39" s="293">
        <f t="shared" ca="1" si="14"/>
        <v>400</v>
      </c>
      <c r="AJ39" s="293">
        <f t="shared" ca="1" si="15"/>
        <v>500</v>
      </c>
      <c r="AK39" s="293">
        <f t="shared" ca="1" si="16"/>
        <v>600</v>
      </c>
      <c r="AL39" s="293">
        <f t="shared" ca="1" si="17"/>
        <v>700</v>
      </c>
      <c r="AM39" s="293">
        <f t="shared" ca="1" si="18"/>
        <v>800</v>
      </c>
      <c r="AN39" s="296" t="b">
        <f t="shared" ca="1" si="10"/>
        <v>1</v>
      </c>
    </row>
    <row r="40" spans="4:40" ht="15">
      <c r="D40" s="192">
        <f ca="1">F36</f>
        <v>4482.5879140093048</v>
      </c>
      <c r="E40" s="192">
        <f ca="1">D36</f>
        <v>3200</v>
      </c>
      <c r="G40" s="1" t="s">
        <v>91</v>
      </c>
      <c r="H40" s="1">
        <v>100</v>
      </c>
      <c r="I40" s="1">
        <v>200</v>
      </c>
      <c r="J40" s="1">
        <v>300</v>
      </c>
      <c r="K40" s="1">
        <v>400</v>
      </c>
      <c r="L40" s="1">
        <v>500</v>
      </c>
      <c r="M40" s="1">
        <v>600</v>
      </c>
      <c r="N40" s="1">
        <v>700</v>
      </c>
      <c r="O40" s="1">
        <v>800</v>
      </c>
      <c r="V40">
        <v>3800</v>
      </c>
      <c r="W40">
        <v>38</v>
      </c>
      <c r="X40" s="1"/>
      <c r="AA40">
        <v>350</v>
      </c>
      <c r="AB40" s="43">
        <f ca="1">נתונים!AB40-SUM(externalLOADwt)</f>
        <v>3049.6019999999999</v>
      </c>
      <c r="AC40" s="29">
        <f t="shared" ca="1" si="0"/>
        <v>4484.0924339766307</v>
      </c>
      <c r="AD40" s="31">
        <f ca="1">נתונים!AC40*נתונים!AB40-SUM(externalLOADmoment)</f>
        <v>13674697.25484</v>
      </c>
      <c r="AE40" s="41">
        <f t="shared" ca="1" si="1"/>
        <v>650.39800000000014</v>
      </c>
      <c r="AF40" s="293">
        <f t="shared" ca="1" si="11"/>
        <v>100</v>
      </c>
      <c r="AG40" s="293">
        <f t="shared" ca="1" si="12"/>
        <v>200</v>
      </c>
      <c r="AH40" s="293">
        <f t="shared" ca="1" si="13"/>
        <v>300</v>
      </c>
      <c r="AI40" s="293">
        <f t="shared" ca="1" si="14"/>
        <v>400</v>
      </c>
      <c r="AJ40" s="293">
        <f t="shared" ca="1" si="15"/>
        <v>500</v>
      </c>
      <c r="AK40" s="293">
        <f t="shared" ca="1" si="16"/>
        <v>600</v>
      </c>
      <c r="AL40" s="293">
        <f t="shared" ca="1" si="17"/>
        <v>700</v>
      </c>
      <c r="AM40" s="293">
        <f t="shared" ca="1" si="18"/>
        <v>800</v>
      </c>
      <c r="AN40" s="296" t="b">
        <f t="shared" ca="1" si="10"/>
        <v>1</v>
      </c>
    </row>
    <row r="41" spans="4:40" ht="15">
      <c r="D41" s="192">
        <f ca="1">D40</f>
        <v>4482.5879140093048</v>
      </c>
      <c r="E41" s="1">
        <v>1800</v>
      </c>
      <c r="G41" s="1" t="s">
        <v>88</v>
      </c>
      <c r="H41" s="194">
        <f>SLOPE($E$49:$E$50,$D$49:$D$50)</f>
        <v>-9.473684210526315</v>
      </c>
      <c r="I41" s="194">
        <f>SLOPE($E$56:$E$57,$D$56:$D$57)</f>
        <v>-9.1071428571428577</v>
      </c>
      <c r="J41" s="194">
        <f>SLOPE($E$63:$E$64,$D$63:$D$64)</f>
        <v>-8.75</v>
      </c>
      <c r="K41" s="194">
        <f>SLOPE($E$70:$E$71,$D$70:$D$71)</f>
        <v>-8.32</v>
      </c>
      <c r="L41" s="194">
        <f>SLOPE($E$77:$E$78,$D$77:$D$78)</f>
        <v>-7.7692307692307692</v>
      </c>
      <c r="M41" s="194">
        <f>SLOPE($E$84:$E$85,$D$84:$D$85)</f>
        <v>-7.518796992481203</v>
      </c>
      <c r="N41" s="194">
        <f>SLOPE($E$91:$E$92,$D$91:$D$92)</f>
        <v>-7.0370370370370372</v>
      </c>
      <c r="O41" s="194">
        <f>SLOPE($E$98:$E$99,$D$98:$D$99)</f>
        <v>-6.617647058823529</v>
      </c>
      <c r="V41">
        <v>3900</v>
      </c>
      <c r="W41">
        <v>39</v>
      </c>
      <c r="Z41" s="1"/>
      <c r="AA41">
        <v>360</v>
      </c>
      <c r="AB41" s="43">
        <f ca="1">נתונים!AB41-SUM(externalLOADwt)</f>
        <v>3059.6019999999999</v>
      </c>
      <c r="AC41" s="29">
        <f t="shared" ca="1" si="0"/>
        <v>4485.2099243104167</v>
      </c>
      <c r="AD41" s="31">
        <f ca="1">נתונים!AC41*נתונים!AB41-SUM(externalLOADmoment)</f>
        <v>13722957.25484</v>
      </c>
      <c r="AE41" s="41">
        <f t="shared" ca="1" si="1"/>
        <v>640.39800000000014</v>
      </c>
      <c r="AF41" s="293">
        <f t="shared" ca="1" si="11"/>
        <v>100</v>
      </c>
      <c r="AG41" s="293">
        <f t="shared" ca="1" si="12"/>
        <v>200</v>
      </c>
      <c r="AH41" s="293">
        <f t="shared" ca="1" si="13"/>
        <v>300</v>
      </c>
      <c r="AI41" s="293">
        <f t="shared" ca="1" si="14"/>
        <v>400</v>
      </c>
      <c r="AJ41" s="293">
        <f t="shared" ca="1" si="15"/>
        <v>500</v>
      </c>
      <c r="AK41" s="293">
        <f t="shared" ca="1" si="16"/>
        <v>600</v>
      </c>
      <c r="AL41" s="293">
        <f t="shared" ca="1" si="17"/>
        <v>700</v>
      </c>
      <c r="AM41" s="293">
        <f t="shared" ca="1" si="18"/>
        <v>800</v>
      </c>
      <c r="AN41" s="296" t="b">
        <f t="shared" ca="1" si="10"/>
        <v>1</v>
      </c>
    </row>
    <row r="42" spans="4:40" ht="15">
      <c r="D42" s="192">
        <f ca="1">D39</f>
        <v>4482.5879140093048</v>
      </c>
      <c r="E42" s="1">
        <v>1800</v>
      </c>
      <c r="G42" s="1" t="s">
        <v>89</v>
      </c>
      <c r="H42" s="192">
        <f>$E$49-$D$49*H$41</f>
        <v>46563.15789473684</v>
      </c>
      <c r="I42" s="192">
        <f>$E$56-$D$56*I$41</f>
        <v>44855.535714285717</v>
      </c>
      <c r="J42" s="192">
        <f>$E$63-$D$63*J$41</f>
        <v>43151.25</v>
      </c>
      <c r="K42" s="192">
        <f>$E$70-$D$70*K$41</f>
        <v>41147.68</v>
      </c>
      <c r="L42" s="192">
        <f>$E$77-$D$77*$L$41</f>
        <v>38565.538461538461</v>
      </c>
      <c r="M42" s="192">
        <f>$E$84-$D$84*$M$41</f>
        <v>37363.15789473684</v>
      </c>
      <c r="N42" s="192">
        <f>$E$91-$D$91*$N$41</f>
        <v>35088.888888888891</v>
      </c>
      <c r="O42" s="192">
        <f>$E$98-$D$98*O$41</f>
        <v>33102.941176470587</v>
      </c>
      <c r="V42">
        <v>4000</v>
      </c>
      <c r="W42">
        <v>40</v>
      </c>
      <c r="Z42" s="1"/>
      <c r="AA42">
        <v>370</v>
      </c>
      <c r="AB42" s="43">
        <f ca="1">נתונים!AB42-SUM(externalLOADwt)</f>
        <v>3069.6019999999999</v>
      </c>
      <c r="AC42" s="29">
        <f t="shared" ca="1" si="0"/>
        <v>4485.5675930755842</v>
      </c>
      <c r="AD42" s="31">
        <f ca="1">נתונים!AC42*נתונים!AB42-SUM(externalLOADmoment)</f>
        <v>13768907.25484</v>
      </c>
      <c r="AE42" s="41">
        <f t="shared" ca="1" si="1"/>
        <v>630.39800000000014</v>
      </c>
      <c r="AF42" s="293">
        <f t="shared" ca="1" si="11"/>
        <v>100</v>
      </c>
      <c r="AG42" s="293">
        <f t="shared" ca="1" si="12"/>
        <v>200</v>
      </c>
      <c r="AH42" s="293">
        <f t="shared" ca="1" si="13"/>
        <v>300</v>
      </c>
      <c r="AI42" s="293">
        <f t="shared" ca="1" si="14"/>
        <v>400</v>
      </c>
      <c r="AJ42" s="293">
        <f t="shared" ca="1" si="15"/>
        <v>500</v>
      </c>
      <c r="AK42" s="293">
        <f t="shared" ca="1" si="16"/>
        <v>600</v>
      </c>
      <c r="AL42" s="293">
        <f t="shared" ca="1" si="17"/>
        <v>700</v>
      </c>
      <c r="AM42" s="293">
        <f t="shared" ca="1" si="18"/>
        <v>800</v>
      </c>
      <c r="AN42" s="296" t="b">
        <f t="shared" ca="1" si="10"/>
        <v>1</v>
      </c>
    </row>
    <row r="43" spans="4:40" ht="15">
      <c r="D43" s="192">
        <f ca="1">D39</f>
        <v>4482.5879140093048</v>
      </c>
      <c r="E43" s="192">
        <f ca="1">E39</f>
        <v>3200</v>
      </c>
      <c r="G43" s="1" t="s">
        <v>218</v>
      </c>
      <c r="H43" s="192">
        <f ca="1" t="shared" si="19" ref="H43:J43">($E$40-H$42)/H$41</f>
        <v>4577.2222222222226</v>
      </c>
      <c r="I43" s="192">
        <f t="shared" ca="1" si="19"/>
        <v>4573.9411764705883</v>
      </c>
      <c r="J43" s="192">
        <f t="shared" ca="1" si="19"/>
        <v>4565.8571428571431</v>
      </c>
      <c r="K43" s="192">
        <f ca="1">($E$40-K$42)/K$41</f>
        <v>4561.0192307692305</v>
      </c>
      <c r="L43" s="192">
        <f ca="1" t="shared" si="20" ref="L43:N43">($E$40-L$42)/L$41</f>
        <v>4552</v>
      </c>
      <c r="M43" s="192">
        <f t="shared" ca="1" si="20"/>
        <v>4543.70</v>
      </c>
      <c r="N43" s="192">
        <f t="shared" ca="1" si="20"/>
        <v>4531.5789473684208</v>
      </c>
      <c r="O43" s="192">
        <f ca="1">($E$40-O$42)/O$41</f>
        <v>4518.666666666667</v>
      </c>
      <c r="V43">
        <v>4100</v>
      </c>
      <c r="W43">
        <v>41</v>
      </c>
      <c r="Z43" s="1"/>
      <c r="AA43">
        <v>380</v>
      </c>
      <c r="AB43" s="43">
        <f ca="1">נתונים!AB43-SUM(externalLOADwt)</f>
        <v>3079.6019999999999</v>
      </c>
      <c r="AC43" s="29">
        <f t="shared" ca="1" si="0"/>
        <v>4485.7216142995103</v>
      </c>
      <c r="AD43" s="31">
        <f ca="1">נתונים!AC43*נתונים!AB43-SUM(externalLOADmoment)</f>
        <v>13814237.25484</v>
      </c>
      <c r="AE43" s="41">
        <f t="shared" ca="1" si="1"/>
        <v>620.39800000000014</v>
      </c>
      <c r="AF43" s="293">
        <f t="shared" ca="1" si="11"/>
        <v>100</v>
      </c>
      <c r="AG43" s="293">
        <f t="shared" ca="1" si="12"/>
        <v>200</v>
      </c>
      <c r="AH43" s="293">
        <f t="shared" ca="1" si="13"/>
        <v>300</v>
      </c>
      <c r="AI43" s="293">
        <f t="shared" ca="1" si="14"/>
        <v>400</v>
      </c>
      <c r="AJ43" s="293">
        <f t="shared" ca="1" si="15"/>
        <v>500</v>
      </c>
      <c r="AK43" s="293">
        <f t="shared" ca="1" si="16"/>
        <v>600</v>
      </c>
      <c r="AL43" s="293">
        <f t="shared" ca="1" si="17"/>
        <v>700</v>
      </c>
      <c r="AM43" s="293">
        <f t="shared" ca="1" si="18"/>
        <v>800</v>
      </c>
      <c r="AN43" s="296" t="b">
        <f t="shared" ca="1" si="10"/>
        <v>1</v>
      </c>
    </row>
    <row r="44" spans="8:40" ht="15">
      <c r="H44" t="b">
        <f ca="1">(CARGO!H43&gt;CARGO!$D$39)</f>
        <v>1</v>
      </c>
      <c r="I44" t="b">
        <f ca="1">(CARGO!I43&gt;CARGO!$D$39)</f>
        <v>1</v>
      </c>
      <c r="J44" t="b">
        <f ca="1">(CARGO!J43&gt;CARGO!$D$39)</f>
        <v>1</v>
      </c>
      <c r="K44" t="b">
        <f ca="1">(CARGO!K43&gt;CARGO!$D$39)</f>
        <v>1</v>
      </c>
      <c r="L44" t="b">
        <f ca="1">(CARGO!L43&gt;CARGO!$D$39)</f>
        <v>1</v>
      </c>
      <c r="M44" t="b">
        <f ca="1">(CARGO!M43&gt;CARGO!$D$39)</f>
        <v>1</v>
      </c>
      <c r="N44" t="b">
        <f ca="1">(CARGO!N43&gt;CARGO!$D$39)</f>
        <v>1</v>
      </c>
      <c r="O44" t="b">
        <f ca="1">(CARGO!O43&gt;CARGO!$D$39)</f>
        <v>1</v>
      </c>
      <c r="V44">
        <v>4200</v>
      </c>
      <c r="W44">
        <v>42</v>
      </c>
      <c r="Z44" s="1"/>
      <c r="AA44">
        <v>390</v>
      </c>
      <c r="AB44" s="43">
        <f ca="1">נתונים!AB44-SUM(externalLOADwt)</f>
        <v>3089.6019999999999</v>
      </c>
      <c r="AC44" s="29">
        <f t="shared" ca="1" si="0"/>
        <v>4485.9070051223425</v>
      </c>
      <c r="AD44" s="31">
        <f ca="1">נתונים!AC44*נתונים!AB44-SUM(externalLOADmoment)</f>
        <v>13859667.25484</v>
      </c>
      <c r="AE44" s="41">
        <f t="shared" ca="1" si="1"/>
        <v>610.39800000000014</v>
      </c>
      <c r="AF44" s="293">
        <f t="shared" ca="1" si="11"/>
        <v>100</v>
      </c>
      <c r="AG44" s="293">
        <f t="shared" ca="1" si="12"/>
        <v>200</v>
      </c>
      <c r="AH44" s="293">
        <f t="shared" ca="1" si="13"/>
        <v>300</v>
      </c>
      <c r="AI44" s="293">
        <f t="shared" ca="1" si="14"/>
        <v>400</v>
      </c>
      <c r="AJ44" s="293">
        <f t="shared" ca="1" si="15"/>
        <v>500</v>
      </c>
      <c r="AK44" s="293">
        <f t="shared" ca="1" si="16"/>
        <v>600</v>
      </c>
      <c r="AL44" s="293">
        <f t="shared" ca="1" si="17"/>
        <v>700</v>
      </c>
      <c r="AM44" s="293">
        <f t="shared" ca="1" si="18"/>
        <v>800</v>
      </c>
      <c r="AN44" s="296" t="b">
        <f t="shared" ca="1" si="10"/>
        <v>1</v>
      </c>
    </row>
    <row r="45" spans="4:40" ht="15">
      <c r="D45" s="193" t="s">
        <v>226</v>
      </c>
      <c r="E45" s="193"/>
      <c r="V45">
        <v>4300</v>
      </c>
      <c r="W45">
        <v>43</v>
      </c>
      <c r="Z45" s="1"/>
      <c r="AA45">
        <v>400</v>
      </c>
      <c r="AB45" s="43">
        <f ca="1">נתונים!AB45-SUM(externalLOADwt)</f>
        <v>3099.6019999999999</v>
      </c>
      <c r="AC45" s="29">
        <f t="shared" ca="1" si="0"/>
        <v>4485.6072666232631</v>
      </c>
      <c r="AD45" s="31">
        <f ca="1">נתונים!AC45*נתונים!AB45-SUM(externalLOADmoment)</f>
        <v>13903597.25484</v>
      </c>
      <c r="AE45" s="41">
        <f t="shared" ca="1" si="1"/>
        <v>600.39800000000014</v>
      </c>
      <c r="AF45" s="293">
        <f t="shared" ca="1" si="11"/>
        <v>100</v>
      </c>
      <c r="AG45" s="293">
        <f t="shared" ca="1" si="12"/>
        <v>200</v>
      </c>
      <c r="AH45" s="293">
        <f t="shared" ca="1" si="13"/>
        <v>300</v>
      </c>
      <c r="AI45" s="293">
        <f t="shared" ca="1" si="14"/>
        <v>400</v>
      </c>
      <c r="AJ45" s="293">
        <f t="shared" ca="1" si="15"/>
        <v>500</v>
      </c>
      <c r="AK45" s="293">
        <f t="shared" ca="1" si="16"/>
        <v>600</v>
      </c>
      <c r="AL45" s="293">
        <f t="shared" ca="1" si="17"/>
        <v>700</v>
      </c>
      <c r="AM45" s="293">
        <f t="shared" ca="1" si="18"/>
        <v>800</v>
      </c>
      <c r="AN45" s="296" t="b">
        <f t="shared" ca="1" si="10"/>
        <v>1</v>
      </c>
    </row>
    <row r="46" spans="4:40" ht="15">
      <c r="D46" s="193" t="s">
        <v>1</v>
      </c>
      <c r="E46" s="193" t="s">
        <v>0</v>
      </c>
      <c r="V46">
        <v>4400</v>
      </c>
      <c r="W46">
        <v>44</v>
      </c>
      <c r="Z46" s="1"/>
      <c r="AA46">
        <v>410</v>
      </c>
      <c r="AB46" s="43">
        <f ca="1">נתונים!AB46-SUM(externalLOADwt)</f>
        <v>3109.6019999999999</v>
      </c>
      <c r="AC46" s="29">
        <f t="shared" ca="1" si="0"/>
        <v>4485.3158876409261</v>
      </c>
      <c r="AD46" s="31">
        <f ca="1">נתונים!AC46*נתונים!AB46-SUM(externalLOADmoment)</f>
        <v>13947547.254839998</v>
      </c>
      <c r="AE46" s="41">
        <f t="shared" ca="1" si="1"/>
        <v>590.39800000000014</v>
      </c>
      <c r="AF46" s="293">
        <f t="shared" ca="1" si="11"/>
        <v>100</v>
      </c>
      <c r="AG46" s="293">
        <f t="shared" ca="1" si="12"/>
        <v>200</v>
      </c>
      <c r="AH46" s="293">
        <f t="shared" ca="1" si="13"/>
        <v>300</v>
      </c>
      <c r="AI46" s="293">
        <f t="shared" ca="1" si="14"/>
        <v>400</v>
      </c>
      <c r="AJ46" s="293">
        <f t="shared" ca="1" si="15"/>
        <v>500</v>
      </c>
      <c r="AK46" s="293">
        <f t="shared" ca="1" si="16"/>
        <v>600</v>
      </c>
      <c r="AL46" s="293">
        <f t="shared" ca="1" si="17"/>
        <v>700</v>
      </c>
      <c r="AM46" s="293">
        <f t="shared" ca="1" si="18"/>
        <v>800</v>
      </c>
      <c r="AN46" s="296" t="b">
        <f t="shared" ca="1" si="10"/>
        <v>1</v>
      </c>
    </row>
    <row r="47" spans="3:40" ht="15">
      <c r="C47" t="s">
        <v>217</v>
      </c>
      <c r="D47" s="193">
        <v>4347</v>
      </c>
      <c r="E47" s="193">
        <v>2400</v>
      </c>
      <c r="F47" s="1"/>
      <c r="G47" s="1" t="s">
        <v>90</v>
      </c>
      <c r="H47" s="1">
        <v>100</v>
      </c>
      <c r="I47" s="1">
        <v>200</v>
      </c>
      <c r="J47" s="1">
        <v>300</v>
      </c>
      <c r="K47" s="1">
        <v>400</v>
      </c>
      <c r="L47" s="1">
        <v>500</v>
      </c>
      <c r="M47" s="1">
        <v>600</v>
      </c>
      <c r="N47" s="1">
        <v>700</v>
      </c>
      <c r="O47" s="1">
        <v>800</v>
      </c>
      <c r="V47">
        <v>4500</v>
      </c>
      <c r="W47">
        <v>45</v>
      </c>
      <c r="Z47" s="1"/>
      <c r="AA47">
        <v>420</v>
      </c>
      <c r="AB47" s="43">
        <f ca="1">נתונים!AB47-SUM(externalLOADwt)</f>
        <v>3119.6019999999999</v>
      </c>
      <c r="AC47" s="29">
        <f t="shared" ca="1" si="0"/>
        <v>4484.8981552262112</v>
      </c>
      <c r="AD47" s="31">
        <f ca="1">נתונים!AC47*נתונים!AB47-SUM(externalLOADmoment)</f>
        <v>13991097.254839998</v>
      </c>
      <c r="AE47" s="41">
        <f t="shared" ca="1" si="1"/>
        <v>580.39800000000014</v>
      </c>
      <c r="AF47" s="293">
        <f t="shared" ca="1" si="11"/>
        <v>100</v>
      </c>
      <c r="AG47" s="293">
        <f t="shared" ca="1" si="12"/>
        <v>200</v>
      </c>
      <c r="AH47" s="293">
        <f t="shared" ca="1" si="13"/>
        <v>300</v>
      </c>
      <c r="AI47" s="293">
        <f t="shared" ca="1" si="14"/>
        <v>400</v>
      </c>
      <c r="AJ47" s="293">
        <f t="shared" ca="1" si="15"/>
        <v>500</v>
      </c>
      <c r="AK47" s="293">
        <f t="shared" ca="1" si="16"/>
        <v>600</v>
      </c>
      <c r="AL47" s="293">
        <f t="shared" ca="1" si="17"/>
        <v>700</v>
      </c>
      <c r="AM47" s="293">
        <f t="shared" ca="1" si="18"/>
        <v>800</v>
      </c>
      <c r="AN47" s="296" t="b">
        <f t="shared" ca="1" si="10"/>
        <v>1</v>
      </c>
    </row>
    <row r="48" spans="3:40" ht="15">
      <c r="C48" t="s">
        <v>214</v>
      </c>
      <c r="D48" s="193">
        <v>4378</v>
      </c>
      <c r="E48" s="193">
        <v>3600</v>
      </c>
      <c r="F48" s="1"/>
      <c r="G48" s="1" t="s">
        <v>88</v>
      </c>
      <c r="H48" s="194">
        <f>SLOPE($E$47:$E$48,$D$47:$D$48)</f>
        <v>38.70967741935484</v>
      </c>
      <c r="I48" s="194">
        <f>SLOPE($E$54:$E$55,$D$54:$D$55)</f>
        <v>36.666666666666664</v>
      </c>
      <c r="J48" s="194">
        <f>SLOPE($E$61:$E$62,$D$61:$D$62)</f>
        <v>34.482758620689658</v>
      </c>
      <c r="K48" s="194">
        <f>SLOPE($E$68:$E$69,$D$68:$D$69)</f>
        <v>37.50</v>
      </c>
      <c r="L48" s="194">
        <f>SLOPE($E$75:$E$76,$D$75:$D$76)</f>
        <v>33.333333333333336</v>
      </c>
      <c r="M48" s="194">
        <f>SLOPE($E$82:$E$83,$D$82:$D$83)</f>
        <v>31.818181818181817</v>
      </c>
      <c r="N48" s="194">
        <f>SLOPE($E$89:$E$90,$D$89:$D$90)</f>
        <v>30</v>
      </c>
      <c r="O48" s="194">
        <f>SLOPE($E$96:$E$97,$D$96:$D$97)</f>
        <v>29.411764705882351</v>
      </c>
      <c r="V48">
        <v>4600</v>
      </c>
      <c r="W48">
        <v>46</v>
      </c>
      <c r="Z48" s="1"/>
      <c r="AA48">
        <v>430</v>
      </c>
      <c r="AB48" s="43">
        <f ca="1">נתונים!AB48-SUM(externalLOADwt)</f>
        <v>3129.6019999999999</v>
      </c>
      <c r="AC48" s="29">
        <f t="shared" ca="1" si="0"/>
        <v>4484.6204900303619</v>
      </c>
      <c r="AD48" s="31">
        <f ca="1">נתונים!AC48*נתונים!AB48-SUM(externalLOADmoment)</f>
        <v>14035077.25484</v>
      </c>
      <c r="AE48" s="41">
        <f t="shared" ca="1" si="1"/>
        <v>570.39800000000014</v>
      </c>
      <c r="AF48" s="293">
        <f t="shared" ca="1" si="11"/>
        <v>100</v>
      </c>
      <c r="AG48" s="293">
        <f t="shared" ca="1" si="12"/>
        <v>200</v>
      </c>
      <c r="AH48" s="293">
        <f t="shared" ca="1" si="13"/>
        <v>300</v>
      </c>
      <c r="AI48" s="293">
        <f t="shared" ca="1" si="14"/>
        <v>400</v>
      </c>
      <c r="AJ48" s="293">
        <f t="shared" ca="1" si="15"/>
        <v>500</v>
      </c>
      <c r="AK48" s="293">
        <f t="shared" ca="1" si="16"/>
        <v>600</v>
      </c>
      <c r="AL48" s="293">
        <f t="shared" ca="1" si="17"/>
        <v>700</v>
      </c>
      <c r="AM48" s="293">
        <f t="shared" ca="1" si="18"/>
        <v>800</v>
      </c>
      <c r="AN48" s="296" t="b">
        <f t="shared" ca="1" si="10"/>
        <v>1</v>
      </c>
    </row>
    <row r="49" spans="3:40" ht="15">
      <c r="C49" t="s">
        <v>215</v>
      </c>
      <c r="D49" s="193">
        <v>4535</v>
      </c>
      <c r="E49" s="193">
        <v>3600</v>
      </c>
      <c r="F49" s="1"/>
      <c r="G49" s="1" t="s">
        <v>89</v>
      </c>
      <c r="H49" s="192">
        <f>$E$47-$D$47*H$48</f>
        <v>-165870.96774193548</v>
      </c>
      <c r="I49" s="192">
        <f>$E$54-$D$54*I$48</f>
        <v>-156990</v>
      </c>
      <c r="J49" s="192">
        <f>$E$61-$D$61*J$48</f>
        <v>-147496.55172413794</v>
      </c>
      <c r="K49" s="192">
        <f>$E$68-$D$68*K$48</f>
        <v>-160725</v>
      </c>
      <c r="L49" s="192">
        <f>$E$75-$D$75*L$48</f>
        <v>-142600</v>
      </c>
      <c r="M49" s="192">
        <f>$E$82-$D$82*M$48</f>
        <v>-136009.09090909091</v>
      </c>
      <c r="N49" s="192">
        <f>$E$89-$D$89*N$48</f>
        <v>-128100</v>
      </c>
      <c r="O49" s="192">
        <f>$E$96-$D$96*O$48</f>
        <v>-125541.17647058822</v>
      </c>
      <c r="V49">
        <v>4700</v>
      </c>
      <c r="W49">
        <v>47</v>
      </c>
      <c r="Z49" s="1"/>
      <c r="AA49">
        <v>440</v>
      </c>
      <c r="AB49" s="43">
        <f ca="1">נתונים!AB49-SUM(externalLOADwt)</f>
        <v>3139.6019999999999</v>
      </c>
      <c r="AC49" s="29">
        <f t="shared" ca="1" si="0"/>
        <v>4484.3509638610249</v>
      </c>
      <c r="AD49" s="31">
        <f ca="1">נתונים!AC49*נתונים!AB49-SUM(externalLOADmoment)</f>
        <v>14079077.254840001</v>
      </c>
      <c r="AE49" s="41">
        <f t="shared" ca="1" si="1"/>
        <v>560.39800000000014</v>
      </c>
      <c r="AF49" s="293">
        <f t="shared" ca="1" si="11"/>
        <v>100</v>
      </c>
      <c r="AG49" s="293">
        <f t="shared" ca="1" si="12"/>
        <v>200</v>
      </c>
      <c r="AH49" s="293">
        <f t="shared" ca="1" si="13"/>
        <v>300</v>
      </c>
      <c r="AI49" s="293">
        <f t="shared" ca="1" si="14"/>
        <v>400</v>
      </c>
      <c r="AJ49" s="293">
        <f t="shared" ca="1" si="15"/>
        <v>500</v>
      </c>
      <c r="AK49" s="293">
        <f t="shared" ca="1" si="16"/>
        <v>600</v>
      </c>
      <c r="AL49" s="293">
        <f t="shared" ca="1" si="17"/>
        <v>700</v>
      </c>
      <c r="AM49" s="293">
        <f t="shared" ca="1" si="18"/>
        <v>800</v>
      </c>
      <c r="AN49" s="296" t="b">
        <f t="shared" ca="1" si="10"/>
        <v>1</v>
      </c>
    </row>
    <row r="50" spans="3:40" ht="15">
      <c r="C50" t="s">
        <v>216</v>
      </c>
      <c r="D50" s="193">
        <v>4630</v>
      </c>
      <c r="E50" s="193">
        <v>2700</v>
      </c>
      <c r="F50" s="1"/>
      <c r="G50" s="1" t="s">
        <v>218</v>
      </c>
      <c r="H50" s="192">
        <f ca="1">($E$40-H$49)/H$48</f>
        <v>4367.666666666667</v>
      </c>
      <c r="I50" s="192">
        <f ca="1" t="shared" si="21" ref="I50:J50">($E$40-I$49)/I$48</f>
        <v>4368.818181818182</v>
      </c>
      <c r="J50" s="192">
        <f t="shared" ca="1" si="21"/>
        <v>4370.20</v>
      </c>
      <c r="K50" s="192">
        <f ca="1">($E$40-K$49)/K$48</f>
        <v>4371.333333333333</v>
      </c>
      <c r="L50" s="192">
        <f ca="1" t="shared" si="22" ref="L50:N50">($E$40-L$49)/L$48</f>
        <v>4374</v>
      </c>
      <c r="M50" s="192">
        <f t="shared" ca="1" si="22"/>
        <v>4375.1428571428578</v>
      </c>
      <c r="N50" s="192">
        <f t="shared" ca="1" si="22"/>
        <v>4376.666666666667</v>
      </c>
      <c r="O50" s="192">
        <f ca="1">($E$40-O$49)/O$48</f>
        <v>4377.20</v>
      </c>
      <c r="V50">
        <v>4800</v>
      </c>
      <c r="W50">
        <v>48</v>
      </c>
      <c r="Z50" s="1"/>
      <c r="AA50">
        <v>450</v>
      </c>
      <c r="AB50" s="43">
        <f ca="1">נתונים!AB50-SUM(externalLOADwt)</f>
        <v>3149.6019999999999</v>
      </c>
      <c r="AC50" s="29">
        <f t="shared" ca="1" si="0"/>
        <v>4484.0894991938667</v>
      </c>
      <c r="AD50" s="31">
        <f ca="1">נתונים!AC50*נתונים!AB50-SUM(externalLOADmoment)</f>
        <v>14123097.25484</v>
      </c>
      <c r="AE50" s="41">
        <f t="shared" ca="1" si="1"/>
        <v>550.39800000000014</v>
      </c>
      <c r="AF50" s="293">
        <f t="shared" ca="1" si="11"/>
        <v>100</v>
      </c>
      <c r="AG50" s="293">
        <f t="shared" ca="1" si="12"/>
        <v>200</v>
      </c>
      <c r="AH50" s="293">
        <f t="shared" ca="1" si="13"/>
        <v>300</v>
      </c>
      <c r="AI50" s="293">
        <f t="shared" ca="1" si="14"/>
        <v>400</v>
      </c>
      <c r="AJ50" s="293">
        <f t="shared" ca="1" si="15"/>
        <v>500</v>
      </c>
      <c r="AK50" s="293">
        <f t="shared" ca="1" si="16"/>
        <v>600</v>
      </c>
      <c r="AL50" s="293">
        <f t="shared" ca="1" si="17"/>
        <v>700</v>
      </c>
      <c r="AM50" s="293">
        <f t="shared" ca="1" si="18"/>
        <v>800</v>
      </c>
      <c r="AN50" s="296" t="b">
        <f t="shared" ca="1" si="10"/>
        <v>1</v>
      </c>
    </row>
    <row r="51" spans="4:40" ht="15">
      <c r="D51" s="193"/>
      <c r="E51" s="193"/>
      <c r="F51" s="1"/>
      <c r="G51" s="1"/>
      <c r="H51" t="b">
        <f ca="1">(CARGO!H50&lt;CARGO!$D$40)</f>
        <v>1</v>
      </c>
      <c r="I51" t="b">
        <f ca="1">(CARGO!I50&lt;CARGO!$D$40)</f>
        <v>1</v>
      </c>
      <c r="J51" t="b">
        <f ca="1">(CARGO!J50&lt;CARGO!$D$40)</f>
        <v>1</v>
      </c>
      <c r="K51" t="b">
        <f ca="1">(CARGO!K50&lt;CARGO!$D$40)</f>
        <v>1</v>
      </c>
      <c r="L51" t="b">
        <f ca="1">(CARGO!L50&lt;CARGO!$D$40)</f>
        <v>1</v>
      </c>
      <c r="M51" t="b">
        <f ca="1">(CARGO!M50&lt;CARGO!$D$40)</f>
        <v>1</v>
      </c>
      <c r="N51" t="b">
        <f ca="1">(CARGO!N50&lt;CARGO!$D$40)</f>
        <v>1</v>
      </c>
      <c r="O51" t="b">
        <f ca="1">(CARGO!O50&lt;CARGO!$D$40)</f>
        <v>1</v>
      </c>
      <c r="V51">
        <v>4900</v>
      </c>
      <c r="W51">
        <v>49</v>
      </c>
      <c r="Z51" s="1"/>
      <c r="AA51">
        <v>460</v>
      </c>
      <c r="AB51" s="43">
        <f ca="1">נתונים!AB51-SUM(externalLOADwt)</f>
        <v>3159.6019999999999</v>
      </c>
      <c r="AC51" s="29">
        <f t="shared" ca="1" si="0"/>
        <v>4483.6904315290349</v>
      </c>
      <c r="AD51" s="31">
        <f ca="1">נתונים!AC51*נתונים!AB51-SUM(externalLOADmoment)</f>
        <v>14166677.254840001</v>
      </c>
      <c r="AE51" s="41">
        <f t="shared" ca="1" si="1"/>
        <v>540.39800000000014</v>
      </c>
      <c r="AF51" s="293">
        <f t="shared" ca="1" si="11"/>
        <v>100</v>
      </c>
      <c r="AG51" s="293">
        <f t="shared" ca="1" si="12"/>
        <v>200</v>
      </c>
      <c r="AH51" s="293">
        <f t="shared" ca="1" si="13"/>
        <v>300</v>
      </c>
      <c r="AI51" s="293">
        <f t="shared" ca="1" si="14"/>
        <v>400</v>
      </c>
      <c r="AJ51" s="293">
        <f t="shared" ca="1" si="15"/>
        <v>500</v>
      </c>
      <c r="AK51" s="293">
        <f t="shared" ca="1" si="16"/>
        <v>600</v>
      </c>
      <c r="AL51" s="293">
        <f t="shared" ca="1" si="17"/>
        <v>700</v>
      </c>
      <c r="AM51" s="293">
        <f t="shared" ca="1" si="18"/>
        <v>800</v>
      </c>
      <c r="AN51" s="296" t="b">
        <f t="shared" ca="1" si="10"/>
        <v>1</v>
      </c>
    </row>
    <row r="52" spans="4:40" ht="15">
      <c r="D52" s="193" t="s">
        <v>227</v>
      </c>
      <c r="E52" s="193"/>
      <c r="F52" s="1"/>
      <c r="V52">
        <v>5000</v>
      </c>
      <c r="W52">
        <v>50</v>
      </c>
      <c r="Z52" s="1"/>
      <c r="AA52">
        <v>470</v>
      </c>
      <c r="AB52" s="43">
        <f ca="1">נתונים!AB52-SUM(externalLOADwt)</f>
        <v>3169.6019999999999</v>
      </c>
      <c r="AC52" s="29">
        <f t="shared" ca="1" si="0"/>
        <v>4483.4421655589567</v>
      </c>
      <c r="AD52" s="31">
        <f ca="1">נתונים!AC52*נתונים!AB52-SUM(externalLOADmoment)</f>
        <v>14210727.25484</v>
      </c>
      <c r="AE52" s="41">
        <f t="shared" ca="1" si="1"/>
        <v>530.39800000000014</v>
      </c>
      <c r="AF52" s="293">
        <f t="shared" ca="1" si="11"/>
        <v>100</v>
      </c>
      <c r="AG52" s="293">
        <f t="shared" ca="1" si="12"/>
        <v>200</v>
      </c>
      <c r="AH52" s="293">
        <f t="shared" ca="1" si="13"/>
        <v>300</v>
      </c>
      <c r="AI52" s="293">
        <f t="shared" ca="1" si="14"/>
        <v>400</v>
      </c>
      <c r="AJ52" s="293">
        <f t="shared" ca="1" si="15"/>
        <v>500</v>
      </c>
      <c r="AK52" s="293">
        <f t="shared" ca="1" si="16"/>
        <v>600</v>
      </c>
      <c r="AL52" s="293">
        <f t="shared" ca="1" si="17"/>
        <v>700</v>
      </c>
      <c r="AM52" s="293">
        <f t="shared" ca="1" si="18"/>
        <v>800</v>
      </c>
      <c r="AN52" s="296" t="b">
        <f t="shared" ca="1" si="10"/>
        <v>1</v>
      </c>
    </row>
    <row r="53" spans="4:40" ht="15">
      <c r="D53" s="193" t="s">
        <v>1</v>
      </c>
      <c r="E53" s="193" t="s">
        <v>0</v>
      </c>
      <c r="F53" s="1"/>
      <c r="H53" s="355" t="s">
        <v>219</v>
      </c>
      <c r="I53" s="355"/>
      <c r="J53" s="355"/>
      <c r="K53" s="355"/>
      <c r="L53" s="355"/>
      <c r="M53" s="355"/>
      <c r="N53" s="355"/>
      <c r="V53">
        <v>5100</v>
      </c>
      <c r="Z53" s="1"/>
      <c r="AA53">
        <v>480</v>
      </c>
      <c r="AB53" s="43">
        <f ca="1">נתונים!AB53-SUM(externalLOADwt)</f>
        <v>3179.6019999999999</v>
      </c>
      <c r="AC53" s="29">
        <f t="shared" ca="1" si="0"/>
        <v>4483.2017513009487</v>
      </c>
      <c r="AD53" s="31">
        <f ca="1">נתונים!AC53*נתונים!AB53-SUM(externalLOADmoment)</f>
        <v>14254797.254839998</v>
      </c>
      <c r="AE53" s="41">
        <f t="shared" ca="1" si="1"/>
        <v>520.39800000000014</v>
      </c>
      <c r="AF53" s="293">
        <f t="shared" ca="1" si="11"/>
        <v>100</v>
      </c>
      <c r="AG53" s="293">
        <f t="shared" ca="1" si="12"/>
        <v>200</v>
      </c>
      <c r="AH53" s="293">
        <f t="shared" ca="1" si="13"/>
        <v>300</v>
      </c>
      <c r="AI53" s="293">
        <f t="shared" ca="1" si="14"/>
        <v>400</v>
      </c>
      <c r="AJ53" s="293">
        <f t="shared" ca="1" si="15"/>
        <v>500</v>
      </c>
      <c r="AK53" s="293">
        <f t="shared" ca="1" si="16"/>
        <v>600</v>
      </c>
      <c r="AL53" s="293">
        <f t="shared" ca="1" si="17"/>
        <v>700</v>
      </c>
      <c r="AM53" s="293">
        <f t="shared" ca="1" si="18"/>
        <v>800</v>
      </c>
      <c r="AN53" s="296" t="b">
        <f t="shared" ca="1" si="10"/>
        <v>1</v>
      </c>
    </row>
    <row r="54" spans="3:40" ht="15">
      <c r="C54" t="s">
        <v>217</v>
      </c>
      <c r="D54" s="193">
        <v>4347</v>
      </c>
      <c r="E54" s="193">
        <v>2400</v>
      </c>
      <c r="F54" s="1"/>
      <c r="H54">
        <f ca="1">IF(AND(H44,H51),H40,0)</f>
        <v>100</v>
      </c>
      <c r="I54">
        <f ca="1" t="shared" si="23" ref="I54:J54">IF(AND(I44,I51),I40,0)</f>
        <v>200</v>
      </c>
      <c r="J54">
        <f t="shared" ca="1" si="23"/>
        <v>300</v>
      </c>
      <c r="K54">
        <f ca="1">IF(AND(K44,K51),K40,0)</f>
        <v>400</v>
      </c>
      <c r="L54">
        <f ca="1" t="shared" si="24" ref="L54:O54">IF(AND(L44,L51),L40,0)</f>
        <v>500</v>
      </c>
      <c r="M54">
        <f t="shared" ca="1" si="24"/>
        <v>600</v>
      </c>
      <c r="N54">
        <f t="shared" ca="1" si="24"/>
        <v>700</v>
      </c>
      <c r="O54">
        <f t="shared" ca="1" si="24"/>
        <v>800</v>
      </c>
      <c r="V54">
        <v>5200</v>
      </c>
      <c r="Z54" s="1"/>
      <c r="AA54">
        <v>490</v>
      </c>
      <c r="AB54" s="43">
        <f ca="1">נתונים!AB54-SUM(externalLOADwt)</f>
        <v>3189.6019999999999</v>
      </c>
      <c r="AC54" s="29">
        <f t="shared" ca="1" si="0"/>
        <v>4482.8154907226672</v>
      </c>
      <c r="AD54" s="31">
        <f ca="1">נתונים!AC54*נתונים!AB54-SUM(externalLOADmoment)</f>
        <v>14298397.25484</v>
      </c>
      <c r="AE54" s="41">
        <f t="shared" ca="1" si="1"/>
        <v>510.39800000000014</v>
      </c>
      <c r="AF54" s="293">
        <f t="shared" ca="1" si="11"/>
        <v>100</v>
      </c>
      <c r="AG54" s="293">
        <f t="shared" ca="1" si="12"/>
        <v>200</v>
      </c>
      <c r="AH54" s="293">
        <f t="shared" ca="1" si="13"/>
        <v>300</v>
      </c>
      <c r="AI54" s="293">
        <f t="shared" ca="1" si="14"/>
        <v>400</v>
      </c>
      <c r="AJ54" s="293">
        <f t="shared" ca="1" si="15"/>
        <v>500</v>
      </c>
      <c r="AK54" s="293">
        <f t="shared" ca="1" si="16"/>
        <v>600</v>
      </c>
      <c r="AL54" s="293">
        <f t="shared" ca="1" si="17"/>
        <v>700</v>
      </c>
      <c r="AM54" s="293">
        <f t="shared" ca="1" si="18"/>
        <v>800</v>
      </c>
      <c r="AN54" s="296" t="b">
        <f t="shared" ca="1" si="10"/>
        <v>1</v>
      </c>
    </row>
    <row r="55" spans="3:40" ht="15">
      <c r="C55" t="s">
        <v>214</v>
      </c>
      <c r="D55" s="193">
        <v>4377</v>
      </c>
      <c r="E55" s="193">
        <v>3500</v>
      </c>
      <c r="F55" s="1"/>
      <c r="V55">
        <v>5300</v>
      </c>
      <c r="Z55" s="1"/>
      <c r="AA55">
        <v>500</v>
      </c>
      <c r="AB55" s="43">
        <f ca="1">נתונים!AB55-SUM(externalLOADwt)</f>
        <v>3199.6019999999999</v>
      </c>
      <c r="AC55" s="29">
        <f t="shared" ca="1" si="0"/>
        <v>4482.5879140093048</v>
      </c>
      <c r="AD55" s="31">
        <f ca="1">נתונים!AC55*נתונים!AB55-SUM(externalLOADmoment)</f>
        <v>14342497.25484</v>
      </c>
      <c r="AE55" s="41">
        <f t="shared" ca="1" si="1"/>
        <v>500.39800000000014</v>
      </c>
      <c r="AF55" s="293">
        <f t="shared" ca="1" si="11"/>
        <v>100</v>
      </c>
      <c r="AG55" s="293">
        <f t="shared" ca="1" si="12"/>
        <v>200</v>
      </c>
      <c r="AH55" s="293">
        <f t="shared" ca="1" si="13"/>
        <v>300</v>
      </c>
      <c r="AI55" s="293">
        <f t="shared" ca="1" si="14"/>
        <v>400</v>
      </c>
      <c r="AJ55" s="293">
        <f t="shared" ca="1" si="15"/>
        <v>500</v>
      </c>
      <c r="AK55" s="293">
        <f t="shared" ca="1" si="16"/>
        <v>600</v>
      </c>
      <c r="AL55" s="293">
        <f t="shared" ca="1" si="17"/>
        <v>700</v>
      </c>
      <c r="AM55" s="293">
        <f t="shared" ca="1" si="18"/>
        <v>800</v>
      </c>
      <c r="AN55" s="296" t="b">
        <f t="shared" ca="1" si="10"/>
        <v>1</v>
      </c>
    </row>
    <row r="56" spans="3:40" ht="15">
      <c r="C56" t="s">
        <v>215</v>
      </c>
      <c r="D56" s="193">
        <v>4541</v>
      </c>
      <c r="E56" s="193">
        <v>3500</v>
      </c>
      <c r="F56" s="1"/>
      <c r="G56" s="1"/>
      <c r="K56" s="196">
        <f ca="1">HLOOKUP(K57,IF(cargoLIMITarea="AFT",$H$40:$O$43,$H$47:$O$50),4,FALSE)</f>
        <v>4376.666666666667</v>
      </c>
      <c r="L56" s="196">
        <f ca="1">IF(cargoLIMITarea="AFT",F31,F36)</f>
        <v>4482.5879140093048</v>
      </c>
      <c r="M56" s="196">
        <f ca="1">HLOOKUP(M57,IF(cargoLIMITarea="AFT",$H$40:$O$43,$H$47:$O$50),4,FALSE)</f>
        <v>4377.20</v>
      </c>
      <c r="N56" s="1"/>
      <c r="V56">
        <v>5400</v>
      </c>
      <c r="Z56" s="1"/>
      <c r="AA56">
        <v>510</v>
      </c>
      <c r="AB56" s="43">
        <f ca="1">נתונים!AB56-SUM(externalLOADwt)</f>
        <v>3200</v>
      </c>
      <c r="AC56" s="29">
        <f t="shared" ca="1" si="0"/>
        <v>4482.5879140093048</v>
      </c>
      <c r="AD56" s="31">
        <f ca="1">נתונים!AC56*נתונים!AB56-SUM(externalLOADmoment)</f>
        <v>14344281.324829776</v>
      </c>
      <c r="AE56" s="41">
        <f t="shared" ca="1" si="1"/>
        <v>500</v>
      </c>
      <c r="AF56" s="293">
        <f t="shared" ca="1" si="11"/>
        <v>100</v>
      </c>
      <c r="AG56" s="293">
        <f t="shared" ca="1" si="12"/>
        <v>200</v>
      </c>
      <c r="AH56" s="293">
        <f t="shared" ca="1" si="13"/>
        <v>300</v>
      </c>
      <c r="AI56" s="293">
        <f t="shared" ca="1" si="14"/>
        <v>400</v>
      </c>
      <c r="AJ56" s="293">
        <f t="shared" ca="1" si="15"/>
        <v>500</v>
      </c>
      <c r="AK56" s="293">
        <f t="shared" ca="1" si="16"/>
        <v>600</v>
      </c>
      <c r="AL56" s="293">
        <f t="shared" ca="1" si="17"/>
        <v>700</v>
      </c>
      <c r="AM56" s="293">
        <f t="shared" ca="1" si="18"/>
        <v>800</v>
      </c>
      <c r="AN56" s="296" t="b">
        <f t="shared" ca="1" si="10"/>
        <v>1</v>
      </c>
    </row>
    <row r="57" spans="3:40" ht="15">
      <c r="C57" t="s">
        <v>216</v>
      </c>
      <c r="D57" s="193">
        <v>4653</v>
      </c>
      <c r="E57" s="193">
        <v>2480</v>
      </c>
      <c r="F57" s="1"/>
      <c r="K57" s="193">
        <f ca="1">IF(MAX($H$54:$N$54)&gt;maxGRAPH,maxGRAPH,MAX($H$54:$N$54))</f>
        <v>700</v>
      </c>
      <c r="L57" s="193">
        <f ca="1">IF(M57-K57=0,K57,ROUNDDOWN(M57-(F31-M56)/(K56-M56)*100,-1))</f>
        <v>20560</v>
      </c>
      <c r="M57" s="193">
        <f ca="1">IF(MAX($H$54:$N$54)+100&gt;maxGRAPH,maxGRAPH,MAX($H$54:$N$54)+100)</f>
        <v>800</v>
      </c>
      <c r="V57">
        <v>5500</v>
      </c>
      <c r="AA57">
        <v>520</v>
      </c>
      <c r="AB57" s="43">
        <f ca="1">נתונים!AB57-SUM(externalLOADwt)</f>
        <v>3200</v>
      </c>
      <c r="AC57" s="29">
        <f t="shared" ca="1" si="0"/>
        <v>4482.5879140093048</v>
      </c>
      <c r="AD57" s="31">
        <f ca="1">נתונים!AC57*נתונים!AB57-SUM(externalLOADmoment)</f>
        <v>14344281.324829776</v>
      </c>
      <c r="AE57" s="41">
        <f t="shared" ca="1" si="1"/>
        <v>500</v>
      </c>
      <c r="AF57" s="293">
        <f t="shared" ca="1" si="11"/>
        <v>100</v>
      </c>
      <c r="AG57" s="293">
        <f t="shared" ca="1" si="12"/>
        <v>200</v>
      </c>
      <c r="AH57" s="293">
        <f t="shared" ca="1" si="13"/>
        <v>300</v>
      </c>
      <c r="AI57" s="293">
        <f t="shared" ca="1" si="14"/>
        <v>400</v>
      </c>
      <c r="AJ57" s="293">
        <f t="shared" ca="1" si="15"/>
        <v>500</v>
      </c>
      <c r="AK57" s="293">
        <f t="shared" ca="1" si="16"/>
        <v>600</v>
      </c>
      <c r="AL57" s="293">
        <f t="shared" ca="1" si="17"/>
        <v>700</v>
      </c>
      <c r="AM57" s="293">
        <f t="shared" ca="1" si="18"/>
        <v>800</v>
      </c>
      <c r="AN57" s="296" t="b">
        <f t="shared" ca="1" si="10"/>
        <v>1</v>
      </c>
    </row>
    <row r="58" spans="6:40" ht="15">
      <c r="F58" s="1"/>
      <c r="G58" s="1"/>
      <c r="H58" s="1"/>
      <c r="I58" s="1"/>
      <c r="J58" s="1"/>
      <c r="K58" s="1"/>
      <c r="L58" s="1"/>
      <c r="V58">
        <v>5600</v>
      </c>
      <c r="AA58">
        <v>530</v>
      </c>
      <c r="AB58" s="43">
        <f ca="1">נתונים!AB58-SUM(externalLOADwt)</f>
        <v>3200</v>
      </c>
      <c r="AC58" s="29">
        <f t="shared" ca="1" si="0"/>
        <v>4482.5879140093048</v>
      </c>
      <c r="AD58" s="31">
        <f ca="1">נתונים!AC58*נתונים!AB58-SUM(externalLOADmoment)</f>
        <v>14344281.324829776</v>
      </c>
      <c r="AE58" s="41">
        <f t="shared" ca="1" si="1"/>
        <v>500</v>
      </c>
      <c r="AF58" s="293">
        <f t="shared" ca="1" si="11"/>
        <v>100</v>
      </c>
      <c r="AG58" s="293">
        <f t="shared" ca="1" si="12"/>
        <v>200</v>
      </c>
      <c r="AH58" s="293">
        <f t="shared" ca="1" si="13"/>
        <v>300</v>
      </c>
      <c r="AI58" s="293">
        <f t="shared" ca="1" si="14"/>
        <v>400</v>
      </c>
      <c r="AJ58" s="293">
        <f t="shared" ca="1" si="15"/>
        <v>500</v>
      </c>
      <c r="AK58" s="293">
        <f t="shared" ca="1" si="16"/>
        <v>600</v>
      </c>
      <c r="AL58" s="293">
        <f t="shared" ca="1" si="17"/>
        <v>700</v>
      </c>
      <c r="AM58" s="293">
        <f t="shared" ca="1" si="18"/>
        <v>800</v>
      </c>
      <c r="AN58" s="296" t="b">
        <f t="shared" ca="1" si="10"/>
        <v>1</v>
      </c>
    </row>
    <row r="59" spans="4:40" ht="15">
      <c r="D59" s="193" t="s">
        <v>228</v>
      </c>
      <c r="E59" s="193"/>
      <c r="F59" s="1"/>
      <c r="J59" s="192">
        <f ca="1">ROUND(MAXGROSS-SUM(ראשי!$F$47:$F$48),0)</f>
        <v>1000</v>
      </c>
      <c r="K59" t="s">
        <v>221</v>
      </c>
      <c r="L59" s="1"/>
      <c r="V59">
        <v>5700</v>
      </c>
      <c r="AA59">
        <v>540</v>
      </c>
      <c r="AB59" s="43">
        <f ca="1">נתונים!AB59-SUM(externalLOADwt)</f>
        <v>3200</v>
      </c>
      <c r="AC59" s="29">
        <f t="shared" ca="1" si="0"/>
        <v>4482.5879140093048</v>
      </c>
      <c r="AD59" s="31">
        <f ca="1">נתונים!AC59*נתונים!AB59-SUM(externalLOADmoment)</f>
        <v>14344281.324829776</v>
      </c>
      <c r="AE59" s="41">
        <f t="shared" ca="1" si="1"/>
        <v>500</v>
      </c>
      <c r="AF59" s="293">
        <f t="shared" ca="1" si="11"/>
        <v>100</v>
      </c>
      <c r="AG59" s="293">
        <f t="shared" ca="1" si="12"/>
        <v>200</v>
      </c>
      <c r="AH59" s="293">
        <f t="shared" ca="1" si="13"/>
        <v>300</v>
      </c>
      <c r="AI59" s="293">
        <f t="shared" ca="1" si="14"/>
        <v>400</v>
      </c>
      <c r="AJ59" s="293">
        <f t="shared" ca="1" si="15"/>
        <v>500</v>
      </c>
      <c r="AK59" s="293">
        <f t="shared" ca="1" si="16"/>
        <v>600</v>
      </c>
      <c r="AL59" s="293">
        <f t="shared" ca="1" si="17"/>
        <v>700</v>
      </c>
      <c r="AM59" s="293">
        <f t="shared" ca="1" si="18"/>
        <v>800</v>
      </c>
      <c r="AN59" s="296" t="b">
        <f t="shared" ca="1" si="10"/>
        <v>1</v>
      </c>
    </row>
    <row r="60" spans="4:40" ht="15">
      <c r="D60" s="193" t="s">
        <v>1</v>
      </c>
      <c r="E60" s="193" t="s">
        <v>0</v>
      </c>
      <c r="F60" s="1"/>
      <c r="G60" s="1"/>
      <c r="H60" s="1"/>
      <c r="I60" s="1"/>
      <c r="J60" s="1">
        <f ca="1">payload-userFUEL-PAXandEQUIP</f>
        <v>500</v>
      </c>
      <c r="K60" s="197" t="s">
        <v>222</v>
      </c>
      <c r="L60" s="1"/>
      <c r="V60">
        <v>5800</v>
      </c>
      <c r="AA60">
        <v>550</v>
      </c>
      <c r="AB60" s="43">
        <f ca="1">נתונים!AB60-SUM(externalLOADwt)</f>
        <v>3200</v>
      </c>
      <c r="AC60" s="29">
        <f t="shared" ca="1" si="0"/>
        <v>4482.5879140093048</v>
      </c>
      <c r="AD60" s="31">
        <f ca="1">נתונים!AC60*נתונים!AB60-SUM(externalLOADmoment)</f>
        <v>14344281.324829776</v>
      </c>
      <c r="AE60" s="41">
        <f t="shared" ca="1" si="1"/>
        <v>500</v>
      </c>
      <c r="AF60" s="293">
        <f t="shared" ca="1" si="11"/>
        <v>100</v>
      </c>
      <c r="AG60" s="293">
        <f t="shared" ca="1" si="12"/>
        <v>200</v>
      </c>
      <c r="AH60" s="293">
        <f t="shared" ca="1" si="13"/>
        <v>300</v>
      </c>
      <c r="AI60" s="293">
        <f t="shared" ca="1" si="14"/>
        <v>400</v>
      </c>
      <c r="AJ60" s="293">
        <f t="shared" ca="1" si="15"/>
        <v>500</v>
      </c>
      <c r="AK60" s="293">
        <f t="shared" ca="1" si="16"/>
        <v>600</v>
      </c>
      <c r="AL60" s="293">
        <f t="shared" ca="1" si="17"/>
        <v>700</v>
      </c>
      <c r="AM60" s="293">
        <f t="shared" ca="1" si="18"/>
        <v>800</v>
      </c>
      <c r="AN60" s="296" t="b">
        <f t="shared" ca="1" si="10"/>
        <v>1</v>
      </c>
    </row>
    <row r="61" spans="3:40" ht="15.75" thickBot="1">
      <c r="C61" t="s">
        <v>217</v>
      </c>
      <c r="D61" s="193">
        <v>4347</v>
      </c>
      <c r="E61" s="193">
        <v>2400</v>
      </c>
      <c r="F61" s="1"/>
      <c r="G61" s="1"/>
      <c r="H61" s="1"/>
      <c r="I61" s="1"/>
      <c r="J61" s="1"/>
      <c r="K61" s="1"/>
      <c r="L61" s="1"/>
      <c r="V61">
        <v>5900</v>
      </c>
      <c r="AA61">
        <v>560</v>
      </c>
      <c r="AB61" s="43">
        <f ca="1">נתונים!AB61-SUM(externalLOADwt)</f>
        <v>3200</v>
      </c>
      <c r="AC61" s="29">
        <f t="shared" ca="1" si="0"/>
        <v>4482.5879140093048</v>
      </c>
      <c r="AD61" s="31">
        <f ca="1">נתונים!AC61*נתונים!AB61-SUM(externalLOADmoment)</f>
        <v>14344281.324829776</v>
      </c>
      <c r="AE61" s="41">
        <f t="shared" ca="1" si="1"/>
        <v>500</v>
      </c>
      <c r="AF61" s="293">
        <f t="shared" ca="1" si="11"/>
        <v>100</v>
      </c>
      <c r="AG61" s="293">
        <f t="shared" ca="1" si="12"/>
        <v>200</v>
      </c>
      <c r="AH61" s="293">
        <f t="shared" ca="1" si="13"/>
        <v>300</v>
      </c>
      <c r="AI61" s="293">
        <f t="shared" ca="1" si="14"/>
        <v>400</v>
      </c>
      <c r="AJ61" s="293">
        <f t="shared" ca="1" si="15"/>
        <v>500</v>
      </c>
      <c r="AK61" s="293">
        <f t="shared" ca="1" si="16"/>
        <v>600</v>
      </c>
      <c r="AL61" s="293">
        <f t="shared" ca="1" si="17"/>
        <v>700</v>
      </c>
      <c r="AM61" s="293">
        <f t="shared" ca="1" si="18"/>
        <v>800</v>
      </c>
      <c r="AN61" s="296" t="b">
        <f t="shared" ca="1" si="10"/>
        <v>1</v>
      </c>
    </row>
    <row r="62" spans="3:40" ht="15.75" thickBot="1">
      <c r="C62" t="s">
        <v>214</v>
      </c>
      <c r="D62" s="193">
        <v>4376</v>
      </c>
      <c r="E62" s="193">
        <v>3400</v>
      </c>
      <c r="F62" s="1"/>
      <c r="G62" s="195">
        <f ca="1">IF(J60&lt;=MAX(H54:O54),J60,MAX(H54:O54))</f>
        <v>500</v>
      </c>
      <c r="H62" s="421" t="s">
        <v>220</v>
      </c>
      <c r="I62" s="421"/>
      <c r="J62" s="421"/>
      <c r="K62" s="422"/>
      <c r="L62" s="1"/>
      <c r="P62">
        <f ca="1">IFERROR(IF(MIN(J60,L57)&gt;maxGRAPH,maxGRAPH,MIN(J60,L57)),0)</f>
        <v>500</v>
      </c>
      <c r="V62">
        <v>6000</v>
      </c>
      <c r="AA62">
        <v>570</v>
      </c>
      <c r="AB62" s="43">
        <f ca="1">נתונים!AB62-SUM(externalLOADwt)</f>
        <v>3200</v>
      </c>
      <c r="AC62" s="29">
        <f t="shared" ca="1" si="0"/>
        <v>4482.5879140093048</v>
      </c>
      <c r="AD62" s="31">
        <f ca="1">נתונים!AC62*נתונים!AB62-SUM(externalLOADmoment)</f>
        <v>14344281.324829776</v>
      </c>
      <c r="AE62" s="41">
        <f t="shared" ca="1" si="1"/>
        <v>500</v>
      </c>
      <c r="AF62" s="293">
        <f t="shared" ca="1" si="11"/>
        <v>100</v>
      </c>
      <c r="AG62" s="293">
        <f t="shared" ca="1" si="12"/>
        <v>200</v>
      </c>
      <c r="AH62" s="293">
        <f t="shared" ca="1" si="13"/>
        <v>300</v>
      </c>
      <c r="AI62" s="293">
        <f t="shared" ca="1" si="14"/>
        <v>400</v>
      </c>
      <c r="AJ62" s="293">
        <f t="shared" ca="1" si="15"/>
        <v>500</v>
      </c>
      <c r="AK62" s="293">
        <f t="shared" ca="1" si="16"/>
        <v>600</v>
      </c>
      <c r="AL62" s="293">
        <f t="shared" ca="1" si="17"/>
        <v>700</v>
      </c>
      <c r="AM62" s="293">
        <f t="shared" ca="1" si="18"/>
        <v>800</v>
      </c>
      <c r="AN62" s="296" t="b">
        <f t="shared" ca="1" si="10"/>
        <v>1</v>
      </c>
    </row>
    <row r="63" spans="3:40" ht="15">
      <c r="C63" t="s">
        <v>215</v>
      </c>
      <c r="D63" s="193">
        <v>4543</v>
      </c>
      <c r="E63" s="193">
        <v>3400</v>
      </c>
      <c r="F63" s="1"/>
      <c r="G63" s="1" t="str">
        <f ca="1">IF(OR(maxCARGO=J60,maxCARGO=maxGRAPH),"(משקל)","(CG)")</f>
        <v>(משקל)</v>
      </c>
      <c r="H63" s="1" t="s">
        <v>223</v>
      </c>
      <c r="I63" s="1"/>
      <c r="J63" s="1"/>
      <c r="K63" s="1"/>
      <c r="L63" s="1"/>
      <c r="V63">
        <v>6100</v>
      </c>
      <c r="AA63">
        <v>580</v>
      </c>
      <c r="AB63" s="43">
        <f ca="1">נתונים!AB63-SUM(externalLOADwt)</f>
        <v>3200</v>
      </c>
      <c r="AC63" s="29">
        <f t="shared" ca="1" si="0"/>
        <v>4482.5879140093048</v>
      </c>
      <c r="AD63" s="31">
        <f ca="1">נתונים!AC63*נתונים!AB63-SUM(externalLOADmoment)</f>
        <v>14344281.324829776</v>
      </c>
      <c r="AE63" s="41">
        <f t="shared" ca="1" si="1"/>
        <v>500</v>
      </c>
      <c r="AF63" s="293">
        <f t="shared" ca="1" si="11"/>
        <v>100</v>
      </c>
      <c r="AG63" s="293">
        <f t="shared" ca="1" si="12"/>
        <v>200</v>
      </c>
      <c r="AH63" s="293">
        <f t="shared" ca="1" si="13"/>
        <v>300</v>
      </c>
      <c r="AI63" s="293">
        <f t="shared" ca="1" si="14"/>
        <v>400</v>
      </c>
      <c r="AJ63" s="293">
        <f t="shared" ca="1" si="15"/>
        <v>500</v>
      </c>
      <c r="AK63" s="293">
        <f t="shared" ca="1" si="16"/>
        <v>600</v>
      </c>
      <c r="AL63" s="293">
        <f t="shared" ca="1" si="17"/>
        <v>700</v>
      </c>
      <c r="AM63" s="293">
        <f t="shared" ca="1" si="18"/>
        <v>800</v>
      </c>
      <c r="AN63" s="296" t="b">
        <f t="shared" ca="1" si="10"/>
        <v>1</v>
      </c>
    </row>
    <row r="64" spans="3:40" ht="15">
      <c r="C64" t="s">
        <v>216</v>
      </c>
      <c r="D64" s="193">
        <v>4663</v>
      </c>
      <c r="E64" s="193">
        <v>2350</v>
      </c>
      <c r="F64" s="1"/>
      <c r="G64" s="1"/>
      <c r="V64">
        <v>6200</v>
      </c>
      <c r="AA64">
        <v>590</v>
      </c>
      <c r="AB64" s="43">
        <f ca="1">נתונים!AB64-SUM(externalLOADwt)</f>
        <v>3200</v>
      </c>
      <c r="AC64" s="29">
        <f t="shared" ca="1" si="0"/>
        <v>4482.5879140093048</v>
      </c>
      <c r="AD64" s="31">
        <f ca="1">נתונים!AC64*נתונים!AB64-SUM(externalLOADmoment)</f>
        <v>14344281.324829776</v>
      </c>
      <c r="AE64" s="41">
        <f t="shared" ca="1" si="1"/>
        <v>500</v>
      </c>
      <c r="AF64" s="293">
        <f t="shared" ca="1" si="11"/>
        <v>100</v>
      </c>
      <c r="AG64" s="293">
        <f t="shared" ca="1" si="12"/>
        <v>200</v>
      </c>
      <c r="AH64" s="293">
        <f t="shared" ca="1" si="13"/>
        <v>300</v>
      </c>
      <c r="AI64" s="293">
        <f t="shared" ca="1" si="14"/>
        <v>400</v>
      </c>
      <c r="AJ64" s="293">
        <f t="shared" ca="1" si="15"/>
        <v>500</v>
      </c>
      <c r="AK64" s="293">
        <f t="shared" ca="1" si="16"/>
        <v>600</v>
      </c>
      <c r="AL64" s="293">
        <f t="shared" ca="1" si="17"/>
        <v>700</v>
      </c>
      <c r="AM64" s="293">
        <f t="shared" ca="1" si="18"/>
        <v>800</v>
      </c>
      <c r="AN64" s="296" t="b">
        <f t="shared" ca="1" si="10"/>
        <v>1</v>
      </c>
    </row>
    <row r="65" spans="22:40" ht="15">
      <c r="V65">
        <v>6300</v>
      </c>
      <c r="AA65">
        <v>600</v>
      </c>
      <c r="AB65" s="43">
        <f ca="1">נתונים!AB65-SUM(externalLOADwt)</f>
        <v>3200</v>
      </c>
      <c r="AC65" s="29">
        <f t="shared" ca="1" si="0"/>
        <v>4482.5879140093048</v>
      </c>
      <c r="AD65" s="31">
        <f ca="1">נתונים!AC65*נתונים!AB65-SUM(externalLOADmoment)</f>
        <v>14344281.324829776</v>
      </c>
      <c r="AE65" s="41">
        <f t="shared" ca="1" si="1"/>
        <v>500</v>
      </c>
      <c r="AF65" s="293">
        <f t="shared" ca="1" si="11"/>
        <v>100</v>
      </c>
      <c r="AG65" s="293">
        <f t="shared" ca="1" si="12"/>
        <v>200</v>
      </c>
      <c r="AH65" s="293">
        <f t="shared" ca="1" si="13"/>
        <v>300</v>
      </c>
      <c r="AI65" s="293">
        <f t="shared" ca="1" si="14"/>
        <v>400</v>
      </c>
      <c r="AJ65" s="293">
        <f t="shared" ca="1" si="15"/>
        <v>500</v>
      </c>
      <c r="AK65" s="293">
        <f t="shared" ca="1" si="16"/>
        <v>600</v>
      </c>
      <c r="AL65" s="293">
        <f t="shared" ca="1" si="17"/>
        <v>700</v>
      </c>
      <c r="AM65" s="293">
        <f t="shared" ca="1" si="18"/>
        <v>800</v>
      </c>
      <c r="AN65" s="296" t="b">
        <f t="shared" ca="1" si="10"/>
        <v>1</v>
      </c>
    </row>
    <row r="66" spans="4:40" ht="15">
      <c r="D66" s="193" t="s">
        <v>209</v>
      </c>
      <c r="E66" s="193"/>
      <c r="V66">
        <v>6400</v>
      </c>
      <c r="AA66">
        <v>610</v>
      </c>
      <c r="AB66" s="43">
        <f ca="1">נתונים!AB66-SUM(externalLOADwt)</f>
        <v>3200</v>
      </c>
      <c r="AC66" s="29">
        <f t="shared" ca="1" si="0"/>
        <v>4482.5879140093048</v>
      </c>
      <c r="AD66" s="31">
        <f ca="1">נתונים!AC66*נתונים!AB66-SUM(externalLOADmoment)</f>
        <v>14344281.324829776</v>
      </c>
      <c r="AE66" s="41">
        <f t="shared" ca="1" si="1"/>
        <v>500</v>
      </c>
      <c r="AF66" s="293">
        <f t="shared" ca="1" si="11"/>
        <v>100</v>
      </c>
      <c r="AG66" s="293">
        <f t="shared" ca="1" si="12"/>
        <v>200</v>
      </c>
      <c r="AH66" s="293">
        <f t="shared" ca="1" si="13"/>
        <v>300</v>
      </c>
      <c r="AI66" s="293">
        <f t="shared" ca="1" si="14"/>
        <v>400</v>
      </c>
      <c r="AJ66" s="293">
        <f t="shared" ca="1" si="15"/>
        <v>500</v>
      </c>
      <c r="AK66" s="293">
        <f t="shared" ca="1" si="16"/>
        <v>600</v>
      </c>
      <c r="AL66" s="293">
        <f t="shared" ca="1" si="17"/>
        <v>700</v>
      </c>
      <c r="AM66" s="293">
        <f t="shared" ca="1" si="18"/>
        <v>800</v>
      </c>
      <c r="AN66" s="296" t="b">
        <f t="shared" ca="1" si="10"/>
        <v>1</v>
      </c>
    </row>
    <row r="67" spans="4:40" ht="15">
      <c r="D67" s="193" t="s">
        <v>1</v>
      </c>
      <c r="E67" s="193" t="s">
        <v>0</v>
      </c>
      <c r="V67">
        <v>6500</v>
      </c>
      <c r="AA67">
        <v>620</v>
      </c>
      <c r="AB67" s="43">
        <f ca="1">נתונים!AB67-SUM(externalLOADwt)</f>
        <v>3200</v>
      </c>
      <c r="AC67" s="29">
        <f t="shared" ca="1" si="0"/>
        <v>4482.5879140093048</v>
      </c>
      <c r="AD67" s="31">
        <f ca="1">נתונים!AC67*נתונים!AB67-SUM(externalLOADmoment)</f>
        <v>14344281.324829776</v>
      </c>
      <c r="AE67" s="41">
        <f t="shared" ca="1" si="1"/>
        <v>500</v>
      </c>
      <c r="AF67" s="293">
        <f t="shared" ca="1" si="11"/>
        <v>100</v>
      </c>
      <c r="AG67" s="293">
        <f t="shared" ca="1" si="12"/>
        <v>200</v>
      </c>
      <c r="AH67" s="293">
        <f t="shared" ca="1" si="13"/>
        <v>300</v>
      </c>
      <c r="AI67" s="293">
        <f t="shared" ca="1" si="14"/>
        <v>400</v>
      </c>
      <c r="AJ67" s="293">
        <f t="shared" ca="1" si="15"/>
        <v>500</v>
      </c>
      <c r="AK67" s="293">
        <f t="shared" ca="1" si="16"/>
        <v>600</v>
      </c>
      <c r="AL67" s="293">
        <f t="shared" ca="1" si="17"/>
        <v>700</v>
      </c>
      <c r="AM67" s="293">
        <f t="shared" ca="1" si="18"/>
        <v>800</v>
      </c>
      <c r="AN67" s="296" t="b">
        <f t="shared" ca="1" si="10"/>
        <v>1</v>
      </c>
    </row>
    <row r="68" spans="3:40" ht="15">
      <c r="C68" t="s">
        <v>217</v>
      </c>
      <c r="D68" s="193">
        <v>4350</v>
      </c>
      <c r="E68" s="193">
        <v>2400</v>
      </c>
      <c r="V68">
        <v>6600</v>
      </c>
      <c r="AA68">
        <v>630</v>
      </c>
      <c r="AB68" s="43">
        <f ca="1">נתונים!AB68-SUM(externalLOADwt)</f>
        <v>3200</v>
      </c>
      <c r="AC68" s="29">
        <f t="shared" ca="1" si="0"/>
        <v>4482.5879140093048</v>
      </c>
      <c r="AD68" s="31">
        <f ca="1">נתונים!AC68*נתונים!AB68-SUM(externalLOADmoment)</f>
        <v>14344281.324829776</v>
      </c>
      <c r="AE68" s="41">
        <f t="shared" ca="1" si="1"/>
        <v>500</v>
      </c>
      <c r="AF68" s="293">
        <f t="shared" ca="1" si="11"/>
        <v>100</v>
      </c>
      <c r="AG68" s="293">
        <f t="shared" ca="1" si="12"/>
        <v>200</v>
      </c>
      <c r="AH68" s="293">
        <f t="shared" ca="1" si="13"/>
        <v>300</v>
      </c>
      <c r="AI68" s="293">
        <f t="shared" ca="1" si="14"/>
        <v>400</v>
      </c>
      <c r="AJ68" s="293">
        <f t="shared" ca="1" si="15"/>
        <v>500</v>
      </c>
      <c r="AK68" s="293">
        <f t="shared" ca="1" si="16"/>
        <v>600</v>
      </c>
      <c r="AL68" s="293">
        <f t="shared" ca="1" si="17"/>
        <v>700</v>
      </c>
      <c r="AM68" s="293">
        <f t="shared" ca="1" si="18"/>
        <v>800</v>
      </c>
      <c r="AN68" s="296" t="b">
        <f t="shared" ca="1" si="10"/>
        <v>1</v>
      </c>
    </row>
    <row r="69" spans="3:40" ht="15">
      <c r="C69" t="s">
        <v>214</v>
      </c>
      <c r="D69" s="193">
        <v>4374</v>
      </c>
      <c r="E69" s="193">
        <v>3300</v>
      </c>
      <c r="V69">
        <v>6700</v>
      </c>
      <c r="AA69">
        <v>640</v>
      </c>
      <c r="AB69" s="43">
        <f ca="1">נתונים!AB69-SUM(externalLOADwt)</f>
        <v>3200</v>
      </c>
      <c r="AC69" s="29">
        <f t="shared" ca="1" si="0"/>
        <v>4482.5879140093048</v>
      </c>
      <c r="AD69" s="31">
        <f ca="1">נתונים!AC69*נתונים!AB69-SUM(externalLOADmoment)</f>
        <v>14344281.324829776</v>
      </c>
      <c r="AE69" s="41">
        <f t="shared" ca="1" si="1"/>
        <v>500</v>
      </c>
      <c r="AF69" s="293">
        <f t="shared" ca="1" si="11"/>
        <v>100</v>
      </c>
      <c r="AG69" s="293">
        <f t="shared" ca="1" si="12"/>
        <v>200</v>
      </c>
      <c r="AH69" s="293">
        <f t="shared" ca="1" si="13"/>
        <v>300</v>
      </c>
      <c r="AI69" s="293">
        <f t="shared" ca="1" si="14"/>
        <v>400</v>
      </c>
      <c r="AJ69" s="293">
        <f t="shared" ca="1" si="15"/>
        <v>500</v>
      </c>
      <c r="AK69" s="293">
        <f t="shared" ca="1" si="16"/>
        <v>600</v>
      </c>
      <c r="AL69" s="293">
        <f t="shared" ca="1" si="17"/>
        <v>700</v>
      </c>
      <c r="AM69" s="293">
        <f t="shared" ca="1" si="18"/>
        <v>800</v>
      </c>
      <c r="AN69" s="296" t="b">
        <f t="shared" ca="1" si="10"/>
        <v>1</v>
      </c>
    </row>
    <row r="70" spans="3:40" ht="15">
      <c r="C70" t="s">
        <v>215</v>
      </c>
      <c r="D70" s="193">
        <v>4549</v>
      </c>
      <c r="E70" s="193">
        <v>3300</v>
      </c>
      <c r="V70">
        <v>6800</v>
      </c>
      <c r="AA70">
        <v>650</v>
      </c>
      <c r="AB70" s="43">
        <f ca="1">נתונים!AB70-SUM(externalLOADwt)</f>
        <v>3200</v>
      </c>
      <c r="AC70" s="29">
        <f ca="1" t="shared" si="25" ref="AC70:AC78">AD70/AB70</f>
        <v>4482.5879140093048</v>
      </c>
      <c r="AD70" s="31">
        <f ca="1">נתונים!AC70*נתונים!AB70-SUM(externalLOADmoment)</f>
        <v>14344281.324829776</v>
      </c>
      <c r="AE70" s="41">
        <f ca="1" t="shared" si="26" ref="AE70:AE78">IF(3700-AB70&gt;800,800,3700-AB70)</f>
        <v>500</v>
      </c>
      <c r="AF70" s="293">
        <f t="shared" ca="1" si="11"/>
        <v>100</v>
      </c>
      <c r="AG70" s="293">
        <f t="shared" ca="1" si="12"/>
        <v>200</v>
      </c>
      <c r="AH70" s="293">
        <f t="shared" ca="1" si="13"/>
        <v>300</v>
      </c>
      <c r="AI70" s="293">
        <f t="shared" ca="1" si="14"/>
        <v>400</v>
      </c>
      <c r="AJ70" s="293">
        <f t="shared" ca="1" si="15"/>
        <v>500</v>
      </c>
      <c r="AK70" s="293">
        <f t="shared" ca="1" si="16"/>
        <v>600</v>
      </c>
      <c r="AL70" s="293">
        <f t="shared" ca="1" si="17"/>
        <v>700</v>
      </c>
      <c r="AM70" s="293">
        <f t="shared" ca="1" si="18"/>
        <v>800</v>
      </c>
      <c r="AN70" s="296" t="b">
        <f t="shared" ca="1" si="10"/>
        <v>1</v>
      </c>
    </row>
    <row r="71" spans="3:40" ht="15">
      <c r="C71" t="s">
        <v>216</v>
      </c>
      <c r="D71" s="193">
        <v>4674</v>
      </c>
      <c r="E71" s="193">
        <v>2260</v>
      </c>
      <c r="V71">
        <v>6900</v>
      </c>
      <c r="AA71">
        <v>660</v>
      </c>
      <c r="AB71" s="43">
        <f ca="1">נתונים!AB71-SUM(externalLOADwt)</f>
        <v>3200</v>
      </c>
      <c r="AC71" s="29">
        <f t="shared" ca="1" si="25"/>
        <v>4482.5879140093048</v>
      </c>
      <c r="AD71" s="31">
        <f ca="1">נתונים!AC71*נתונים!AB71-SUM(externalLOADmoment)</f>
        <v>14344281.324829776</v>
      </c>
      <c r="AE71" s="41">
        <f t="shared" ca="1" si="26"/>
        <v>500</v>
      </c>
      <c r="AF71" s="293">
        <f t="shared" ca="1" si="11"/>
        <v>100</v>
      </c>
      <c r="AG71" s="293">
        <f t="shared" ca="1" si="12"/>
        <v>200</v>
      </c>
      <c r="AH71" s="293">
        <f t="shared" ca="1" si="13"/>
        <v>300</v>
      </c>
      <c r="AI71" s="293">
        <f t="shared" ca="1" si="14"/>
        <v>400</v>
      </c>
      <c r="AJ71" s="293">
        <f t="shared" ca="1" si="15"/>
        <v>500</v>
      </c>
      <c r="AK71" s="293">
        <f t="shared" ca="1" si="16"/>
        <v>600</v>
      </c>
      <c r="AL71" s="293">
        <f t="shared" ca="1" si="17"/>
        <v>700</v>
      </c>
      <c r="AM71" s="293">
        <f t="shared" ca="1" si="18"/>
        <v>800</v>
      </c>
      <c r="AN71" s="296" t="b">
        <f t="shared" ca="1" si="10"/>
        <v>1</v>
      </c>
    </row>
    <row r="72" spans="22:40" ht="15">
      <c r="V72">
        <v>7000</v>
      </c>
      <c r="AA72">
        <v>670</v>
      </c>
      <c r="AB72" s="43">
        <f ca="1">נתונים!AB72-SUM(externalLOADwt)</f>
        <v>3200</v>
      </c>
      <c r="AC72" s="29">
        <f t="shared" ca="1" si="25"/>
        <v>4482.5879140093048</v>
      </c>
      <c r="AD72" s="31">
        <f ca="1">נתונים!AC72*נתונים!AB72-SUM(externalLOADmoment)</f>
        <v>14344281.324829776</v>
      </c>
      <c r="AE72" s="41">
        <f t="shared" ca="1" si="26"/>
        <v>500</v>
      </c>
      <c r="AF72" s="293">
        <f t="shared" ca="1" si="11"/>
        <v>100</v>
      </c>
      <c r="AG72" s="293">
        <f t="shared" ca="1" si="12"/>
        <v>200</v>
      </c>
      <c r="AH72" s="293">
        <f t="shared" ca="1" si="13"/>
        <v>300</v>
      </c>
      <c r="AI72" s="293">
        <f t="shared" ca="1" si="14"/>
        <v>400</v>
      </c>
      <c r="AJ72" s="293">
        <f t="shared" ca="1" si="15"/>
        <v>500</v>
      </c>
      <c r="AK72" s="293">
        <f t="shared" ca="1" si="16"/>
        <v>600</v>
      </c>
      <c r="AL72" s="293">
        <f t="shared" ca="1" si="17"/>
        <v>700</v>
      </c>
      <c r="AM72" s="293">
        <f t="shared" ca="1" si="18"/>
        <v>800</v>
      </c>
      <c r="AN72" s="296" t="b">
        <f t="shared" ca="1" si="10"/>
        <v>1</v>
      </c>
    </row>
    <row r="73" spans="4:40" ht="15">
      <c r="D73" s="193" t="s">
        <v>210</v>
      </c>
      <c r="E73" s="193"/>
      <c r="V73">
        <v>7100</v>
      </c>
      <c r="AA73">
        <v>680</v>
      </c>
      <c r="AB73" s="43">
        <f ca="1">נתונים!AB73-SUM(externalLOADwt)</f>
        <v>3200</v>
      </c>
      <c r="AC73" s="29">
        <f t="shared" ca="1" si="25"/>
        <v>4482.5879140093048</v>
      </c>
      <c r="AD73" s="31">
        <f ca="1">נתונים!AC73*נתונים!AB73-SUM(externalLOADmoment)</f>
        <v>14344281.324829776</v>
      </c>
      <c r="AE73" s="41">
        <f t="shared" ca="1" si="26"/>
        <v>500</v>
      </c>
      <c r="AF73" s="293">
        <f t="shared" ca="1" si="11"/>
        <v>100</v>
      </c>
      <c r="AG73" s="293">
        <f t="shared" ca="1" si="12"/>
        <v>200</v>
      </c>
      <c r="AH73" s="293">
        <f t="shared" ca="1" si="13"/>
        <v>300</v>
      </c>
      <c r="AI73" s="293">
        <f t="shared" ca="1" si="14"/>
        <v>400</v>
      </c>
      <c r="AJ73" s="293">
        <f t="shared" ca="1" si="15"/>
        <v>500</v>
      </c>
      <c r="AK73" s="293">
        <f t="shared" ca="1" si="16"/>
        <v>600</v>
      </c>
      <c r="AL73" s="293">
        <f t="shared" ca="1" si="17"/>
        <v>700</v>
      </c>
      <c r="AM73" s="293">
        <f t="shared" ca="1" si="18"/>
        <v>800</v>
      </c>
      <c r="AN73" s="296" t="b">
        <f t="shared" ca="1" si="10"/>
        <v>1</v>
      </c>
    </row>
    <row r="74" spans="4:40" ht="15">
      <c r="D74" s="193" t="s">
        <v>1</v>
      </c>
      <c r="E74" s="193" t="s">
        <v>0</v>
      </c>
      <c r="V74">
        <v>7200</v>
      </c>
      <c r="AA74">
        <v>690</v>
      </c>
      <c r="AB74" s="43">
        <f ca="1">נתונים!AB74-SUM(externalLOADwt)</f>
        <v>3200</v>
      </c>
      <c r="AC74" s="29">
        <f t="shared" ca="1" si="25"/>
        <v>4482.5879140093048</v>
      </c>
      <c r="AD74" s="31">
        <f ca="1">נתונים!AC74*נתונים!AB74-SUM(externalLOADmoment)</f>
        <v>14344281.324829776</v>
      </c>
      <c r="AE74" s="41">
        <f t="shared" ca="1" si="26"/>
        <v>500</v>
      </c>
      <c r="AF74" s="293">
        <f t="shared" ca="1" si="11"/>
        <v>100</v>
      </c>
      <c r="AG74" s="293">
        <f t="shared" ca="1" si="12"/>
        <v>200</v>
      </c>
      <c r="AH74" s="293">
        <f t="shared" ca="1" si="13"/>
        <v>300</v>
      </c>
      <c r="AI74" s="293">
        <f t="shared" ca="1" si="14"/>
        <v>400</v>
      </c>
      <c r="AJ74" s="293">
        <f t="shared" ca="1" si="15"/>
        <v>500</v>
      </c>
      <c r="AK74" s="293">
        <f t="shared" ca="1" si="16"/>
        <v>600</v>
      </c>
      <c r="AL74" s="293">
        <f t="shared" ca="1" si="17"/>
        <v>700</v>
      </c>
      <c r="AM74" s="293">
        <f t="shared" ca="1" si="18"/>
        <v>800</v>
      </c>
      <c r="AN74" s="296" t="b">
        <f t="shared" ca="1" si="10"/>
        <v>1</v>
      </c>
    </row>
    <row r="75" spans="3:40" ht="15">
      <c r="C75" t="s">
        <v>217</v>
      </c>
      <c r="D75" s="193">
        <v>4350</v>
      </c>
      <c r="E75" s="193">
        <v>2400</v>
      </c>
      <c r="V75">
        <v>7300</v>
      </c>
      <c r="AA75">
        <v>700</v>
      </c>
      <c r="AB75" s="43">
        <f ca="1">נתונים!AB75-SUM(externalLOADwt)</f>
        <v>3200</v>
      </c>
      <c r="AC75" s="29">
        <f t="shared" ca="1" si="25"/>
        <v>4482.5879140093048</v>
      </c>
      <c r="AD75" s="31">
        <f ca="1">נתונים!AC75*נתונים!AB75-SUM(externalLOADmoment)</f>
        <v>14344281.324829776</v>
      </c>
      <c r="AE75" s="41">
        <f t="shared" ca="1" si="26"/>
        <v>500</v>
      </c>
      <c r="AF75" s="293">
        <f t="shared" ca="1" si="11"/>
        <v>100</v>
      </c>
      <c r="AG75" s="293">
        <f t="shared" ca="1" si="12"/>
        <v>200</v>
      </c>
      <c r="AH75" s="293">
        <f t="shared" ca="1" si="13"/>
        <v>300</v>
      </c>
      <c r="AI75" s="293">
        <f t="shared" ca="1" si="14"/>
        <v>400</v>
      </c>
      <c r="AJ75" s="293">
        <f t="shared" ca="1" si="15"/>
        <v>500</v>
      </c>
      <c r="AK75" s="293">
        <f t="shared" ca="1" si="16"/>
        <v>600</v>
      </c>
      <c r="AL75" s="293">
        <f t="shared" ca="1" si="17"/>
        <v>700</v>
      </c>
      <c r="AM75" s="293">
        <f t="shared" ca="1" si="18"/>
        <v>800</v>
      </c>
      <c r="AN75" s="296" t="b">
        <f t="shared" ca="1" si="10"/>
        <v>1</v>
      </c>
    </row>
    <row r="76" spans="3:40" ht="15">
      <c r="C76" t="s">
        <v>214</v>
      </c>
      <c r="D76" s="193">
        <v>4374</v>
      </c>
      <c r="E76" s="193">
        <v>3200</v>
      </c>
      <c r="V76">
        <v>7400</v>
      </c>
      <c r="AA76">
        <v>710</v>
      </c>
      <c r="AB76" s="43">
        <f ca="1">נתונים!AB76-SUM(externalLOADwt)</f>
        <v>3200</v>
      </c>
      <c r="AC76" s="29">
        <f t="shared" ca="1" si="25"/>
        <v>4482.5879140093048</v>
      </c>
      <c r="AD76" s="31">
        <f ca="1">נתונים!AC76*נתונים!AB76-SUM(externalLOADmoment)</f>
        <v>14344281.324829776</v>
      </c>
      <c r="AE76" s="41">
        <f t="shared" ca="1" si="26"/>
        <v>500</v>
      </c>
      <c r="AF76" s="293">
        <f t="shared" ca="1" si="11"/>
        <v>100</v>
      </c>
      <c r="AG76" s="293">
        <f t="shared" ca="1" si="12"/>
        <v>200</v>
      </c>
      <c r="AH76" s="293">
        <f t="shared" ca="1" si="13"/>
        <v>300</v>
      </c>
      <c r="AI76" s="293">
        <f t="shared" ca="1" si="14"/>
        <v>400</v>
      </c>
      <c r="AJ76" s="293">
        <f t="shared" ca="1" si="15"/>
        <v>500</v>
      </c>
      <c r="AK76" s="293">
        <f t="shared" ca="1" si="16"/>
        <v>600</v>
      </c>
      <c r="AL76" s="293">
        <f t="shared" ca="1" si="17"/>
        <v>700</v>
      </c>
      <c r="AM76" s="293">
        <f t="shared" ca="1" si="18"/>
        <v>800</v>
      </c>
      <c r="AN76" s="296" t="b">
        <f t="shared" ca="1" si="10"/>
        <v>1</v>
      </c>
    </row>
    <row r="77" spans="3:40" ht="15">
      <c r="C77" t="s">
        <v>215</v>
      </c>
      <c r="D77" s="193">
        <v>4552</v>
      </c>
      <c r="E77" s="193">
        <v>3200</v>
      </c>
      <c r="V77">
        <v>7500</v>
      </c>
      <c r="AA77">
        <v>720</v>
      </c>
      <c r="AB77" s="43">
        <f ca="1">נתונים!AB77-SUM(externalLOADwt)</f>
        <v>3200</v>
      </c>
      <c r="AC77" s="29">
        <f t="shared" ca="1" si="25"/>
        <v>4482.5879140093048</v>
      </c>
      <c r="AD77" s="31">
        <f ca="1">נתונים!AC77*נתונים!AB77-SUM(externalLOADmoment)</f>
        <v>14344281.324829776</v>
      </c>
      <c r="AE77" s="41">
        <f t="shared" ca="1" si="26"/>
        <v>500</v>
      </c>
      <c r="AF77" s="293">
        <f t="shared" ca="1" si="11"/>
        <v>100</v>
      </c>
      <c r="AG77" s="293">
        <f t="shared" ca="1" si="12"/>
        <v>200</v>
      </c>
      <c r="AH77" s="293">
        <f t="shared" ca="1" si="13"/>
        <v>300</v>
      </c>
      <c r="AI77" s="293">
        <f t="shared" ca="1" si="14"/>
        <v>400</v>
      </c>
      <c r="AJ77" s="293">
        <f t="shared" ca="1" si="15"/>
        <v>500</v>
      </c>
      <c r="AK77" s="293">
        <f t="shared" ca="1" si="16"/>
        <v>600</v>
      </c>
      <c r="AL77" s="293">
        <f t="shared" ca="1" si="17"/>
        <v>700</v>
      </c>
      <c r="AM77" s="293">
        <f t="shared" ca="1" si="18"/>
        <v>800</v>
      </c>
      <c r="AN77" s="296" t="b">
        <f t="shared" ca="1" si="10"/>
        <v>1</v>
      </c>
    </row>
    <row r="78" spans="3:40" ht="15.75" thickBot="1">
      <c r="C78" t="s">
        <v>216</v>
      </c>
      <c r="D78" s="193">
        <v>4682</v>
      </c>
      <c r="E78" s="193">
        <v>2190</v>
      </c>
      <c r="V78">
        <v>7600</v>
      </c>
      <c r="AA78">
        <v>730</v>
      </c>
      <c r="AB78" s="45">
        <f ca="1">נתונים!AB78-SUM(externalLOADwt)</f>
        <v>3200</v>
      </c>
      <c r="AC78" s="30">
        <f t="shared" ca="1" si="25"/>
        <v>4482.5879140093048</v>
      </c>
      <c r="AD78" s="32">
        <f ca="1">נתונים!AC78*נתונים!AB78-SUM(externalLOADmoment)</f>
        <v>14344281.324829776</v>
      </c>
      <c r="AE78" s="41">
        <f t="shared" ca="1" si="26"/>
        <v>500</v>
      </c>
      <c r="AF78" s="294">
        <f t="shared" ca="1" si="11"/>
        <v>100</v>
      </c>
      <c r="AG78" s="294">
        <f t="shared" ca="1" si="12"/>
        <v>200</v>
      </c>
      <c r="AH78" s="294">
        <f t="shared" ca="1" si="13"/>
        <v>300</v>
      </c>
      <c r="AI78" s="294">
        <f t="shared" ca="1" si="14"/>
        <v>400</v>
      </c>
      <c r="AJ78" s="294">
        <f t="shared" ca="1" si="15"/>
        <v>500</v>
      </c>
      <c r="AK78" s="294">
        <f t="shared" ca="1" si="16"/>
        <v>600</v>
      </c>
      <c r="AL78" s="294">
        <f t="shared" ca="1" si="17"/>
        <v>700</v>
      </c>
      <c r="AM78" s="294">
        <f t="shared" ca="1" si="18"/>
        <v>800</v>
      </c>
      <c r="AN78" s="298" t="b">
        <f t="shared" ca="1" si="10"/>
        <v>1</v>
      </c>
    </row>
    <row r="79" spans="22:22" ht="14.25">
      <c r="V79">
        <v>7700</v>
      </c>
    </row>
    <row r="80" spans="4:22" ht="14.25">
      <c r="D80" s="193" t="s">
        <v>211</v>
      </c>
      <c r="E80" s="193"/>
      <c r="V80">
        <v>7800</v>
      </c>
    </row>
    <row r="81" spans="4:22" ht="14.25">
      <c r="D81" s="193" t="s">
        <v>1</v>
      </c>
      <c r="E81" s="193" t="s">
        <v>0</v>
      </c>
      <c r="V81">
        <v>7900</v>
      </c>
    </row>
    <row r="82" spans="3:22" ht="14.25">
      <c r="C82" t="s">
        <v>217</v>
      </c>
      <c r="D82" s="193">
        <v>4350</v>
      </c>
      <c r="E82" s="193">
        <v>2400</v>
      </c>
      <c r="V82">
        <v>8000</v>
      </c>
    </row>
    <row r="83" spans="3:5" ht="14.25">
      <c r="C83" t="s">
        <v>214</v>
      </c>
      <c r="D83" s="193">
        <v>4372</v>
      </c>
      <c r="E83" s="193">
        <v>3100</v>
      </c>
    </row>
    <row r="84" spans="3:5" ht="14.25">
      <c r="C84" t="s">
        <v>215</v>
      </c>
      <c r="D84" s="193">
        <v>4557</v>
      </c>
      <c r="E84" s="193">
        <v>3100</v>
      </c>
    </row>
    <row r="85" spans="3:5" ht="14.25">
      <c r="C85" t="s">
        <v>216</v>
      </c>
      <c r="D85" s="193">
        <v>4690</v>
      </c>
      <c r="E85" s="193">
        <v>2100</v>
      </c>
    </row>
    <row r="87" spans="4:5" ht="14.25">
      <c r="D87" s="193" t="s">
        <v>212</v>
      </c>
      <c r="E87" s="193"/>
    </row>
    <row r="88" spans="4:5" ht="14.25">
      <c r="D88" s="193" t="s">
        <v>1</v>
      </c>
      <c r="E88" s="193" t="s">
        <v>0</v>
      </c>
    </row>
    <row r="89" spans="3:5" ht="14.25">
      <c r="C89" t="s">
        <v>217</v>
      </c>
      <c r="D89" s="193">
        <v>4350</v>
      </c>
      <c r="E89" s="193">
        <v>2400</v>
      </c>
    </row>
    <row r="90" spans="3:5" ht="14.25">
      <c r="C90" t="s">
        <v>214</v>
      </c>
      <c r="D90" s="193">
        <v>4370</v>
      </c>
      <c r="E90" s="193">
        <v>3000</v>
      </c>
    </row>
    <row r="91" spans="3:5" ht="14.25">
      <c r="C91" t="s">
        <v>215</v>
      </c>
      <c r="D91" s="193">
        <v>4560</v>
      </c>
      <c r="E91" s="193">
        <v>3000</v>
      </c>
    </row>
    <row r="92" spans="3:5" ht="14.25">
      <c r="C92" t="s">
        <v>216</v>
      </c>
      <c r="D92" s="193">
        <v>4695</v>
      </c>
      <c r="E92" s="193">
        <v>2050</v>
      </c>
    </row>
    <row r="94" spans="4:5" ht="14.25">
      <c r="D94" s="193" t="s">
        <v>234</v>
      </c>
      <c r="E94" s="193"/>
    </row>
    <row r="95" spans="4:5" ht="14.25">
      <c r="D95" s="193" t="s">
        <v>1</v>
      </c>
      <c r="E95" s="193" t="s">
        <v>0</v>
      </c>
    </row>
    <row r="96" spans="3:5" ht="14.25">
      <c r="C96" t="s">
        <v>217</v>
      </c>
      <c r="D96" s="193">
        <v>4350</v>
      </c>
      <c r="E96" s="193">
        <v>2400</v>
      </c>
    </row>
    <row r="97" spans="3:5" ht="14.25">
      <c r="C97" t="s">
        <v>214</v>
      </c>
      <c r="D97" s="193">
        <v>4367</v>
      </c>
      <c r="E97" s="193">
        <v>2900</v>
      </c>
    </row>
    <row r="98" spans="3:5" ht="14.25">
      <c r="C98" t="s">
        <v>215</v>
      </c>
      <c r="D98" s="193">
        <v>4564</v>
      </c>
      <c r="E98" s="193">
        <v>2900</v>
      </c>
    </row>
    <row r="99" spans="3:5" ht="14.25" thickBot="1">
      <c r="C99" t="s">
        <v>216</v>
      </c>
      <c r="D99" s="193">
        <v>4700</v>
      </c>
      <c r="E99" s="193">
        <v>2000</v>
      </c>
    </row>
  </sheetData>
  <sheetProtection algorithmName="SHA-512" hashValue="S97gLAnU7Nwa93qAdoZirEkbnQmgetRyQxlQbd0HrFW3nZ3AUVfkbKVje88itun6M7Ho5m8MyQ8jMny7uxMPjw==" saltValue="XiWvRcBUF8UIu/y010ytJg==" spinCount="100000" sheet="1" objects="1" scenarios="1"/>
  <mergeCells count="28">
    <mergeCell ref="AE5:AN14"/>
    <mergeCell ref="G38:O39"/>
    <mergeCell ref="AB2:AD2"/>
    <mergeCell ref="AB3:AD3"/>
    <mergeCell ref="AE2:AE3"/>
    <mergeCell ref="AF2:AM3"/>
    <mergeCell ref="AN2:AN3"/>
    <mergeCell ref="I12:M12"/>
    <mergeCell ref="I22:J22"/>
    <mergeCell ref="H62:K62"/>
    <mergeCell ref="F35:G35"/>
    <mergeCell ref="H35:I35"/>
    <mergeCell ref="H36:I36"/>
    <mergeCell ref="F36:G36"/>
    <mergeCell ref="H53:N53"/>
    <mergeCell ref="D35:E35"/>
    <mergeCell ref="D31:E31"/>
    <mergeCell ref="D36:E36"/>
    <mergeCell ref="D38:E38"/>
    <mergeCell ref="E21:G21"/>
    <mergeCell ref="D29:I29"/>
    <mergeCell ref="D34:I34"/>
    <mergeCell ref="D27:I27"/>
    <mergeCell ref="F30:G30"/>
    <mergeCell ref="H30:I30"/>
    <mergeCell ref="H31:I31"/>
    <mergeCell ref="F31:G31"/>
    <mergeCell ref="D30:E30"/>
  </mergeCells>
  <conditionalFormatting sqref="AF15:AM78">
    <cfRule type="cellIs" priority="1" dxfId="34" operator="equal">
      <formula>FALSE</formula>
    </cfRule>
  </conditionalFormatting>
  <pageMargins left="0.7" right="0.7" top="0.75" bottom="0.75" header="0.3" footer="0.3"/>
  <pageSetup horizontalDpi="200" verticalDpi="200" orientation="portrait" paperSize="1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4"/>
  <dimension ref="D2:O36"/>
  <sheetViews>
    <sheetView rightToLeft="1" workbookViewId="0" topLeftCell="C1">
      <selection pane="topLeft" activeCell="O27" sqref="O27"/>
    </sheetView>
  </sheetViews>
  <sheetFormatPr defaultRowHeight="14.25"/>
  <cols>
    <col min="8" max="8" width="9.875" bestFit="1" customWidth="1"/>
    <col min="10" max="10" width="9.625" customWidth="1"/>
    <col min="11" max="12" width="9.625" hidden="1" customWidth="1"/>
    <col min="13" max="13" width="9.625" customWidth="1"/>
    <col min="15" max="15" width="85" bestFit="1" customWidth="1"/>
  </cols>
  <sheetData>
    <row r="1" ht="15" thickBot="1"/>
    <row r="2" spans="4:15" ht="15">
      <c r="D2" s="356" t="s">
        <v>99</v>
      </c>
      <c r="E2" s="358"/>
      <c r="G2" s="356" t="s">
        <v>20</v>
      </c>
      <c r="H2" s="357"/>
      <c r="I2" s="357"/>
      <c r="J2" s="357"/>
      <c r="K2" s="357"/>
      <c r="L2" s="357"/>
      <c r="M2" s="358"/>
      <c r="O2" s="19" t="s">
        <v>21</v>
      </c>
    </row>
    <row r="3" spans="4:15" ht="15">
      <c r="D3" s="440" t="s">
        <v>100</v>
      </c>
      <c r="E3" s="441"/>
      <c r="G3" s="4" t="s">
        <v>8</v>
      </c>
      <c r="H3" s="5" t="s">
        <v>19</v>
      </c>
      <c r="I3" s="18" t="s">
        <v>0</v>
      </c>
      <c r="J3" s="5" t="s">
        <v>14</v>
      </c>
      <c r="K3" s="5" t="s">
        <v>3</v>
      </c>
      <c r="L3" s="5" t="s">
        <v>4</v>
      </c>
      <c r="M3" s="6" t="s">
        <v>15</v>
      </c>
      <c r="O3" s="20" t="s">
        <v>22</v>
      </c>
    </row>
    <row r="4" spans="4:15" ht="15.75" thickBot="1">
      <c r="D4" s="438" t="s">
        <v>101</v>
      </c>
      <c r="E4" s="439"/>
      <c r="G4" s="7" t="s">
        <v>5</v>
      </c>
      <c r="H4" s="79">
        <v>43176</v>
      </c>
      <c r="I4" s="74">
        <v>2541.62</v>
      </c>
      <c r="J4" s="71">
        <v>4661.2849999999999</v>
      </c>
      <c r="K4" s="71">
        <f>I4*J4</f>
        <v>11847215.181699999</v>
      </c>
      <c r="L4" s="71">
        <f>I4*M4</f>
        <v>-16800.108199999999</v>
      </c>
      <c r="M4" s="75">
        <v>-6.61</v>
      </c>
      <c r="O4" s="20" t="s">
        <v>23</v>
      </c>
    </row>
    <row r="5" spans="7:15" ht="15.75" thickBot="1">
      <c r="G5" s="9" t="s">
        <v>6</v>
      </c>
      <c r="H5" s="80">
        <v>43174</v>
      </c>
      <c r="I5" s="77">
        <v>2538.12</v>
      </c>
      <c r="J5" s="76">
        <v>4661.1570000000002</v>
      </c>
      <c r="K5" s="76">
        <f>I5*J5</f>
        <v>11830575.80484</v>
      </c>
      <c r="L5" s="76">
        <f>I5*M5</f>
        <v>-8401.1772000000001</v>
      </c>
      <c r="M5" s="78">
        <v>-3.31</v>
      </c>
      <c r="O5" s="21" t="s">
        <v>24</v>
      </c>
    </row>
    <row r="6" ht="15" thickBot="1"/>
    <row r="7" spans="4:13" ht="14.25" customHeight="1">
      <c r="D7" s="356" t="s">
        <v>59</v>
      </c>
      <c r="E7" s="357"/>
      <c r="F7" s="357"/>
      <c r="G7" s="357"/>
      <c r="H7" s="357"/>
      <c r="I7" s="357"/>
      <c r="J7" s="357"/>
      <c r="K7" s="357"/>
      <c r="L7" s="357"/>
      <c r="M7" s="358"/>
    </row>
    <row r="8" spans="4:15" ht="15">
      <c r="D8" s="433" t="s">
        <v>2</v>
      </c>
      <c r="E8" s="434"/>
      <c r="F8" s="434"/>
      <c r="G8" s="434"/>
      <c r="H8" s="434"/>
      <c r="I8" s="18" t="s">
        <v>0</v>
      </c>
      <c r="J8" s="5" t="s">
        <v>14</v>
      </c>
      <c r="K8" s="5" t="s">
        <v>3</v>
      </c>
      <c r="L8" s="5" t="s">
        <v>4</v>
      </c>
      <c r="M8" s="6" t="s">
        <v>15</v>
      </c>
      <c r="O8" s="301" t="s">
        <v>389</v>
      </c>
    </row>
    <row r="9" spans="4:13" ht="14.25">
      <c r="D9" s="435" t="s">
        <v>94</v>
      </c>
      <c r="E9" s="436"/>
      <c r="F9" s="436"/>
      <c r="G9" s="436"/>
      <c r="H9" s="437"/>
      <c r="I9" s="81">
        <v>12.36</v>
      </c>
      <c r="J9" s="81">
        <v>4190</v>
      </c>
      <c r="K9" s="82">
        <f>IFERROR(I9*J9,"")</f>
        <v>51788.399999999994</v>
      </c>
      <c r="L9" s="82">
        <f>IFERROR(I9*M9,"")</f>
        <v>-5932.7999999999993</v>
      </c>
      <c r="M9" s="83">
        <v>-480</v>
      </c>
    </row>
    <row r="10" spans="4:13" ht="14.25">
      <c r="D10" s="431" t="s">
        <v>95</v>
      </c>
      <c r="E10" s="432"/>
      <c r="F10" s="432"/>
      <c r="G10" s="432"/>
      <c r="H10" s="432"/>
      <c r="I10" s="81">
        <v>12.36</v>
      </c>
      <c r="J10" s="81">
        <v>4190</v>
      </c>
      <c r="K10" s="81">
        <f t="shared" si="0" ref="K10:K22">IFERROR(I10*J10,"")</f>
        <v>51788.399999999994</v>
      </c>
      <c r="L10" s="81">
        <f t="shared" si="1" ref="L10:L22">IFERROR(I10*M10,"")</f>
        <v>5932.7999999999993</v>
      </c>
      <c r="M10" s="83">
        <v>480</v>
      </c>
    </row>
    <row r="11" spans="4:13" ht="14.25">
      <c r="D11" s="431" t="s">
        <v>96</v>
      </c>
      <c r="E11" s="432"/>
      <c r="F11" s="432"/>
      <c r="G11" s="432"/>
      <c r="H11" s="432"/>
      <c r="I11" s="81">
        <v>12.38</v>
      </c>
      <c r="J11" s="81">
        <v>5060</v>
      </c>
      <c r="K11" s="81">
        <f t="shared" si="0"/>
        <v>62642.80</v>
      </c>
      <c r="L11" s="81">
        <f t="shared" si="1"/>
        <v>-5694.80</v>
      </c>
      <c r="M11" s="83">
        <v>-460</v>
      </c>
    </row>
    <row r="12" spans="4:13" ht="14.25">
      <c r="D12" s="431" t="s">
        <v>97</v>
      </c>
      <c r="E12" s="432"/>
      <c r="F12" s="432"/>
      <c r="G12" s="432"/>
      <c r="H12" s="432"/>
      <c r="I12" s="81">
        <v>10.02</v>
      </c>
      <c r="J12" s="81">
        <v>5060</v>
      </c>
      <c r="K12" s="81">
        <f t="shared" si="0"/>
        <v>50701.20</v>
      </c>
      <c r="L12" s="81">
        <f t="shared" si="1"/>
        <v>0</v>
      </c>
      <c r="M12" s="83">
        <v>0</v>
      </c>
    </row>
    <row r="13" spans="4:13" ht="14.25">
      <c r="D13" s="431" t="s">
        <v>98</v>
      </c>
      <c r="E13" s="432"/>
      <c r="F13" s="432"/>
      <c r="G13" s="432"/>
      <c r="H13" s="432"/>
      <c r="I13" s="81">
        <v>12.38</v>
      </c>
      <c r="J13" s="81">
        <v>5060</v>
      </c>
      <c r="K13" s="81">
        <f t="shared" si="0"/>
        <v>62642.80</v>
      </c>
      <c r="L13" s="81">
        <f t="shared" si="1"/>
        <v>5694.80</v>
      </c>
      <c r="M13" s="83">
        <v>460</v>
      </c>
    </row>
    <row r="14" spans="4:13" ht="14.25">
      <c r="D14" s="429" t="s">
        <v>27</v>
      </c>
      <c r="E14" s="430"/>
      <c r="F14" s="430"/>
      <c r="G14" s="430"/>
      <c r="H14" s="430"/>
      <c r="I14" s="15">
        <f>IFERROR(VLOOKUP($D14,'משקל מערכות'!$C$4:$H$22,2,FALSE),"")</f>
        <v>19.18</v>
      </c>
      <c r="J14" s="15">
        <f>IFERROR(VLOOKUP($D14,'משקל מערכות'!$C$4:$H$22,3,FALSE),"")</f>
        <v>3897</v>
      </c>
      <c r="K14" s="15">
        <f t="shared" si="0"/>
        <v>74744.459999999992</v>
      </c>
      <c r="L14" s="15">
        <f t="shared" si="1"/>
        <v>7480.20</v>
      </c>
      <c r="M14" s="26">
        <f>IFERROR(VLOOKUP($D14,'משקל מערכות'!$C$4:$H$22,6,FALSE),"")</f>
        <v>390</v>
      </c>
    </row>
    <row r="15" spans="4:13" ht="14.25">
      <c r="D15" s="429" t="s">
        <v>28</v>
      </c>
      <c r="E15" s="430"/>
      <c r="F15" s="430"/>
      <c r="G15" s="430"/>
      <c r="H15" s="430"/>
      <c r="I15" s="15">
        <f>IFERROR(VLOOKUP($D15,'משקל מערכות'!$C$4:$H$22,2,FALSE),"")</f>
        <v>31.30</v>
      </c>
      <c r="J15" s="15">
        <f>IFERROR(VLOOKUP($D15,'משקל מערכות'!$C$4:$H$22,3,FALSE),"")</f>
        <v>2330</v>
      </c>
      <c r="K15" s="15">
        <f t="shared" si="0"/>
        <v>72929</v>
      </c>
      <c r="L15" s="15">
        <f t="shared" si="1"/>
        <v>-31300</v>
      </c>
      <c r="M15" s="26">
        <f>IFERROR(VLOOKUP($D15,'משקל מערכות'!$C$4:$H$22,6,FALSE),"")</f>
        <v>-1000</v>
      </c>
    </row>
    <row r="16" spans="4:13" ht="14.25">
      <c r="D16" s="429" t="s">
        <v>30</v>
      </c>
      <c r="E16" s="430"/>
      <c r="F16" s="430"/>
      <c r="G16" s="430"/>
      <c r="H16" s="430"/>
      <c r="I16" s="15">
        <f>IFERROR(VLOOKUP($D16,'משקל מערכות'!$C$4:$H$22,2,FALSE),"")</f>
        <v>0.68</v>
      </c>
      <c r="J16" s="15">
        <f>IFERROR(VLOOKUP($D16,'משקל מערכות'!$C$4:$H$22,3,FALSE),"")</f>
        <v>2460</v>
      </c>
      <c r="K16" s="15">
        <f t="shared" si="0"/>
        <v>1672.8000000000002</v>
      </c>
      <c r="L16" s="15">
        <f t="shared" si="1"/>
        <v>0</v>
      </c>
      <c r="M16" s="26">
        <f>IFERROR(VLOOKUP($D16,'משקל מערכות'!$C$4:$H$22,6,FALSE),"")</f>
        <v>0</v>
      </c>
    </row>
    <row r="17" spans="4:13" ht="14.25">
      <c r="D17" s="429" t="s">
        <v>31</v>
      </c>
      <c r="E17" s="430"/>
      <c r="F17" s="430"/>
      <c r="G17" s="430"/>
      <c r="H17" s="430"/>
      <c r="I17" s="15">
        <f>IFERROR(VLOOKUP($D17,'משקל מערכות'!$C$4:$H$22,2,FALSE),"")</f>
        <v>26.31</v>
      </c>
      <c r="J17" s="15">
        <f>IFERROR(VLOOKUP($D17,'משקל מערכות'!$C$4:$H$22,3,FALSE),"")</f>
        <v>2630</v>
      </c>
      <c r="K17" s="15">
        <f t="shared" si="0"/>
        <v>69195.30</v>
      </c>
      <c r="L17" s="15">
        <f t="shared" si="1"/>
        <v>26310</v>
      </c>
      <c r="M17" s="26">
        <f>IFERROR(VLOOKUP($D17,'משקל מערכות'!$C$4:$H$22,6,FALSE),"")</f>
        <v>1000</v>
      </c>
    </row>
    <row r="18" spans="4:13" ht="14.25">
      <c r="D18" s="429" t="s">
        <v>32</v>
      </c>
      <c r="E18" s="430"/>
      <c r="F18" s="430"/>
      <c r="G18" s="430"/>
      <c r="H18" s="430"/>
      <c r="I18" s="15">
        <f>IFERROR(VLOOKUP($D18,'משקל מערכות'!$C$4:$H$22,2,FALSE),"")</f>
        <v>0.68</v>
      </c>
      <c r="J18" s="15">
        <f>IFERROR(VLOOKUP($D18,'משקל מערכות'!$C$4:$H$22,3,FALSE),"")</f>
        <v>2790</v>
      </c>
      <c r="K18" s="15">
        <f t="shared" si="0"/>
        <v>1897.20</v>
      </c>
      <c r="L18" s="15">
        <f t="shared" si="1"/>
        <v>-95.20</v>
      </c>
      <c r="M18" s="26">
        <f>IFERROR(VLOOKUP($D18,'משקל מערכות'!$C$4:$H$22,6,FALSE),"")</f>
        <v>-140</v>
      </c>
    </row>
    <row r="19" spans="4:13" ht="14.25">
      <c r="D19" s="429" t="s">
        <v>33</v>
      </c>
      <c r="E19" s="430"/>
      <c r="F19" s="430"/>
      <c r="G19" s="430"/>
      <c r="H19" s="430"/>
      <c r="I19" s="15">
        <f>IFERROR(VLOOKUP($D19,'משקל מערכות'!$C$4:$H$22,2,FALSE),"")</f>
        <v>13.52</v>
      </c>
      <c r="J19" s="15">
        <f>IFERROR(VLOOKUP($D19,'משקל מערכות'!$C$4:$H$22,3,FALSE),"")</f>
        <v>5810</v>
      </c>
      <c r="K19" s="15">
        <f t="shared" si="0"/>
        <v>78551.20</v>
      </c>
      <c r="L19" s="15">
        <f t="shared" si="1"/>
        <v>-13520</v>
      </c>
      <c r="M19" s="26">
        <f>IFERROR(VLOOKUP($D19,'משקל מערכות'!$C$4:$H$22,6,FALSE),"")</f>
        <v>-1000</v>
      </c>
    </row>
    <row r="20" spans="4:13" ht="14.25">
      <c r="D20" s="429"/>
      <c r="E20" s="430"/>
      <c r="F20" s="430"/>
      <c r="G20" s="430"/>
      <c r="H20" s="430"/>
      <c r="I20" s="15" t="str">
        <f>IFERROR(VLOOKUP($D20,'משקל מערכות'!$C$4:$H$22,2,FALSE),"")</f>
        <v/>
      </c>
      <c r="J20" s="15" t="str">
        <f>IFERROR(VLOOKUP($D20,'משקל מערכות'!$C$4:$H$22,3,FALSE),"")</f>
        <v/>
      </c>
      <c r="K20" s="15" t="str">
        <f t="shared" si="0"/>
        <v/>
      </c>
      <c r="L20" s="15" t="str">
        <f t="shared" si="1"/>
        <v/>
      </c>
      <c r="M20" s="26" t="str">
        <f>IFERROR(VLOOKUP($D20,'משקל מערכות'!$C$4:$H$22,6,FALSE),"")</f>
        <v/>
      </c>
    </row>
    <row r="21" spans="4:13" ht="14.25">
      <c r="D21" s="429"/>
      <c r="E21" s="430"/>
      <c r="F21" s="430"/>
      <c r="G21" s="430"/>
      <c r="H21" s="430"/>
      <c r="I21" s="15" t="str">
        <f>IFERROR(VLOOKUP($D21,'משקל מערכות'!$C$4:$H$22,2,FALSE),"")</f>
        <v/>
      </c>
      <c r="J21" s="15" t="str">
        <f>IFERROR(VLOOKUP($D21,'משקל מערכות'!$C$4:$H$22,3,FALSE),"")</f>
        <v/>
      </c>
      <c r="K21" s="15" t="str">
        <f t="shared" si="0"/>
        <v/>
      </c>
      <c r="L21" s="15" t="str">
        <f t="shared" si="1"/>
        <v/>
      </c>
      <c r="M21" s="26" t="str">
        <f>IFERROR(VLOOKUP($D21,'משקל מערכות'!$C$4:$H$22,6,FALSE),"")</f>
        <v/>
      </c>
    </row>
    <row r="22" spans="4:13" ht="15" thickBot="1">
      <c r="D22" s="442"/>
      <c r="E22" s="443"/>
      <c r="F22" s="443"/>
      <c r="G22" s="443"/>
      <c r="H22" s="443"/>
      <c r="I22" s="27" t="str">
        <f>IFERROR(VLOOKUP($D22,'משקל מערכות'!$C$4:$H$22,2,FALSE),"")</f>
        <v/>
      </c>
      <c r="J22" s="27" t="str">
        <f>IFERROR(VLOOKUP($D22,'משקל מערכות'!$C$4:$H$22,3,FALSE),"")</f>
        <v/>
      </c>
      <c r="K22" s="27" t="str">
        <f t="shared" si="0"/>
        <v/>
      </c>
      <c r="L22" s="27" t="str">
        <f t="shared" si="1"/>
        <v/>
      </c>
      <c r="M22" s="28" t="str">
        <f>IFERROR(VLOOKUP($D22,'משקל מערכות'!$C$4:$H$22,6,FALSE),"")</f>
        <v/>
      </c>
    </row>
    <row r="23" spans="4:8" ht="14.25">
      <c r="D23" s="1"/>
      <c r="E23" s="1"/>
      <c r="F23" s="1"/>
      <c r="G23" s="1"/>
      <c r="H23" s="1"/>
    </row>
    <row r="24" ht="15" thickBot="1"/>
    <row r="25" spans="7:13" ht="20.25">
      <c r="G25" s="444" t="s">
        <v>60</v>
      </c>
      <c r="H25" s="445"/>
      <c r="I25" s="445"/>
      <c r="J25" s="445"/>
      <c r="K25" s="445"/>
      <c r="L25" s="445"/>
      <c r="M25" s="446"/>
    </row>
    <row r="26" spans="7:13" ht="15">
      <c r="G26" s="433" t="s">
        <v>8</v>
      </c>
      <c r="H26" s="434"/>
      <c r="I26" s="18" t="s">
        <v>0</v>
      </c>
      <c r="J26" s="5" t="s">
        <v>14</v>
      </c>
      <c r="K26" s="5" t="s">
        <v>3</v>
      </c>
      <c r="L26" s="5" t="s">
        <v>4</v>
      </c>
      <c r="M26" s="6" t="s">
        <v>15</v>
      </c>
    </row>
    <row r="27" spans="7:13" ht="15">
      <c r="G27" s="374" t="s">
        <v>5</v>
      </c>
      <c r="H27" s="375"/>
      <c r="I27" s="72">
        <f>$I4-SUM(I$9:I$22)</f>
        <v>2390.4499999999998</v>
      </c>
      <c r="J27" s="29">
        <f>K27/I27</f>
        <v>4714.0336010792944</v>
      </c>
      <c r="K27" s="29">
        <f>$K4-SUM(K$9:K$22)</f>
        <v>11268661.621699998</v>
      </c>
      <c r="L27" s="15">
        <f>$L4-SUM(L$9:L$22)</f>
        <v>-5675.1081999999988</v>
      </c>
      <c r="M27" s="31">
        <f>L27/I27</f>
        <v>-2.3740752577966489</v>
      </c>
    </row>
    <row r="28" spans="7:13" ht="15.75" thickBot="1">
      <c r="G28" s="376" t="s">
        <v>6</v>
      </c>
      <c r="H28" s="377"/>
      <c r="I28" s="73">
        <f>$I5-SUM($I$9:$I$22)</f>
        <v>2386.9499999999998</v>
      </c>
      <c r="J28" s="30">
        <f>K28/I28</f>
        <v>4713.9748402103105</v>
      </c>
      <c r="K28" s="30">
        <f>$K5-SUM(K$9:K$22)</f>
        <v>11252022.24484</v>
      </c>
      <c r="L28" s="27">
        <f>$L5-SUM(L$9:L$22)</f>
        <v>2723.8227999999999</v>
      </c>
      <c r="M28" s="32">
        <f>L28/I28</f>
        <v>1.1411310668426236</v>
      </c>
    </row>
    <row r="36" spans="9:9" ht="15">
      <c r="I36" s="1"/>
    </row>
  </sheetData>
  <mergeCells count="24">
    <mergeCell ref="D3:E3"/>
    <mergeCell ref="D20:H20"/>
    <mergeCell ref="G28:H28"/>
    <mergeCell ref="D22:H22"/>
    <mergeCell ref="G26:H26"/>
    <mergeCell ref="G25:M25"/>
    <mergeCell ref="G27:H27"/>
    <mergeCell ref="D21:H21"/>
    <mergeCell ref="D2:E2"/>
    <mergeCell ref="G2:M2"/>
    <mergeCell ref="D19:H19"/>
    <mergeCell ref="D18:H18"/>
    <mergeCell ref="D17:H17"/>
    <mergeCell ref="D16:H16"/>
    <mergeCell ref="D15:H15"/>
    <mergeCell ref="D14:H14"/>
    <mergeCell ref="D13:H13"/>
    <mergeCell ref="D12:H12"/>
    <mergeCell ref="D11:H11"/>
    <mergeCell ref="D10:H10"/>
    <mergeCell ref="D8:H8"/>
    <mergeCell ref="D7:M7"/>
    <mergeCell ref="D9:H9"/>
    <mergeCell ref="D4:E4"/>
  </mergeCells>
  <pageMargins left="0.7" right="0.7" top="0.75" bottom="0.75" header="0.3" footer="0.3"/>
  <pageSetup horizontalDpi="200" verticalDpi="200"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5"/>
  <dimension ref="B2:P55"/>
  <sheetViews>
    <sheetView rightToLeft="1" workbookViewId="0" topLeftCell="A1">
      <selection pane="topLeft" activeCell="C31" sqref="C31"/>
    </sheetView>
  </sheetViews>
  <sheetFormatPr defaultRowHeight="14.25"/>
  <cols>
    <col min="3" max="3" width="43.625" bestFit="1" customWidth="1"/>
    <col min="4" max="8" width="10" customWidth="1"/>
    <col min="16" max="16" width="27" customWidth="1"/>
  </cols>
  <sheetData>
    <row r="1" ht="15" thickBot="1"/>
    <row r="2" spans="2:8" ht="14.25">
      <c r="B2" s="46"/>
      <c r="C2" s="47"/>
      <c r="D2" s="47"/>
      <c r="E2" s="47"/>
      <c r="F2" s="49"/>
      <c r="G2" s="49"/>
      <c r="H2" s="48"/>
    </row>
    <row r="3" spans="2:8" ht="14.25">
      <c r="B3" s="4" t="s">
        <v>65</v>
      </c>
      <c r="C3" s="5" t="s">
        <v>26</v>
      </c>
      <c r="D3" s="5" t="s">
        <v>25</v>
      </c>
      <c r="E3" s="5" t="s">
        <v>14</v>
      </c>
      <c r="F3" s="42" t="s">
        <v>3</v>
      </c>
      <c r="G3" s="42" t="s">
        <v>4</v>
      </c>
      <c r="H3" s="6" t="s">
        <v>15</v>
      </c>
    </row>
    <row r="4" spans="2:8" ht="14.25">
      <c r="B4" s="84"/>
      <c r="C4" s="81"/>
      <c r="D4" s="81"/>
      <c r="E4" s="81"/>
      <c r="F4" s="85"/>
      <c r="G4" s="85"/>
      <c r="H4" s="83"/>
    </row>
    <row r="5" spans="2:8" ht="14.25">
      <c r="B5" s="84">
        <v>0</v>
      </c>
      <c r="C5" s="81" t="s">
        <v>27</v>
      </c>
      <c r="D5" s="81">
        <v>19.18</v>
      </c>
      <c r="E5" s="81">
        <v>3897</v>
      </c>
      <c r="F5" s="85">
        <f t="shared" si="0" ref="F5:F16">D5*E5</f>
        <v>74744.459999999992</v>
      </c>
      <c r="G5" s="85">
        <f t="shared" si="1" ref="G5:G16">D5*H5</f>
        <v>7480.20</v>
      </c>
      <c r="H5" s="83">
        <v>390</v>
      </c>
    </row>
    <row r="6" spans="2:8" ht="14.25">
      <c r="B6" s="84">
        <f>IF(ראשי!$D$9="DSP",1,0)</f>
        <v>1</v>
      </c>
      <c r="C6" s="81" t="s">
        <v>28</v>
      </c>
      <c r="D6" s="81">
        <v>31.30</v>
      </c>
      <c r="E6" s="81">
        <v>2330</v>
      </c>
      <c r="F6" s="85">
        <f t="shared" si="0"/>
        <v>72929</v>
      </c>
      <c r="G6" s="85">
        <f t="shared" si="1"/>
        <v>-31300</v>
      </c>
      <c r="H6" s="83">
        <v>-1000</v>
      </c>
    </row>
    <row r="7" spans="2:8" ht="14.25">
      <c r="B7" s="84">
        <f>IF(ראשי!$D$9="SHAPO",1,0)</f>
        <v>0</v>
      </c>
      <c r="C7" s="81" t="s">
        <v>29</v>
      </c>
      <c r="D7" s="81">
        <v>10.70</v>
      </c>
      <c r="E7" s="81">
        <v>2330</v>
      </c>
      <c r="F7" s="85">
        <f t="shared" si="0"/>
        <v>24931</v>
      </c>
      <c r="G7" s="85">
        <f t="shared" si="1"/>
        <v>-10700</v>
      </c>
      <c r="H7" s="83">
        <v>-1000</v>
      </c>
    </row>
    <row r="8" spans="2:8" ht="14.25">
      <c r="B8" s="84">
        <f>IF(OR(B6=1,B7=1),1,0)</f>
        <v>1</v>
      </c>
      <c r="C8" s="81" t="s">
        <v>30</v>
      </c>
      <c r="D8" s="81">
        <v>0.68</v>
      </c>
      <c r="E8" s="81">
        <v>2460</v>
      </c>
      <c r="F8" s="85">
        <f t="shared" si="0"/>
        <v>1672.8000000000002</v>
      </c>
      <c r="G8" s="85">
        <f t="shared" si="1"/>
        <v>0</v>
      </c>
      <c r="H8" s="83">
        <v>0</v>
      </c>
    </row>
    <row r="9" spans="2:8" ht="14.25">
      <c r="B9" s="84">
        <f>IF(userXP="כן",1,0)</f>
        <v>1</v>
      </c>
      <c r="C9" s="81" t="s">
        <v>31</v>
      </c>
      <c r="D9" s="81">
        <v>26.31</v>
      </c>
      <c r="E9" s="81">
        <v>2630</v>
      </c>
      <c r="F9" s="85">
        <f t="shared" si="0"/>
        <v>69195.30</v>
      </c>
      <c r="G9" s="85">
        <f t="shared" si="1"/>
        <v>26310</v>
      </c>
      <c r="H9" s="83">
        <v>1000</v>
      </c>
    </row>
    <row r="10" spans="2:8" ht="14.25">
      <c r="B10" s="84">
        <f>IF(userXP="כן",1,0)</f>
        <v>1</v>
      </c>
      <c r="C10" s="81" t="s">
        <v>32</v>
      </c>
      <c r="D10" s="81">
        <v>0.68</v>
      </c>
      <c r="E10" s="81">
        <v>2790</v>
      </c>
      <c r="F10" s="85">
        <f t="shared" si="0"/>
        <v>1897.20</v>
      </c>
      <c r="G10" s="85">
        <f t="shared" si="1"/>
        <v>-95.20</v>
      </c>
      <c r="H10" s="83">
        <v>-140</v>
      </c>
    </row>
    <row r="11" spans="2:8" ht="14.25">
      <c r="B11" s="84">
        <f>IF(userPA="כן",1,0)</f>
        <v>1</v>
      </c>
      <c r="C11" s="81" t="s">
        <v>33</v>
      </c>
      <c r="D11" s="81">
        <v>13.52</v>
      </c>
      <c r="E11" s="81">
        <v>5810</v>
      </c>
      <c r="F11" s="85">
        <f t="shared" si="0"/>
        <v>78551.20</v>
      </c>
      <c r="G11" s="85">
        <f t="shared" si="1"/>
        <v>-13520</v>
      </c>
      <c r="H11" s="83">
        <v>-1000</v>
      </c>
    </row>
    <row r="12" spans="2:8" ht="14.25">
      <c r="B12" s="216">
        <f>IF(OR(userFR="ללא",userFRside="שמאל"),0,1)</f>
        <v>0</v>
      </c>
      <c r="C12" s="81" t="s">
        <v>277</v>
      </c>
      <c r="D12" s="81">
        <f>IF(userFR="פתוח",16.9,14)</f>
        <v>14</v>
      </c>
      <c r="E12" s="81">
        <f>IF(userFR="פתוח",4061,4013)</f>
        <v>4013</v>
      </c>
      <c r="F12" s="85">
        <f t="shared" si="0"/>
        <v>56182</v>
      </c>
      <c r="G12" s="85">
        <f t="shared" si="1"/>
        <v>13720</v>
      </c>
      <c r="H12" s="83">
        <f>IF(userFR="פתוח",1126,980)</f>
        <v>980</v>
      </c>
    </row>
    <row r="13" spans="2:8" ht="14.25">
      <c r="B13" s="216">
        <f>IF(OR(userFR="ללא",userFRside="ימין"),0,1)</f>
        <v>0</v>
      </c>
      <c r="C13" s="81" t="s">
        <v>278</v>
      </c>
      <c r="D13" s="81">
        <f>IF(userFR="פתוח",16.9,14)</f>
        <v>14</v>
      </c>
      <c r="E13" s="81">
        <f>IF(userFR="פתוח",4061,4013)</f>
        <v>4013</v>
      </c>
      <c r="F13" s="85">
        <f t="shared" si="0"/>
        <v>56182</v>
      </c>
      <c r="G13" s="85">
        <f t="shared" si="1"/>
        <v>-13720</v>
      </c>
      <c r="H13" s="83">
        <f>IF(userFR="פתוח",-1126,-980)</f>
        <v>-980</v>
      </c>
    </row>
    <row r="14" spans="2:8" ht="14.25">
      <c r="B14" s="84">
        <f>IF(OR(userCARGO="ללא מראות",userCARGO="עם מראות"),1,0)</f>
        <v>1</v>
      </c>
      <c r="C14" s="81" t="s">
        <v>34</v>
      </c>
      <c r="D14" s="81">
        <v>29.77</v>
      </c>
      <c r="E14" s="81">
        <v>4121</v>
      </c>
      <c r="F14" s="85">
        <f t="shared" si="0"/>
        <v>122682.17</v>
      </c>
      <c r="G14" s="85">
        <f t="shared" si="1"/>
        <v>0</v>
      </c>
      <c r="H14" s="83">
        <v>0</v>
      </c>
    </row>
    <row r="15" spans="2:8" ht="14.25">
      <c r="B15" s="84">
        <f>IF(userCARGO="עם מראות",1,0)</f>
        <v>0</v>
      </c>
      <c r="C15" s="81" t="s">
        <v>288</v>
      </c>
      <c r="D15" s="81">
        <v>4</v>
      </c>
      <c r="E15" s="81">
        <v>1120</v>
      </c>
      <c r="F15" s="85">
        <f t="shared" si="0"/>
        <v>4480</v>
      </c>
      <c r="G15" s="85">
        <f t="shared" si="1"/>
        <v>1200</v>
      </c>
      <c r="H15" s="83">
        <v>300</v>
      </c>
    </row>
    <row r="16" spans="2:8" ht="15" thickBot="1">
      <c r="B16" s="187">
        <f>IF(userBAMBI="בבטן",1,0)</f>
        <v>0</v>
      </c>
      <c r="C16" s="174" t="s">
        <v>192</v>
      </c>
      <c r="D16" s="174">
        <v>40</v>
      </c>
      <c r="E16" s="175">
        <v>4500</v>
      </c>
      <c r="F16" s="176">
        <f t="shared" si="0"/>
        <v>180000</v>
      </c>
      <c r="G16" s="176">
        <f t="shared" si="1"/>
        <v>0</v>
      </c>
      <c r="H16" s="177">
        <v>0</v>
      </c>
    </row>
    <row r="17" spans="2:8" ht="14.25">
      <c r="B17" s="178"/>
      <c r="C17" s="179"/>
      <c r="D17" s="179"/>
      <c r="E17" s="179"/>
      <c r="F17" s="179"/>
      <c r="G17" s="179"/>
      <c r="H17" s="180"/>
    </row>
    <row r="18" spans="2:8" ht="14.25">
      <c r="B18" s="181">
        <f>IF(OR(userCARGO="ללא מראות",userCARGO="עם מראות"),1,0)</f>
        <v>1</v>
      </c>
      <c r="C18" s="182" t="s">
        <v>203</v>
      </c>
      <c r="D18" s="182">
        <f>IF(B18=1,userCARGOwt,0)</f>
        <v>0</v>
      </c>
      <c r="E18" s="182">
        <v>4427</v>
      </c>
      <c r="F18" s="182">
        <f>D18*E18</f>
        <v>0</v>
      </c>
      <c r="G18" s="182">
        <f>D18*H18</f>
        <v>0</v>
      </c>
      <c r="H18" s="183">
        <v>0</v>
      </c>
    </row>
    <row r="19" spans="2:8" ht="15" thickBot="1">
      <c r="B19" s="184">
        <f>IF(userBAMBI="מחובר",1,0)</f>
        <v>0</v>
      </c>
      <c r="C19" s="185" t="s">
        <v>193</v>
      </c>
      <c r="D19" s="185">
        <f>IF(B19=1,userWATER*680+40,0)</f>
        <v>0</v>
      </c>
      <c r="E19" s="185">
        <v>4427</v>
      </c>
      <c r="F19" s="185">
        <f>D19*E19</f>
        <v>0</v>
      </c>
      <c r="G19" s="185">
        <f>D19*H19</f>
        <v>0</v>
      </c>
      <c r="H19" s="186">
        <v>0</v>
      </c>
    </row>
    <row r="25" spans="12:14" ht="14.25">
      <c r="L25">
        <v>28.47</v>
      </c>
      <c r="M25">
        <v>4130</v>
      </c>
      <c r="N25">
        <f>L25*M25</f>
        <v>117581.09999999999</v>
      </c>
    </row>
    <row r="26" spans="3:16" ht="15">
      <c r="C26" s="24" t="str">
        <f>INDEX(תצורות!$A$2:$E$348,(ROW(A1)-1)*13+1,4)&amp;": "&amp;INDEX(תצורות!$A$2:$E$348,(ROW(A1)-1)*13+1,1)</f>
        <v>01: קבועה - 4 כסאות</v>
      </c>
      <c r="H26" s="24"/>
      <c r="L26">
        <v>0.16</v>
      </c>
      <c r="M26">
        <v>4450</v>
      </c>
      <c r="N26">
        <f>L26*M26</f>
        <v>712</v>
      </c>
      <c r="P26" s="272"/>
    </row>
    <row r="27" spans="3:16" ht="15">
      <c r="C27" s="24" t="str">
        <f>INDEX(תצורות!$A$2:$E$348,(ROW(A2)-1)*13+1,4)&amp;": "&amp;INDEX(תצורות!$A$2:$E$348,(ROW(A2)-1)*13+1,1)</f>
        <v>02: 2 כסאות / מתנא</v>
      </c>
      <c r="D27" s="8"/>
      <c r="H27" s="24"/>
      <c r="L27">
        <v>1.1399999999999999</v>
      </c>
      <c r="M27" s="198">
        <v>3860</v>
      </c>
      <c r="N27">
        <f>L27*M27</f>
        <v>4400.3999999999996</v>
      </c>
      <c r="P27" s="272"/>
    </row>
    <row r="28" spans="3:16" ht="15">
      <c r="C28" s="24" t="str">
        <f>INDEX(תצורות!$A$2:$E$348,(ROW(A3)-1)*13+1,4)&amp;": "&amp;INDEX(תצורות!$A$2:$E$348,(ROW(A3)-1)*13+1,1)</f>
        <v>03: בטן חלקה</v>
      </c>
      <c r="H28" s="24"/>
      <c r="L28">
        <f>SUM(L25:L27)</f>
        <v>29.77</v>
      </c>
      <c r="M28">
        <f>N28/L28</f>
        <v>4121.3805844810204</v>
      </c>
      <c r="N28">
        <f>SUM(N25:N27)</f>
        <v>122693.49999999999</v>
      </c>
      <c r="P28" s="272"/>
    </row>
    <row r="29" spans="3:16" ht="15">
      <c r="C29" s="24" t="str">
        <f>INDEX(תצורות!$A$2:$E$348,(ROW(A4)-1)*13+1,4)&amp;": "&amp;INDEX(תצורות!$A$2:$E$348,(ROW(A4)-1)*13+1,1)</f>
        <v>04: תובלה 6 כסאות</v>
      </c>
      <c r="P29" s="272"/>
    </row>
    <row r="30" spans="3:16" ht="15">
      <c r="C30" s="24" t="str">
        <f>INDEX(תצורות!$A$2:$E$348,(ROW(A5)-1)*13+1,4)&amp;": "&amp;INDEX(תצורות!$A$2:$E$348,(ROW(A5)-1)*13+1,1)</f>
        <v>05: תובלה - 7 כסאות</v>
      </c>
      <c r="L30">
        <v>4</v>
      </c>
      <c r="M30">
        <v>1120</v>
      </c>
      <c r="N30">
        <f>L30*M30</f>
        <v>4480</v>
      </c>
      <c r="P30" s="272"/>
    </row>
    <row r="31" spans="3:16" ht="15">
      <c r="C31" s="24" t="str">
        <f>INDEX(תצורות!$A$2:$E$348,(ROW(A6)-1)*13+1,4)&amp;": "&amp;INDEX(תצורות!$A$2:$E$348,(ROW(A6)-1)*13+1,1)</f>
        <v>06: תובלה - 8 כסאות</v>
      </c>
      <c r="P31" s="272"/>
    </row>
    <row r="32" spans="3:16" ht="15">
      <c r="C32" s="24" t="str">
        <f>INDEX(תצורות!$A$2:$E$348,(ROW(A7)-1)*13+1,4)&amp;": "&amp;INDEX(תצורות!$A$2:$E$348,(ROW(A7)-1)*13+1,1)</f>
        <v>07: שתפ לוחמים - ללא פלסיב</v>
      </c>
      <c r="P32" s="272"/>
    </row>
    <row r="33" spans="3:16" ht="15">
      <c r="C33" s="24" t="str">
        <f>INDEX(תצורות!$A$2:$E$348,(ROW(A8)-1)*13+1,4)&amp;": "&amp;INDEX(תצורות!$A$2:$E$348,(ROW(A8)-1)*13+1,1)</f>
        <v>08: שתפ לוחמים - עם פלסיב</v>
      </c>
      <c r="P33" s="272"/>
    </row>
    <row r="34" spans="3:16" ht="15">
      <c r="C34" s="24" t="str">
        <f>INDEX(תצורות!$A$2:$E$348,(ROW(A9)-1)*13+1,4)&amp;": "&amp;INDEX(תצורות!$A$2:$E$348,(ROW(A9)-1)*13+1,1)</f>
        <v>09: להבה - 4 לוחמים + ציוד + 2 כסאות</v>
      </c>
      <c r="P34" s="272"/>
    </row>
    <row r="35" spans="3:16" ht="15">
      <c r="C35" s="24" t="str">
        <f>INDEX(תצורות!$A$2:$E$348,(ROW(A10)-1)*13+1,4)&amp;": "&amp;INDEX(תצורות!$A$2:$E$348,(ROW(A10)-1)*13+1,1)</f>
        <v>10: פינוי בהיטס</v>
      </c>
      <c r="P35" s="272"/>
    </row>
    <row r="36" spans="3:16" ht="15">
      <c r="C36" s="24" t="str">
        <f>INDEX(תצורות!$A$2:$E$348,(ROW(A11)-1)*13+1,4)&amp;": "&amp;INDEX(תצורות!$A$2:$E$348,(ROW(A11)-1)*13+1,1)</f>
        <v>11: גלישה - תנינים</v>
      </c>
      <c r="P36" s="272"/>
    </row>
    <row r="37" spans="3:16" ht="15">
      <c r="C37" s="24" t="str">
        <f>INDEX(תצורות!$A$2:$E$348,(ROW(A12)-1)*13+1,4)&amp;": "&amp;INDEX(תצורות!$A$2:$E$348,(ROW(A12)-1)*13+1,1)</f>
        <v>12: צניחה עם פלסיב</v>
      </c>
      <c r="P37" s="272"/>
    </row>
    <row r="38" spans="3:16" ht="15">
      <c r="C38" s="24" t="str">
        <f>INDEX(תצורות!$A$2:$E$348,(ROW(A13)-1)*13+1,4)&amp;": "&amp;INDEX(תצורות!$A$2:$E$348,(ROW(A13)-1)*13+1,1)</f>
        <v>13: פרננדו</v>
      </c>
      <c r="P38" s="272"/>
    </row>
    <row r="39" spans="3:16" ht="15">
      <c r="C39" s="24" t="str">
        <f>INDEX(תצורות!$A$2:$E$348,(ROW(A14)-1)*13+1,4)&amp;": "&amp;INDEX(תצורות!$A$2:$E$348,(ROW(A14)-1)*13+1,1)</f>
        <v>14: טיסה כבדה</v>
      </c>
      <c r="P39" s="272"/>
    </row>
    <row r="40" spans="3:16" ht="15">
      <c r="C40" s="24" t="str">
        <f>INDEX(תצורות!$A$2:$E$348,(ROW(A15)-1)*13+1,4)&amp;": "&amp;INDEX(תצורות!$A$2:$E$348,(ROW(A15)-1)*13+1,1)</f>
        <v>15: להבה - LONGLINE + כסאות</v>
      </c>
      <c r="P40" s="272"/>
    </row>
    <row r="41" spans="3:16" ht="15">
      <c r="C41" s="300" t="str">
        <f>INDEX(תצורות!$A$2:$E$348,(ROW(A16)-1)*13+1,4)&amp;": "&amp;INDEX(תצורות!$A$2:$E$348,(ROW(A16)-1)*13+1,1)</f>
        <v xml:space="preserve">16: </v>
      </c>
      <c r="P41" s="272"/>
    </row>
    <row r="42" spans="3:16" ht="15">
      <c r="C42" s="300" t="str">
        <f>INDEX(תצורות!$A$2:$E$348,(ROW(A17)-1)*13+1,4)&amp;": "&amp;INDEX(תצורות!$A$2:$E$348,(ROW(A17)-1)*13+1,1)</f>
        <v xml:space="preserve">17: </v>
      </c>
      <c r="P42" s="272"/>
    </row>
    <row r="43" spans="3:16" ht="15">
      <c r="C43" s="300" t="str">
        <f>INDEX(תצורות!$A$2:$E$348,(ROW(A18)-1)*13+1,4)&amp;": "&amp;INDEX(תצורות!$A$2:$E$348,(ROW(A18)-1)*13+1,1)</f>
        <v xml:space="preserve">18: </v>
      </c>
      <c r="P43" s="272"/>
    </row>
    <row r="44" spans="3:16" ht="15">
      <c r="C44" s="300" t="str">
        <f>INDEX(תצורות!$A$2:$E$348,(ROW(A19)-1)*13+1,4)&amp;": "&amp;INDEX(תצורות!$A$2:$E$348,(ROW(A19)-1)*13+1,1)</f>
        <v xml:space="preserve">19: </v>
      </c>
      <c r="P44" s="272"/>
    </row>
    <row r="45" spans="3:16" ht="15">
      <c r="C45" s="300" t="str">
        <f>INDEX(תצורות!$A$2:$E$348,(ROW(A20)-1)*13+1,4)&amp;": "&amp;INDEX(תצורות!$A$2:$E$348,(ROW(A20)-1)*13+1,1)</f>
        <v>20: טיסה כבדה</v>
      </c>
      <c r="P45" s="272"/>
    </row>
    <row r="46" spans="3:16" ht="15">
      <c r="C46" s="300" t="str">
        <f>INDEX(תצורות!$A$2:$E$348,(ROW(A21)-1)*13+1,4)&amp;": "&amp;INDEX(תצורות!$A$2:$E$348,(ROW(A21)-1)*13+1,1)</f>
        <v>21: כיבוי אש</v>
      </c>
      <c r="P46" s="272"/>
    </row>
    <row r="47" spans="3:16" ht="15">
      <c r="C47" s="300" t="str">
        <f>INDEX(תצורות!$A$2:$E$348,(ROW(A22)-1)*13+1,4)&amp;": "&amp;INDEX(תצורות!$A$2:$E$348,(ROW(A22)-1)*13+1,1)</f>
        <v>22: Offshore Configuration - Variant 7</v>
      </c>
      <c r="P47" s="272"/>
    </row>
    <row r="48" spans="3:16" ht="15">
      <c r="C48" s="300" t="str">
        <f>INDEX(תצורות!$A$2:$E$348,(ROW(A23)-1)*13+1,4)&amp;": "&amp;INDEX(תצורות!$A$2:$E$348,(ROW(A23)-1)*13+1,1)</f>
        <v>23: Offshore Configuration - Variant 8</v>
      </c>
      <c r="P48" s="272"/>
    </row>
    <row r="49" spans="3:16" ht="15">
      <c r="C49" s="24" t="str">
        <f>INDEX(תצורות!$A$2:$E$348,(ROW(A24)-1)*13+1,4)&amp;": "&amp;INDEX(תצורות!$A$2:$E$348,(ROW(A24)-1)*13+1,1)</f>
        <v>24: חפק מוטס - התקנה קדמית - 5 כסאות</v>
      </c>
      <c r="P49" s="272"/>
    </row>
    <row r="50" spans="3:16" ht="15">
      <c r="C50" s="24" t="str">
        <f>INDEX(תצורות!$A$2:$E$348,(ROW(A25)-1)*13+1,4)&amp;": "&amp;INDEX(תצורות!$A$2:$E$348,(ROW(A25)-1)*13+1,1)</f>
        <v>25: חפק מוטס - התקנה קדמית - שורה קדמית ואמצעית</v>
      </c>
      <c r="P50" s="272"/>
    </row>
    <row r="51" spans="3:16" ht="15">
      <c r="C51" s="24" t="str">
        <f>INDEX(תצורות!$A$2:$E$348,(ROW(A26)-1)*13+1,4)&amp;": "&amp;INDEX(תצורות!$A$2:$E$348,(ROW(A26)-1)*13+1,1)</f>
        <v>26: חפק מוטס - התקנה קדמית - שורה קדמית ואחורית</v>
      </c>
      <c r="P51" s="272"/>
    </row>
    <row r="52" spans="3:16" ht="15">
      <c r="C52" s="24" t="str">
        <f>INDEX(תצורות!$A$2:$E$348,(ROW(A27)-1)*13+1,4)&amp;": "&amp;INDEX(תצורות!$A$2:$E$348,(ROW(A27)-1)*13+1,1)</f>
        <v>27: חפק מוטס - התקנה אחורית - 4 כסאות</v>
      </c>
      <c r="P52" s="272"/>
    </row>
    <row r="53" spans="3:16" ht="15">
      <c r="C53" s="24"/>
      <c r="P53" s="272"/>
    </row>
    <row r="54" spans="16:16" ht="14.25">
      <c r="P54" s="272"/>
    </row>
    <row r="55" spans="16:16" ht="14.25">
      <c r="P55" s="272"/>
    </row>
  </sheetData>
  <pageMargins left="0.7" right="0.7" top="0.75" bottom="0.75" header="0.3" footer="0.3"/>
  <pageSetup horizontalDpi="200" verticalDpi="200" orientation="portrait" paperSize="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6"/>
  <dimension ref="C1:E75"/>
  <sheetViews>
    <sheetView rightToLeft="1" workbookViewId="0" topLeftCell="A1">
      <selection pane="topLeft" activeCell="G12" sqref="G12"/>
    </sheetView>
  </sheetViews>
  <sheetFormatPr defaultRowHeight="14.25"/>
  <cols>
    <col min="3" max="3" width="5.875" bestFit="1" customWidth="1"/>
    <col min="4" max="4" width="10.375" bestFit="1" customWidth="1"/>
    <col min="5" max="5" width="8.5" bestFit="1" customWidth="1"/>
  </cols>
  <sheetData>
    <row r="1" spans="3:5" ht="14.25">
      <c r="C1" s="447" t="s">
        <v>17</v>
      </c>
      <c r="D1" s="448"/>
      <c r="E1" s="449"/>
    </row>
    <row r="2" spans="3:5" ht="14.25">
      <c r="C2" s="15" t="s">
        <v>16</v>
      </c>
      <c r="D2" s="15" t="s">
        <v>14</v>
      </c>
      <c r="E2" s="15" t="s">
        <v>15</v>
      </c>
    </row>
    <row r="3" spans="3:5" ht="14.25">
      <c r="C3" s="15">
        <v>10</v>
      </c>
      <c r="D3" s="15">
        <v>3603</v>
      </c>
      <c r="E3" s="15">
        <v>136</v>
      </c>
    </row>
    <row r="4" spans="3:5" ht="14.25">
      <c r="C4" s="15">
        <f>C3+10</f>
        <v>20</v>
      </c>
      <c r="D4" s="15">
        <v>3601</v>
      </c>
      <c r="E4" s="15">
        <v>77</v>
      </c>
    </row>
    <row r="5" spans="3:5" ht="14.25">
      <c r="C5" s="15">
        <f t="shared" si="0" ref="C5:C68">C4+10</f>
        <v>30</v>
      </c>
      <c r="D5" s="15">
        <v>3598</v>
      </c>
      <c r="E5" s="15">
        <v>55</v>
      </c>
    </row>
    <row r="6" spans="3:5" ht="14.25">
      <c r="C6" s="15">
        <f t="shared" si="0"/>
        <v>40</v>
      </c>
      <c r="D6" s="15">
        <v>3595</v>
      </c>
      <c r="E6" s="15">
        <v>42</v>
      </c>
    </row>
    <row r="7" spans="3:5" ht="14.25">
      <c r="C7" s="15">
        <f t="shared" si="0"/>
        <v>50</v>
      </c>
      <c r="D7" s="15">
        <v>3593</v>
      </c>
      <c r="E7" s="15">
        <v>34</v>
      </c>
    </row>
    <row r="8" spans="3:5" ht="14.25">
      <c r="C8" s="15">
        <f t="shared" si="0"/>
        <v>60</v>
      </c>
      <c r="D8" s="15">
        <v>3590</v>
      </c>
      <c r="E8" s="15">
        <v>28</v>
      </c>
    </row>
    <row r="9" spans="3:5" ht="14.25">
      <c r="C9" s="15">
        <f t="shared" si="0"/>
        <v>70</v>
      </c>
      <c r="D9" s="15">
        <v>3587</v>
      </c>
      <c r="E9" s="15">
        <v>24</v>
      </c>
    </row>
    <row r="10" spans="3:5" ht="14.25">
      <c r="C10" s="15">
        <f t="shared" si="0"/>
        <v>80</v>
      </c>
      <c r="D10" s="15">
        <v>3584</v>
      </c>
      <c r="E10" s="15">
        <v>21</v>
      </c>
    </row>
    <row r="11" spans="3:5" ht="14.25">
      <c r="C11" s="15">
        <f t="shared" si="0"/>
        <v>90</v>
      </c>
      <c r="D11" s="15">
        <v>3582</v>
      </c>
      <c r="E11" s="15">
        <v>19</v>
      </c>
    </row>
    <row r="12" spans="3:5" ht="14.25">
      <c r="C12" s="15">
        <f t="shared" si="0"/>
        <v>100</v>
      </c>
      <c r="D12" s="15">
        <v>3580</v>
      </c>
      <c r="E12" s="15">
        <v>17</v>
      </c>
    </row>
    <row r="13" spans="3:5" ht="14.25">
      <c r="C13" s="15">
        <f t="shared" si="0"/>
        <v>110</v>
      </c>
      <c r="D13" s="15">
        <v>3579</v>
      </c>
      <c r="E13" s="15">
        <v>15</v>
      </c>
    </row>
    <row r="14" spans="3:5" ht="14.25">
      <c r="C14" s="15">
        <f t="shared" si="0"/>
        <v>120</v>
      </c>
      <c r="D14" s="15">
        <v>3577</v>
      </c>
      <c r="E14" s="15">
        <v>14</v>
      </c>
    </row>
    <row r="15" spans="3:5" ht="14.25">
      <c r="C15" s="281">
        <f t="shared" si="0"/>
        <v>130</v>
      </c>
      <c r="D15" s="281">
        <v>3576</v>
      </c>
      <c r="E15" s="15">
        <v>13</v>
      </c>
    </row>
    <row r="16" spans="3:5" ht="14.25">
      <c r="C16" s="15">
        <f t="shared" si="0"/>
        <v>140</v>
      </c>
      <c r="D16" s="15">
        <v>3626</v>
      </c>
      <c r="E16" s="15">
        <v>12</v>
      </c>
    </row>
    <row r="17" spans="3:5" ht="14.25">
      <c r="C17" s="15">
        <f t="shared" si="0"/>
        <v>150</v>
      </c>
      <c r="D17" s="15">
        <v>3683</v>
      </c>
      <c r="E17" s="15">
        <v>11</v>
      </c>
    </row>
    <row r="18" spans="3:5" ht="14.25">
      <c r="C18" s="15">
        <f t="shared" si="0"/>
        <v>160</v>
      </c>
      <c r="D18" s="15">
        <v>3734</v>
      </c>
      <c r="E18" s="15">
        <v>11</v>
      </c>
    </row>
    <row r="19" spans="3:5" ht="14.25">
      <c r="C19" s="15">
        <f t="shared" si="0"/>
        <v>170</v>
      </c>
      <c r="D19" s="15">
        <v>3778</v>
      </c>
      <c r="E19" s="15">
        <v>10</v>
      </c>
    </row>
    <row r="20" spans="3:5" ht="14.25">
      <c r="C20" s="15">
        <f t="shared" si="0"/>
        <v>180</v>
      </c>
      <c r="D20" s="15">
        <v>3818</v>
      </c>
      <c r="E20" s="15">
        <v>9</v>
      </c>
    </row>
    <row r="21" spans="3:5" ht="14.25">
      <c r="C21" s="15">
        <f t="shared" si="0"/>
        <v>190</v>
      </c>
      <c r="D21" s="15">
        <v>3854</v>
      </c>
      <c r="E21" s="15">
        <v>9</v>
      </c>
    </row>
    <row r="22" spans="3:5" ht="14.25">
      <c r="C22" s="15">
        <f t="shared" si="0"/>
        <v>200</v>
      </c>
      <c r="D22" s="15">
        <v>3887</v>
      </c>
      <c r="E22" s="15">
        <v>9</v>
      </c>
    </row>
    <row r="23" spans="3:5" ht="14.25">
      <c r="C23" s="15">
        <f t="shared" si="0"/>
        <v>210</v>
      </c>
      <c r="D23" s="15">
        <v>3917</v>
      </c>
      <c r="E23" s="15">
        <v>8</v>
      </c>
    </row>
    <row r="24" spans="3:5" ht="14.25">
      <c r="C24" s="15">
        <f t="shared" si="0"/>
        <v>220</v>
      </c>
      <c r="D24" s="15">
        <v>3944</v>
      </c>
      <c r="E24" s="15">
        <v>8</v>
      </c>
    </row>
    <row r="25" spans="3:5" ht="14.25">
      <c r="C25" s="15">
        <f t="shared" si="0"/>
        <v>230</v>
      </c>
      <c r="D25" s="15">
        <v>3998</v>
      </c>
      <c r="E25" s="15">
        <v>7</v>
      </c>
    </row>
    <row r="26" spans="3:5" ht="14.25">
      <c r="C26" s="15">
        <f t="shared" si="0"/>
        <v>240</v>
      </c>
      <c r="D26" s="15">
        <v>4053</v>
      </c>
      <c r="E26" s="15">
        <v>7</v>
      </c>
    </row>
    <row r="27" spans="3:5" ht="14.25">
      <c r="C27" s="15">
        <f t="shared" si="0"/>
        <v>250</v>
      </c>
      <c r="D27" s="15">
        <v>4104</v>
      </c>
      <c r="E27" s="15">
        <v>7</v>
      </c>
    </row>
    <row r="28" spans="3:5" ht="14.25">
      <c r="C28" s="15">
        <f t="shared" si="0"/>
        <v>260</v>
      </c>
      <c r="D28" s="15">
        <v>4148</v>
      </c>
      <c r="E28" s="15">
        <v>7</v>
      </c>
    </row>
    <row r="29" spans="3:5" ht="14.25">
      <c r="C29" s="15">
        <f t="shared" si="0"/>
        <v>270</v>
      </c>
      <c r="D29" s="15">
        <v>4173</v>
      </c>
      <c r="E29" s="15">
        <v>6</v>
      </c>
    </row>
    <row r="30" spans="3:5" ht="14.25">
      <c r="C30" s="15">
        <f t="shared" si="0"/>
        <v>280</v>
      </c>
      <c r="D30" s="15">
        <v>4196</v>
      </c>
      <c r="E30" s="15">
        <v>6</v>
      </c>
    </row>
    <row r="31" spans="3:5" ht="14.25">
      <c r="C31" s="15">
        <f t="shared" si="0"/>
        <v>290</v>
      </c>
      <c r="D31" s="15">
        <v>4218</v>
      </c>
      <c r="E31" s="15">
        <v>6</v>
      </c>
    </row>
    <row r="32" spans="3:5" ht="14.25">
      <c r="C32" s="15">
        <f t="shared" si="0"/>
        <v>300</v>
      </c>
      <c r="D32" s="15">
        <v>4238</v>
      </c>
      <c r="E32" s="15">
        <v>6</v>
      </c>
    </row>
    <row r="33" spans="3:5" ht="14.25">
      <c r="C33" s="15">
        <f t="shared" si="0"/>
        <v>310</v>
      </c>
      <c r="D33" s="15">
        <v>4257</v>
      </c>
      <c r="E33" s="15">
        <v>6</v>
      </c>
    </row>
    <row r="34" spans="3:5" ht="14.25">
      <c r="C34" s="15">
        <f t="shared" si="0"/>
        <v>320</v>
      </c>
      <c r="D34" s="15">
        <v>4275</v>
      </c>
      <c r="E34" s="15">
        <v>5</v>
      </c>
    </row>
    <row r="35" spans="3:5" ht="14.25">
      <c r="C35" s="15">
        <f t="shared" si="0"/>
        <v>330</v>
      </c>
      <c r="D35" s="15">
        <v>4292</v>
      </c>
      <c r="E35" s="15">
        <v>5</v>
      </c>
    </row>
    <row r="36" spans="3:5" ht="14.25">
      <c r="C36" s="15">
        <f t="shared" si="0"/>
        <v>340</v>
      </c>
      <c r="D36" s="15">
        <v>4307</v>
      </c>
      <c r="E36" s="15">
        <v>5</v>
      </c>
    </row>
    <row r="37" spans="3:5" ht="14.25">
      <c r="C37" s="15">
        <f t="shared" si="0"/>
        <v>350</v>
      </c>
      <c r="D37" s="15">
        <v>4322</v>
      </c>
      <c r="E37" s="15">
        <v>5</v>
      </c>
    </row>
    <row r="38" spans="3:5" ht="14.25">
      <c r="C38" s="15">
        <f t="shared" si="0"/>
        <v>360</v>
      </c>
      <c r="D38" s="15">
        <v>4336</v>
      </c>
      <c r="E38" s="15">
        <v>5</v>
      </c>
    </row>
    <row r="39" spans="3:5" ht="14.25">
      <c r="C39" s="15">
        <f t="shared" si="0"/>
        <v>370</v>
      </c>
      <c r="D39" s="15">
        <v>4343</v>
      </c>
      <c r="E39" s="15">
        <v>3</v>
      </c>
    </row>
    <row r="40" spans="3:5" ht="14.25">
      <c r="C40" s="15">
        <f t="shared" si="0"/>
        <v>380</v>
      </c>
      <c r="D40" s="15">
        <v>4348</v>
      </c>
      <c r="E40" s="15">
        <v>1</v>
      </c>
    </row>
    <row r="41" spans="3:5" ht="14.25">
      <c r="C41" s="15">
        <f t="shared" si="0"/>
        <v>390</v>
      </c>
      <c r="D41" s="15">
        <v>4353</v>
      </c>
      <c r="E41" s="15">
        <v>0</v>
      </c>
    </row>
    <row r="42" spans="3:5" ht="14.25">
      <c r="C42" s="15">
        <f t="shared" si="0"/>
        <v>400</v>
      </c>
      <c r="D42" s="15">
        <v>4354</v>
      </c>
      <c r="E42" s="15">
        <v>0</v>
      </c>
    </row>
    <row r="43" spans="3:5" ht="14.25">
      <c r="C43" s="15">
        <f t="shared" si="0"/>
        <v>410</v>
      </c>
      <c r="D43" s="15">
        <v>4355</v>
      </c>
      <c r="E43" s="15">
        <v>0</v>
      </c>
    </row>
    <row r="44" spans="3:5" ht="14.25">
      <c r="C44" s="15">
        <f t="shared" si="0"/>
        <v>420</v>
      </c>
      <c r="D44" s="15">
        <v>4355</v>
      </c>
      <c r="E44" s="15">
        <v>0</v>
      </c>
    </row>
    <row r="45" spans="3:5" ht="14.25">
      <c r="C45" s="15">
        <f t="shared" si="0"/>
        <v>430</v>
      </c>
      <c r="D45" s="15">
        <v>4356</v>
      </c>
      <c r="E45" s="15">
        <v>0</v>
      </c>
    </row>
    <row r="46" spans="3:5" ht="14.25">
      <c r="C46" s="15">
        <f t="shared" si="0"/>
        <v>440</v>
      </c>
      <c r="D46" s="15">
        <v>4357</v>
      </c>
      <c r="E46" s="15">
        <v>0</v>
      </c>
    </row>
    <row r="47" spans="3:5" ht="14.25">
      <c r="C47" s="15">
        <f t="shared" si="0"/>
        <v>450</v>
      </c>
      <c r="D47" s="15">
        <v>4358</v>
      </c>
      <c r="E47" s="15">
        <v>0</v>
      </c>
    </row>
    <row r="48" spans="3:5" ht="14.25">
      <c r="C48" s="15">
        <f t="shared" si="0"/>
        <v>460</v>
      </c>
      <c r="D48" s="15">
        <v>4358</v>
      </c>
      <c r="E48" s="15">
        <v>0</v>
      </c>
    </row>
    <row r="49" spans="3:5" ht="14.25">
      <c r="C49" s="15">
        <f t="shared" si="0"/>
        <v>470</v>
      </c>
      <c r="D49" s="15">
        <v>4359</v>
      </c>
      <c r="E49" s="15">
        <v>0</v>
      </c>
    </row>
    <row r="50" spans="3:5" ht="14.25">
      <c r="C50" s="15">
        <f t="shared" si="0"/>
        <v>480</v>
      </c>
      <c r="D50" s="15">
        <v>4360</v>
      </c>
      <c r="E50" s="15">
        <v>0</v>
      </c>
    </row>
    <row r="51" spans="3:5" ht="14.25">
      <c r="C51" s="15">
        <f t="shared" si="0"/>
        <v>490</v>
      </c>
      <c r="D51" s="15">
        <v>4360</v>
      </c>
      <c r="E51" s="15">
        <v>0</v>
      </c>
    </row>
    <row r="52" spans="3:5" ht="14.25">
      <c r="C52" s="15">
        <f t="shared" si="0"/>
        <v>500</v>
      </c>
      <c r="D52" s="15">
        <v>4361</v>
      </c>
      <c r="E52" s="15">
        <v>-1</v>
      </c>
    </row>
    <row r="53" spans="3:5" ht="14.25">
      <c r="C53" s="15">
        <f t="shared" si="0"/>
        <v>510</v>
      </c>
      <c r="D53" s="15">
        <v>4361</v>
      </c>
      <c r="E53" s="15">
        <v>-1</v>
      </c>
    </row>
    <row r="54" spans="3:5" ht="14.25">
      <c r="C54" s="15">
        <f t="shared" si="0"/>
        <v>520</v>
      </c>
      <c r="D54" s="15">
        <v>4361</v>
      </c>
      <c r="E54" s="15">
        <v>-1</v>
      </c>
    </row>
    <row r="55" spans="3:5" ht="14.25">
      <c r="C55" s="15">
        <f t="shared" si="0"/>
        <v>530</v>
      </c>
      <c r="D55" s="15">
        <v>4362</v>
      </c>
      <c r="E55" s="15">
        <v>-1</v>
      </c>
    </row>
    <row r="56" spans="3:5" ht="14.25">
      <c r="C56" s="15">
        <f t="shared" si="0"/>
        <v>540</v>
      </c>
      <c r="D56" s="15">
        <v>4362</v>
      </c>
      <c r="E56" s="15">
        <v>-1</v>
      </c>
    </row>
    <row r="57" spans="3:5" ht="14.25">
      <c r="C57" s="15">
        <f t="shared" si="0"/>
        <v>550</v>
      </c>
      <c r="D57" s="15">
        <v>4363</v>
      </c>
      <c r="E57" s="15">
        <v>-1</v>
      </c>
    </row>
    <row r="58" spans="3:5" ht="14.25">
      <c r="C58" s="15">
        <f t="shared" si="0"/>
        <v>560</v>
      </c>
      <c r="D58" s="15">
        <v>4363</v>
      </c>
      <c r="E58" s="15">
        <v>-1</v>
      </c>
    </row>
    <row r="59" spans="3:5" ht="14.25">
      <c r="C59" s="15">
        <f t="shared" si="0"/>
        <v>570</v>
      </c>
      <c r="D59" s="15">
        <v>4363</v>
      </c>
      <c r="E59" s="15">
        <v>-1</v>
      </c>
    </row>
    <row r="60" spans="3:5" ht="14.25">
      <c r="C60" s="15">
        <f t="shared" si="0"/>
        <v>580</v>
      </c>
      <c r="D60" s="15">
        <v>4364</v>
      </c>
      <c r="E60" s="15">
        <v>-1</v>
      </c>
    </row>
    <row r="61" spans="3:5" ht="14.25">
      <c r="C61" s="15">
        <f t="shared" si="0"/>
        <v>590</v>
      </c>
      <c r="D61" s="15">
        <v>4364</v>
      </c>
      <c r="E61" s="15">
        <v>-1</v>
      </c>
    </row>
    <row r="62" spans="3:5" ht="14.25">
      <c r="C62" s="15">
        <f t="shared" si="0"/>
        <v>600</v>
      </c>
      <c r="D62" s="15">
        <v>4365</v>
      </c>
      <c r="E62" s="15">
        <v>-1</v>
      </c>
    </row>
    <row r="63" spans="3:5" ht="14.25">
      <c r="C63" s="15">
        <f t="shared" si="0"/>
        <v>610</v>
      </c>
      <c r="D63" s="15">
        <v>4365</v>
      </c>
      <c r="E63" s="15">
        <v>-1</v>
      </c>
    </row>
    <row r="64" spans="3:5" ht="14.25">
      <c r="C64" s="15">
        <f t="shared" si="0"/>
        <v>620</v>
      </c>
      <c r="D64" s="15">
        <v>4365</v>
      </c>
      <c r="E64" s="15">
        <v>-1</v>
      </c>
    </row>
    <row r="65" spans="3:5" ht="14.25">
      <c r="C65" s="15">
        <f t="shared" si="0"/>
        <v>630</v>
      </c>
      <c r="D65" s="15">
        <v>4365</v>
      </c>
      <c r="E65" s="15">
        <v>-2</v>
      </c>
    </row>
    <row r="66" spans="3:5" ht="14.25">
      <c r="C66" s="15">
        <f t="shared" si="0"/>
        <v>640</v>
      </c>
      <c r="D66" s="15">
        <v>4366</v>
      </c>
      <c r="E66" s="15">
        <v>-2</v>
      </c>
    </row>
    <row r="67" spans="3:5" ht="14.25">
      <c r="C67" s="15">
        <f t="shared" si="0"/>
        <v>650</v>
      </c>
      <c r="D67" s="15">
        <v>4366</v>
      </c>
      <c r="E67" s="15">
        <v>-2</v>
      </c>
    </row>
    <row r="68" spans="3:5" ht="14.25">
      <c r="C68" s="15">
        <f t="shared" si="0"/>
        <v>660</v>
      </c>
      <c r="D68" s="15">
        <v>4366</v>
      </c>
      <c r="E68" s="15">
        <v>-2</v>
      </c>
    </row>
    <row r="69" spans="3:5" ht="14.25">
      <c r="C69" s="15">
        <f t="shared" si="1" ref="C69:C74">C68+10</f>
        <v>670</v>
      </c>
      <c r="D69" s="15">
        <v>4367</v>
      </c>
      <c r="E69" s="15">
        <v>-2</v>
      </c>
    </row>
    <row r="70" spans="3:5" ht="14.25">
      <c r="C70" s="15">
        <f t="shared" si="1"/>
        <v>680</v>
      </c>
      <c r="D70" s="15">
        <v>4367</v>
      </c>
      <c r="E70" s="15">
        <v>-2</v>
      </c>
    </row>
    <row r="71" spans="3:5" ht="14.25">
      <c r="C71" s="15">
        <f t="shared" si="1"/>
        <v>690</v>
      </c>
      <c r="D71" s="15">
        <v>4367</v>
      </c>
      <c r="E71" s="15">
        <v>-2</v>
      </c>
    </row>
    <row r="72" spans="3:5" ht="14.25">
      <c r="C72" s="15">
        <f t="shared" si="1"/>
        <v>700</v>
      </c>
      <c r="D72" s="15">
        <v>4367</v>
      </c>
      <c r="E72" s="15">
        <v>-2</v>
      </c>
    </row>
    <row r="73" spans="3:5" ht="14.25">
      <c r="C73" s="15">
        <f t="shared" si="1"/>
        <v>710</v>
      </c>
      <c r="D73" s="15">
        <v>4367</v>
      </c>
      <c r="E73" s="15">
        <v>-2</v>
      </c>
    </row>
    <row r="74" spans="3:5" ht="14.25">
      <c r="C74" s="15">
        <f t="shared" si="1"/>
        <v>720</v>
      </c>
      <c r="D74" s="15">
        <v>4368</v>
      </c>
      <c r="E74" s="15">
        <v>-2</v>
      </c>
    </row>
    <row r="75" spans="3:5" ht="14.25">
      <c r="C75" s="15">
        <v>723</v>
      </c>
      <c r="D75" s="15">
        <v>4368</v>
      </c>
      <c r="E75" s="15">
        <v>-2</v>
      </c>
    </row>
  </sheetData>
  <sheetProtection algorithmName="SHA-512" hashValue="izsmQk2J8+UYz1a6rHaZU1IVJ1tRfQhjM8gcrlPd+/y2CZqdrSZ4rV/Iw+A+pEeOhTLTKbRRcRlf7egz2TbW8A==" saltValue="6mPsUZ95ErPJ0lxPSGdaSw==" spinCount="100000" sheet="1" objects="1" scenarios="1"/>
  <mergeCells count="1">
    <mergeCell ref="C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8"/>
  <dimension ref="B1:Z99"/>
  <sheetViews>
    <sheetView rightToLeft="1" workbookViewId="0" topLeftCell="B1">
      <selection pane="topLeft" activeCell="J60" sqref="J60"/>
    </sheetView>
  </sheetViews>
  <sheetFormatPr defaultRowHeight="14.25"/>
  <cols>
    <col min="8" max="10" width="9.375" bestFit="1" customWidth="1"/>
  </cols>
  <sheetData>
    <row r="1" spans="22:23" ht="14.25">
      <c r="V1" t="s">
        <v>171</v>
      </c>
      <c r="W1" t="s">
        <v>172</v>
      </c>
    </row>
    <row r="2" spans="22:23" ht="14.25">
      <c r="V2">
        <v>0</v>
      </c>
      <c r="W2">
        <v>0</v>
      </c>
    </row>
    <row r="3" spans="22:23" ht="15" thickBot="1">
      <c r="V3">
        <v>100</v>
      </c>
      <c r="W3">
        <v>1</v>
      </c>
    </row>
    <row r="4" spans="5:23" ht="15.75" thickBot="1">
      <c r="E4" s="121"/>
      <c r="F4" s="122">
        <v>10</v>
      </c>
      <c r="G4" s="123">
        <v>15</v>
      </c>
      <c r="H4" s="123">
        <v>20</v>
      </c>
      <c r="I4" s="123">
        <v>25</v>
      </c>
      <c r="J4" s="123">
        <v>30</v>
      </c>
      <c r="K4" s="123">
        <v>35</v>
      </c>
      <c r="L4" s="124">
        <v>40</v>
      </c>
      <c r="V4">
        <v>200</v>
      </c>
      <c r="W4">
        <v>2</v>
      </c>
    </row>
    <row r="5" spans="5:23" ht="15">
      <c r="E5" s="125">
        <v>0</v>
      </c>
      <c r="F5" s="146">
        <v>3800</v>
      </c>
      <c r="G5" s="146">
        <v>3800</v>
      </c>
      <c r="H5" s="146">
        <v>3800</v>
      </c>
      <c r="I5" s="146">
        <v>3800</v>
      </c>
      <c r="J5" s="146">
        <v>3800</v>
      </c>
      <c r="K5" s="146">
        <v>3800</v>
      </c>
      <c r="L5" s="148">
        <v>3800</v>
      </c>
      <c r="V5">
        <v>300</v>
      </c>
      <c r="W5">
        <v>3</v>
      </c>
    </row>
    <row r="6" spans="5:23" ht="15">
      <c r="E6" s="126">
        <v>500</v>
      </c>
      <c r="F6" s="146">
        <v>3800</v>
      </c>
      <c r="G6" s="146">
        <v>3800</v>
      </c>
      <c r="H6" s="146">
        <v>3800</v>
      </c>
      <c r="I6" s="146">
        <v>3800</v>
      </c>
      <c r="J6" s="146">
        <v>3800</v>
      </c>
      <c r="K6" s="146">
        <v>3800</v>
      </c>
      <c r="L6" s="149">
        <v>3700</v>
      </c>
      <c r="V6">
        <v>400</v>
      </c>
      <c r="W6">
        <v>4</v>
      </c>
    </row>
    <row r="7" spans="5:23" ht="15">
      <c r="E7" s="126">
        <v>1000</v>
      </c>
      <c r="F7" s="146">
        <v>3800</v>
      </c>
      <c r="G7" s="146">
        <v>3800</v>
      </c>
      <c r="H7" s="146">
        <v>3800</v>
      </c>
      <c r="I7" s="146">
        <v>3800</v>
      </c>
      <c r="J7" s="146">
        <v>3800</v>
      </c>
      <c r="K7" s="146">
        <v>3800</v>
      </c>
      <c r="L7" s="149">
        <v>3700</v>
      </c>
      <c r="V7">
        <v>500</v>
      </c>
      <c r="W7">
        <v>5</v>
      </c>
    </row>
    <row r="8" spans="5:23" ht="15">
      <c r="E8" s="126">
        <v>1500</v>
      </c>
      <c r="F8" s="146">
        <v>3800</v>
      </c>
      <c r="G8" s="146">
        <v>3800</v>
      </c>
      <c r="H8" s="146">
        <v>3800</v>
      </c>
      <c r="I8" s="146">
        <v>3800</v>
      </c>
      <c r="J8" s="146">
        <v>3800</v>
      </c>
      <c r="K8" s="146">
        <v>3800</v>
      </c>
      <c r="L8" s="149">
        <v>3700</v>
      </c>
      <c r="V8">
        <v>600</v>
      </c>
      <c r="W8">
        <v>6</v>
      </c>
    </row>
    <row r="9" spans="5:23" ht="15">
      <c r="E9" s="126">
        <v>2000</v>
      </c>
      <c r="F9" s="146">
        <v>3800</v>
      </c>
      <c r="G9" s="146">
        <v>3800</v>
      </c>
      <c r="H9" s="146">
        <v>3800</v>
      </c>
      <c r="I9" s="146">
        <v>3800</v>
      </c>
      <c r="J9" s="146">
        <v>3800</v>
      </c>
      <c r="K9" s="146">
        <v>3800</v>
      </c>
      <c r="L9" s="149">
        <v>3700</v>
      </c>
      <c r="V9">
        <v>700</v>
      </c>
      <c r="W9">
        <v>7</v>
      </c>
    </row>
    <row r="10" spans="5:23" ht="15">
      <c r="E10" s="126">
        <v>2500</v>
      </c>
      <c r="F10" s="146">
        <v>3800</v>
      </c>
      <c r="G10" s="146">
        <v>3800</v>
      </c>
      <c r="H10" s="146">
        <v>3800</v>
      </c>
      <c r="I10" s="146">
        <v>3800</v>
      </c>
      <c r="J10" s="146">
        <v>3800</v>
      </c>
      <c r="K10" s="150">
        <v>3700</v>
      </c>
      <c r="L10" s="149">
        <v>3700</v>
      </c>
      <c r="V10">
        <v>800</v>
      </c>
      <c r="W10">
        <v>8</v>
      </c>
    </row>
    <row r="11" spans="5:23" ht="15">
      <c r="E11" s="126">
        <v>3000</v>
      </c>
      <c r="F11" s="146">
        <v>3800</v>
      </c>
      <c r="G11" s="146">
        <v>3800</v>
      </c>
      <c r="H11" s="146">
        <v>3800</v>
      </c>
      <c r="I11" s="146">
        <v>3800</v>
      </c>
      <c r="J11" s="150">
        <v>3700</v>
      </c>
      <c r="K11" s="150">
        <v>3700</v>
      </c>
      <c r="L11" s="149">
        <v>3700</v>
      </c>
      <c r="V11">
        <v>900</v>
      </c>
      <c r="W11">
        <v>9</v>
      </c>
    </row>
    <row r="12" spans="5:23" ht="15">
      <c r="E12" s="126">
        <v>3500</v>
      </c>
      <c r="F12" s="146">
        <v>3800</v>
      </c>
      <c r="G12" s="146">
        <v>3800</v>
      </c>
      <c r="H12" s="146">
        <v>3800</v>
      </c>
      <c r="I12" s="150">
        <v>3700</v>
      </c>
      <c r="J12" s="150">
        <v>3700</v>
      </c>
      <c r="K12" s="150">
        <v>3700</v>
      </c>
      <c r="L12" s="149">
        <v>3700</v>
      </c>
      <c r="V12">
        <v>1000</v>
      </c>
      <c r="W12">
        <v>10</v>
      </c>
    </row>
    <row r="13" spans="5:23" ht="15.75" thickBot="1">
      <c r="E13" s="127">
        <v>4000</v>
      </c>
      <c r="F13" s="151">
        <v>3800</v>
      </c>
      <c r="G13" s="151">
        <v>3800</v>
      </c>
      <c r="H13" s="152">
        <v>3700</v>
      </c>
      <c r="I13" s="152">
        <v>3700</v>
      </c>
      <c r="J13" s="152">
        <v>3700</v>
      </c>
      <c r="K13" s="152">
        <v>3700</v>
      </c>
      <c r="L13" s="153">
        <v>3700</v>
      </c>
      <c r="V13">
        <v>1100</v>
      </c>
      <c r="W13">
        <v>11</v>
      </c>
    </row>
    <row r="14" spans="22:23" ht="14.25">
      <c r="V14">
        <v>1200</v>
      </c>
      <c r="W14">
        <v>12</v>
      </c>
    </row>
    <row r="15" spans="6:23" ht="14.25">
      <c r="F15" s="128" t="s">
        <v>173</v>
      </c>
      <c r="G15" s="129">
        <f>ראשי!$D$41</f>
        <v>2000</v>
      </c>
      <c r="H15" s="130"/>
      <c r="I15" s="131"/>
      <c r="J15" s="132" t="s">
        <v>174</v>
      </c>
      <c r="K15" s="133" t="s">
        <v>175</v>
      </c>
      <c r="V15">
        <v>1300</v>
      </c>
      <c r="W15">
        <v>13</v>
      </c>
    </row>
    <row r="16" spans="6:23" ht="14.25">
      <c r="F16" s="128" t="s">
        <v>176</v>
      </c>
      <c r="G16" s="134">
        <f>ראשי!$G$41</f>
        <v>20</v>
      </c>
      <c r="H16" s="135"/>
      <c r="I16" s="129">
        <f>$G$15</f>
        <v>2000</v>
      </c>
      <c r="J16" s="128">
        <f>ROUNDDOWN(($G$15/500),0)*500</f>
        <v>2000</v>
      </c>
      <c r="K16" s="147">
        <f>ROUNDUP(($G$15/500),0)*500</f>
        <v>2000</v>
      </c>
      <c r="V16">
        <v>1400</v>
      </c>
      <c r="W16">
        <v>14</v>
      </c>
    </row>
    <row r="17" spans="6:23" ht="15">
      <c r="F17" s="128"/>
      <c r="G17" s="136"/>
      <c r="H17" s="135" t="s">
        <v>177</v>
      </c>
      <c r="I17" s="128">
        <f>ROUNDDOWN(($G$16/5),0)*5</f>
        <v>20</v>
      </c>
      <c r="J17" s="128">
        <f>INDEX(OGEtable,MATCH(J16,$E$5:$E$13),MATCH(I17,$F$4:$L$4))</f>
        <v>3800</v>
      </c>
      <c r="K17" s="147">
        <f>INDEX(OGEtable,MATCH(K16,$E$5:$E$13),MATCH(I17,$F$4:$L$4))</f>
        <v>3800</v>
      </c>
      <c r="V17">
        <v>1500</v>
      </c>
      <c r="W17">
        <v>15</v>
      </c>
    </row>
    <row r="18" spans="6:23" ht="14.25">
      <c r="F18" s="137"/>
      <c r="G18" s="138"/>
      <c r="H18" s="135" t="s">
        <v>178</v>
      </c>
      <c r="I18" s="128">
        <f>ROUNDUP(($G$16/5),0)*5</f>
        <v>20</v>
      </c>
      <c r="J18" s="128">
        <f>INDEX(OGEtable,MATCH(J16,$E$5:$E$13),MATCH(I18,$F$4:$L$4))</f>
        <v>3800</v>
      </c>
      <c r="K18" s="147">
        <f>INDEX(OGEtable,MATCH(K16,$E$5:$E$13),MATCH(I18,$F$4:$L$4))</f>
        <v>3800</v>
      </c>
      <c r="V18">
        <v>1600</v>
      </c>
      <c r="W18">
        <v>16</v>
      </c>
    </row>
    <row r="19" spans="6:23" ht="15">
      <c r="F19" s="137"/>
      <c r="G19" s="139"/>
      <c r="H19" s="140"/>
      <c r="I19" s="141">
        <f>$G$16</f>
        <v>20</v>
      </c>
      <c r="J19" s="142" t="s">
        <v>179</v>
      </c>
      <c r="K19" s="156">
        <f>MIN($J$17:$K$18)</f>
        <v>3800</v>
      </c>
      <c r="V19">
        <v>1700</v>
      </c>
      <c r="W19">
        <v>17</v>
      </c>
    </row>
    <row r="20" spans="22:23" ht="15" thickBot="1">
      <c r="V20">
        <v>1800</v>
      </c>
      <c r="W20">
        <v>18</v>
      </c>
    </row>
    <row r="21" spans="5:23" ht="15.75" thickBot="1">
      <c r="E21" s="410" t="s">
        <v>183</v>
      </c>
      <c r="F21" s="411"/>
      <c r="G21" s="412"/>
      <c r="I21" t="s">
        <v>201</v>
      </c>
      <c r="K21" t="b">
        <f>ראשי!$L$43="כן"</f>
        <v>0</v>
      </c>
      <c r="V21">
        <v>1900</v>
      </c>
      <c r="W21">
        <v>19</v>
      </c>
    </row>
    <row r="22" spans="5:23" ht="15.75" thickBot="1">
      <c r="E22" s="63"/>
      <c r="F22" s="51" t="s">
        <v>180</v>
      </c>
      <c r="G22" s="143" t="s">
        <v>181</v>
      </c>
      <c r="I22" s="427" t="s">
        <v>200</v>
      </c>
      <c r="J22" s="428"/>
      <c r="K22" s="168">
        <f>IF($K$21,$K$19-100,$K$19)</f>
        <v>3800</v>
      </c>
      <c r="V22">
        <v>2000</v>
      </c>
      <c r="W22">
        <v>20</v>
      </c>
    </row>
    <row r="23" spans="2:23" ht="14.25">
      <c r="B23">
        <v>4535</v>
      </c>
      <c r="C23">
        <v>4380</v>
      </c>
      <c r="E23" s="144" t="s">
        <v>90</v>
      </c>
      <c r="F23" s="157">
        <f>($G23-נתונים!$AR$32)/נתונים!AQ32</f>
        <v>4382.5384615384619</v>
      </c>
      <c r="G23" s="53">
        <f>MAXGROSS</f>
        <v>3800</v>
      </c>
      <c r="V23">
        <v>2100</v>
      </c>
      <c r="W23">
        <v>21</v>
      </c>
    </row>
    <row r="24" spans="2:23" ht="15" thickBot="1">
      <c r="B24">
        <v>4525</v>
      </c>
      <c r="C24">
        <v>4383</v>
      </c>
      <c r="E24" s="145" t="s">
        <v>91</v>
      </c>
      <c r="F24" s="158">
        <f>(MAXGROSS-נתונים!AR33)/נתונים!AQ33</f>
        <v>4525.2941176470586</v>
      </c>
      <c r="G24" s="54">
        <f>MAXGROSS</f>
        <v>3800</v>
      </c>
      <c r="V24">
        <v>2200</v>
      </c>
      <c r="W24">
        <v>22</v>
      </c>
    </row>
    <row r="25" spans="22:23" ht="14.25">
      <c r="V25">
        <v>2300</v>
      </c>
      <c r="W25">
        <v>23</v>
      </c>
    </row>
    <row r="26" spans="22:23" ht="15" thickBot="1">
      <c r="V26">
        <v>2400</v>
      </c>
      <c r="W26">
        <v>24</v>
      </c>
    </row>
    <row r="27" spans="4:23" ht="15.75" thickBot="1">
      <c r="D27" s="413" t="s">
        <v>208</v>
      </c>
      <c r="E27" s="414"/>
      <c r="F27" s="414"/>
      <c r="G27" s="414"/>
      <c r="H27" s="414"/>
      <c r="I27" s="415"/>
      <c r="V27">
        <v>2500</v>
      </c>
      <c r="W27">
        <v>25</v>
      </c>
    </row>
    <row r="28" spans="22:23" ht="15" thickBot="1">
      <c r="V28">
        <v>2600</v>
      </c>
      <c r="W28">
        <v>26</v>
      </c>
    </row>
    <row r="29" spans="4:23" ht="15">
      <c r="D29" s="359" t="s">
        <v>206</v>
      </c>
      <c r="E29" s="360"/>
      <c r="F29" s="360"/>
      <c r="G29" s="360"/>
      <c r="H29" s="360"/>
      <c r="I29" s="361"/>
      <c r="V29">
        <v>2700</v>
      </c>
      <c r="W29">
        <v>27</v>
      </c>
    </row>
    <row r="30" spans="4:23" ht="14.25">
      <c r="D30" s="406" t="s">
        <v>8</v>
      </c>
      <c r="E30" s="407"/>
      <c r="F30" s="416" t="s">
        <v>14</v>
      </c>
      <c r="G30" s="407"/>
      <c r="H30" s="417" t="s">
        <v>3</v>
      </c>
      <c r="I30" s="418"/>
      <c r="V30">
        <v>2800</v>
      </c>
      <c r="W30">
        <v>28</v>
      </c>
    </row>
    <row r="31" spans="4:23" ht="15" thickBot="1">
      <c r="D31" s="408">
        <f ca="1">TOwt70-SUM(externalLOADwt)</f>
        <v>3179.6019999999999</v>
      </c>
      <c r="E31" s="409"/>
      <c r="F31" s="419">
        <f ca="1">H31/D31</f>
        <v>4483.2017513009487</v>
      </c>
      <c r="G31" s="409"/>
      <c r="H31" s="419">
        <f ca="1">TOarm70_1-SUM(externalLOADmoment)</f>
        <v>14254797.25484</v>
      </c>
      <c r="I31" s="420"/>
      <c r="R31" s="197" t="str">
        <f ca="1">IF(F31&gt;4500,"AFT","FWD")</f>
        <v>FWD</v>
      </c>
      <c r="S31" s="197" t="s">
        <v>225</v>
      </c>
      <c r="V31">
        <v>2900</v>
      </c>
      <c r="W31">
        <v>29</v>
      </c>
    </row>
    <row r="32" spans="18:23" ht="14.25">
      <c r="R32">
        <v>800</v>
      </c>
      <c r="S32" s="197" t="s">
        <v>224</v>
      </c>
      <c r="V32">
        <v>3000</v>
      </c>
      <c r="W32">
        <v>30</v>
      </c>
    </row>
    <row r="33" spans="7:23" ht="15" thickBot="1">
      <c r="G33" s="41"/>
      <c r="H33" s="41"/>
      <c r="V33">
        <v>3100</v>
      </c>
      <c r="W33">
        <v>31</v>
      </c>
    </row>
    <row r="34" spans="4:23" ht="15">
      <c r="D34" s="359" t="s">
        <v>207</v>
      </c>
      <c r="E34" s="360"/>
      <c r="F34" s="360"/>
      <c r="G34" s="360"/>
      <c r="H34" s="360"/>
      <c r="I34" s="361"/>
      <c r="V34">
        <v>3200</v>
      </c>
      <c r="W34">
        <v>32</v>
      </c>
    </row>
    <row r="35" spans="4:23" ht="14.25">
      <c r="D35" s="406" t="s">
        <v>8</v>
      </c>
      <c r="E35" s="407"/>
      <c r="F35" s="416" t="s">
        <v>14</v>
      </c>
      <c r="G35" s="407"/>
      <c r="H35" s="417" t="s">
        <v>3</v>
      </c>
      <c r="I35" s="418"/>
      <c r="V35">
        <v>3300</v>
      </c>
      <c r="W35">
        <v>33</v>
      </c>
    </row>
    <row r="36" spans="4:23" ht="15" thickBot="1">
      <c r="D36" s="408">
        <f ca="1">TOwt70-SUM(externalLOADwt)</f>
        <v>3179.6019999999999</v>
      </c>
      <c r="E36" s="409"/>
      <c r="F36" s="419">
        <f ca="1">H36/D36</f>
        <v>4483.2017513009487</v>
      </c>
      <c r="G36" s="409"/>
      <c r="H36" s="419">
        <f ca="1">TOarm70_2-SUM(externalLOADmoment)</f>
        <v>14254797.25484</v>
      </c>
      <c r="I36" s="420"/>
      <c r="V36">
        <v>3400</v>
      </c>
      <c r="W36">
        <v>34</v>
      </c>
    </row>
    <row r="37" spans="22:23" ht="14.25">
      <c r="V37">
        <v>3500</v>
      </c>
      <c r="W37">
        <v>35</v>
      </c>
    </row>
    <row r="38" spans="4:23" ht="14.25">
      <c r="D38" s="355" t="s">
        <v>213</v>
      </c>
      <c r="E38" s="355"/>
      <c r="V38">
        <v>3600</v>
      </c>
      <c r="W38">
        <v>36</v>
      </c>
    </row>
    <row r="39" spans="4:23" ht="14.25">
      <c r="D39" s="192">
        <f ca="1">F31</f>
        <v>4483.2017513009487</v>
      </c>
      <c r="E39" s="192">
        <f ca="1">D31</f>
        <v>3179.6019999999999</v>
      </c>
      <c r="V39">
        <v>3700</v>
      </c>
      <c r="W39">
        <v>37</v>
      </c>
    </row>
    <row r="40" spans="4:24" ht="14.25">
      <c r="D40" s="192">
        <f ca="1">F36</f>
        <v>4483.2017513009487</v>
      </c>
      <c r="E40" s="192">
        <f ca="1">D36</f>
        <v>3179.6019999999999</v>
      </c>
      <c r="G40" s="1" t="s">
        <v>91</v>
      </c>
      <c r="H40" s="1">
        <v>100</v>
      </c>
      <c r="I40" s="1">
        <v>200</v>
      </c>
      <c r="J40" s="1">
        <v>300</v>
      </c>
      <c r="K40" s="1">
        <v>400</v>
      </c>
      <c r="L40" s="1">
        <v>500</v>
      </c>
      <c r="M40" s="1">
        <v>600</v>
      </c>
      <c r="N40" s="1">
        <v>700</v>
      </c>
      <c r="O40" s="1">
        <v>800</v>
      </c>
      <c r="V40">
        <v>3800</v>
      </c>
      <c r="W40">
        <v>38</v>
      </c>
      <c r="X40" s="1"/>
    </row>
    <row r="41" spans="4:26" ht="14.25">
      <c r="D41" s="192">
        <f ca="1">D40</f>
        <v>4483.2017513009487</v>
      </c>
      <c r="E41" s="1">
        <v>1800</v>
      </c>
      <c r="G41" s="1" t="s">
        <v>88</v>
      </c>
      <c r="H41" s="194">
        <f>SLOPE($E$49:$E$50,$D$49:$D$50)</f>
        <v>-9.473684210526315</v>
      </c>
      <c r="I41" s="194">
        <f>SLOPE($E$56:$E$57,$D$56:$D$57)</f>
        <v>-9.1071428571428577</v>
      </c>
      <c r="J41" s="194">
        <f>SLOPE($E$63:$E$64,$D$63:$D$64)</f>
        <v>-8.75</v>
      </c>
      <c r="K41" s="194">
        <f>SLOPE($E$70:$E$71,$D$70:$D$71)</f>
        <v>-8.32</v>
      </c>
      <c r="L41" s="194">
        <f>SLOPE($E$77:$E$78,$D$77:$D$78)</f>
        <v>-7.7692307692307692</v>
      </c>
      <c r="M41" s="194">
        <f>SLOPE($E$84:$E$85,$D$84:$D$85)</f>
        <v>-7.518796992481203</v>
      </c>
      <c r="N41" s="194">
        <f>SLOPE($E$91:$E$92,$D$91:$D$92)</f>
        <v>-7.0370370370370372</v>
      </c>
      <c r="O41" s="194">
        <f>SLOPE($E$98:$E$99,$D$98:$D$99)</f>
        <v>-6.617647058823529</v>
      </c>
      <c r="V41">
        <v>3900</v>
      </c>
      <c r="W41">
        <v>39</v>
      </c>
      <c r="Z41" s="1"/>
    </row>
    <row r="42" spans="4:26" ht="14.25">
      <c r="D42" s="192">
        <f ca="1">D39</f>
        <v>4483.2017513009487</v>
      </c>
      <c r="E42" s="1">
        <v>1800</v>
      </c>
      <c r="G42" s="1" t="s">
        <v>89</v>
      </c>
      <c r="H42" s="192">
        <f>$E$49-$D$49*H$41</f>
        <v>46563.15789473684</v>
      </c>
      <c r="I42" s="192">
        <f>$E$56-$D$56*I$41</f>
        <v>44855.535714285717</v>
      </c>
      <c r="J42" s="192">
        <f>$E$63-$D$63*J$41</f>
        <v>43151.25</v>
      </c>
      <c r="K42" s="192">
        <f>$E$70-$D$70*K$41</f>
        <v>41147.68</v>
      </c>
      <c r="L42" s="192">
        <f>$E$77-$D$77*$L$41</f>
        <v>38565.538461538461</v>
      </c>
      <c r="M42" s="192">
        <f>$E$84-$D$84*$M$41</f>
        <v>37363.15789473684</v>
      </c>
      <c r="N42" s="192">
        <f>$E$91-$D$91*N$41</f>
        <v>35088.888888888891</v>
      </c>
      <c r="O42" s="192">
        <f>$E$98-$D$98*O$41</f>
        <v>33102.941176470587</v>
      </c>
      <c r="V42">
        <v>4000</v>
      </c>
      <c r="W42">
        <v>40</v>
      </c>
      <c r="Z42" s="1"/>
    </row>
    <row r="43" spans="4:26" ht="14.25">
      <c r="D43" s="192">
        <f ca="1">D39</f>
        <v>4483.2017513009487</v>
      </c>
      <c r="E43" s="192">
        <f ca="1">E39</f>
        <v>3179.6019999999999</v>
      </c>
      <c r="G43" s="1" t="s">
        <v>218</v>
      </c>
      <c r="H43" s="192">
        <f ca="1" t="shared" si="0" ref="H43:J43">($E$40-H$42)/H$41</f>
        <v>4579.3753444444446</v>
      </c>
      <c r="I43" s="192">
        <f t="shared" ca="1" si="0"/>
        <v>4576.180956862745</v>
      </c>
      <c r="J43" s="192">
        <f t="shared" ca="1" si="0"/>
        <v>4568.1883428571427</v>
      </c>
      <c r="K43" s="192">
        <f ca="1">($E$40-K$42)/K$41</f>
        <v>4563.4709134615387</v>
      </c>
      <c r="L43" s="192">
        <f ca="1" t="shared" si="1" ref="L43:N43">($E$40-L$42)/L$41</f>
        <v>4554.6254851485146</v>
      </c>
      <c r="M43" s="192">
        <f t="shared" ca="1" si="1"/>
        <v>4546.412934</v>
      </c>
      <c r="N43" s="192">
        <f t="shared" ca="1" si="1"/>
        <v>4534.4776105263163</v>
      </c>
      <c r="O43" s="192">
        <f ca="1">($E$40-O$42)/O$41</f>
        <v>4521.7490311111114</v>
      </c>
      <c r="Z43" s="1"/>
    </row>
    <row r="44" spans="8:26" ht="14.25">
      <c r="H44" t="b">
        <f ca="1">AND(MAXGROSS-noCARGOwt&gt;H40,CARGO70!H43&gt;CARGO70!$D$39)</f>
        <v>1</v>
      </c>
      <c r="I44" t="b">
        <f ca="1">AND(MAXGROSS-noCARGOwt&gt;I40,CARGO70!I43&gt;CARGO70!$D$39)</f>
        <v>1</v>
      </c>
      <c r="J44" t="b">
        <f ca="1">AND(MAXGROSS-noCARGOwt&gt;J40,CARGO70!J43&gt;CARGO70!$D$39)</f>
        <v>1</v>
      </c>
      <c r="K44" t="b">
        <f ca="1">AND(MAXGROSS-noCARGOwt&gt;K40,CARGO70!K43&gt;CARGO70!$D$39)</f>
        <v>1</v>
      </c>
      <c r="L44" t="b">
        <f ca="1">AND(MAXGROSS-noCARGOwt&gt;L40,CARGO70!L43&gt;CARGO70!$D$39)</f>
        <v>1</v>
      </c>
      <c r="M44" t="b">
        <f ca="1">AND(MAXGROSS-noCARGOwt&gt;M40,CARGO70!M43&gt;CARGO70!$D$39)</f>
        <v>1</v>
      </c>
      <c r="N44" t="b">
        <f ca="1">AND(MAXGROSS-noCARGOwt&gt;N40,CARGO70!N43&gt;CARGO70!$D$39)</f>
        <v>0</v>
      </c>
      <c r="O44" t="b">
        <f ca="1">AND(MAXGROSS-noCARGOwt&gt;O40,CARGO70!O43&gt;CARGO70!$D$39)</f>
        <v>0</v>
      </c>
      <c r="Z44" s="1"/>
    </row>
    <row r="45" spans="4:26" ht="14.25">
      <c r="D45" s="193" t="s">
        <v>226</v>
      </c>
      <c r="E45" s="193"/>
      <c r="Z45" s="1"/>
    </row>
    <row r="46" spans="4:26" ht="14.25">
      <c r="D46" s="193" t="s">
        <v>1</v>
      </c>
      <c r="E46" s="193" t="s">
        <v>0</v>
      </c>
      <c r="Z46" s="1"/>
    </row>
    <row r="47" spans="3:26" ht="14.25">
      <c r="C47" t="s">
        <v>217</v>
      </c>
      <c r="D47" s="193">
        <v>4347</v>
      </c>
      <c r="E47" s="193">
        <v>2400</v>
      </c>
      <c r="F47" s="1"/>
      <c r="G47" s="1" t="s">
        <v>90</v>
      </c>
      <c r="H47" s="1">
        <v>100</v>
      </c>
      <c r="I47" s="1">
        <v>200</v>
      </c>
      <c r="J47" s="1">
        <v>300</v>
      </c>
      <c r="K47" s="1">
        <v>400</v>
      </c>
      <c r="L47" s="1">
        <v>500</v>
      </c>
      <c r="M47" s="1">
        <v>600</v>
      </c>
      <c r="N47" s="1">
        <v>700</v>
      </c>
      <c r="O47" s="1">
        <v>800</v>
      </c>
      <c r="Z47" s="1"/>
    </row>
    <row r="48" spans="3:26" ht="14.25">
      <c r="C48" t="s">
        <v>214</v>
      </c>
      <c r="D48" s="193">
        <v>4378</v>
      </c>
      <c r="E48" s="193">
        <v>3600</v>
      </c>
      <c r="F48" s="1"/>
      <c r="G48" s="1" t="s">
        <v>88</v>
      </c>
      <c r="H48" s="194">
        <f>SLOPE($E$47:$E$48,$D$47:$D$48)</f>
        <v>38.70967741935484</v>
      </c>
      <c r="I48" s="194">
        <f>SLOPE($E$54:$E$55,$D$54:$D$55)</f>
        <v>36.666666666666664</v>
      </c>
      <c r="J48" s="194">
        <f>SLOPE($E$61:$E$62,$D$61:$D$62)</f>
        <v>34.482758620689658</v>
      </c>
      <c r="K48" s="194">
        <f>SLOPE($E$68:$E$69,$D$68:$D$69)</f>
        <v>37.50</v>
      </c>
      <c r="L48" s="194">
        <f>SLOPE($E$75:$E$76,$D$75:$D$76)</f>
        <v>33.333333333333336</v>
      </c>
      <c r="M48" s="194">
        <f>SLOPE($E$82:$E$83,$D$82:$D$83)</f>
        <v>31.818181818181817</v>
      </c>
      <c r="N48" s="194">
        <f>SLOPE($E$89:$E$90,$D$89:$D$90)</f>
        <v>30</v>
      </c>
      <c r="O48" s="194">
        <f>SLOPE($E$96:$E$97,$D$96:$D$97)</f>
        <v>29.411764705882351</v>
      </c>
      <c r="Z48" s="1"/>
    </row>
    <row r="49" spans="3:26" ht="14.25">
      <c r="C49" t="s">
        <v>215</v>
      </c>
      <c r="D49" s="193">
        <v>4535</v>
      </c>
      <c r="E49" s="193">
        <v>3600</v>
      </c>
      <c r="F49" s="1"/>
      <c r="G49" s="1" t="s">
        <v>89</v>
      </c>
      <c r="H49" s="192">
        <f>$E$47-$D$47*H$48</f>
        <v>-165870.96774193548</v>
      </c>
      <c r="I49" s="192">
        <f>$E$54-$D$54*I$48</f>
        <v>-156990</v>
      </c>
      <c r="J49" s="192">
        <f>$E$61-$D$61*J$48</f>
        <v>-147496.55172413794</v>
      </c>
      <c r="K49" s="192">
        <f>$E$68-$D$68*K$48</f>
        <v>-160725</v>
      </c>
      <c r="L49" s="192">
        <f>$E$75-$D$75*L$48</f>
        <v>-142600</v>
      </c>
      <c r="M49" s="192">
        <f>$E$82-$D$82*M$48</f>
        <v>-136009.09090909091</v>
      </c>
      <c r="N49" s="192">
        <f>$E$89-$D$89*N$48</f>
        <v>-128100</v>
      </c>
      <c r="O49" s="192">
        <f>$E$96-$D$96*O$48</f>
        <v>-125541.17647058822</v>
      </c>
      <c r="Z49" s="1"/>
    </row>
    <row r="50" spans="3:26" ht="14.25">
      <c r="C50" t="s">
        <v>216</v>
      </c>
      <c r="D50" s="193">
        <v>4630</v>
      </c>
      <c r="E50" s="193">
        <v>2700</v>
      </c>
      <c r="F50" s="1"/>
      <c r="G50" s="1" t="s">
        <v>218</v>
      </c>
      <c r="H50" s="192">
        <f ca="1" t="shared" si="2" ref="H50:J50">($E$40-H$49)/H$48</f>
        <v>4367.1397183333338</v>
      </c>
      <c r="I50" s="192">
        <f t="shared" ca="1" si="2"/>
        <v>4368.2618727272729</v>
      </c>
      <c r="J50" s="192">
        <f t="shared" ca="1" si="2"/>
        <v>4369.6084580000006</v>
      </c>
      <c r="K50" s="192">
        <f ca="1">($E$40-K$49)/K$48</f>
        <v>4370.7893866666673</v>
      </c>
      <c r="L50" s="192">
        <f ca="1" t="shared" si="3" ref="L50:N50">($E$40-L$49)/L$48</f>
        <v>4373.3880600000002</v>
      </c>
      <c r="M50" s="192">
        <f t="shared" ca="1" si="3"/>
        <v>4374.5017771428575</v>
      </c>
      <c r="N50" s="192">
        <f t="shared" ca="1" si="3"/>
        <v>4375.9867333333341</v>
      </c>
      <c r="O50" s="192">
        <f ca="1">($E$40-O$49)/O$48</f>
        <v>4376.5064679999996</v>
      </c>
      <c r="Z50" s="1"/>
    </row>
    <row r="51" spans="4:26" ht="14.25">
      <c r="D51" s="193"/>
      <c r="E51" s="193"/>
      <c r="F51" s="1"/>
      <c r="G51" s="1"/>
      <c r="H51" t="b">
        <f ca="1">AND(MAXGROSS-noCARGOwt&gt;H40,CARGO70!H50&lt;CARGO70!$D$40)</f>
        <v>1</v>
      </c>
      <c r="I51" t="b">
        <f ca="1">AND(MAXGROSS-noCARGOwt&gt;I40,CARGO70!I50&lt;CARGO70!$D$40)</f>
        <v>1</v>
      </c>
      <c r="J51" t="b">
        <f ca="1">AND(MAXGROSS-noCARGOwt&gt;J40,CARGO70!J50&lt;CARGO70!$D$40)</f>
        <v>1</v>
      </c>
      <c r="K51" t="b">
        <f ca="1">AND(MAXGROSS-noCARGOwt&gt;K40,CARGO70!K50&lt;CARGO70!$D$40)</f>
        <v>1</v>
      </c>
      <c r="L51" t="b">
        <f ca="1">AND(MAXGROSS-noCARGOwt&gt;L40,CARGO70!L50&lt;CARGO70!$D$40)</f>
        <v>1</v>
      </c>
      <c r="M51" t="b">
        <f ca="1">AND(MAXGROSS-noCARGOwt&gt;M40,CARGO70!M50&lt;CARGO70!$D$40)</f>
        <v>1</v>
      </c>
      <c r="N51" t="b">
        <f ca="1">AND(MAXGROSS-noCARGOwt&gt;N40,CARGO70!N50&lt;CARGO70!$D$40)</f>
        <v>0</v>
      </c>
      <c r="O51" t="b">
        <f ca="1">AND(MAXGROSS-noCARGOwt&gt;O40,CARGO70!O50&lt;CARGO70!$D$40)</f>
        <v>0</v>
      </c>
      <c r="Z51" s="1"/>
    </row>
    <row r="52" spans="4:26" ht="14.25">
      <c r="D52" s="193" t="s">
        <v>227</v>
      </c>
      <c r="E52" s="193"/>
      <c r="F52" s="1"/>
      <c r="Z52" s="1"/>
    </row>
    <row r="53" spans="4:26" ht="14.25">
      <c r="D53" s="193" t="s">
        <v>1</v>
      </c>
      <c r="E53" s="193" t="s">
        <v>0</v>
      </c>
      <c r="F53" s="1"/>
      <c r="H53" s="355" t="s">
        <v>219</v>
      </c>
      <c r="I53" s="355"/>
      <c r="J53" s="355"/>
      <c r="K53" s="355"/>
      <c r="L53" s="355"/>
      <c r="M53" s="355"/>
      <c r="N53" s="355"/>
      <c r="Z53" s="1"/>
    </row>
    <row r="54" spans="3:26" ht="14.25">
      <c r="C54" t="s">
        <v>217</v>
      </c>
      <c r="D54" s="193">
        <v>4347</v>
      </c>
      <c r="E54" s="193">
        <v>2400</v>
      </c>
      <c r="F54" s="1"/>
      <c r="H54">
        <f ca="1" t="shared" si="4" ref="H54:J54">IF(AND(H44,H51),H40,0)</f>
        <v>100</v>
      </c>
      <c r="I54">
        <f t="shared" ca="1" si="4"/>
        <v>200</v>
      </c>
      <c r="J54">
        <f t="shared" ca="1" si="4"/>
        <v>300</v>
      </c>
      <c r="K54">
        <f ca="1">IF(AND(K44,K51),K40,0)</f>
        <v>400</v>
      </c>
      <c r="L54">
        <f ca="1" t="shared" si="5" ref="L54:O54">IF(AND(L44,L51),L40,0)</f>
        <v>500</v>
      </c>
      <c r="M54">
        <f t="shared" ca="1" si="5"/>
        <v>600</v>
      </c>
      <c r="N54">
        <f t="shared" ca="1" si="5"/>
        <v>0</v>
      </c>
      <c r="O54">
        <f t="shared" ca="1" si="5"/>
        <v>0</v>
      </c>
      <c r="Z54" s="1"/>
    </row>
    <row r="55" spans="3:26" ht="14.25">
      <c r="C55" t="s">
        <v>214</v>
      </c>
      <c r="D55" s="193">
        <v>4377</v>
      </c>
      <c r="E55" s="193">
        <v>3500</v>
      </c>
      <c r="F55" s="1"/>
      <c r="Z55" s="1"/>
    </row>
    <row r="56" spans="3:26" ht="14.25">
      <c r="C56" t="s">
        <v>215</v>
      </c>
      <c r="D56" s="193">
        <v>4541</v>
      </c>
      <c r="E56" s="193">
        <v>3500</v>
      </c>
      <c r="F56" s="1"/>
      <c r="G56" s="1"/>
      <c r="K56" s="196">
        <f ca="1">HLOOKUP(K57,IF(cargoLIMITarea="AFT",$H$40:$O$43,$H$47:$O$50),4,FALSE)</f>
        <v>4374.5017771428575</v>
      </c>
      <c r="L56" s="196">
        <f ca="1">IF(cargoLIMITarea="AFT",F31,F36)</f>
        <v>4483.2017513009487</v>
      </c>
      <c r="M56" s="196">
        <f ca="1">HLOOKUP(M57,IF(cargoLIMITarea="AFT",$H$40:$O$43,$H$47:$O$50),4,FALSE)</f>
        <v>4375.9867333333341</v>
      </c>
      <c r="N56" s="1"/>
      <c r="Z56" s="1"/>
    </row>
    <row r="57" spans="3:13" ht="14.25">
      <c r="C57" t="s">
        <v>216</v>
      </c>
      <c r="D57" s="193">
        <v>4653</v>
      </c>
      <c r="E57" s="193">
        <v>2480</v>
      </c>
      <c r="F57" s="1"/>
      <c r="K57" s="193">
        <f ca="1">IF(MAX($H$54:$N$54)&gt;maxGRAPH,maxGRAPH,MAX($H$54:$N$54))</f>
        <v>600</v>
      </c>
      <c r="L57" s="193">
        <f ca="1">IF(M57-K57=0,K57,ROUNDDOWN(M57-(F31-M56)/(K56-M56)*100,-1))</f>
        <v>7920</v>
      </c>
      <c r="M57" s="193">
        <f ca="1">IF(MAX($H$54:$N$54)+100&gt;maxGRAPH,maxGRAPH,MAX($H$54:$N$54)+100)</f>
        <v>700</v>
      </c>
    </row>
    <row r="58" spans="6:12" ht="14.25">
      <c r="F58" s="1"/>
      <c r="G58" s="1"/>
      <c r="H58" s="1"/>
      <c r="I58" s="1"/>
      <c r="J58" s="1"/>
      <c r="K58" s="1"/>
      <c r="L58" s="1"/>
    </row>
    <row r="59" spans="4:12" ht="14.25">
      <c r="D59" s="193" t="s">
        <v>228</v>
      </c>
      <c r="E59" s="193"/>
      <c r="F59" s="1"/>
      <c r="J59" s="192">
        <f ca="1">ROUND(MAXGROSS-SUM(ראשי!$F$47:$F$48),0)</f>
        <v>1100</v>
      </c>
      <c r="K59" t="s">
        <v>221</v>
      </c>
      <c r="L59" s="1"/>
    </row>
    <row r="60" spans="4:12" ht="14.25">
      <c r="D60" s="193" t="s">
        <v>1</v>
      </c>
      <c r="E60" s="193" t="s">
        <v>0</v>
      </c>
      <c r="F60" s="1"/>
      <c r="G60" s="1"/>
      <c r="H60" s="1"/>
      <c r="I60" s="1"/>
      <c r="J60" s="1">
        <f ca="1">payload-FUEL70-PAXandEQUIP</f>
        <v>616</v>
      </c>
      <c r="K60" s="197" t="s">
        <v>222</v>
      </c>
      <c r="L60" s="1"/>
    </row>
    <row r="61" spans="3:12" ht="15" thickBot="1">
      <c r="C61" t="s">
        <v>217</v>
      </c>
      <c r="D61" s="193">
        <v>4347</v>
      </c>
      <c r="E61" s="193">
        <v>2400</v>
      </c>
      <c r="F61" s="1"/>
      <c r="G61" s="1"/>
      <c r="H61" s="1"/>
      <c r="I61" s="1"/>
      <c r="J61" s="1"/>
      <c r="K61" s="1"/>
      <c r="L61" s="1"/>
    </row>
    <row r="62" spans="3:12" ht="15.75" thickBot="1">
      <c r="C62" t="s">
        <v>214</v>
      </c>
      <c r="D62" s="193">
        <v>4376</v>
      </c>
      <c r="E62" s="193">
        <v>3400</v>
      </c>
      <c r="F62" s="1"/>
      <c r="G62" s="195">
        <f ca="1">IFERROR(IF(MIN(J60,L57)&gt;maxGRAPH,maxGRAPH,MIN(J60,L57)),0)</f>
        <v>616</v>
      </c>
      <c r="H62" s="421" t="s">
        <v>220</v>
      </c>
      <c r="I62" s="421"/>
      <c r="J62" s="421"/>
      <c r="K62" s="422"/>
      <c r="L62" s="1"/>
    </row>
    <row r="63" spans="3:12" ht="14.25">
      <c r="C63" t="s">
        <v>215</v>
      </c>
      <c r="D63" s="193">
        <v>4543</v>
      </c>
      <c r="E63" s="193">
        <v>3400</v>
      </c>
      <c r="F63" s="1"/>
      <c r="G63" s="1" t="str">
        <f ca="1">IF(OR(maxCARGO=J60,maxCARGO=maxGRAPH),"(משקל)","(CG)")</f>
        <v>(משקל)</v>
      </c>
      <c r="H63" s="1" t="s">
        <v>223</v>
      </c>
      <c r="I63" s="1"/>
      <c r="J63" s="1"/>
      <c r="K63" s="1"/>
      <c r="L63" s="1"/>
    </row>
    <row r="64" spans="3:7" ht="14.25">
      <c r="C64" t="s">
        <v>216</v>
      </c>
      <c r="D64" s="193">
        <v>4663</v>
      </c>
      <c r="E64" s="193">
        <v>2350</v>
      </c>
      <c r="F64" s="1"/>
      <c r="G64" s="1"/>
    </row>
    <row r="65" spans="6:8" ht="14.25">
      <c r="F65" s="1"/>
      <c r="G65" s="1" t="str">
        <f ca="1">IF(maxCARGO&gt;=(0.7*680+40),"GO","NO GO")</f>
        <v>GO</v>
      </c>
      <c r="H65" t="s">
        <v>229</v>
      </c>
    </row>
    <row r="66" spans="4:7" ht="14.25">
      <c r="D66" s="193" t="s">
        <v>209</v>
      </c>
      <c r="E66" s="193"/>
      <c r="F66" s="1"/>
      <c r="G66" s="1"/>
    </row>
    <row r="67" spans="4:7" ht="14.25">
      <c r="D67" s="193" t="s">
        <v>1</v>
      </c>
      <c r="E67" s="193" t="s">
        <v>0</v>
      </c>
      <c r="F67" s="1"/>
      <c r="G67" s="1"/>
    </row>
    <row r="68" spans="3:7" ht="14.25">
      <c r="C68" t="s">
        <v>217</v>
      </c>
      <c r="D68" s="193">
        <v>4350</v>
      </c>
      <c r="E68" s="193">
        <v>2400</v>
      </c>
      <c r="F68" s="1"/>
      <c r="G68" s="1"/>
    </row>
    <row r="69" spans="3:7" ht="14.25">
      <c r="C69" t="s">
        <v>214</v>
      </c>
      <c r="D69" s="193">
        <v>4374</v>
      </c>
      <c r="E69" s="193">
        <v>3300</v>
      </c>
      <c r="F69" s="1"/>
      <c r="G69" s="1"/>
    </row>
    <row r="70" spans="3:7" ht="14.25">
      <c r="C70" t="s">
        <v>215</v>
      </c>
      <c r="D70" s="193">
        <v>4549</v>
      </c>
      <c r="E70" s="193">
        <v>3300</v>
      </c>
      <c r="F70" s="1"/>
      <c r="G70" s="1"/>
    </row>
    <row r="71" spans="3:7" ht="14.25">
      <c r="C71" t="s">
        <v>216</v>
      </c>
      <c r="D71" s="193">
        <v>4674</v>
      </c>
      <c r="E71" s="193">
        <v>2260</v>
      </c>
      <c r="F71" s="1"/>
      <c r="G71" s="1"/>
    </row>
    <row r="72" spans="6:7" ht="14.25">
      <c r="F72" s="1"/>
      <c r="G72" s="1"/>
    </row>
    <row r="73" spans="4:5" ht="14.25">
      <c r="D73" s="193" t="s">
        <v>210</v>
      </c>
      <c r="E73" s="193"/>
    </row>
    <row r="74" spans="4:5" ht="14.25">
      <c r="D74" s="193" t="s">
        <v>1</v>
      </c>
      <c r="E74" s="193" t="s">
        <v>0</v>
      </c>
    </row>
    <row r="75" spans="3:5" ht="14.25">
      <c r="C75" t="s">
        <v>217</v>
      </c>
      <c r="D75" s="193">
        <v>4350</v>
      </c>
      <c r="E75" s="193">
        <v>2400</v>
      </c>
    </row>
    <row r="76" spans="3:5" ht="14.25">
      <c r="C76" t="s">
        <v>214</v>
      </c>
      <c r="D76" s="193">
        <v>4374</v>
      </c>
      <c r="E76" s="193">
        <v>3200</v>
      </c>
    </row>
    <row r="77" spans="3:5" ht="14.25">
      <c r="C77" t="s">
        <v>215</v>
      </c>
      <c r="D77" s="193">
        <v>4552</v>
      </c>
      <c r="E77" s="193">
        <v>3200</v>
      </c>
    </row>
    <row r="78" spans="3:5" ht="14.25">
      <c r="C78" t="s">
        <v>216</v>
      </c>
      <c r="D78" s="193">
        <v>4682</v>
      </c>
      <c r="E78" s="193">
        <v>2190</v>
      </c>
    </row>
    <row r="80" spans="4:5" ht="14.25">
      <c r="D80" s="193" t="s">
        <v>211</v>
      </c>
      <c r="E80" s="193"/>
    </row>
    <row r="81" spans="4:5" ht="14.25">
      <c r="D81" s="193" t="s">
        <v>1</v>
      </c>
      <c r="E81" s="193" t="s">
        <v>0</v>
      </c>
    </row>
    <row r="82" spans="3:5" ht="14.25">
      <c r="C82" t="s">
        <v>217</v>
      </c>
      <c r="D82" s="193">
        <v>4350</v>
      </c>
      <c r="E82" s="193">
        <v>2400</v>
      </c>
    </row>
    <row r="83" spans="3:5" ht="14.25">
      <c r="C83" t="s">
        <v>214</v>
      </c>
      <c r="D83" s="193">
        <v>4372</v>
      </c>
      <c r="E83" s="193">
        <v>3100</v>
      </c>
    </row>
    <row r="84" spans="3:5" ht="14.25">
      <c r="C84" t="s">
        <v>215</v>
      </c>
      <c r="D84" s="193">
        <v>4557</v>
      </c>
      <c r="E84" s="193">
        <v>3100</v>
      </c>
    </row>
    <row r="85" spans="3:5" ht="14.25">
      <c r="C85" t="s">
        <v>216</v>
      </c>
      <c r="D85" s="193">
        <v>4690</v>
      </c>
      <c r="E85" s="193">
        <v>2100</v>
      </c>
    </row>
    <row r="87" spans="4:5" ht="14.25">
      <c r="D87" s="193" t="s">
        <v>212</v>
      </c>
      <c r="E87" s="193"/>
    </row>
    <row r="88" spans="4:5" ht="14.25">
      <c r="D88" s="193" t="s">
        <v>1</v>
      </c>
      <c r="E88" s="193" t="s">
        <v>0</v>
      </c>
    </row>
    <row r="89" spans="3:5" ht="14.25">
      <c r="C89" t="s">
        <v>217</v>
      </c>
      <c r="D89" s="193">
        <v>4350</v>
      </c>
      <c r="E89" s="193">
        <v>2400</v>
      </c>
    </row>
    <row r="90" spans="3:5" ht="14.25">
      <c r="C90" t="s">
        <v>214</v>
      </c>
      <c r="D90" s="193">
        <v>4370</v>
      </c>
      <c r="E90" s="193">
        <v>3000</v>
      </c>
    </row>
    <row r="91" spans="3:5" ht="14.25">
      <c r="C91" t="s">
        <v>215</v>
      </c>
      <c r="D91" s="193">
        <v>4560</v>
      </c>
      <c r="E91" s="193">
        <v>3000</v>
      </c>
    </row>
    <row r="92" spans="3:5" ht="14.25">
      <c r="C92" t="s">
        <v>216</v>
      </c>
      <c r="D92" s="193">
        <v>4695</v>
      </c>
      <c r="E92" s="193">
        <v>2050</v>
      </c>
    </row>
    <row r="94" spans="4:5" ht="14.25">
      <c r="D94" s="193" t="s">
        <v>234</v>
      </c>
      <c r="E94" s="193"/>
    </row>
    <row r="95" spans="4:5" ht="14.25">
      <c r="D95" s="193" t="s">
        <v>1</v>
      </c>
      <c r="E95" s="193" t="s">
        <v>0</v>
      </c>
    </row>
    <row r="96" spans="3:5" ht="14.25">
      <c r="C96" t="s">
        <v>217</v>
      </c>
      <c r="D96" s="193">
        <v>4350</v>
      </c>
      <c r="E96" s="193">
        <v>2400</v>
      </c>
    </row>
    <row r="97" spans="3:5" ht="14.25">
      <c r="C97" t="s">
        <v>214</v>
      </c>
      <c r="D97" s="193">
        <v>4367</v>
      </c>
      <c r="E97" s="193">
        <v>2900</v>
      </c>
    </row>
    <row r="98" spans="3:5" ht="14.25">
      <c r="C98" t="s">
        <v>215</v>
      </c>
      <c r="D98" s="193">
        <v>4564</v>
      </c>
      <c r="E98" s="193">
        <v>2900</v>
      </c>
    </row>
    <row r="99" spans="3:5" ht="14.25">
      <c r="C99" t="s">
        <v>216</v>
      </c>
      <c r="D99" s="193">
        <v>4700</v>
      </c>
      <c r="E99" s="193">
        <v>2000</v>
      </c>
    </row>
  </sheetData>
  <mergeCells count="20">
    <mergeCell ref="E21:G21"/>
    <mergeCell ref="I22:J22"/>
    <mergeCell ref="D27:I27"/>
    <mergeCell ref="D29:I29"/>
    <mergeCell ref="D30:E30"/>
    <mergeCell ref="F30:G30"/>
    <mergeCell ref="H30:I30"/>
    <mergeCell ref="H62:K62"/>
    <mergeCell ref="D31:E31"/>
    <mergeCell ref="F31:G31"/>
    <mergeCell ref="H31:I31"/>
    <mergeCell ref="D34:I34"/>
    <mergeCell ref="D35:E35"/>
    <mergeCell ref="F35:G35"/>
    <mergeCell ref="H35:I35"/>
    <mergeCell ref="D36:E36"/>
    <mergeCell ref="F36:G36"/>
    <mergeCell ref="H36:I36"/>
    <mergeCell ref="D38:E38"/>
    <mergeCell ref="H53:N53"/>
  </mergeCells>
  <conditionalFormatting sqref="F19">
    <cfRule type="cellIs" priority="2" dxfId="7" operator="greaterThan">
      <formula>80</formula>
    </cfRule>
  </conditionalFormatting>
  <conditionalFormatting sqref="F19">
    <cfRule type="cellIs" priority="1" dxfId="7" operator="greaterThan">
      <formula>120</formula>
    </cfRule>
  </conditionalFormatting>
  <pageMargins left="0.7" right="0.7" top="0.75" bottom="0.75" header="0.3" footer="0.3"/>
  <pageSetup horizontalDpi="200" verticalDpi="200" orientation="portrait" paperSize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9"/>
  <dimension ref="B1:Z99"/>
  <sheetViews>
    <sheetView rightToLeft="1" workbookViewId="0" topLeftCell="B29">
      <selection pane="topLeft" activeCell="J65" sqref="J65"/>
    </sheetView>
  </sheetViews>
  <sheetFormatPr defaultRowHeight="14.25"/>
  <cols>
    <col min="8" max="10" width="9.375" bestFit="1" customWidth="1"/>
  </cols>
  <sheetData>
    <row r="1" spans="22:23" ht="14.25">
      <c r="V1" t="s">
        <v>171</v>
      </c>
      <c r="W1" t="s">
        <v>172</v>
      </c>
    </row>
    <row r="2" spans="22:23" ht="14.25">
      <c r="V2">
        <v>0</v>
      </c>
      <c r="W2">
        <v>0</v>
      </c>
    </row>
    <row r="3" spans="22:23" ht="15" thickBot="1">
      <c r="V3">
        <v>100</v>
      </c>
      <c r="W3">
        <v>1</v>
      </c>
    </row>
    <row r="4" spans="5:23" ht="15.75" thickBot="1">
      <c r="E4" s="121"/>
      <c r="F4" s="122">
        <v>10</v>
      </c>
      <c r="G4" s="123">
        <v>15</v>
      </c>
      <c r="H4" s="123">
        <v>20</v>
      </c>
      <c r="I4" s="123">
        <v>25</v>
      </c>
      <c r="J4" s="123">
        <v>30</v>
      </c>
      <c r="K4" s="123">
        <v>35</v>
      </c>
      <c r="L4" s="124">
        <v>40</v>
      </c>
      <c r="V4">
        <v>200</v>
      </c>
      <c r="W4">
        <v>2</v>
      </c>
    </row>
    <row r="5" spans="5:23" ht="15">
      <c r="E5" s="125">
        <v>0</v>
      </c>
      <c r="F5" s="146">
        <v>3800</v>
      </c>
      <c r="G5" s="146">
        <v>3800</v>
      </c>
      <c r="H5" s="146">
        <v>3800</v>
      </c>
      <c r="I5" s="146">
        <v>3800</v>
      </c>
      <c r="J5" s="146">
        <v>3800</v>
      </c>
      <c r="K5" s="146">
        <v>3800</v>
      </c>
      <c r="L5" s="148">
        <v>3800</v>
      </c>
      <c r="V5">
        <v>300</v>
      </c>
      <c r="W5">
        <v>3</v>
      </c>
    </row>
    <row r="6" spans="5:23" ht="15">
      <c r="E6" s="126">
        <v>500</v>
      </c>
      <c r="F6" s="146">
        <v>3800</v>
      </c>
      <c r="G6" s="146">
        <v>3800</v>
      </c>
      <c r="H6" s="146">
        <v>3800</v>
      </c>
      <c r="I6" s="146">
        <v>3800</v>
      </c>
      <c r="J6" s="146">
        <v>3800</v>
      </c>
      <c r="K6" s="146">
        <v>3800</v>
      </c>
      <c r="L6" s="149">
        <v>3700</v>
      </c>
      <c r="V6">
        <v>400</v>
      </c>
      <c r="W6">
        <v>4</v>
      </c>
    </row>
    <row r="7" spans="5:23" ht="15">
      <c r="E7" s="126">
        <v>1000</v>
      </c>
      <c r="F7" s="146">
        <v>3800</v>
      </c>
      <c r="G7" s="146">
        <v>3800</v>
      </c>
      <c r="H7" s="146">
        <v>3800</v>
      </c>
      <c r="I7" s="146">
        <v>3800</v>
      </c>
      <c r="J7" s="146">
        <v>3800</v>
      </c>
      <c r="K7" s="146">
        <v>3800</v>
      </c>
      <c r="L7" s="149">
        <v>3700</v>
      </c>
      <c r="V7">
        <v>500</v>
      </c>
      <c r="W7">
        <v>5</v>
      </c>
    </row>
    <row r="8" spans="5:23" ht="15">
      <c r="E8" s="126">
        <v>1500</v>
      </c>
      <c r="F8" s="146">
        <v>3800</v>
      </c>
      <c r="G8" s="146">
        <v>3800</v>
      </c>
      <c r="H8" s="146">
        <v>3800</v>
      </c>
      <c r="I8" s="146">
        <v>3800</v>
      </c>
      <c r="J8" s="146">
        <v>3800</v>
      </c>
      <c r="K8" s="146">
        <v>3800</v>
      </c>
      <c r="L8" s="149">
        <v>3700</v>
      </c>
      <c r="V8">
        <v>600</v>
      </c>
      <c r="W8">
        <v>6</v>
      </c>
    </row>
    <row r="9" spans="5:23" ht="15">
      <c r="E9" s="126">
        <v>2000</v>
      </c>
      <c r="F9" s="146">
        <v>3800</v>
      </c>
      <c r="G9" s="146">
        <v>3800</v>
      </c>
      <c r="H9" s="146">
        <v>3800</v>
      </c>
      <c r="I9" s="146">
        <v>3800</v>
      </c>
      <c r="J9" s="146">
        <v>3800</v>
      </c>
      <c r="K9" s="146">
        <v>3800</v>
      </c>
      <c r="L9" s="149">
        <v>3700</v>
      </c>
      <c r="V9">
        <v>700</v>
      </c>
      <c r="W9">
        <v>7</v>
      </c>
    </row>
    <row r="10" spans="5:23" ht="15">
      <c r="E10" s="126">
        <v>2500</v>
      </c>
      <c r="F10" s="146">
        <v>3800</v>
      </c>
      <c r="G10" s="146">
        <v>3800</v>
      </c>
      <c r="H10" s="146">
        <v>3800</v>
      </c>
      <c r="I10" s="146">
        <v>3800</v>
      </c>
      <c r="J10" s="146">
        <v>3800</v>
      </c>
      <c r="K10" s="150">
        <v>3700</v>
      </c>
      <c r="L10" s="149">
        <v>3700</v>
      </c>
      <c r="V10">
        <v>800</v>
      </c>
      <c r="W10">
        <v>8</v>
      </c>
    </row>
    <row r="11" spans="5:23" ht="15">
      <c r="E11" s="126">
        <v>3000</v>
      </c>
      <c r="F11" s="146">
        <v>3800</v>
      </c>
      <c r="G11" s="146">
        <v>3800</v>
      </c>
      <c r="H11" s="146">
        <v>3800</v>
      </c>
      <c r="I11" s="146">
        <v>3800</v>
      </c>
      <c r="J11" s="150">
        <v>3700</v>
      </c>
      <c r="K11" s="150">
        <v>3700</v>
      </c>
      <c r="L11" s="149">
        <v>3700</v>
      </c>
      <c r="V11">
        <v>900</v>
      </c>
      <c r="W11">
        <v>9</v>
      </c>
    </row>
    <row r="12" spans="5:23" ht="15">
      <c r="E12" s="126">
        <v>3500</v>
      </c>
      <c r="F12" s="146">
        <v>3800</v>
      </c>
      <c r="G12" s="146">
        <v>3800</v>
      </c>
      <c r="H12" s="146">
        <v>3800</v>
      </c>
      <c r="I12" s="150">
        <v>3700</v>
      </c>
      <c r="J12" s="150">
        <v>3700</v>
      </c>
      <c r="K12" s="150">
        <v>3700</v>
      </c>
      <c r="L12" s="149">
        <v>3700</v>
      </c>
      <c r="V12">
        <v>1000</v>
      </c>
      <c r="W12">
        <v>10</v>
      </c>
    </row>
    <row r="13" spans="5:23" ht="15.75" thickBot="1">
      <c r="E13" s="127">
        <v>4000</v>
      </c>
      <c r="F13" s="151">
        <v>3800</v>
      </c>
      <c r="G13" s="151">
        <v>3800</v>
      </c>
      <c r="H13" s="152">
        <v>3700</v>
      </c>
      <c r="I13" s="152">
        <v>3700</v>
      </c>
      <c r="J13" s="152">
        <v>3700</v>
      </c>
      <c r="K13" s="152">
        <v>3700</v>
      </c>
      <c r="L13" s="153">
        <v>3700</v>
      </c>
      <c r="V13">
        <v>1100</v>
      </c>
      <c r="W13">
        <v>11</v>
      </c>
    </row>
    <row r="14" spans="22:23" ht="14.25">
      <c r="V14">
        <v>1200</v>
      </c>
      <c r="W14">
        <v>12</v>
      </c>
    </row>
    <row r="15" spans="6:23" ht="14.25">
      <c r="F15" s="128" t="s">
        <v>173</v>
      </c>
      <c r="G15" s="129">
        <f>ראשי!$D$41</f>
        <v>2000</v>
      </c>
      <c r="H15" s="130"/>
      <c r="I15" s="131"/>
      <c r="J15" s="132" t="s">
        <v>174</v>
      </c>
      <c r="K15" s="133" t="s">
        <v>175</v>
      </c>
      <c r="V15">
        <v>1300</v>
      </c>
      <c r="W15">
        <v>13</v>
      </c>
    </row>
    <row r="16" spans="6:23" ht="14.25">
      <c r="F16" s="128" t="s">
        <v>176</v>
      </c>
      <c r="G16" s="134">
        <f>ראשי!$G$41</f>
        <v>20</v>
      </c>
      <c r="H16" s="135"/>
      <c r="I16" s="129">
        <f>$G$15</f>
        <v>2000</v>
      </c>
      <c r="J16" s="128">
        <f>ROUNDDOWN(($G$15/500),0)*500</f>
        <v>2000</v>
      </c>
      <c r="K16" s="147">
        <f>ROUNDUP(($G$15/500),0)*500</f>
        <v>2000</v>
      </c>
      <c r="V16">
        <v>1400</v>
      </c>
      <c r="W16">
        <v>14</v>
      </c>
    </row>
    <row r="17" spans="6:23" ht="15">
      <c r="F17" s="128"/>
      <c r="G17" s="136"/>
      <c r="H17" s="135" t="s">
        <v>177</v>
      </c>
      <c r="I17" s="128">
        <f>ROUNDDOWN(($G$16/5),0)*5</f>
        <v>20</v>
      </c>
      <c r="J17" s="128">
        <f>INDEX(OGEtable,MATCH(J16,$E$5:$E$13),MATCH(I17,$F$4:$L$4))</f>
        <v>3800</v>
      </c>
      <c r="K17" s="147">
        <f>INDEX(OGEtable,MATCH(K16,$E$5:$E$13),MATCH(I17,$F$4:$L$4))</f>
        <v>3800</v>
      </c>
      <c r="V17">
        <v>1500</v>
      </c>
      <c r="W17">
        <v>15</v>
      </c>
    </row>
    <row r="18" spans="6:23" ht="14.25">
      <c r="F18" s="137"/>
      <c r="G18" s="138"/>
      <c r="H18" s="135" t="s">
        <v>178</v>
      </c>
      <c r="I18" s="128">
        <f>ROUNDUP(($G$16/5),0)*5</f>
        <v>20</v>
      </c>
      <c r="J18" s="128">
        <f>INDEX(OGEtable,MATCH(J16,$E$5:$E$13),MATCH(I18,$F$4:$L$4))</f>
        <v>3800</v>
      </c>
      <c r="K18" s="147">
        <f>INDEX(OGEtable,MATCH(K16,$E$5:$E$13),MATCH(I18,$F$4:$L$4))</f>
        <v>3800</v>
      </c>
      <c r="V18">
        <v>1600</v>
      </c>
      <c r="W18">
        <v>16</v>
      </c>
    </row>
    <row r="19" spans="6:23" ht="15">
      <c r="F19" s="137"/>
      <c r="G19" s="139"/>
      <c r="H19" s="140"/>
      <c r="I19" s="141">
        <f>$G$16</f>
        <v>20</v>
      </c>
      <c r="J19" s="142" t="s">
        <v>179</v>
      </c>
      <c r="K19" s="156">
        <f>MIN($J$17:$K$18)</f>
        <v>3800</v>
      </c>
      <c r="V19">
        <v>1700</v>
      </c>
      <c r="W19">
        <v>17</v>
      </c>
    </row>
    <row r="20" spans="22:23" ht="15" thickBot="1">
      <c r="V20">
        <v>1800</v>
      </c>
      <c r="W20">
        <v>18</v>
      </c>
    </row>
    <row r="21" spans="5:23" ht="15.75" thickBot="1">
      <c r="E21" s="410" t="s">
        <v>183</v>
      </c>
      <c r="F21" s="411"/>
      <c r="G21" s="412"/>
      <c r="I21" t="s">
        <v>201</v>
      </c>
      <c r="K21" t="b">
        <f>ראשי!$L$43="כן"</f>
        <v>0</v>
      </c>
      <c r="V21">
        <v>1900</v>
      </c>
      <c r="W21">
        <v>19</v>
      </c>
    </row>
    <row r="22" spans="5:23" ht="15.75" thickBot="1">
      <c r="E22" s="63"/>
      <c r="F22" s="51" t="s">
        <v>180</v>
      </c>
      <c r="G22" s="143" t="s">
        <v>181</v>
      </c>
      <c r="I22" s="427" t="s">
        <v>200</v>
      </c>
      <c r="J22" s="428"/>
      <c r="K22" s="168">
        <f>IF($K$21,$K$19-100,$K$19)</f>
        <v>3800</v>
      </c>
      <c r="V22">
        <v>2000</v>
      </c>
      <c r="W22">
        <v>20</v>
      </c>
    </row>
    <row r="23" spans="2:23" ht="14.25">
      <c r="B23">
        <v>4535</v>
      </c>
      <c r="C23">
        <v>4380</v>
      </c>
      <c r="E23" s="144" t="s">
        <v>90</v>
      </c>
      <c r="F23" s="157">
        <f>($G23-נתונים!$AR$32)/נתונים!AQ32</f>
        <v>4382.5384615384619</v>
      </c>
      <c r="G23" s="53">
        <f>MAXGROSS</f>
        <v>3800</v>
      </c>
      <c r="V23">
        <v>2100</v>
      </c>
      <c r="W23">
        <v>21</v>
      </c>
    </row>
    <row r="24" spans="2:23" ht="15" thickBot="1">
      <c r="B24">
        <v>4525</v>
      </c>
      <c r="C24">
        <v>4383</v>
      </c>
      <c r="E24" s="145" t="s">
        <v>91</v>
      </c>
      <c r="F24" s="158">
        <f>(MAXGROSS-נתונים!AR33)/נתונים!AQ33</f>
        <v>4525.2941176470586</v>
      </c>
      <c r="G24" s="54">
        <f>MAXGROSS</f>
        <v>3800</v>
      </c>
      <c r="V24">
        <v>2200</v>
      </c>
      <c r="W24">
        <v>22</v>
      </c>
    </row>
    <row r="25" spans="22:23" ht="14.25">
      <c r="V25">
        <v>2300</v>
      </c>
      <c r="W25">
        <v>23</v>
      </c>
    </row>
    <row r="26" spans="22:23" ht="15" thickBot="1">
      <c r="V26">
        <v>2400</v>
      </c>
      <c r="W26">
        <v>24</v>
      </c>
    </row>
    <row r="27" spans="4:23" ht="15.75" thickBot="1">
      <c r="D27" s="413" t="s">
        <v>208</v>
      </c>
      <c r="E27" s="414"/>
      <c r="F27" s="414"/>
      <c r="G27" s="414"/>
      <c r="H27" s="414"/>
      <c r="I27" s="415"/>
      <c r="V27">
        <v>2500</v>
      </c>
      <c r="W27">
        <v>25</v>
      </c>
    </row>
    <row r="28" spans="22:23" ht="15" thickBot="1">
      <c r="V28">
        <v>2600</v>
      </c>
      <c r="W28">
        <v>26</v>
      </c>
    </row>
    <row r="29" spans="4:23" ht="15">
      <c r="D29" s="359" t="s">
        <v>206</v>
      </c>
      <c r="E29" s="360"/>
      <c r="F29" s="360"/>
      <c r="G29" s="360"/>
      <c r="H29" s="360"/>
      <c r="I29" s="361"/>
      <c r="V29">
        <v>2700</v>
      </c>
      <c r="W29">
        <v>27</v>
      </c>
    </row>
    <row r="30" spans="4:23" ht="14.25">
      <c r="D30" s="406" t="s">
        <v>8</v>
      </c>
      <c r="E30" s="407"/>
      <c r="F30" s="416" t="s">
        <v>14</v>
      </c>
      <c r="G30" s="407"/>
      <c r="H30" s="417" t="s">
        <v>3</v>
      </c>
      <c r="I30" s="418"/>
      <c r="V30">
        <v>2800</v>
      </c>
      <c r="W30">
        <v>28</v>
      </c>
    </row>
    <row r="31" spans="4:23" ht="15" thickBot="1">
      <c r="D31" s="408">
        <f ca="1">TOwt80-SUM(externalLOADwt)</f>
        <v>3120</v>
      </c>
      <c r="E31" s="409"/>
      <c r="F31" s="419">
        <f ca="1">H31/D31</f>
        <v>4484.3260432179486</v>
      </c>
      <c r="G31" s="409"/>
      <c r="H31" s="419">
        <f ca="1">TOarm80_1-SUM(externalLOADmoment)</f>
        <v>13991097.25484</v>
      </c>
      <c r="I31" s="420"/>
      <c r="R31" s="197" t="str">
        <f ca="1">IF(F31&gt;4500,"AFT","FWD")</f>
        <v>FWD</v>
      </c>
      <c r="S31" s="197" t="s">
        <v>225</v>
      </c>
      <c r="V31">
        <v>2900</v>
      </c>
      <c r="W31">
        <v>29</v>
      </c>
    </row>
    <row r="32" spans="18:23" ht="14.25">
      <c r="R32">
        <v>800</v>
      </c>
      <c r="S32" s="197" t="s">
        <v>224</v>
      </c>
      <c r="V32">
        <v>3000</v>
      </c>
      <c r="W32">
        <v>30</v>
      </c>
    </row>
    <row r="33" spans="7:23" ht="15" thickBot="1">
      <c r="G33" s="41"/>
      <c r="H33" s="41"/>
      <c r="V33">
        <v>3100</v>
      </c>
      <c r="W33">
        <v>31</v>
      </c>
    </row>
    <row r="34" spans="4:23" ht="15">
      <c r="D34" s="359" t="s">
        <v>207</v>
      </c>
      <c r="E34" s="360"/>
      <c r="F34" s="360"/>
      <c r="G34" s="360"/>
      <c r="H34" s="360"/>
      <c r="I34" s="361"/>
      <c r="V34">
        <v>3200</v>
      </c>
      <c r="W34">
        <v>32</v>
      </c>
    </row>
    <row r="35" spans="4:23" ht="14.25">
      <c r="D35" s="406" t="s">
        <v>8</v>
      </c>
      <c r="E35" s="407"/>
      <c r="F35" s="416" t="s">
        <v>14</v>
      </c>
      <c r="G35" s="407"/>
      <c r="H35" s="417" t="s">
        <v>3</v>
      </c>
      <c r="I35" s="418"/>
      <c r="V35">
        <v>3300</v>
      </c>
      <c r="W35">
        <v>33</v>
      </c>
    </row>
    <row r="36" spans="4:23" ht="15" thickBot="1">
      <c r="D36" s="408">
        <f ca="1">TOwt80-SUM(externalLOADwt)</f>
        <v>3120</v>
      </c>
      <c r="E36" s="409"/>
      <c r="F36" s="419">
        <f ca="1">H36/D36</f>
        <v>4484.3260432179486</v>
      </c>
      <c r="G36" s="409"/>
      <c r="H36" s="419">
        <f ca="1">TOarm80_2-SUM(externalLOADmoment)</f>
        <v>13991097.25484</v>
      </c>
      <c r="I36" s="420"/>
      <c r="V36">
        <v>3400</v>
      </c>
      <c r="W36">
        <v>34</v>
      </c>
    </row>
    <row r="37" spans="22:23" ht="14.25">
      <c r="V37">
        <v>3500</v>
      </c>
      <c r="W37">
        <v>35</v>
      </c>
    </row>
    <row r="38" spans="4:23" ht="14.25">
      <c r="D38" s="355" t="s">
        <v>213</v>
      </c>
      <c r="E38" s="355"/>
      <c r="V38">
        <v>3600</v>
      </c>
      <c r="W38">
        <v>36</v>
      </c>
    </row>
    <row r="39" spans="4:23" ht="14.25">
      <c r="D39" s="192">
        <f ca="1">F31</f>
        <v>4484.3260432179486</v>
      </c>
      <c r="E39" s="192">
        <f ca="1">D31</f>
        <v>3120</v>
      </c>
      <c r="V39">
        <v>3700</v>
      </c>
      <c r="W39">
        <v>37</v>
      </c>
    </row>
    <row r="40" spans="4:24" ht="14.25">
      <c r="D40" s="192">
        <f ca="1">F36</f>
        <v>4484.3260432179486</v>
      </c>
      <c r="E40" s="192">
        <f ca="1">D36</f>
        <v>3120</v>
      </c>
      <c r="G40" s="1" t="s">
        <v>91</v>
      </c>
      <c r="H40" s="1">
        <v>100</v>
      </c>
      <c r="I40" s="1">
        <v>200</v>
      </c>
      <c r="J40" s="1">
        <v>300</v>
      </c>
      <c r="K40" s="1">
        <v>400</v>
      </c>
      <c r="L40" s="1">
        <v>500</v>
      </c>
      <c r="M40" s="1">
        <v>600</v>
      </c>
      <c r="N40" s="1">
        <v>700</v>
      </c>
      <c r="O40" s="1">
        <v>800</v>
      </c>
      <c r="V40">
        <v>3800</v>
      </c>
      <c r="W40">
        <v>38</v>
      </c>
      <c r="X40" s="1"/>
    </row>
    <row r="41" spans="4:26" ht="14.25">
      <c r="D41" s="192">
        <f ca="1">D40</f>
        <v>4484.3260432179486</v>
      </c>
      <c r="E41" s="1">
        <v>1800</v>
      </c>
      <c r="G41" s="1" t="s">
        <v>88</v>
      </c>
      <c r="H41" s="194">
        <f>SLOPE($E$49:$E$50,$D$49:$D$50)</f>
        <v>-9.473684210526315</v>
      </c>
      <c r="I41" s="194">
        <f>SLOPE($E$56:$E$57,$D$56:$D$57)</f>
        <v>-9.1071428571428577</v>
      </c>
      <c r="J41" s="194">
        <f>SLOPE($E$63:$E$64,$D$63:$D$64)</f>
        <v>-8.75</v>
      </c>
      <c r="K41" s="194">
        <f>SLOPE($E$70:$E$71,$D$70:$D$71)</f>
        <v>-8.32</v>
      </c>
      <c r="L41" s="194">
        <f>SLOPE($E$77:$E$78,$D$77:$D$78)</f>
        <v>-7.7692307692307692</v>
      </c>
      <c r="M41" s="194">
        <f>SLOPE($E$84:$E$85,$D$84:$D$85)</f>
        <v>-7.518796992481203</v>
      </c>
      <c r="N41" s="194">
        <f>SLOPE($E$91:$E$92,$D$91:$D$92)</f>
        <v>-7.0370370370370372</v>
      </c>
      <c r="O41" s="194">
        <f>SLOPE($E$98:$E$99,$D$98:$D$99)</f>
        <v>-6.617647058823529</v>
      </c>
      <c r="V41">
        <v>3900</v>
      </c>
      <c r="W41">
        <v>39</v>
      </c>
      <c r="Z41" s="1"/>
    </row>
    <row r="42" spans="4:26" ht="14.25">
      <c r="D42" s="192">
        <f ca="1">D39</f>
        <v>4484.3260432179486</v>
      </c>
      <c r="E42" s="1">
        <v>1800</v>
      </c>
      <c r="G42" s="1" t="s">
        <v>89</v>
      </c>
      <c r="H42" s="192">
        <f>$E$49-$D$49*H$41</f>
        <v>46563.15789473684</v>
      </c>
      <c r="I42" s="192">
        <f>$E$56-$D$56*I$41</f>
        <v>44855.535714285717</v>
      </c>
      <c r="J42" s="192">
        <f>$E$63-$D$63*J$41</f>
        <v>43151.25</v>
      </c>
      <c r="K42" s="192">
        <f>$E$70-$D$70*K$41</f>
        <v>41147.68</v>
      </c>
      <c r="L42" s="192">
        <f>$E$77-$D$77*$L$41</f>
        <v>38565.538461538461</v>
      </c>
      <c r="M42" s="192">
        <f>$E$84-$D$84*$M$41</f>
        <v>37363.15789473684</v>
      </c>
      <c r="N42" s="192">
        <f>$E$91-$D$91*N$41</f>
        <v>35088.888888888891</v>
      </c>
      <c r="O42" s="192">
        <f>$E$98-$D$98*O$41</f>
        <v>33102.941176470587</v>
      </c>
      <c r="V42">
        <v>4000</v>
      </c>
      <c r="W42">
        <v>40</v>
      </c>
      <c r="Z42" s="1"/>
    </row>
    <row r="43" spans="4:26" ht="14.25">
      <c r="D43" s="192">
        <f ca="1">D39</f>
        <v>4484.3260432179486</v>
      </c>
      <c r="E43" s="192">
        <f ca="1">E39</f>
        <v>3120</v>
      </c>
      <c r="G43" s="1" t="s">
        <v>218</v>
      </c>
      <c r="H43" s="192">
        <f ca="1" t="shared" si="0" ref="H43:J43">($E$40-H$42)/H$41</f>
        <v>4585.666666666667</v>
      </c>
      <c r="I43" s="192">
        <f t="shared" ca="1" si="0"/>
        <v>4582.7254901960787</v>
      </c>
      <c r="J43" s="192">
        <f t="shared" ca="1" si="0"/>
        <v>4575</v>
      </c>
      <c r="K43" s="192">
        <f ca="1">($E$40-K$42)/K$41</f>
        <v>4570.6346153846152</v>
      </c>
      <c r="L43" s="192">
        <f ca="1" t="shared" si="1" ref="L43:N43">($E$40-L$42)/L$41</f>
        <v>4562.2970297029706</v>
      </c>
      <c r="M43" s="192">
        <f t="shared" ca="1" si="1"/>
        <v>4554.3399999999992</v>
      </c>
      <c r="N43" s="192">
        <f t="shared" ca="1" si="1"/>
        <v>4542.9473684210525</v>
      </c>
      <c r="O43" s="192">
        <f ca="1">($E$40-O$42)/O$41</f>
        <v>4530.7555555555555</v>
      </c>
      <c r="Z43" s="1"/>
    </row>
    <row r="44" spans="8:26" ht="14.25">
      <c r="H44" t="b">
        <f ca="1">AND(MAXGROSS-noCARGOwt&gt;H40,CARGO80!H43&gt;CARGO80!$D$39)</f>
        <v>1</v>
      </c>
      <c r="I44" t="b">
        <f ca="1">AND(MAXGROSS-noCARGOwt&gt;I40,CARGO80!I43&gt;CARGO80!$D$39)</f>
        <v>1</v>
      </c>
      <c r="J44" t="b">
        <f ca="1">AND(MAXGROSS-noCARGOwt&gt;J40,CARGO80!J43&gt;CARGO80!$D$39)</f>
        <v>1</v>
      </c>
      <c r="K44" t="b">
        <f ca="1">AND(MAXGROSS-noCARGOwt&gt;K40,CARGO80!K43&gt;CARGO80!$D$39)</f>
        <v>1</v>
      </c>
      <c r="L44" t="b">
        <f ca="1">AND(MAXGROSS-noCARGOwt&gt;L40,CARGO80!L43&gt;CARGO80!$D$39)</f>
        <v>1</v>
      </c>
      <c r="M44" t="b">
        <f ca="1">AND(MAXGROSS-noCARGOwt&gt;M40,CARGO80!M43&gt;CARGO80!$D$39)</f>
        <v>1</v>
      </c>
      <c r="N44" t="b">
        <f ca="1">AND(MAXGROSS-noCARGOwt&gt;N40,CARGO80!N43&gt;CARGO80!$D$39)</f>
        <v>0</v>
      </c>
      <c r="O44" t="b">
        <f ca="1">AND(MAXGROSS-noCARGOwt&gt;O40,CARGO80!O43&gt;CARGO80!$D$39)</f>
        <v>0</v>
      </c>
      <c r="Z44" s="1"/>
    </row>
    <row r="45" spans="4:26" ht="14.25">
      <c r="D45" s="193" t="s">
        <v>226</v>
      </c>
      <c r="E45" s="193"/>
      <c r="Z45" s="1"/>
    </row>
    <row r="46" spans="4:26" ht="14.25">
      <c r="D46" s="193" t="s">
        <v>1</v>
      </c>
      <c r="E46" s="193" t="s">
        <v>0</v>
      </c>
      <c r="Z46" s="1"/>
    </row>
    <row r="47" spans="3:26" ht="14.25">
      <c r="C47" t="s">
        <v>217</v>
      </c>
      <c r="D47" s="193">
        <v>4347</v>
      </c>
      <c r="E47" s="193">
        <v>2400</v>
      </c>
      <c r="F47" s="1"/>
      <c r="G47" s="1" t="s">
        <v>90</v>
      </c>
      <c r="H47" s="1">
        <v>100</v>
      </c>
      <c r="I47" s="1">
        <v>200</v>
      </c>
      <c r="J47" s="1">
        <v>300</v>
      </c>
      <c r="K47" s="1">
        <v>400</v>
      </c>
      <c r="L47" s="1">
        <v>500</v>
      </c>
      <c r="M47" s="1">
        <v>600</v>
      </c>
      <c r="N47" s="1">
        <v>700</v>
      </c>
      <c r="O47" s="1">
        <v>800</v>
      </c>
      <c r="Z47" s="1"/>
    </row>
    <row r="48" spans="3:26" ht="14.25">
      <c r="C48" t="s">
        <v>214</v>
      </c>
      <c r="D48" s="193">
        <v>4378</v>
      </c>
      <c r="E48" s="193">
        <v>3600</v>
      </c>
      <c r="F48" s="1"/>
      <c r="G48" s="1" t="s">
        <v>88</v>
      </c>
      <c r="H48" s="194">
        <f>SLOPE($E$47:$E$48,$D$47:$D$48)</f>
        <v>38.70967741935484</v>
      </c>
      <c r="I48" s="194">
        <f>SLOPE($E$54:$E$55,$D$54:$D$55)</f>
        <v>36.666666666666664</v>
      </c>
      <c r="J48" s="194">
        <f>SLOPE($E$61:$E$62,$D$61:$D$62)</f>
        <v>34.482758620689658</v>
      </c>
      <c r="K48" s="194">
        <f>SLOPE($E$68:$E$69,$D$68:$D$69)</f>
        <v>37.50</v>
      </c>
      <c r="L48" s="194">
        <f>SLOPE($E$75:$E$76,$D$75:$D$76)</f>
        <v>33.333333333333336</v>
      </c>
      <c r="M48" s="194">
        <f>SLOPE($E$82:$E$83,$D$82:$D$83)</f>
        <v>31.818181818181817</v>
      </c>
      <c r="N48" s="194">
        <f>SLOPE($E$89:$E$90,$D$89:$D$90)</f>
        <v>30</v>
      </c>
      <c r="O48" s="194">
        <f>SLOPE($E$96:$E$97,$D$96:$D$97)</f>
        <v>29.411764705882351</v>
      </c>
      <c r="Z48" s="1"/>
    </row>
    <row r="49" spans="3:26" ht="14.25">
      <c r="C49" t="s">
        <v>215</v>
      </c>
      <c r="D49" s="193">
        <v>4535</v>
      </c>
      <c r="E49" s="193">
        <v>3600</v>
      </c>
      <c r="F49" s="1"/>
      <c r="G49" s="1" t="s">
        <v>89</v>
      </c>
      <c r="H49" s="192">
        <f>$E$47-$D$47*H$48</f>
        <v>-165870.96774193548</v>
      </c>
      <c r="I49" s="192">
        <f>$E$54-$D$54*I$48</f>
        <v>-156990</v>
      </c>
      <c r="J49" s="192">
        <f>$E$61-$D$61*J$48</f>
        <v>-147496.55172413794</v>
      </c>
      <c r="K49" s="192">
        <f>$E$68-$D$68*K$48</f>
        <v>-160725</v>
      </c>
      <c r="L49" s="192">
        <f>$E$75-$D$75*L$48</f>
        <v>-142600</v>
      </c>
      <c r="M49" s="192">
        <f>$E$82-$D$82*M$48</f>
        <v>-136009.09090909091</v>
      </c>
      <c r="N49" s="192">
        <f>$E$89-$D$89*N$48</f>
        <v>-128100</v>
      </c>
      <c r="O49" s="192">
        <f>$E$96-$D$96*O$48</f>
        <v>-125541.17647058822</v>
      </c>
      <c r="Z49" s="1"/>
    </row>
    <row r="50" spans="3:26" ht="14.25">
      <c r="C50" t="s">
        <v>216</v>
      </c>
      <c r="D50" s="193">
        <v>4630</v>
      </c>
      <c r="E50" s="193">
        <v>2700</v>
      </c>
      <c r="F50" s="1"/>
      <c r="G50" s="1" t="s">
        <v>218</v>
      </c>
      <c r="H50" s="192">
        <f ca="1" t="shared" si="2" ref="H50:J50">($E$40-H$49)/H$48</f>
        <v>4365.5999999999995</v>
      </c>
      <c r="I50" s="192">
        <f t="shared" ca="1" si="2"/>
        <v>4366.636363636364</v>
      </c>
      <c r="J50" s="192">
        <f t="shared" ca="1" si="2"/>
        <v>4367.88</v>
      </c>
      <c r="K50" s="192">
        <f ca="1">($E$40-K$49)/K$48</f>
        <v>4369.20</v>
      </c>
      <c r="L50" s="192">
        <f ca="1" t="shared" si="3" ref="L50:O50">($E$40-L$49)/L$48</f>
        <v>4371.5999999999995</v>
      </c>
      <c r="M50" s="192">
        <f t="shared" ca="1" si="3"/>
        <v>4372.6285714285714</v>
      </c>
      <c r="N50" s="192">
        <f t="shared" ca="1" si="3"/>
        <v>4374</v>
      </c>
      <c r="O50" s="192">
        <f t="shared" ca="1" si="3"/>
        <v>4374.4799999999996</v>
      </c>
      <c r="Z50" s="1"/>
    </row>
    <row r="51" spans="4:26" ht="14.25">
      <c r="D51" s="193"/>
      <c r="E51" s="193"/>
      <c r="F51" s="1"/>
      <c r="G51" s="1"/>
      <c r="H51" t="b">
        <f ca="1">AND(MAXGROSS-noCARGOwt&gt;H40,CARGO80!H50&lt;CARGO80!$D$40)</f>
        <v>1</v>
      </c>
      <c r="I51" t="b">
        <f ca="1">AND(MAXGROSS-noCARGOwt&gt;I40,CARGO80!I50&lt;CARGO80!$D$40)</f>
        <v>1</v>
      </c>
      <c r="J51" t="b">
        <f ca="1">AND(MAXGROSS-noCARGOwt&gt;J40,CARGO80!J50&lt;CARGO80!$D$40)</f>
        <v>1</v>
      </c>
      <c r="K51" t="b">
        <f ca="1">AND(MAXGROSS-noCARGOwt&gt;K40,CARGO80!K50&lt;CARGO80!$D$40)</f>
        <v>1</v>
      </c>
      <c r="L51" t="b">
        <f ca="1">AND(MAXGROSS-noCARGOwt&gt;L40,CARGO80!L50&lt;CARGO80!$D$40)</f>
        <v>1</v>
      </c>
      <c r="M51" t="b">
        <f ca="1">AND(MAXGROSS-noCARGOwt&gt;M40,CARGO80!M50&lt;CARGO80!$D$40)</f>
        <v>1</v>
      </c>
      <c r="N51" t="b">
        <f ca="1">AND(MAXGROSS-noCARGOwt&gt;N40,CARGO80!N50&lt;CARGO80!$D$40)</f>
        <v>0</v>
      </c>
      <c r="O51" t="b">
        <f ca="1">AND(MAXGROSS-noCARGOwt&gt;O40,CARGO80!O50&lt;CARGO80!$D$40)</f>
        <v>0</v>
      </c>
      <c r="Z51" s="1"/>
    </row>
    <row r="52" spans="4:26" ht="14.25">
      <c r="D52" s="193" t="s">
        <v>227</v>
      </c>
      <c r="E52" s="193"/>
      <c r="F52" s="1"/>
      <c r="Z52" s="1"/>
    </row>
    <row r="53" spans="4:26" ht="14.25">
      <c r="D53" s="193" t="s">
        <v>1</v>
      </c>
      <c r="E53" s="193" t="s">
        <v>0</v>
      </c>
      <c r="F53" s="1"/>
      <c r="H53" s="355" t="s">
        <v>219</v>
      </c>
      <c r="I53" s="355"/>
      <c r="J53" s="355"/>
      <c r="K53" s="355"/>
      <c r="L53" s="355"/>
      <c r="M53" s="355"/>
      <c r="N53" s="355"/>
      <c r="Z53" s="1"/>
    </row>
    <row r="54" spans="3:26" ht="14.25">
      <c r="C54" t="s">
        <v>217</v>
      </c>
      <c r="D54" s="193">
        <v>4347</v>
      </c>
      <c r="E54" s="193">
        <v>2400</v>
      </c>
      <c r="F54" s="1"/>
      <c r="H54">
        <f ca="1" t="shared" si="4" ref="H54:J54">IF(AND(H44,H51),H40,0)</f>
        <v>100</v>
      </c>
      <c r="I54">
        <f t="shared" ca="1" si="4"/>
        <v>200</v>
      </c>
      <c r="J54">
        <f t="shared" ca="1" si="4"/>
        <v>300</v>
      </c>
      <c r="K54">
        <f ca="1">IF(AND(K44,K51),K40,0)</f>
        <v>400</v>
      </c>
      <c r="L54">
        <f ca="1" t="shared" si="5" ref="L54:N54">IF(AND(L44,L51),L40,0)</f>
        <v>500</v>
      </c>
      <c r="M54">
        <f t="shared" ca="1" si="5"/>
        <v>600</v>
      </c>
      <c r="N54">
        <f t="shared" ca="1" si="5"/>
        <v>0</v>
      </c>
      <c r="O54">
        <f ca="1">IF(AND(O44,O51),O40,0)</f>
        <v>0</v>
      </c>
      <c r="Z54" s="1"/>
    </row>
    <row r="55" spans="3:26" ht="14.25">
      <c r="C55" t="s">
        <v>214</v>
      </c>
      <c r="D55" s="193">
        <v>4377</v>
      </c>
      <c r="E55" s="193">
        <v>3500</v>
      </c>
      <c r="F55" s="1"/>
      <c r="Z55" s="1"/>
    </row>
    <row r="56" spans="3:26" ht="14.25">
      <c r="C56" t="s">
        <v>215</v>
      </c>
      <c r="D56" s="193">
        <v>4541</v>
      </c>
      <c r="E56" s="193">
        <v>3500</v>
      </c>
      <c r="F56" s="1"/>
      <c r="G56" s="1"/>
      <c r="K56" s="196">
        <f ca="1">HLOOKUP(K57,IF(cargoLIMITarea="AFT",$H$40:$O$43,$H$47:$O$50),4,FALSE)</f>
        <v>4372.6285714285714</v>
      </c>
      <c r="L56" s="196">
        <f ca="1">IF(cargoLIMITarea="AFT",F31,F36)</f>
        <v>4484.3260432179486</v>
      </c>
      <c r="M56" s="196">
        <f ca="1">HLOOKUP(M57,IF(cargoLIMITarea="AFT",$H$40:$O$43,$H$47:$O$50),4,FALSE)</f>
        <v>4374</v>
      </c>
      <c r="N56" s="1"/>
      <c r="Z56" s="1"/>
    </row>
    <row r="57" spans="3:13" ht="14.25">
      <c r="C57" t="s">
        <v>216</v>
      </c>
      <c r="D57" s="193">
        <v>4653</v>
      </c>
      <c r="E57" s="193">
        <v>2480</v>
      </c>
      <c r="F57" s="1"/>
      <c r="K57" s="193">
        <f ca="1">IF(MAX($H$54:$N$54)&gt;maxGRAPH,maxGRAPH,MAX($H$54:$N$54))</f>
        <v>600</v>
      </c>
      <c r="L57" s="193">
        <f ca="1">IF(M57-K57=0,K57,ROUNDDOWN(M57-(F31-M56)/(K56-M56)*100,-1))</f>
        <v>8740</v>
      </c>
      <c r="M57" s="193">
        <f ca="1">IF(MAX($H$54:$N$54)+100&gt;maxGRAPH,maxGRAPH,MAX($H$54:$N$54)+100)</f>
        <v>700</v>
      </c>
    </row>
    <row r="58" spans="6:12" ht="14.25">
      <c r="F58" s="1"/>
      <c r="G58" s="1"/>
      <c r="H58" s="1"/>
      <c r="I58" s="1"/>
      <c r="J58" s="1"/>
      <c r="K58" s="1"/>
      <c r="L58" s="1"/>
    </row>
    <row r="59" spans="4:12" ht="14.25">
      <c r="D59" s="193" t="s">
        <v>228</v>
      </c>
      <c r="E59" s="193"/>
      <c r="F59" s="1"/>
      <c r="J59" s="192">
        <f ca="1">ROUND(MAXGROSS-SUM(ראשי!$F$47:$F$48),0)</f>
        <v>1100</v>
      </c>
      <c r="K59" t="s">
        <v>221</v>
      </c>
      <c r="L59" s="1"/>
    </row>
    <row r="60" spans="4:12" ht="14.25">
      <c r="D60" s="193" t="s">
        <v>1</v>
      </c>
      <c r="E60" s="193" t="s">
        <v>0</v>
      </c>
      <c r="F60" s="1"/>
      <c r="G60" s="1"/>
      <c r="H60" s="1"/>
      <c r="I60" s="1"/>
      <c r="J60" s="1">
        <f ca="1">payload-FUEL80-PAXandEQUIP</f>
        <v>684</v>
      </c>
      <c r="K60" s="197" t="s">
        <v>222</v>
      </c>
      <c r="L60" s="1"/>
    </row>
    <row r="61" spans="3:12" ht="15" thickBot="1">
      <c r="C61" t="s">
        <v>217</v>
      </c>
      <c r="D61" s="193">
        <v>4347</v>
      </c>
      <c r="E61" s="193">
        <v>2400</v>
      </c>
      <c r="F61" s="1"/>
      <c r="G61" s="1"/>
      <c r="H61" s="1"/>
      <c r="I61" s="1"/>
      <c r="J61" s="1"/>
      <c r="K61" s="1"/>
      <c r="L61" s="1"/>
    </row>
    <row r="62" spans="3:12" ht="15.75" thickBot="1">
      <c r="C62" t="s">
        <v>214</v>
      </c>
      <c r="D62" s="193">
        <v>4376</v>
      </c>
      <c r="E62" s="193">
        <v>3400</v>
      </c>
      <c r="F62" s="1"/>
      <c r="G62" s="195">
        <f ca="1">IFERROR(IF(MIN(J60,L57)&gt;maxGRAPH,maxGRAPH,MIN(J60,L57)),0)</f>
        <v>684</v>
      </c>
      <c r="H62" s="421" t="s">
        <v>220</v>
      </c>
      <c r="I62" s="421"/>
      <c r="J62" s="421"/>
      <c r="K62" s="422"/>
      <c r="L62" s="1"/>
    </row>
    <row r="63" spans="3:12" ht="14.25">
      <c r="C63" t="s">
        <v>215</v>
      </c>
      <c r="D63" s="193">
        <v>4543</v>
      </c>
      <c r="E63" s="193">
        <v>3400</v>
      </c>
      <c r="F63" s="1"/>
      <c r="G63" s="1" t="str">
        <f ca="1">IF(OR(maxCARGO=J60,maxCARGO=maxGRAPH),"(משקל)","(CG)")</f>
        <v>(משקל)</v>
      </c>
      <c r="H63" s="1" t="s">
        <v>223</v>
      </c>
      <c r="I63" s="1"/>
      <c r="J63" s="1"/>
      <c r="K63" s="1"/>
      <c r="L63" s="1"/>
    </row>
    <row r="64" spans="3:7" ht="14.25">
      <c r="C64" t="s">
        <v>216</v>
      </c>
      <c r="D64" s="193">
        <v>4663</v>
      </c>
      <c r="E64" s="193">
        <v>2350</v>
      </c>
      <c r="F64" s="1"/>
      <c r="G64" s="1"/>
    </row>
    <row r="65" spans="6:8" ht="14.25">
      <c r="F65" s="1"/>
      <c r="G65" s="1" t="str">
        <f ca="1">IF(maxCARGO&gt;=(0.8*680+40),"GO","NO GO")</f>
        <v>GO</v>
      </c>
      <c r="H65" t="s">
        <v>230</v>
      </c>
    </row>
    <row r="66" spans="4:7" ht="14.25">
      <c r="D66" s="193" t="s">
        <v>209</v>
      </c>
      <c r="E66" s="193"/>
      <c r="F66" s="1"/>
      <c r="G66" s="1"/>
    </row>
    <row r="67" spans="4:7" ht="14.25">
      <c r="D67" s="193" t="s">
        <v>1</v>
      </c>
      <c r="E67" s="193" t="s">
        <v>0</v>
      </c>
      <c r="F67" s="1"/>
      <c r="G67" s="1"/>
    </row>
    <row r="68" spans="3:7" ht="14.25">
      <c r="C68" t="s">
        <v>217</v>
      </c>
      <c r="D68" s="193">
        <v>4350</v>
      </c>
      <c r="E68" s="193">
        <v>2400</v>
      </c>
      <c r="F68" s="1"/>
      <c r="G68" s="1"/>
    </row>
    <row r="69" spans="3:7" ht="14.25">
      <c r="C69" t="s">
        <v>214</v>
      </c>
      <c r="D69" s="193">
        <v>4374</v>
      </c>
      <c r="E69" s="193">
        <v>3300</v>
      </c>
      <c r="F69" s="1"/>
      <c r="G69" s="1"/>
    </row>
    <row r="70" spans="3:7" ht="14.25">
      <c r="C70" t="s">
        <v>215</v>
      </c>
      <c r="D70" s="193">
        <v>4549</v>
      </c>
      <c r="E70" s="193">
        <v>3300</v>
      </c>
      <c r="F70" s="1"/>
      <c r="G70" s="1"/>
    </row>
    <row r="71" spans="3:7" ht="14.25">
      <c r="C71" t="s">
        <v>216</v>
      </c>
      <c r="D71" s="193">
        <v>4674</v>
      </c>
      <c r="E71" s="193">
        <v>2260</v>
      </c>
      <c r="F71" s="1"/>
      <c r="G71" s="1"/>
    </row>
    <row r="72" spans="6:7" ht="14.25">
      <c r="F72" s="1"/>
      <c r="G72" s="1"/>
    </row>
    <row r="73" spans="4:5" ht="14.25">
      <c r="D73" s="193" t="s">
        <v>210</v>
      </c>
      <c r="E73" s="193"/>
    </row>
    <row r="74" spans="4:5" ht="14.25">
      <c r="D74" s="193" t="s">
        <v>1</v>
      </c>
      <c r="E74" s="193" t="s">
        <v>0</v>
      </c>
    </row>
    <row r="75" spans="3:5" ht="14.25">
      <c r="C75" t="s">
        <v>217</v>
      </c>
      <c r="D75" s="193">
        <v>4350</v>
      </c>
      <c r="E75" s="193">
        <v>2400</v>
      </c>
    </row>
    <row r="76" spans="3:5" ht="14.25">
      <c r="C76" t="s">
        <v>214</v>
      </c>
      <c r="D76" s="193">
        <v>4374</v>
      </c>
      <c r="E76" s="193">
        <v>3200</v>
      </c>
    </row>
    <row r="77" spans="3:5" ht="14.25">
      <c r="C77" t="s">
        <v>215</v>
      </c>
      <c r="D77" s="193">
        <v>4552</v>
      </c>
      <c r="E77" s="193">
        <v>3200</v>
      </c>
    </row>
    <row r="78" spans="3:5" ht="14.25">
      <c r="C78" t="s">
        <v>216</v>
      </c>
      <c r="D78" s="193">
        <v>4682</v>
      </c>
      <c r="E78" s="193">
        <v>2190</v>
      </c>
    </row>
    <row r="80" spans="4:5" ht="14.25">
      <c r="D80" s="193" t="s">
        <v>211</v>
      </c>
      <c r="E80" s="193"/>
    </row>
    <row r="81" spans="4:5" ht="14.25">
      <c r="D81" s="193" t="s">
        <v>1</v>
      </c>
      <c r="E81" s="193" t="s">
        <v>0</v>
      </c>
    </row>
    <row r="82" spans="3:5" ht="14.25">
      <c r="C82" t="s">
        <v>217</v>
      </c>
      <c r="D82" s="193">
        <v>4350</v>
      </c>
      <c r="E82" s="193">
        <v>2400</v>
      </c>
    </row>
    <row r="83" spans="3:5" ht="14.25">
      <c r="C83" t="s">
        <v>214</v>
      </c>
      <c r="D83" s="193">
        <v>4372</v>
      </c>
      <c r="E83" s="193">
        <v>3100</v>
      </c>
    </row>
    <row r="84" spans="3:5" ht="14.25">
      <c r="C84" t="s">
        <v>215</v>
      </c>
      <c r="D84" s="193">
        <v>4557</v>
      </c>
      <c r="E84" s="193">
        <v>3100</v>
      </c>
    </row>
    <row r="85" spans="3:5" ht="14.25">
      <c r="C85" t="s">
        <v>216</v>
      </c>
      <c r="D85" s="193">
        <v>4690</v>
      </c>
      <c r="E85" s="193">
        <v>2100</v>
      </c>
    </row>
    <row r="87" spans="4:5" ht="14.25">
      <c r="D87" s="193" t="s">
        <v>212</v>
      </c>
      <c r="E87" s="193"/>
    </row>
    <row r="88" spans="4:5" ht="14.25">
      <c r="D88" s="193" t="s">
        <v>1</v>
      </c>
      <c r="E88" s="193" t="s">
        <v>0</v>
      </c>
    </row>
    <row r="89" spans="3:5" ht="14.25">
      <c r="C89" t="s">
        <v>217</v>
      </c>
      <c r="D89" s="193">
        <v>4350</v>
      </c>
      <c r="E89" s="193">
        <v>2400</v>
      </c>
    </row>
    <row r="90" spans="3:5" ht="14.25">
      <c r="C90" t="s">
        <v>214</v>
      </c>
      <c r="D90" s="193">
        <v>4370</v>
      </c>
      <c r="E90" s="193">
        <v>3000</v>
      </c>
    </row>
    <row r="91" spans="3:5" ht="14.25">
      <c r="C91" t="s">
        <v>215</v>
      </c>
      <c r="D91" s="193">
        <v>4560</v>
      </c>
      <c r="E91" s="193">
        <v>3000</v>
      </c>
    </row>
    <row r="92" spans="3:5" ht="14.25">
      <c r="C92" t="s">
        <v>216</v>
      </c>
      <c r="D92" s="193">
        <v>4695</v>
      </c>
      <c r="E92" s="193">
        <v>2050</v>
      </c>
    </row>
    <row r="94" spans="4:5" ht="14.25">
      <c r="D94" s="193" t="s">
        <v>234</v>
      </c>
      <c r="E94" s="193"/>
    </row>
    <row r="95" spans="4:5" ht="14.25">
      <c r="D95" s="193" t="s">
        <v>1</v>
      </c>
      <c r="E95" s="193" t="s">
        <v>0</v>
      </c>
    </row>
    <row r="96" spans="3:5" ht="14.25">
      <c r="C96" t="s">
        <v>217</v>
      </c>
      <c r="D96" s="193">
        <v>4350</v>
      </c>
      <c r="E96" s="193">
        <v>2400</v>
      </c>
    </row>
    <row r="97" spans="3:5" ht="14.25">
      <c r="C97" t="s">
        <v>214</v>
      </c>
      <c r="D97" s="193">
        <v>4367</v>
      </c>
      <c r="E97" s="193">
        <v>2900</v>
      </c>
    </row>
    <row r="98" spans="3:5" ht="14.25">
      <c r="C98" t="s">
        <v>215</v>
      </c>
      <c r="D98" s="193">
        <v>4564</v>
      </c>
      <c r="E98" s="193">
        <v>2900</v>
      </c>
    </row>
    <row r="99" spans="3:5" ht="14.25">
      <c r="C99" t="s">
        <v>216</v>
      </c>
      <c r="D99" s="193">
        <v>4700</v>
      </c>
      <c r="E99" s="193">
        <v>2000</v>
      </c>
    </row>
  </sheetData>
  <mergeCells count="20">
    <mergeCell ref="E21:G21"/>
    <mergeCell ref="I22:J22"/>
    <mergeCell ref="D27:I27"/>
    <mergeCell ref="D29:I29"/>
    <mergeCell ref="D30:E30"/>
    <mergeCell ref="F30:G30"/>
    <mergeCell ref="H30:I30"/>
    <mergeCell ref="H62:K62"/>
    <mergeCell ref="D31:E31"/>
    <mergeCell ref="F31:G31"/>
    <mergeCell ref="H31:I31"/>
    <mergeCell ref="D34:I34"/>
    <mergeCell ref="D35:E35"/>
    <mergeCell ref="F35:G35"/>
    <mergeCell ref="H35:I35"/>
    <mergeCell ref="D36:E36"/>
    <mergeCell ref="F36:G36"/>
    <mergeCell ref="H36:I36"/>
    <mergeCell ref="D38:E38"/>
    <mergeCell ref="H53:N53"/>
  </mergeCells>
  <conditionalFormatting sqref="F19">
    <cfRule type="cellIs" priority="2" dxfId="7" operator="greaterThan">
      <formula>80</formula>
    </cfRule>
  </conditionalFormatting>
  <conditionalFormatting sqref="F19">
    <cfRule type="cellIs" priority="1" dxfId="7" operator="greaterThan">
      <formula>120</formula>
    </cfRule>
  </conditionalFormatting>
  <pageMargins left="0.7" right="0.7" top="0.75" bottom="0.75" header="0.3" footer="0.3"/>
  <pageSetup horizontalDpi="200" verticalDpi="200" orientation="portrait" paperSize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0"/>
  <dimension ref="B1:Z99"/>
  <sheetViews>
    <sheetView rightToLeft="1" workbookViewId="0" topLeftCell="B41">
      <selection pane="topLeft" activeCell="K57" sqref="K57"/>
    </sheetView>
  </sheetViews>
  <sheetFormatPr defaultRowHeight="14.25"/>
  <cols>
    <col min="8" max="10" width="9.375" bestFit="1" customWidth="1"/>
  </cols>
  <sheetData>
    <row r="1" spans="22:23" ht="14.25">
      <c r="V1" t="s">
        <v>171</v>
      </c>
      <c r="W1" t="s">
        <v>172</v>
      </c>
    </row>
    <row r="2" spans="22:23" ht="14.25">
      <c r="V2">
        <v>0</v>
      </c>
      <c r="W2">
        <v>0</v>
      </c>
    </row>
    <row r="3" spans="22:23" ht="15" thickBot="1">
      <c r="V3">
        <v>100</v>
      </c>
      <c r="W3">
        <v>1</v>
      </c>
    </row>
    <row r="4" spans="5:23" ht="15.75" thickBot="1">
      <c r="E4" s="121"/>
      <c r="F4" s="122">
        <v>10</v>
      </c>
      <c r="G4" s="123">
        <v>15</v>
      </c>
      <c r="H4" s="123">
        <v>20</v>
      </c>
      <c r="I4" s="123">
        <v>25</v>
      </c>
      <c r="J4" s="123">
        <v>30</v>
      </c>
      <c r="K4" s="123">
        <v>35</v>
      </c>
      <c r="L4" s="124">
        <v>40</v>
      </c>
      <c r="V4">
        <v>200</v>
      </c>
      <c r="W4">
        <v>2</v>
      </c>
    </row>
    <row r="5" spans="5:23" ht="15">
      <c r="E5" s="125">
        <v>0</v>
      </c>
      <c r="F5" s="146">
        <v>3800</v>
      </c>
      <c r="G5" s="146">
        <v>3800</v>
      </c>
      <c r="H5" s="146">
        <v>3800</v>
      </c>
      <c r="I5" s="146">
        <v>3800</v>
      </c>
      <c r="J5" s="146">
        <v>3800</v>
      </c>
      <c r="K5" s="146">
        <v>3800</v>
      </c>
      <c r="L5" s="148">
        <v>3800</v>
      </c>
      <c r="V5">
        <v>300</v>
      </c>
      <c r="W5">
        <v>3</v>
      </c>
    </row>
    <row r="6" spans="5:23" ht="15">
      <c r="E6" s="126">
        <v>500</v>
      </c>
      <c r="F6" s="146">
        <v>3800</v>
      </c>
      <c r="G6" s="146">
        <v>3800</v>
      </c>
      <c r="H6" s="146">
        <v>3800</v>
      </c>
      <c r="I6" s="146">
        <v>3800</v>
      </c>
      <c r="J6" s="146">
        <v>3800</v>
      </c>
      <c r="K6" s="146">
        <v>3800</v>
      </c>
      <c r="L6" s="149">
        <v>3700</v>
      </c>
      <c r="V6">
        <v>400</v>
      </c>
      <c r="W6">
        <v>4</v>
      </c>
    </row>
    <row r="7" spans="5:23" ht="15">
      <c r="E7" s="126">
        <v>1000</v>
      </c>
      <c r="F7" s="146">
        <v>3800</v>
      </c>
      <c r="G7" s="146">
        <v>3800</v>
      </c>
      <c r="H7" s="146">
        <v>3800</v>
      </c>
      <c r="I7" s="146">
        <v>3800</v>
      </c>
      <c r="J7" s="146">
        <v>3800</v>
      </c>
      <c r="K7" s="146">
        <v>3800</v>
      </c>
      <c r="L7" s="149">
        <v>3700</v>
      </c>
      <c r="V7">
        <v>500</v>
      </c>
      <c r="W7">
        <v>5</v>
      </c>
    </row>
    <row r="8" spans="5:23" ht="15">
      <c r="E8" s="126">
        <v>1500</v>
      </c>
      <c r="F8" s="146">
        <v>3800</v>
      </c>
      <c r="G8" s="146">
        <v>3800</v>
      </c>
      <c r="H8" s="146">
        <v>3800</v>
      </c>
      <c r="I8" s="146">
        <v>3800</v>
      </c>
      <c r="J8" s="146">
        <v>3800</v>
      </c>
      <c r="K8" s="146">
        <v>3800</v>
      </c>
      <c r="L8" s="149">
        <v>3700</v>
      </c>
      <c r="V8">
        <v>600</v>
      </c>
      <c r="W8">
        <v>6</v>
      </c>
    </row>
    <row r="9" spans="5:23" ht="15">
      <c r="E9" s="126">
        <v>2000</v>
      </c>
      <c r="F9" s="146">
        <v>3800</v>
      </c>
      <c r="G9" s="146">
        <v>3800</v>
      </c>
      <c r="H9" s="146">
        <v>3800</v>
      </c>
      <c r="I9" s="146">
        <v>3800</v>
      </c>
      <c r="J9" s="146">
        <v>3800</v>
      </c>
      <c r="K9" s="146">
        <v>3800</v>
      </c>
      <c r="L9" s="149">
        <v>3700</v>
      </c>
      <c r="V9">
        <v>700</v>
      </c>
      <c r="W9">
        <v>7</v>
      </c>
    </row>
    <row r="10" spans="5:23" ht="15">
      <c r="E10" s="126">
        <v>2500</v>
      </c>
      <c r="F10" s="146">
        <v>3800</v>
      </c>
      <c r="G10" s="146">
        <v>3800</v>
      </c>
      <c r="H10" s="146">
        <v>3800</v>
      </c>
      <c r="I10" s="146">
        <v>3800</v>
      </c>
      <c r="J10" s="146">
        <v>3800</v>
      </c>
      <c r="K10" s="150">
        <v>3700</v>
      </c>
      <c r="L10" s="149">
        <v>3700</v>
      </c>
      <c r="V10">
        <v>800</v>
      </c>
      <c r="W10">
        <v>8</v>
      </c>
    </row>
    <row r="11" spans="5:23" ht="15">
      <c r="E11" s="126">
        <v>3000</v>
      </c>
      <c r="F11" s="146">
        <v>3800</v>
      </c>
      <c r="G11" s="146">
        <v>3800</v>
      </c>
      <c r="H11" s="146">
        <v>3800</v>
      </c>
      <c r="I11" s="146">
        <v>3800</v>
      </c>
      <c r="J11" s="150">
        <v>3700</v>
      </c>
      <c r="K11" s="150">
        <v>3700</v>
      </c>
      <c r="L11" s="149">
        <v>3700</v>
      </c>
      <c r="V11">
        <v>900</v>
      </c>
      <c r="W11">
        <v>9</v>
      </c>
    </row>
    <row r="12" spans="5:23" ht="15">
      <c r="E12" s="126">
        <v>3500</v>
      </c>
      <c r="F12" s="146">
        <v>3800</v>
      </c>
      <c r="G12" s="146">
        <v>3800</v>
      </c>
      <c r="H12" s="146">
        <v>3800</v>
      </c>
      <c r="I12" s="150">
        <v>3700</v>
      </c>
      <c r="J12" s="150">
        <v>3700</v>
      </c>
      <c r="K12" s="150">
        <v>3700</v>
      </c>
      <c r="L12" s="149">
        <v>3700</v>
      </c>
      <c r="V12">
        <v>1000</v>
      </c>
      <c r="W12">
        <v>10</v>
      </c>
    </row>
    <row r="13" spans="5:23" ht="15.75" thickBot="1">
      <c r="E13" s="127">
        <v>4000</v>
      </c>
      <c r="F13" s="151">
        <v>3800</v>
      </c>
      <c r="G13" s="151">
        <v>3800</v>
      </c>
      <c r="H13" s="152">
        <v>3700</v>
      </c>
      <c r="I13" s="152">
        <v>3700</v>
      </c>
      <c r="J13" s="152">
        <v>3700</v>
      </c>
      <c r="K13" s="152">
        <v>3700</v>
      </c>
      <c r="L13" s="153">
        <v>3700</v>
      </c>
      <c r="V13">
        <v>1100</v>
      </c>
      <c r="W13">
        <v>11</v>
      </c>
    </row>
    <row r="14" spans="22:23" ht="14.25">
      <c r="V14">
        <v>1200</v>
      </c>
      <c r="W14">
        <v>12</v>
      </c>
    </row>
    <row r="15" spans="6:23" ht="14.25">
      <c r="F15" s="128" t="s">
        <v>173</v>
      </c>
      <c r="G15" s="129">
        <f>ראשי!$D$41</f>
        <v>2000</v>
      </c>
      <c r="H15" s="130"/>
      <c r="I15" s="131"/>
      <c r="J15" s="132" t="s">
        <v>174</v>
      </c>
      <c r="K15" s="133" t="s">
        <v>175</v>
      </c>
      <c r="V15">
        <v>1300</v>
      </c>
      <c r="W15">
        <v>13</v>
      </c>
    </row>
    <row r="16" spans="6:23" ht="14.25">
      <c r="F16" s="128" t="s">
        <v>176</v>
      </c>
      <c r="G16" s="134">
        <f>ראשי!$G$41</f>
        <v>20</v>
      </c>
      <c r="H16" s="135"/>
      <c r="I16" s="129">
        <f>$G$15</f>
        <v>2000</v>
      </c>
      <c r="J16" s="128">
        <f>ROUNDDOWN(($G$15/500),0)*500</f>
        <v>2000</v>
      </c>
      <c r="K16" s="147">
        <f>ROUNDUP(($G$15/500),0)*500</f>
        <v>2000</v>
      </c>
      <c r="V16">
        <v>1400</v>
      </c>
      <c r="W16">
        <v>14</v>
      </c>
    </row>
    <row r="17" spans="6:23" ht="15">
      <c r="F17" s="128"/>
      <c r="G17" s="136"/>
      <c r="H17" s="135" t="s">
        <v>177</v>
      </c>
      <c r="I17" s="128">
        <f>ROUNDDOWN(($G$16/5),0)*5</f>
        <v>20</v>
      </c>
      <c r="J17" s="128">
        <f>INDEX(OGEtable,MATCH(J16,$E$5:$E$13),MATCH(I17,$F$4:$L$4))</f>
        <v>3800</v>
      </c>
      <c r="K17" s="147">
        <f>INDEX(OGEtable,MATCH(K16,$E$5:$E$13),MATCH(I17,$F$4:$L$4))</f>
        <v>3800</v>
      </c>
      <c r="V17">
        <v>1500</v>
      </c>
      <c r="W17">
        <v>15</v>
      </c>
    </row>
    <row r="18" spans="6:23" ht="14.25">
      <c r="F18" s="137"/>
      <c r="G18" s="138"/>
      <c r="H18" s="135" t="s">
        <v>178</v>
      </c>
      <c r="I18" s="128">
        <f>ROUNDUP(($G$16/5),0)*5</f>
        <v>20</v>
      </c>
      <c r="J18" s="128">
        <f>INDEX(OGEtable,MATCH(J16,$E$5:$E$13),MATCH(I18,$F$4:$L$4))</f>
        <v>3800</v>
      </c>
      <c r="K18" s="147">
        <f>INDEX(OGEtable,MATCH(K16,$E$5:$E$13),MATCH(I18,$F$4:$L$4))</f>
        <v>3800</v>
      </c>
      <c r="V18">
        <v>1600</v>
      </c>
      <c r="W18">
        <v>16</v>
      </c>
    </row>
    <row r="19" spans="6:23" ht="15">
      <c r="F19" s="137"/>
      <c r="G19" s="139"/>
      <c r="H19" s="140"/>
      <c r="I19" s="141">
        <f>$G$16</f>
        <v>20</v>
      </c>
      <c r="J19" s="142" t="s">
        <v>179</v>
      </c>
      <c r="K19" s="156">
        <f>MIN($J$17:$K$18)</f>
        <v>3800</v>
      </c>
      <c r="V19">
        <v>1700</v>
      </c>
      <c r="W19">
        <v>17</v>
      </c>
    </row>
    <row r="20" spans="22:23" ht="15" thickBot="1">
      <c r="V20">
        <v>1800</v>
      </c>
      <c r="W20">
        <v>18</v>
      </c>
    </row>
    <row r="21" spans="5:23" ht="15.75" thickBot="1">
      <c r="E21" s="410" t="s">
        <v>183</v>
      </c>
      <c r="F21" s="411"/>
      <c r="G21" s="412"/>
      <c r="I21" t="s">
        <v>201</v>
      </c>
      <c r="K21" t="b">
        <f>ראשי!$L$43="כן"</f>
        <v>0</v>
      </c>
      <c r="V21">
        <v>1900</v>
      </c>
      <c r="W21">
        <v>19</v>
      </c>
    </row>
    <row r="22" spans="5:23" ht="15.75" thickBot="1">
      <c r="E22" s="63"/>
      <c r="F22" s="51" t="s">
        <v>180</v>
      </c>
      <c r="G22" s="143" t="s">
        <v>181</v>
      </c>
      <c r="I22" s="427" t="s">
        <v>200</v>
      </c>
      <c r="J22" s="428"/>
      <c r="K22" s="168">
        <f>IF($K$21,$K$19-100,$K$19)</f>
        <v>3800</v>
      </c>
      <c r="V22">
        <v>2000</v>
      </c>
      <c r="W22">
        <v>20</v>
      </c>
    </row>
    <row r="23" spans="2:23" ht="14.25">
      <c r="B23">
        <v>4535</v>
      </c>
      <c r="C23">
        <v>4380</v>
      </c>
      <c r="E23" s="144" t="s">
        <v>90</v>
      </c>
      <c r="F23" s="157">
        <f>($G23-נתונים!$AR$32)/נתונים!AQ32</f>
        <v>4382.5384615384619</v>
      </c>
      <c r="G23" s="53">
        <f>MAXGROSS</f>
        <v>3800</v>
      </c>
      <c r="V23">
        <v>2100</v>
      </c>
      <c r="W23">
        <v>21</v>
      </c>
    </row>
    <row r="24" spans="2:23" ht="15" thickBot="1">
      <c r="B24">
        <v>4525</v>
      </c>
      <c r="C24">
        <v>4383</v>
      </c>
      <c r="E24" s="145" t="s">
        <v>91</v>
      </c>
      <c r="F24" s="158">
        <f>(MAXGROSS-נתונים!AR33)/נתונים!AQ33</f>
        <v>4525.2941176470586</v>
      </c>
      <c r="G24" s="54">
        <f>MAXGROSS</f>
        <v>3800</v>
      </c>
      <c r="V24">
        <v>2200</v>
      </c>
      <c r="W24">
        <v>22</v>
      </c>
    </row>
    <row r="25" spans="22:23" ht="14.25">
      <c r="V25">
        <v>2300</v>
      </c>
      <c r="W25">
        <v>23</v>
      </c>
    </row>
    <row r="26" spans="22:23" ht="15" thickBot="1">
      <c r="V26">
        <v>2400</v>
      </c>
      <c r="W26">
        <v>24</v>
      </c>
    </row>
    <row r="27" spans="4:23" ht="15.75" thickBot="1">
      <c r="D27" s="413" t="s">
        <v>208</v>
      </c>
      <c r="E27" s="414"/>
      <c r="F27" s="414"/>
      <c r="G27" s="414"/>
      <c r="H27" s="414"/>
      <c r="I27" s="415"/>
      <c r="V27">
        <v>2500</v>
      </c>
      <c r="W27">
        <v>25</v>
      </c>
    </row>
    <row r="28" spans="22:23" ht="15" thickBot="1">
      <c r="V28">
        <v>2600</v>
      </c>
      <c r="W28">
        <v>26</v>
      </c>
    </row>
    <row r="29" spans="4:23" ht="15">
      <c r="D29" s="359" t="s">
        <v>206</v>
      </c>
      <c r="E29" s="360"/>
      <c r="F29" s="360"/>
      <c r="G29" s="360"/>
      <c r="H29" s="360"/>
      <c r="I29" s="361"/>
      <c r="V29">
        <v>2700</v>
      </c>
      <c r="W29">
        <v>27</v>
      </c>
    </row>
    <row r="30" spans="4:23" ht="14.25">
      <c r="D30" s="406" t="s">
        <v>8</v>
      </c>
      <c r="E30" s="407"/>
      <c r="F30" s="416" t="s">
        <v>14</v>
      </c>
      <c r="G30" s="407"/>
      <c r="H30" s="417" t="s">
        <v>3</v>
      </c>
      <c r="I30" s="418"/>
      <c r="V30">
        <v>2800</v>
      </c>
      <c r="W30">
        <v>28</v>
      </c>
    </row>
    <row r="31" spans="4:23" ht="15" thickBot="1">
      <c r="D31" s="408">
        <f ca="1">TOwt90-SUM(externalLOADwt)</f>
        <v>3050</v>
      </c>
      <c r="E31" s="409"/>
      <c r="F31" s="419">
        <f ca="1">H31/D31</f>
        <v>4483.5072966688522</v>
      </c>
      <c r="G31" s="409"/>
      <c r="H31" s="419">
        <f ca="1">TOarm90_1-SUM(externalLOADmoment)</f>
        <v>13674697.25484</v>
      </c>
      <c r="I31" s="420"/>
      <c r="R31" s="197" t="str">
        <f ca="1">IF(F31&gt;4500,"AFT","FWD")</f>
        <v>FWD</v>
      </c>
      <c r="S31" s="197" t="s">
        <v>225</v>
      </c>
      <c r="V31">
        <v>2900</v>
      </c>
      <c r="W31">
        <v>29</v>
      </c>
    </row>
    <row r="32" spans="18:23" ht="14.25">
      <c r="R32">
        <v>800</v>
      </c>
      <c r="S32" s="197" t="s">
        <v>224</v>
      </c>
      <c r="V32">
        <v>3000</v>
      </c>
      <c r="W32">
        <v>30</v>
      </c>
    </row>
    <row r="33" spans="7:23" ht="15" thickBot="1">
      <c r="G33" s="41"/>
      <c r="H33" s="41"/>
      <c r="V33">
        <v>3100</v>
      </c>
      <c r="W33">
        <v>31</v>
      </c>
    </row>
    <row r="34" spans="4:23" ht="15">
      <c r="D34" s="359" t="s">
        <v>207</v>
      </c>
      <c r="E34" s="360"/>
      <c r="F34" s="360"/>
      <c r="G34" s="360"/>
      <c r="H34" s="360"/>
      <c r="I34" s="361"/>
      <c r="V34">
        <v>3200</v>
      </c>
      <c r="W34">
        <v>32</v>
      </c>
    </row>
    <row r="35" spans="4:23" ht="14.25">
      <c r="D35" s="406" t="s">
        <v>8</v>
      </c>
      <c r="E35" s="407"/>
      <c r="F35" s="416" t="s">
        <v>14</v>
      </c>
      <c r="G35" s="407"/>
      <c r="H35" s="417" t="s">
        <v>3</v>
      </c>
      <c r="I35" s="418"/>
      <c r="V35">
        <v>3300</v>
      </c>
      <c r="W35">
        <v>33</v>
      </c>
    </row>
    <row r="36" spans="4:23" ht="15" thickBot="1">
      <c r="D36" s="408">
        <f ca="1">TOwt90-SUM(externalLOADwt)</f>
        <v>3050</v>
      </c>
      <c r="E36" s="409"/>
      <c r="F36" s="419">
        <f ca="1">H36/D36</f>
        <v>4483.5072966688522</v>
      </c>
      <c r="G36" s="409"/>
      <c r="H36" s="419">
        <f ca="1">TOarm90_2-SUM(externalLOADmoment)</f>
        <v>13674697.25484</v>
      </c>
      <c r="I36" s="420"/>
      <c r="V36">
        <v>3400</v>
      </c>
      <c r="W36">
        <v>34</v>
      </c>
    </row>
    <row r="37" spans="22:23" ht="14.25">
      <c r="V37">
        <v>3500</v>
      </c>
      <c r="W37">
        <v>35</v>
      </c>
    </row>
    <row r="38" spans="4:23" ht="14.25">
      <c r="D38" s="355" t="s">
        <v>213</v>
      </c>
      <c r="E38" s="355"/>
      <c r="V38">
        <v>3600</v>
      </c>
      <c r="W38">
        <v>36</v>
      </c>
    </row>
    <row r="39" spans="4:23" ht="14.25">
      <c r="D39" s="192">
        <f ca="1">F31</f>
        <v>4483.5072966688522</v>
      </c>
      <c r="E39" s="192">
        <f ca="1">D31</f>
        <v>3050</v>
      </c>
      <c r="V39">
        <v>3700</v>
      </c>
      <c r="W39">
        <v>37</v>
      </c>
    </row>
    <row r="40" spans="4:24" ht="14.25">
      <c r="D40" s="192">
        <f ca="1">F36</f>
        <v>4483.5072966688522</v>
      </c>
      <c r="E40" s="192">
        <f ca="1">D36</f>
        <v>3050</v>
      </c>
      <c r="G40" s="1" t="s">
        <v>91</v>
      </c>
      <c r="H40" s="1">
        <v>100</v>
      </c>
      <c r="I40" s="1">
        <v>200</v>
      </c>
      <c r="J40" s="1">
        <v>300</v>
      </c>
      <c r="K40" s="1">
        <v>400</v>
      </c>
      <c r="L40" s="1">
        <v>500</v>
      </c>
      <c r="M40" s="1">
        <v>600</v>
      </c>
      <c r="N40" s="1">
        <v>700</v>
      </c>
      <c r="O40" s="1">
        <v>800</v>
      </c>
      <c r="V40">
        <v>3800</v>
      </c>
      <c r="W40">
        <v>38</v>
      </c>
      <c r="X40" s="1"/>
    </row>
    <row r="41" spans="4:26" ht="14.25">
      <c r="D41" s="192">
        <f ca="1">D40</f>
        <v>4483.5072966688522</v>
      </c>
      <c r="E41" s="1">
        <v>1800</v>
      </c>
      <c r="G41" s="1" t="s">
        <v>88</v>
      </c>
      <c r="H41" s="194">
        <f>SLOPE($E$49:$E$50,$D$49:$D$50)</f>
        <v>-9.473684210526315</v>
      </c>
      <c r="I41" s="194">
        <f>SLOPE($E$56:$E$57,$D$56:$D$57)</f>
        <v>-9.1071428571428577</v>
      </c>
      <c r="J41" s="194">
        <f>SLOPE($E$63:$E$64,$D$63:$D$64)</f>
        <v>-8.75</v>
      </c>
      <c r="K41" s="194">
        <f>SLOPE($E$70:$E$71,$D$70:$D$71)</f>
        <v>-8.32</v>
      </c>
      <c r="L41" s="194">
        <f>SLOPE($E$77:$E$78,$D$77:$D$78)</f>
        <v>-7.7692307692307692</v>
      </c>
      <c r="M41" s="194">
        <f>SLOPE($E$84:$E$85,$D$84:$D$85)</f>
        <v>-7.518796992481203</v>
      </c>
      <c r="N41" s="194">
        <f>SLOPE($E$91:$E$92,$D$91:$D$92)</f>
        <v>-7.0370370370370372</v>
      </c>
      <c r="O41" s="194">
        <f>SLOPE($E$98:$E$99,$D$98:$D$99)</f>
        <v>-6.617647058823529</v>
      </c>
      <c r="V41">
        <v>3900</v>
      </c>
      <c r="W41">
        <v>39</v>
      </c>
      <c r="Z41" s="1"/>
    </row>
    <row r="42" spans="4:26" ht="14.25">
      <c r="D42" s="192">
        <f ca="1">D39</f>
        <v>4483.5072966688522</v>
      </c>
      <c r="E42" s="1">
        <v>1800</v>
      </c>
      <c r="G42" s="1" t="s">
        <v>89</v>
      </c>
      <c r="H42" s="192">
        <f>$E$49-$D$49*H$41</f>
        <v>46563.15789473684</v>
      </c>
      <c r="I42" s="192">
        <f>$E$56-$D$56*I$41</f>
        <v>44855.535714285717</v>
      </c>
      <c r="J42" s="192">
        <f>$E$63-$D$63*J$41</f>
        <v>43151.25</v>
      </c>
      <c r="K42" s="192">
        <f>$E$70-$D$70*K$41</f>
        <v>41147.68</v>
      </c>
      <c r="L42" s="192">
        <f>$E$77-$D$77*$L$41</f>
        <v>38565.538461538461</v>
      </c>
      <c r="M42" s="192">
        <f>$E$84-$D$84*$M$41</f>
        <v>37363.15789473684</v>
      </c>
      <c r="N42" s="192">
        <f>$E$91-$D$91*N$41</f>
        <v>35088.888888888891</v>
      </c>
      <c r="O42" s="192">
        <f>$E$98-$D$98*O$41</f>
        <v>33102.941176470587</v>
      </c>
      <c r="V42">
        <v>4000</v>
      </c>
      <c r="W42">
        <v>40</v>
      </c>
      <c r="Z42" s="1"/>
    </row>
    <row r="43" spans="4:26" ht="14.25">
      <c r="D43" s="192">
        <f ca="1">D39</f>
        <v>4483.5072966688522</v>
      </c>
      <c r="E43" s="192">
        <f ca="1">E39</f>
        <v>3050</v>
      </c>
      <c r="G43" s="1" t="s">
        <v>218</v>
      </c>
      <c r="H43" s="192">
        <f ca="1" t="shared" si="0" ref="H43:J43">($E$40-H$42)/H$41</f>
        <v>4593.0555555555557</v>
      </c>
      <c r="I43" s="192">
        <f t="shared" ca="1" si="0"/>
        <v>4590.4117647058829</v>
      </c>
      <c r="J43" s="192">
        <f t="shared" ca="1" si="0"/>
        <v>4583</v>
      </c>
      <c r="K43" s="192">
        <f ca="1">($E$40-K$42)/K$41</f>
        <v>4579.0480769230771</v>
      </c>
      <c r="L43" s="192">
        <f ca="1" t="shared" si="1" ref="L43:O43">($E$40-L$42)/L$41</f>
        <v>4571.3069306930693</v>
      </c>
      <c r="M43" s="192">
        <f t="shared" ca="1" si="1"/>
        <v>4563.6499999999996</v>
      </c>
      <c r="N43" s="192">
        <f t="shared" ca="1" si="1"/>
        <v>4552.894736842105</v>
      </c>
      <c r="O43" s="192">
        <f t="shared" ca="1" si="1"/>
        <v>4541.3333333333339</v>
      </c>
      <c r="Z43" s="1"/>
    </row>
    <row r="44" spans="8:26" ht="14.25">
      <c r="H44" t="b">
        <f ca="1">AND(MAXGROSS-noCARGOwt&gt;H40,CARGO90!H43&gt;CARGO90!$D$39)</f>
        <v>1</v>
      </c>
      <c r="I44" t="b">
        <f ca="1">AND(MAXGROSS-noCARGOwt&gt;I40,CARGO90!I43&gt;CARGO90!$D$39)</f>
        <v>1</v>
      </c>
      <c r="J44" t="b">
        <f ca="1">AND(MAXGROSS-noCARGOwt&gt;J40,CARGO90!J43&gt;CARGO90!$D$39)</f>
        <v>1</v>
      </c>
      <c r="K44" t="b">
        <f ca="1">AND(MAXGROSS-noCARGOwt&gt;K40,CARGO90!K43&gt;CARGO90!$D$39)</f>
        <v>1</v>
      </c>
      <c r="L44" t="b">
        <f ca="1">AND(MAXGROSS-noCARGOwt&gt;L40,CARGO90!L43&gt;CARGO90!$D$39)</f>
        <v>1</v>
      </c>
      <c r="M44" t="b">
        <f ca="1">AND(MAXGROSS-noCARGOwt&gt;M40,CARGO90!M43&gt;CARGO90!$D$39)</f>
        <v>1</v>
      </c>
      <c r="N44" t="b">
        <f ca="1">AND(MAXGROSS-noCARGOwt&gt;N40,CARGO90!N43&gt;CARGO90!$D$39)</f>
        <v>1</v>
      </c>
      <c r="O44" t="b">
        <f ca="1">AND(MAXGROSS-noCARGOwt&gt;O40,CARGO90!O43&gt;CARGO90!$D$39)</f>
        <v>0</v>
      </c>
      <c r="Z44" s="1"/>
    </row>
    <row r="45" spans="4:26" ht="14.25">
      <c r="D45" s="193" t="s">
        <v>226</v>
      </c>
      <c r="E45" s="193"/>
      <c r="Z45" s="1"/>
    </row>
    <row r="46" spans="4:26" ht="14.25">
      <c r="D46" s="193" t="s">
        <v>1</v>
      </c>
      <c r="E46" s="193" t="s">
        <v>0</v>
      </c>
      <c r="Z46" s="1"/>
    </row>
    <row r="47" spans="3:26" ht="14.25">
      <c r="C47" t="s">
        <v>217</v>
      </c>
      <c r="D47" s="193">
        <v>4347</v>
      </c>
      <c r="E47" s="193">
        <v>2400</v>
      </c>
      <c r="F47" s="1"/>
      <c r="G47" s="1" t="s">
        <v>90</v>
      </c>
      <c r="H47" s="1">
        <v>100</v>
      </c>
      <c r="I47" s="1">
        <v>200</v>
      </c>
      <c r="J47" s="1">
        <v>300</v>
      </c>
      <c r="K47" s="1">
        <v>400</v>
      </c>
      <c r="L47" s="1">
        <v>500</v>
      </c>
      <c r="M47" s="1">
        <v>600</v>
      </c>
      <c r="N47" s="1">
        <v>700</v>
      </c>
      <c r="O47" s="1">
        <v>800</v>
      </c>
      <c r="Z47" s="1"/>
    </row>
    <row r="48" spans="3:26" ht="14.25">
      <c r="C48" t="s">
        <v>214</v>
      </c>
      <c r="D48" s="193">
        <v>4378</v>
      </c>
      <c r="E48" s="193">
        <v>3600</v>
      </c>
      <c r="F48" s="1"/>
      <c r="G48" s="1" t="s">
        <v>88</v>
      </c>
      <c r="H48" s="194">
        <f>SLOPE($E$47:$E$48,$D$47:$D$48)</f>
        <v>38.70967741935484</v>
      </c>
      <c r="I48" s="194">
        <f>SLOPE($E$54:$E$55,$D$54:$D$55)</f>
        <v>36.666666666666664</v>
      </c>
      <c r="J48" s="194">
        <f>SLOPE($E$61:$E$62,$D$61:$D$62)</f>
        <v>34.482758620689658</v>
      </c>
      <c r="K48" s="194">
        <f>SLOPE($E$68:$E$69,$D$68:$D$69)</f>
        <v>37.50</v>
      </c>
      <c r="L48" s="194">
        <f>SLOPE($E$75:$E$76,$D$75:$D$76)</f>
        <v>33.333333333333336</v>
      </c>
      <c r="M48" s="194">
        <f>SLOPE($E$82:$E$83,$D$82:$D$83)</f>
        <v>31.818181818181817</v>
      </c>
      <c r="N48" s="194">
        <f>SLOPE($E$89:$E$90,$D$89:$D$90)</f>
        <v>30</v>
      </c>
      <c r="O48" s="194">
        <f>SLOPE($E$96:$E$97,$D$96:$D$97)</f>
        <v>29.411764705882351</v>
      </c>
      <c r="Z48" s="1"/>
    </row>
    <row r="49" spans="3:26" ht="14.25">
      <c r="C49" t="s">
        <v>215</v>
      </c>
      <c r="D49" s="193">
        <v>4535</v>
      </c>
      <c r="E49" s="193">
        <v>3600</v>
      </c>
      <c r="F49" s="1"/>
      <c r="G49" s="1" t="s">
        <v>89</v>
      </c>
      <c r="H49" s="192">
        <f>$E$47-$D$47*H$48</f>
        <v>-165870.96774193548</v>
      </c>
      <c r="I49" s="192">
        <f>$E$54-$D$54*I$48</f>
        <v>-156990</v>
      </c>
      <c r="J49" s="192">
        <f>$E$61-$D$61*J$48</f>
        <v>-147496.55172413794</v>
      </c>
      <c r="K49" s="192">
        <f>$E$68-$D$68*K$48</f>
        <v>-160725</v>
      </c>
      <c r="L49" s="192">
        <f>$E$75-$D$75*L$48</f>
        <v>-142600</v>
      </c>
      <c r="M49" s="192">
        <f>$E$82-$D$82*M$48</f>
        <v>-136009.09090909091</v>
      </c>
      <c r="N49" s="192">
        <f>$E$89-$D$89*N$48</f>
        <v>-128100</v>
      </c>
      <c r="O49" s="192">
        <f>$E$96-$D$96*O$48</f>
        <v>-125541.17647058822</v>
      </c>
      <c r="Z49" s="1"/>
    </row>
    <row r="50" spans="3:26" ht="14.25">
      <c r="C50" t="s">
        <v>216</v>
      </c>
      <c r="D50" s="193">
        <v>4630</v>
      </c>
      <c r="E50" s="193">
        <v>2700</v>
      </c>
      <c r="F50" s="1"/>
      <c r="G50" s="1" t="s">
        <v>218</v>
      </c>
      <c r="H50" s="192">
        <f ca="1" t="shared" si="2" ref="H50:J50">($E$40-H$49)/H$48</f>
        <v>4363.791666666667</v>
      </c>
      <c r="I50" s="192">
        <f t="shared" ca="1" si="2"/>
        <v>4364.727272727273</v>
      </c>
      <c r="J50" s="192">
        <f t="shared" ca="1" si="2"/>
        <v>4365.8500000000004</v>
      </c>
      <c r="K50" s="192">
        <f ca="1">($E$40-K$49)/K$48</f>
        <v>4367.333333333333</v>
      </c>
      <c r="L50" s="192">
        <f ca="1" t="shared" si="3" ref="L50:O50">($E$40-L$49)/L$48</f>
        <v>4369.50</v>
      </c>
      <c r="M50" s="192">
        <f t="shared" ca="1" si="3"/>
        <v>4370.4285714285716</v>
      </c>
      <c r="N50" s="192">
        <f t="shared" ca="1" si="3"/>
        <v>4371.666666666667</v>
      </c>
      <c r="O50" s="192">
        <f t="shared" ca="1" si="3"/>
        <v>4372.0999999999995</v>
      </c>
      <c r="Z50" s="1"/>
    </row>
    <row r="51" spans="4:26" ht="14.25">
      <c r="D51" s="193"/>
      <c r="E51" s="193"/>
      <c r="F51" s="1"/>
      <c r="G51" s="1"/>
      <c r="H51" t="b">
        <f ca="1">AND(MAXGROSS-noCARGOwt&gt;H40,CARGO90!H50&lt;CARGO90!$D$40)</f>
        <v>1</v>
      </c>
      <c r="I51" t="b">
        <f ca="1">AND(MAXGROSS-noCARGOwt&gt;I40,CARGO90!I50&lt;CARGO90!$D$40)</f>
        <v>1</v>
      </c>
      <c r="J51" t="b">
        <f ca="1">AND(MAXGROSS-noCARGOwt&gt;J40,CARGO90!J50&lt;CARGO90!$D$40)</f>
        <v>1</v>
      </c>
      <c r="K51" t="b">
        <f ca="1">AND(MAXGROSS-noCARGOwt&gt;K40,CARGO90!K50&lt;CARGO90!$D$40)</f>
        <v>1</v>
      </c>
      <c r="L51" t="b">
        <f ca="1">AND(MAXGROSS-noCARGOwt&gt;L40,CARGO90!L50&lt;CARGO90!$D$40)</f>
        <v>1</v>
      </c>
      <c r="M51" t="b">
        <f ca="1">AND(MAXGROSS-noCARGOwt&gt;M40,CARGO90!M50&lt;CARGO90!$D$40)</f>
        <v>1</v>
      </c>
      <c r="N51" t="b">
        <f ca="1">AND(MAXGROSS-noCARGOwt&gt;N40,CARGO90!N50&lt;CARGO90!$D$40)</f>
        <v>1</v>
      </c>
      <c r="O51" t="b">
        <f ca="1">AND(MAXGROSS-noCARGOwt&gt;O40,CARGO90!O50&lt;CARGO90!$D$40)</f>
        <v>0</v>
      </c>
      <c r="Z51" s="1"/>
    </row>
    <row r="52" spans="4:26" ht="14.25">
      <c r="D52" s="193" t="s">
        <v>227</v>
      </c>
      <c r="E52" s="193"/>
      <c r="F52" s="1"/>
      <c r="Z52" s="1"/>
    </row>
    <row r="53" spans="4:26" ht="14.25">
      <c r="D53" s="193" t="s">
        <v>1</v>
      </c>
      <c r="E53" s="193" t="s">
        <v>0</v>
      </c>
      <c r="F53" s="1"/>
      <c r="H53" s="355" t="s">
        <v>219</v>
      </c>
      <c r="I53" s="355"/>
      <c r="J53" s="355"/>
      <c r="K53" s="355"/>
      <c r="L53" s="355"/>
      <c r="M53" s="355"/>
      <c r="N53" s="355"/>
      <c r="Z53" s="1"/>
    </row>
    <row r="54" spans="3:26" ht="14.25">
      <c r="C54" t="s">
        <v>217</v>
      </c>
      <c r="D54" s="193">
        <v>4347</v>
      </c>
      <c r="E54" s="193">
        <v>2400</v>
      </c>
      <c r="F54" s="1"/>
      <c r="H54">
        <f ca="1" t="shared" si="4" ref="H54:J54">IF(AND(H44,H51),H40,0)</f>
        <v>100</v>
      </c>
      <c r="I54">
        <f t="shared" ca="1" si="4"/>
        <v>200</v>
      </c>
      <c r="J54">
        <f t="shared" ca="1" si="4"/>
        <v>300</v>
      </c>
      <c r="K54">
        <f ca="1">IF(AND(K44,K51),K40,0)</f>
        <v>400</v>
      </c>
      <c r="L54">
        <f ca="1" t="shared" si="5" ref="L54:O54">IF(AND(L44,L51),L40,0)</f>
        <v>500</v>
      </c>
      <c r="M54">
        <f t="shared" ca="1" si="5"/>
        <v>600</v>
      </c>
      <c r="N54">
        <f t="shared" ca="1" si="5"/>
        <v>700</v>
      </c>
      <c r="O54">
        <f t="shared" ca="1" si="5"/>
        <v>0</v>
      </c>
      <c r="Z54" s="1"/>
    </row>
    <row r="55" spans="3:26" ht="14.25">
      <c r="C55" t="s">
        <v>214</v>
      </c>
      <c r="D55" s="193">
        <v>4377</v>
      </c>
      <c r="E55" s="193">
        <v>3500</v>
      </c>
      <c r="F55" s="1"/>
      <c r="Z55" s="1"/>
    </row>
    <row r="56" spans="3:26" ht="14.25">
      <c r="C56" t="s">
        <v>215</v>
      </c>
      <c r="D56" s="193">
        <v>4541</v>
      </c>
      <c r="E56" s="193">
        <v>3500</v>
      </c>
      <c r="F56" s="1"/>
      <c r="G56" s="1"/>
      <c r="K56" s="196">
        <f ca="1">HLOOKUP(K57,IF(cargoLIMITarea="AFT",$H$40:$O$43,$H$47:$O$50),4,FALSE)</f>
        <v>4371.666666666667</v>
      </c>
      <c r="L56" s="196">
        <f ca="1">IF(cargoLIMITarea="AFT",F31,F36)</f>
        <v>4483.5072966688522</v>
      </c>
      <c r="M56" s="196">
        <f ca="1">HLOOKUP(M57,IF(cargoLIMITarea="AFT",$H$40:$O$43,$H$47:$O$50),4,FALSE)</f>
        <v>4372.0999999999995</v>
      </c>
      <c r="N56" s="1"/>
      <c r="Z56" s="1"/>
    </row>
    <row r="57" spans="3:13" ht="14.25">
      <c r="C57" t="s">
        <v>216</v>
      </c>
      <c r="D57" s="193">
        <v>4653</v>
      </c>
      <c r="E57" s="193">
        <v>2480</v>
      </c>
      <c r="F57" s="1"/>
      <c r="K57" s="193">
        <f ca="1">IF(MAX($H$54:$N$54)&gt;maxGRAPH,maxGRAPH,MAX($H$54:$N$54))</f>
        <v>700</v>
      </c>
      <c r="L57" s="193">
        <f ca="1">IF(M57-K57=0,K57,ROUNDDOWN(M57-(F31-M56)/(K56-M56)*100,-1))</f>
        <v>26500</v>
      </c>
      <c r="M57" s="193">
        <f ca="1">IF(MAX($H$54:$N$54)+100&gt;maxGRAPH,maxGRAPH,MAX($H$54:$N$54)+100)</f>
        <v>800</v>
      </c>
    </row>
    <row r="58" spans="6:12" ht="14.25">
      <c r="F58" s="1"/>
      <c r="G58" s="1"/>
      <c r="H58" s="1"/>
      <c r="I58" s="1"/>
      <c r="J58" s="1"/>
      <c r="K58" s="1"/>
      <c r="L58" s="1"/>
    </row>
    <row r="59" spans="4:12" ht="14.25">
      <c r="D59" s="193" t="s">
        <v>228</v>
      </c>
      <c r="E59" s="193"/>
      <c r="F59" s="1"/>
      <c r="J59" s="192">
        <f ca="1">ROUND(MAXGROSS-SUM(ראשי!$F$47:$F$48),0)</f>
        <v>1100</v>
      </c>
      <c r="K59" t="s">
        <v>221</v>
      </c>
      <c r="L59" s="1"/>
    </row>
    <row r="60" spans="4:12" ht="14.25">
      <c r="D60" s="193" t="s">
        <v>1</v>
      </c>
      <c r="E60" s="193" t="s">
        <v>0</v>
      </c>
      <c r="F60" s="1"/>
      <c r="G60" s="1"/>
      <c r="H60" s="1"/>
      <c r="I60" s="1"/>
      <c r="J60" s="1">
        <f ca="1">payload-FUEL90-PAXandEQUIP</f>
        <v>752</v>
      </c>
      <c r="K60" s="197" t="s">
        <v>222</v>
      </c>
      <c r="L60" s="1"/>
    </row>
    <row r="61" spans="3:12" ht="15" thickBot="1">
      <c r="C61" t="s">
        <v>217</v>
      </c>
      <c r="D61" s="193">
        <v>4347</v>
      </c>
      <c r="E61" s="193">
        <v>2400</v>
      </c>
      <c r="F61" s="1"/>
      <c r="G61" s="1"/>
      <c r="H61" s="1"/>
      <c r="I61" s="1"/>
      <c r="J61" s="1"/>
      <c r="K61" s="1"/>
      <c r="L61" s="1"/>
    </row>
    <row r="62" spans="3:12" ht="15.75" thickBot="1">
      <c r="C62" t="s">
        <v>214</v>
      </c>
      <c r="D62" s="193">
        <v>4376</v>
      </c>
      <c r="E62" s="193">
        <v>3400</v>
      </c>
      <c r="F62" s="1"/>
      <c r="G62" s="195">
        <f ca="1">IFERROR(IF(MIN(J60,L57)&gt;maxGRAPH,maxGRAPH,MIN(J60,L57)),0)</f>
        <v>752</v>
      </c>
      <c r="H62" s="421" t="s">
        <v>220</v>
      </c>
      <c r="I62" s="421"/>
      <c r="J62" s="421"/>
      <c r="K62" s="422"/>
      <c r="L62" s="1"/>
    </row>
    <row r="63" spans="3:12" ht="14.25">
      <c r="C63" t="s">
        <v>215</v>
      </c>
      <c r="D63" s="193">
        <v>4543</v>
      </c>
      <c r="E63" s="193">
        <v>3400</v>
      </c>
      <c r="F63" s="1"/>
      <c r="G63" s="1" t="str">
        <f ca="1">IF(OR(maxCARGO=J60,maxCARGO=maxGRAPH),"(משקל)","(CG)")</f>
        <v>(משקל)</v>
      </c>
      <c r="H63" s="1" t="s">
        <v>223</v>
      </c>
      <c r="I63" s="1"/>
      <c r="J63" s="1"/>
      <c r="K63" s="1"/>
      <c r="L63" s="1"/>
    </row>
    <row r="64" spans="3:7" ht="14.25">
      <c r="C64" t="s">
        <v>216</v>
      </c>
      <c r="D64" s="193">
        <v>4663</v>
      </c>
      <c r="E64" s="193">
        <v>2350</v>
      </c>
      <c r="F64" s="1"/>
      <c r="G64" s="1"/>
    </row>
    <row r="65" spans="6:8" ht="14.25">
      <c r="F65" s="1"/>
      <c r="G65" s="1" t="str">
        <f ca="1">IF(maxCARGO&gt;=(0.9*680+40),"GO","NO GO")</f>
        <v>GO</v>
      </c>
      <c r="H65" t="s">
        <v>231</v>
      </c>
    </row>
    <row r="66" spans="4:7" ht="14.25">
      <c r="D66" s="193" t="s">
        <v>209</v>
      </c>
      <c r="E66" s="193"/>
      <c r="F66" s="1"/>
      <c r="G66" s="1"/>
    </row>
    <row r="67" spans="4:7" ht="14.25">
      <c r="D67" s="193" t="s">
        <v>1</v>
      </c>
      <c r="E67" s="193" t="s">
        <v>0</v>
      </c>
      <c r="F67" s="1"/>
      <c r="G67" s="1"/>
    </row>
    <row r="68" spans="3:7" ht="14.25">
      <c r="C68" t="s">
        <v>217</v>
      </c>
      <c r="D68" s="193">
        <v>4350</v>
      </c>
      <c r="E68" s="193">
        <v>2400</v>
      </c>
      <c r="F68" s="1"/>
      <c r="G68" s="1"/>
    </row>
    <row r="69" spans="3:7" ht="14.25">
      <c r="C69" t="s">
        <v>214</v>
      </c>
      <c r="D69" s="193">
        <v>4374</v>
      </c>
      <c r="E69" s="193">
        <v>3300</v>
      </c>
      <c r="F69" s="1"/>
      <c r="G69" s="1"/>
    </row>
    <row r="70" spans="3:7" ht="14.25">
      <c r="C70" t="s">
        <v>215</v>
      </c>
      <c r="D70" s="193">
        <v>4549</v>
      </c>
      <c r="E70" s="193">
        <v>3300</v>
      </c>
      <c r="F70" s="1"/>
      <c r="G70" s="1"/>
    </row>
    <row r="71" spans="3:7" ht="14.25">
      <c r="C71" t="s">
        <v>216</v>
      </c>
      <c r="D71" s="193">
        <v>4674</v>
      </c>
      <c r="E71" s="193">
        <v>2260</v>
      </c>
      <c r="F71" s="1"/>
      <c r="G71" s="1"/>
    </row>
    <row r="72" spans="6:7" ht="14.25">
      <c r="F72" s="1"/>
      <c r="G72" s="1"/>
    </row>
    <row r="73" spans="4:5" ht="14.25">
      <c r="D73" s="193" t="s">
        <v>210</v>
      </c>
      <c r="E73" s="193"/>
    </row>
    <row r="74" spans="4:5" ht="14.25">
      <c r="D74" s="193" t="s">
        <v>1</v>
      </c>
      <c r="E74" s="193" t="s">
        <v>0</v>
      </c>
    </row>
    <row r="75" spans="3:5" ht="14.25">
      <c r="C75" t="s">
        <v>217</v>
      </c>
      <c r="D75" s="193">
        <v>4350</v>
      </c>
      <c r="E75" s="193">
        <v>2400</v>
      </c>
    </row>
    <row r="76" spans="3:5" ht="14.25">
      <c r="C76" t="s">
        <v>214</v>
      </c>
      <c r="D76" s="193">
        <v>4374</v>
      </c>
      <c r="E76" s="193">
        <v>3200</v>
      </c>
    </row>
    <row r="77" spans="3:5" ht="14.25">
      <c r="C77" t="s">
        <v>215</v>
      </c>
      <c r="D77" s="193">
        <v>4552</v>
      </c>
      <c r="E77" s="193">
        <v>3200</v>
      </c>
    </row>
    <row r="78" spans="3:5" ht="14.25">
      <c r="C78" t="s">
        <v>216</v>
      </c>
      <c r="D78" s="193">
        <v>4682</v>
      </c>
      <c r="E78" s="193">
        <v>2190</v>
      </c>
    </row>
    <row r="80" spans="4:5" ht="14.25">
      <c r="D80" s="193" t="s">
        <v>211</v>
      </c>
      <c r="E80" s="193"/>
    </row>
    <row r="81" spans="4:5" ht="14.25">
      <c r="D81" s="193" t="s">
        <v>1</v>
      </c>
      <c r="E81" s="193" t="s">
        <v>0</v>
      </c>
    </row>
    <row r="82" spans="3:5" ht="14.25">
      <c r="C82" t="s">
        <v>217</v>
      </c>
      <c r="D82" s="193">
        <v>4350</v>
      </c>
      <c r="E82" s="193">
        <v>2400</v>
      </c>
    </row>
    <row r="83" spans="3:5" ht="14.25">
      <c r="C83" t="s">
        <v>214</v>
      </c>
      <c r="D83" s="193">
        <v>4372</v>
      </c>
      <c r="E83" s="193">
        <v>3100</v>
      </c>
    </row>
    <row r="84" spans="3:5" ht="14.25">
      <c r="C84" t="s">
        <v>215</v>
      </c>
      <c r="D84" s="193">
        <v>4557</v>
      </c>
      <c r="E84" s="193">
        <v>3100</v>
      </c>
    </row>
    <row r="85" spans="3:5" ht="14.25">
      <c r="C85" t="s">
        <v>216</v>
      </c>
      <c r="D85" s="193">
        <v>4690</v>
      </c>
      <c r="E85" s="193">
        <v>2100</v>
      </c>
    </row>
    <row r="87" spans="4:5" ht="14.25">
      <c r="D87" s="193" t="s">
        <v>212</v>
      </c>
      <c r="E87" s="193"/>
    </row>
    <row r="88" spans="4:5" ht="14.25">
      <c r="D88" s="193" t="s">
        <v>1</v>
      </c>
      <c r="E88" s="193" t="s">
        <v>0</v>
      </c>
    </row>
    <row r="89" spans="3:5" ht="14.25">
      <c r="C89" t="s">
        <v>217</v>
      </c>
      <c r="D89" s="193">
        <v>4350</v>
      </c>
      <c r="E89" s="193">
        <v>2400</v>
      </c>
    </row>
    <row r="90" spans="3:5" ht="14.25">
      <c r="C90" t="s">
        <v>214</v>
      </c>
      <c r="D90" s="193">
        <v>4370</v>
      </c>
      <c r="E90" s="193">
        <v>3000</v>
      </c>
    </row>
    <row r="91" spans="3:5" ht="14.25">
      <c r="C91" t="s">
        <v>215</v>
      </c>
      <c r="D91" s="193">
        <v>4560</v>
      </c>
      <c r="E91" s="193">
        <v>3000</v>
      </c>
    </row>
    <row r="92" spans="3:5" ht="14.25">
      <c r="C92" t="s">
        <v>216</v>
      </c>
      <c r="D92" s="193">
        <v>4695</v>
      </c>
      <c r="E92" s="193">
        <v>2050</v>
      </c>
    </row>
    <row r="94" spans="4:5" ht="14.25">
      <c r="D94" s="193" t="s">
        <v>234</v>
      </c>
      <c r="E94" s="193"/>
    </row>
    <row r="95" spans="4:5" ht="14.25">
      <c r="D95" s="193" t="s">
        <v>1</v>
      </c>
      <c r="E95" s="193" t="s">
        <v>0</v>
      </c>
    </row>
    <row r="96" spans="3:5" ht="14.25">
      <c r="C96" t="s">
        <v>217</v>
      </c>
      <c r="D96" s="193">
        <v>4350</v>
      </c>
      <c r="E96" s="193">
        <v>2400</v>
      </c>
    </row>
    <row r="97" spans="3:5" ht="14.25">
      <c r="C97" t="s">
        <v>214</v>
      </c>
      <c r="D97" s="193">
        <v>4367</v>
      </c>
      <c r="E97" s="193">
        <v>2900</v>
      </c>
    </row>
    <row r="98" spans="3:5" ht="14.25">
      <c r="C98" t="s">
        <v>215</v>
      </c>
      <c r="D98" s="193">
        <v>4564</v>
      </c>
      <c r="E98" s="193">
        <v>2900</v>
      </c>
    </row>
    <row r="99" spans="3:5" ht="14.25">
      <c r="C99" t="s">
        <v>216</v>
      </c>
      <c r="D99" s="193">
        <v>4700</v>
      </c>
      <c r="E99" s="193">
        <v>2000</v>
      </c>
    </row>
  </sheetData>
  <mergeCells count="20">
    <mergeCell ref="E21:G21"/>
    <mergeCell ref="I22:J22"/>
    <mergeCell ref="D27:I27"/>
    <mergeCell ref="D29:I29"/>
    <mergeCell ref="D30:E30"/>
    <mergeCell ref="F30:G30"/>
    <mergeCell ref="H30:I30"/>
    <mergeCell ref="H62:K62"/>
    <mergeCell ref="D31:E31"/>
    <mergeCell ref="F31:G31"/>
    <mergeCell ref="H31:I31"/>
    <mergeCell ref="D34:I34"/>
    <mergeCell ref="D35:E35"/>
    <mergeCell ref="F35:G35"/>
    <mergeCell ref="H35:I35"/>
    <mergeCell ref="D36:E36"/>
    <mergeCell ref="F36:G36"/>
    <mergeCell ref="H36:I36"/>
    <mergeCell ref="D38:E38"/>
    <mergeCell ref="H53:N53"/>
  </mergeCells>
  <conditionalFormatting sqref="F19">
    <cfRule type="cellIs" priority="2" dxfId="7" operator="greaterThan">
      <formula>80</formula>
    </cfRule>
  </conditionalFormatting>
  <conditionalFormatting sqref="F19">
    <cfRule type="cellIs" priority="1" dxfId="7" operator="greaterThan">
      <formula>120</formula>
    </cfRule>
  </conditionalFormatting>
  <pageMargins left="0.7" right="0.7" top="0.75" bottom="0.75" header="0.3" footer="0.3"/>
  <pageSetup horizontalDpi="200" verticalDpi="200" orientation="portrait" paperSize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1"/>
  <dimension ref="B1:Z99"/>
  <sheetViews>
    <sheetView rightToLeft="1" workbookViewId="0" topLeftCell="B30">
      <selection pane="topLeft" activeCell="K57" sqref="K57"/>
    </sheetView>
  </sheetViews>
  <sheetFormatPr defaultRowHeight="14.25"/>
  <cols>
    <col min="8" max="10" width="9.375" bestFit="1" customWidth="1"/>
  </cols>
  <sheetData>
    <row r="1" spans="22:23" ht="14.25">
      <c r="V1" t="s">
        <v>171</v>
      </c>
      <c r="W1" t="s">
        <v>172</v>
      </c>
    </row>
    <row r="2" spans="22:23" ht="14.25">
      <c r="V2">
        <v>0</v>
      </c>
      <c r="W2">
        <v>0</v>
      </c>
    </row>
    <row r="3" spans="22:23" ht="15" thickBot="1">
      <c r="V3">
        <v>100</v>
      </c>
      <c r="W3">
        <v>1</v>
      </c>
    </row>
    <row r="4" spans="5:23" ht="15.75" thickBot="1">
      <c r="E4" s="121"/>
      <c r="F4" s="122">
        <v>10</v>
      </c>
      <c r="G4" s="123">
        <v>15</v>
      </c>
      <c r="H4" s="123">
        <v>20</v>
      </c>
      <c r="I4" s="123">
        <v>25</v>
      </c>
      <c r="J4" s="123">
        <v>30</v>
      </c>
      <c r="K4" s="123">
        <v>35</v>
      </c>
      <c r="L4" s="124">
        <v>40</v>
      </c>
      <c r="V4">
        <v>200</v>
      </c>
      <c r="W4">
        <v>2</v>
      </c>
    </row>
    <row r="5" spans="5:23" ht="15">
      <c r="E5" s="125">
        <v>0</v>
      </c>
      <c r="F5" s="146">
        <v>3800</v>
      </c>
      <c r="G5" s="146">
        <v>3800</v>
      </c>
      <c r="H5" s="146">
        <v>3800</v>
      </c>
      <c r="I5" s="146">
        <v>3800</v>
      </c>
      <c r="J5" s="146">
        <v>3800</v>
      </c>
      <c r="K5" s="146">
        <v>3800</v>
      </c>
      <c r="L5" s="148">
        <v>3800</v>
      </c>
      <c r="V5">
        <v>300</v>
      </c>
      <c r="W5">
        <v>3</v>
      </c>
    </row>
    <row r="6" spans="5:23" ht="15">
      <c r="E6" s="126">
        <v>500</v>
      </c>
      <c r="F6" s="146">
        <v>3800</v>
      </c>
      <c r="G6" s="146">
        <v>3800</v>
      </c>
      <c r="H6" s="146">
        <v>3800</v>
      </c>
      <c r="I6" s="146">
        <v>3800</v>
      </c>
      <c r="J6" s="146">
        <v>3800</v>
      </c>
      <c r="K6" s="146">
        <v>3800</v>
      </c>
      <c r="L6" s="149">
        <v>3700</v>
      </c>
      <c r="V6">
        <v>400</v>
      </c>
      <c r="W6">
        <v>4</v>
      </c>
    </row>
    <row r="7" spans="5:23" ht="15">
      <c r="E7" s="126">
        <v>1000</v>
      </c>
      <c r="F7" s="146">
        <v>3800</v>
      </c>
      <c r="G7" s="146">
        <v>3800</v>
      </c>
      <c r="H7" s="146">
        <v>3800</v>
      </c>
      <c r="I7" s="146">
        <v>3800</v>
      </c>
      <c r="J7" s="146">
        <v>3800</v>
      </c>
      <c r="K7" s="146">
        <v>3800</v>
      </c>
      <c r="L7" s="149">
        <v>3700</v>
      </c>
      <c r="V7">
        <v>500</v>
      </c>
      <c r="W7">
        <v>5</v>
      </c>
    </row>
    <row r="8" spans="5:23" ht="15">
      <c r="E8" s="126">
        <v>1500</v>
      </c>
      <c r="F8" s="146">
        <v>3800</v>
      </c>
      <c r="G8" s="146">
        <v>3800</v>
      </c>
      <c r="H8" s="146">
        <v>3800</v>
      </c>
      <c r="I8" s="146">
        <v>3800</v>
      </c>
      <c r="J8" s="146">
        <v>3800</v>
      </c>
      <c r="K8" s="146">
        <v>3800</v>
      </c>
      <c r="L8" s="149">
        <v>3700</v>
      </c>
      <c r="V8">
        <v>600</v>
      </c>
      <c r="W8">
        <v>6</v>
      </c>
    </row>
    <row r="9" spans="5:23" ht="15">
      <c r="E9" s="126">
        <v>2000</v>
      </c>
      <c r="F9" s="146">
        <v>3800</v>
      </c>
      <c r="G9" s="146">
        <v>3800</v>
      </c>
      <c r="H9" s="146">
        <v>3800</v>
      </c>
      <c r="I9" s="146">
        <v>3800</v>
      </c>
      <c r="J9" s="146">
        <v>3800</v>
      </c>
      <c r="K9" s="146">
        <v>3800</v>
      </c>
      <c r="L9" s="149">
        <v>3700</v>
      </c>
      <c r="V9">
        <v>700</v>
      </c>
      <c r="W9">
        <v>7</v>
      </c>
    </row>
    <row r="10" spans="5:23" ht="15">
      <c r="E10" s="126">
        <v>2500</v>
      </c>
      <c r="F10" s="146">
        <v>3800</v>
      </c>
      <c r="G10" s="146">
        <v>3800</v>
      </c>
      <c r="H10" s="146">
        <v>3800</v>
      </c>
      <c r="I10" s="146">
        <v>3800</v>
      </c>
      <c r="J10" s="146">
        <v>3800</v>
      </c>
      <c r="K10" s="150">
        <v>3700</v>
      </c>
      <c r="L10" s="149">
        <v>3700</v>
      </c>
      <c r="V10">
        <v>800</v>
      </c>
      <c r="W10">
        <v>8</v>
      </c>
    </row>
    <row r="11" spans="5:23" ht="15">
      <c r="E11" s="126">
        <v>3000</v>
      </c>
      <c r="F11" s="146">
        <v>3800</v>
      </c>
      <c r="G11" s="146">
        <v>3800</v>
      </c>
      <c r="H11" s="146">
        <v>3800</v>
      </c>
      <c r="I11" s="146">
        <v>3800</v>
      </c>
      <c r="J11" s="150">
        <v>3700</v>
      </c>
      <c r="K11" s="150">
        <v>3700</v>
      </c>
      <c r="L11" s="149">
        <v>3700</v>
      </c>
      <c r="V11">
        <v>900</v>
      </c>
      <c r="W11">
        <v>9</v>
      </c>
    </row>
    <row r="12" spans="5:23" ht="15">
      <c r="E12" s="126">
        <v>3500</v>
      </c>
      <c r="F12" s="146">
        <v>3800</v>
      </c>
      <c r="G12" s="146">
        <v>3800</v>
      </c>
      <c r="H12" s="146">
        <v>3800</v>
      </c>
      <c r="I12" s="150">
        <v>3700</v>
      </c>
      <c r="J12" s="150">
        <v>3700</v>
      </c>
      <c r="K12" s="150">
        <v>3700</v>
      </c>
      <c r="L12" s="149">
        <v>3700</v>
      </c>
      <c r="V12">
        <v>1000</v>
      </c>
      <c r="W12">
        <v>10</v>
      </c>
    </row>
    <row r="13" spans="5:23" ht="15.75" thickBot="1">
      <c r="E13" s="127">
        <v>4000</v>
      </c>
      <c r="F13" s="151">
        <v>3800</v>
      </c>
      <c r="G13" s="151">
        <v>3800</v>
      </c>
      <c r="H13" s="152">
        <v>3700</v>
      </c>
      <c r="I13" s="152">
        <v>3700</v>
      </c>
      <c r="J13" s="152">
        <v>3700</v>
      </c>
      <c r="K13" s="152">
        <v>3700</v>
      </c>
      <c r="L13" s="153">
        <v>3700</v>
      </c>
      <c r="V13">
        <v>1100</v>
      </c>
      <c r="W13">
        <v>11</v>
      </c>
    </row>
    <row r="14" spans="22:23" ht="14.25">
      <c r="V14">
        <v>1200</v>
      </c>
      <c r="W14">
        <v>12</v>
      </c>
    </row>
    <row r="15" spans="6:23" ht="14.25">
      <c r="F15" s="128" t="s">
        <v>173</v>
      </c>
      <c r="G15" s="129">
        <f>ראשי!$D$41</f>
        <v>2000</v>
      </c>
      <c r="H15" s="130"/>
      <c r="I15" s="131"/>
      <c r="J15" s="132" t="s">
        <v>174</v>
      </c>
      <c r="K15" s="133" t="s">
        <v>175</v>
      </c>
      <c r="V15">
        <v>1300</v>
      </c>
      <c r="W15">
        <v>13</v>
      </c>
    </row>
    <row r="16" spans="6:23" ht="14.25">
      <c r="F16" s="128" t="s">
        <v>176</v>
      </c>
      <c r="G16" s="134">
        <f>ראשי!$G$41</f>
        <v>20</v>
      </c>
      <c r="H16" s="135"/>
      <c r="I16" s="129">
        <f>$G$15</f>
        <v>2000</v>
      </c>
      <c r="J16" s="128">
        <f>ROUNDDOWN(($G$15/500),0)*500</f>
        <v>2000</v>
      </c>
      <c r="K16" s="147">
        <f>ROUNDUP(($G$15/500),0)*500</f>
        <v>2000</v>
      </c>
      <c r="V16">
        <v>1400</v>
      </c>
      <c r="W16">
        <v>14</v>
      </c>
    </row>
    <row r="17" spans="6:23" ht="15">
      <c r="F17" s="128"/>
      <c r="G17" s="136"/>
      <c r="H17" s="135" t="s">
        <v>177</v>
      </c>
      <c r="I17" s="128">
        <f>ROUNDDOWN(($G$16/5),0)*5</f>
        <v>20</v>
      </c>
      <c r="J17" s="128">
        <f>INDEX(OGEtable,MATCH(J16,$E$5:$E$13),MATCH(I17,$F$4:$L$4))</f>
        <v>3800</v>
      </c>
      <c r="K17" s="147">
        <f>INDEX(OGEtable,MATCH(K16,$E$5:$E$13),MATCH(I17,$F$4:$L$4))</f>
        <v>3800</v>
      </c>
      <c r="V17">
        <v>1500</v>
      </c>
      <c r="W17">
        <v>15</v>
      </c>
    </row>
    <row r="18" spans="6:23" ht="14.25">
      <c r="F18" s="137"/>
      <c r="G18" s="138"/>
      <c r="H18" s="135" t="s">
        <v>178</v>
      </c>
      <c r="I18" s="128">
        <f>ROUNDUP(($G$16/5),0)*5</f>
        <v>20</v>
      </c>
      <c r="J18" s="128">
        <f>INDEX(OGEtable,MATCH(J16,$E$5:$E$13),MATCH(I18,$F$4:$L$4))</f>
        <v>3800</v>
      </c>
      <c r="K18" s="147">
        <f>INDEX(OGEtable,MATCH(K16,$E$5:$E$13),MATCH(I18,$F$4:$L$4))</f>
        <v>3800</v>
      </c>
      <c r="V18">
        <v>1600</v>
      </c>
      <c r="W18">
        <v>16</v>
      </c>
    </row>
    <row r="19" spans="6:23" ht="15">
      <c r="F19" s="137"/>
      <c r="G19" s="139"/>
      <c r="H19" s="140"/>
      <c r="I19" s="141">
        <f>$G$16</f>
        <v>20</v>
      </c>
      <c r="J19" s="142" t="s">
        <v>179</v>
      </c>
      <c r="K19" s="156">
        <f>MIN($J$17:$K$18)</f>
        <v>3800</v>
      </c>
      <c r="V19">
        <v>1700</v>
      </c>
      <c r="W19">
        <v>17</v>
      </c>
    </row>
    <row r="20" spans="22:23" ht="15" thickBot="1">
      <c r="V20">
        <v>1800</v>
      </c>
      <c r="W20">
        <v>18</v>
      </c>
    </row>
    <row r="21" spans="5:23" ht="15.75" thickBot="1">
      <c r="E21" s="410" t="s">
        <v>183</v>
      </c>
      <c r="F21" s="411"/>
      <c r="G21" s="412"/>
      <c r="I21" t="s">
        <v>201</v>
      </c>
      <c r="K21" t="b">
        <f>ראשי!$L$43="כן"</f>
        <v>0</v>
      </c>
      <c r="V21">
        <v>1900</v>
      </c>
      <c r="W21">
        <v>19</v>
      </c>
    </row>
    <row r="22" spans="5:23" ht="15.75" thickBot="1">
      <c r="E22" s="63"/>
      <c r="F22" s="51" t="s">
        <v>180</v>
      </c>
      <c r="G22" s="143" t="s">
        <v>181</v>
      </c>
      <c r="I22" s="427" t="s">
        <v>200</v>
      </c>
      <c r="J22" s="428"/>
      <c r="K22" s="168">
        <f>IF($K$21,$K$19-100,$K$19)</f>
        <v>3800</v>
      </c>
      <c r="V22">
        <v>2000</v>
      </c>
      <c r="W22">
        <v>20</v>
      </c>
    </row>
    <row r="23" spans="2:23" ht="14.25">
      <c r="B23">
        <v>4535</v>
      </c>
      <c r="C23">
        <v>4380</v>
      </c>
      <c r="E23" s="144" t="s">
        <v>90</v>
      </c>
      <c r="F23" s="157">
        <f>($G23-נתונים!$AR$32)/נתונים!AQ32</f>
        <v>4382.5384615384619</v>
      </c>
      <c r="G23" s="53">
        <f>MAXGROSS</f>
        <v>3800</v>
      </c>
      <c r="V23">
        <v>2100</v>
      </c>
      <c r="W23">
        <v>21</v>
      </c>
    </row>
    <row r="24" spans="2:23" ht="15" thickBot="1">
      <c r="B24">
        <v>4525</v>
      </c>
      <c r="C24">
        <v>4383</v>
      </c>
      <c r="E24" s="145" t="s">
        <v>91</v>
      </c>
      <c r="F24" s="158">
        <f>(MAXGROSS-נתונים!AR33)/נתונים!AQ33</f>
        <v>4525.2941176470586</v>
      </c>
      <c r="G24" s="54">
        <f>MAXGROSS</f>
        <v>3800</v>
      </c>
      <c r="V24">
        <v>2200</v>
      </c>
      <c r="W24">
        <v>22</v>
      </c>
    </row>
    <row r="25" spans="22:23" ht="14.25">
      <c r="V25">
        <v>2300</v>
      </c>
      <c r="W25">
        <v>23</v>
      </c>
    </row>
    <row r="26" spans="22:23" ht="15" thickBot="1">
      <c r="V26">
        <v>2400</v>
      </c>
      <c r="W26">
        <v>24</v>
      </c>
    </row>
    <row r="27" spans="4:23" ht="15.75" thickBot="1">
      <c r="D27" s="413" t="s">
        <v>208</v>
      </c>
      <c r="E27" s="414"/>
      <c r="F27" s="414"/>
      <c r="G27" s="414"/>
      <c r="H27" s="414"/>
      <c r="I27" s="415"/>
      <c r="V27">
        <v>2500</v>
      </c>
      <c r="W27">
        <v>25</v>
      </c>
    </row>
    <row r="28" spans="22:23" ht="15" thickBot="1">
      <c r="V28">
        <v>2600</v>
      </c>
      <c r="W28">
        <v>26</v>
      </c>
    </row>
    <row r="29" spans="4:23" ht="15">
      <c r="D29" s="359" t="s">
        <v>206</v>
      </c>
      <c r="E29" s="360"/>
      <c r="F29" s="360"/>
      <c r="G29" s="360"/>
      <c r="H29" s="360"/>
      <c r="I29" s="361"/>
      <c r="V29">
        <v>2700</v>
      </c>
      <c r="W29">
        <v>27</v>
      </c>
    </row>
    <row r="30" spans="4:23" ht="14.25">
      <c r="D30" s="406" t="s">
        <v>8</v>
      </c>
      <c r="E30" s="407"/>
      <c r="F30" s="416" t="s">
        <v>14</v>
      </c>
      <c r="G30" s="407"/>
      <c r="H30" s="417" t="s">
        <v>3</v>
      </c>
      <c r="I30" s="418"/>
      <c r="V30">
        <v>2800</v>
      </c>
      <c r="W30">
        <v>28</v>
      </c>
    </row>
    <row r="31" spans="4:23" ht="15" thickBot="1">
      <c r="D31" s="408">
        <f ca="1">TOwt90-SUM(externalLOADwt)</f>
        <v>3050</v>
      </c>
      <c r="E31" s="409"/>
      <c r="F31" s="419">
        <f ca="1">H31/D31</f>
        <v>4483.5072966688522</v>
      </c>
      <c r="G31" s="409"/>
      <c r="H31" s="419">
        <f ca="1">TOarm90_1-SUM(externalLOADmoment)</f>
        <v>13674697.25484</v>
      </c>
      <c r="I31" s="420"/>
      <c r="R31" s="197" t="str">
        <f ca="1">IF(F31&gt;4500,"AFT","FWD")</f>
        <v>FWD</v>
      </c>
      <c r="S31" s="197" t="s">
        <v>225</v>
      </c>
      <c r="V31">
        <v>2900</v>
      </c>
      <c r="W31">
        <v>29</v>
      </c>
    </row>
    <row r="32" spans="18:23" ht="14.25">
      <c r="R32">
        <v>800</v>
      </c>
      <c r="S32" s="197" t="s">
        <v>224</v>
      </c>
      <c r="V32">
        <v>3000</v>
      </c>
      <c r="W32">
        <v>30</v>
      </c>
    </row>
    <row r="33" spans="7:23" ht="15" thickBot="1">
      <c r="G33" s="41"/>
      <c r="H33" s="41"/>
      <c r="V33">
        <v>3100</v>
      </c>
      <c r="W33">
        <v>31</v>
      </c>
    </row>
    <row r="34" spans="4:23" ht="15">
      <c r="D34" s="359" t="s">
        <v>207</v>
      </c>
      <c r="E34" s="360"/>
      <c r="F34" s="360"/>
      <c r="G34" s="360"/>
      <c r="H34" s="360"/>
      <c r="I34" s="361"/>
      <c r="V34">
        <v>3200</v>
      </c>
      <c r="W34">
        <v>32</v>
      </c>
    </row>
    <row r="35" spans="4:23" ht="14.25">
      <c r="D35" s="406" t="s">
        <v>8</v>
      </c>
      <c r="E35" s="407"/>
      <c r="F35" s="416" t="s">
        <v>14</v>
      </c>
      <c r="G35" s="407"/>
      <c r="H35" s="417" t="s">
        <v>3</v>
      </c>
      <c r="I35" s="418"/>
      <c r="V35">
        <v>3300</v>
      </c>
      <c r="W35">
        <v>33</v>
      </c>
    </row>
    <row r="36" spans="4:23" ht="15" thickBot="1">
      <c r="D36" s="408">
        <f ca="1">TOwt90-SUM(externalLOADwt)</f>
        <v>3050</v>
      </c>
      <c r="E36" s="409"/>
      <c r="F36" s="419">
        <f ca="1">H36/D36</f>
        <v>4483.5072966688522</v>
      </c>
      <c r="G36" s="409"/>
      <c r="H36" s="419">
        <f ca="1">TOarm90_2-SUM(externalLOADmoment)</f>
        <v>13674697.25484</v>
      </c>
      <c r="I36" s="420"/>
      <c r="V36">
        <v>3400</v>
      </c>
      <c r="W36">
        <v>34</v>
      </c>
    </row>
    <row r="37" spans="22:23" ht="14.25">
      <c r="V37">
        <v>3500</v>
      </c>
      <c r="W37">
        <v>35</v>
      </c>
    </row>
    <row r="38" spans="4:23" ht="14.25">
      <c r="D38" s="355" t="s">
        <v>213</v>
      </c>
      <c r="E38" s="355"/>
      <c r="V38">
        <v>3600</v>
      </c>
      <c r="W38">
        <v>36</v>
      </c>
    </row>
    <row r="39" spans="4:23" ht="14.25">
      <c r="D39" s="192">
        <f ca="1">F31</f>
        <v>4483.5072966688522</v>
      </c>
      <c r="E39" s="192">
        <f ca="1">D31</f>
        <v>3050</v>
      </c>
      <c r="V39">
        <v>3700</v>
      </c>
      <c r="W39">
        <v>37</v>
      </c>
    </row>
    <row r="40" spans="4:24" ht="14.25">
      <c r="D40" s="192">
        <f ca="1">F36</f>
        <v>4483.5072966688522</v>
      </c>
      <c r="E40" s="192">
        <f ca="1">D36</f>
        <v>3050</v>
      </c>
      <c r="G40" s="1" t="s">
        <v>91</v>
      </c>
      <c r="H40" s="1">
        <v>100</v>
      </c>
      <c r="I40" s="1">
        <v>200</v>
      </c>
      <c r="J40" s="1">
        <v>300</v>
      </c>
      <c r="K40" s="1">
        <v>400</v>
      </c>
      <c r="L40" s="1">
        <v>500</v>
      </c>
      <c r="M40" s="1">
        <v>600</v>
      </c>
      <c r="N40" s="1">
        <v>700</v>
      </c>
      <c r="O40" s="1">
        <v>800</v>
      </c>
      <c r="V40">
        <v>3800</v>
      </c>
      <c r="W40">
        <v>38</v>
      </c>
      <c r="X40" s="1"/>
    </row>
    <row r="41" spans="4:26" ht="14.25">
      <c r="D41" s="192">
        <f ca="1">D40</f>
        <v>4483.5072966688522</v>
      </c>
      <c r="E41" s="1">
        <v>1800</v>
      </c>
      <c r="G41" s="1" t="s">
        <v>88</v>
      </c>
      <c r="H41" s="194">
        <f>SLOPE($E$49:$E$50,$D$49:$D$50)</f>
        <v>-9.473684210526315</v>
      </c>
      <c r="I41" s="194">
        <f>SLOPE($E$56:$E$57,$D$56:$D$57)</f>
        <v>-9.1071428571428577</v>
      </c>
      <c r="J41" s="194">
        <f>SLOPE($E$63:$E$64,$D$63:$D$64)</f>
        <v>-8.75</v>
      </c>
      <c r="K41" s="194">
        <f>SLOPE($E$70:$E$71,$D$70:$D$71)</f>
        <v>-8.32</v>
      </c>
      <c r="L41" s="194">
        <f>SLOPE($E$77:$E$78,$D$77:$D$78)</f>
        <v>-7.7692307692307692</v>
      </c>
      <c r="M41" s="194">
        <f>SLOPE($E$84:$E$85,$D$84:$D$85)</f>
        <v>-7.518796992481203</v>
      </c>
      <c r="N41" s="194">
        <f>SLOPE($E$91:$E$92,$D$91:$D$92)</f>
        <v>-7.0370370370370372</v>
      </c>
      <c r="O41" s="194">
        <f>SLOPE($E$98:$E$99,$D$98:$D$99)</f>
        <v>-6.617647058823529</v>
      </c>
      <c r="V41">
        <v>3900</v>
      </c>
      <c r="W41">
        <v>39</v>
      </c>
      <c r="Z41" s="1"/>
    </row>
    <row r="42" spans="4:26" ht="14.25">
      <c r="D42" s="192">
        <f ca="1">D39</f>
        <v>4483.5072966688522</v>
      </c>
      <c r="E42" s="1">
        <v>1800</v>
      </c>
      <c r="G42" s="1" t="s">
        <v>89</v>
      </c>
      <c r="H42" s="192">
        <f>$E$49-$D$49*H$41</f>
        <v>46563.15789473684</v>
      </c>
      <c r="I42" s="192">
        <f>$E$56-$D$56*I$41</f>
        <v>44855.535714285717</v>
      </c>
      <c r="J42" s="192">
        <f>$E$63-$D$63*J$41</f>
        <v>43151.25</v>
      </c>
      <c r="K42" s="192">
        <f>$E$70-$D$70*K$41</f>
        <v>41147.68</v>
      </c>
      <c r="L42" s="192">
        <f>$E$77-$D$77*$L$41</f>
        <v>38565.538461538461</v>
      </c>
      <c r="M42" s="192">
        <f>$E$84-$D$84*$M$41</f>
        <v>37363.15789473684</v>
      </c>
      <c r="N42" s="192">
        <f>$E$91-$D$91*N$41</f>
        <v>35088.888888888891</v>
      </c>
      <c r="O42" s="192">
        <f>$E$98-$D$98*O$41</f>
        <v>33102.941176470587</v>
      </c>
      <c r="V42">
        <v>4000</v>
      </c>
      <c r="W42">
        <v>40</v>
      </c>
      <c r="Z42" s="1"/>
    </row>
    <row r="43" spans="4:26" ht="14.25">
      <c r="D43" s="192">
        <f ca="1">D39</f>
        <v>4483.5072966688522</v>
      </c>
      <c r="E43" s="192">
        <f ca="1">E39</f>
        <v>3050</v>
      </c>
      <c r="G43" s="1" t="s">
        <v>218</v>
      </c>
      <c r="H43" s="192">
        <f ca="1" t="shared" si="0" ref="H43:J43">($E$40-H$42)/H$41</f>
        <v>4593.0555555555557</v>
      </c>
      <c r="I43" s="192">
        <f t="shared" ca="1" si="0"/>
        <v>4590.4117647058829</v>
      </c>
      <c r="J43" s="192">
        <f t="shared" ca="1" si="0"/>
        <v>4583</v>
      </c>
      <c r="K43" s="192">
        <f ca="1">($E$40-K$42)/K$41</f>
        <v>4579.0480769230771</v>
      </c>
      <c r="L43" s="192">
        <f ca="1" t="shared" si="1" ref="L43:O43">($E$40-L$42)/L$41</f>
        <v>4571.3069306930693</v>
      </c>
      <c r="M43" s="192">
        <f t="shared" ca="1" si="1"/>
        <v>4563.6499999999996</v>
      </c>
      <c r="N43" s="192">
        <f t="shared" ca="1" si="1"/>
        <v>4552.894736842105</v>
      </c>
      <c r="O43" s="192">
        <f t="shared" ca="1" si="1"/>
        <v>4541.3333333333339</v>
      </c>
      <c r="Z43" s="1"/>
    </row>
    <row r="44" spans="8:26" ht="14.25">
      <c r="H44" t="b">
        <f ca="1">AND(MAXGROSS-noCARGOwt&gt;H40,CARGO100!H43&gt;CARGO100!$D$39)</f>
        <v>1</v>
      </c>
      <c r="I44" t="b">
        <f ca="1">AND(MAXGROSS-noCARGOwt&gt;I40,CARGO100!I43&gt;CARGO100!$D$39)</f>
        <v>1</v>
      </c>
      <c r="J44" t="b">
        <f ca="1">AND(MAXGROSS-noCARGOwt&gt;J40,CARGO100!J43&gt;CARGO100!$D$39)</f>
        <v>1</v>
      </c>
      <c r="K44" t="b">
        <f ca="1">AND(MAXGROSS-noCARGOwt&gt;K40,CARGO100!K43&gt;CARGO100!$D$39)</f>
        <v>1</v>
      </c>
      <c r="L44" t="b">
        <f ca="1">AND(MAXGROSS-noCARGOwt&gt;L40,CARGO100!L43&gt;CARGO100!$D$39)</f>
        <v>1</v>
      </c>
      <c r="M44" t="b">
        <f ca="1">AND(MAXGROSS-noCARGOwt&gt;M40,CARGO100!M43&gt;CARGO100!$D$39)</f>
        <v>1</v>
      </c>
      <c r="N44" t="b">
        <f ca="1">AND(MAXGROSS-noCARGOwt&gt;N40,CARGO100!N43&gt;CARGO100!$D$39)</f>
        <v>1</v>
      </c>
      <c r="O44" t="b">
        <f ca="1">AND(MAXGROSS-noCARGOwt&gt;O40,CARGO100!O43&gt;CARGO100!$D$39)</f>
        <v>0</v>
      </c>
      <c r="Z44" s="1"/>
    </row>
    <row r="45" spans="4:26" ht="14.25">
      <c r="D45" s="193" t="s">
        <v>226</v>
      </c>
      <c r="E45" s="193"/>
      <c r="Z45" s="1"/>
    </row>
    <row r="46" spans="4:26" ht="14.25">
      <c r="D46" s="193" t="s">
        <v>1</v>
      </c>
      <c r="E46" s="193" t="s">
        <v>0</v>
      </c>
      <c r="Z46" s="1"/>
    </row>
    <row r="47" spans="3:26" ht="14.25">
      <c r="C47" t="s">
        <v>217</v>
      </c>
      <c r="D47" s="193">
        <v>4347</v>
      </c>
      <c r="E47" s="193">
        <v>2400</v>
      </c>
      <c r="F47" s="1"/>
      <c r="G47" s="1" t="s">
        <v>90</v>
      </c>
      <c r="H47" s="1">
        <v>100</v>
      </c>
      <c r="I47" s="1">
        <v>200</v>
      </c>
      <c r="J47" s="1">
        <v>300</v>
      </c>
      <c r="K47" s="1">
        <v>400</v>
      </c>
      <c r="L47" s="1">
        <v>500</v>
      </c>
      <c r="M47" s="1">
        <v>600</v>
      </c>
      <c r="N47" s="1">
        <v>700</v>
      </c>
      <c r="O47" s="1">
        <v>800</v>
      </c>
      <c r="Z47" s="1"/>
    </row>
    <row r="48" spans="3:26" ht="14.25">
      <c r="C48" t="s">
        <v>214</v>
      </c>
      <c r="D48" s="193">
        <v>4378</v>
      </c>
      <c r="E48" s="193">
        <v>3600</v>
      </c>
      <c r="F48" s="1"/>
      <c r="G48" s="1" t="s">
        <v>88</v>
      </c>
      <c r="H48" s="194">
        <f>SLOPE($E$47:$E$48,$D$47:$D$48)</f>
        <v>38.70967741935484</v>
      </c>
      <c r="I48" s="194">
        <f>SLOPE($E$54:$E$55,$D$54:$D$55)</f>
        <v>36.666666666666664</v>
      </c>
      <c r="J48" s="194">
        <f>SLOPE($E$61:$E$62,$D$61:$D$62)</f>
        <v>34.482758620689658</v>
      </c>
      <c r="K48" s="194">
        <f>SLOPE($E$68:$E$69,$D$68:$D$69)</f>
        <v>37.50</v>
      </c>
      <c r="L48" s="194">
        <f>SLOPE($E$75:$E$76,$D$75:$D$76)</f>
        <v>33.333333333333336</v>
      </c>
      <c r="M48" s="194">
        <f>SLOPE($E$82:$E$83,$D$82:$D$83)</f>
        <v>31.818181818181817</v>
      </c>
      <c r="N48" s="194">
        <f>SLOPE($E$89:$E$90,$D$89:$D$90)</f>
        <v>30</v>
      </c>
      <c r="O48" s="194">
        <f>SLOPE($E$96:$E$97,$D$96:$D$97)</f>
        <v>29.411764705882351</v>
      </c>
      <c r="Z48" s="1"/>
    </row>
    <row r="49" spans="3:26" ht="14.25">
      <c r="C49" t="s">
        <v>215</v>
      </c>
      <c r="D49" s="193">
        <v>4535</v>
      </c>
      <c r="E49" s="193">
        <v>3600</v>
      </c>
      <c r="F49" s="1"/>
      <c r="G49" s="1" t="s">
        <v>89</v>
      </c>
      <c r="H49" s="192">
        <f>$E$47-$D$47*H$48</f>
        <v>-165870.96774193548</v>
      </c>
      <c r="I49" s="192">
        <f>$E$54-$D$54*I$48</f>
        <v>-156990</v>
      </c>
      <c r="J49" s="192">
        <f>$E$61-$D$61*J$48</f>
        <v>-147496.55172413794</v>
      </c>
      <c r="K49" s="192">
        <f>$E$68-$D$68*K$48</f>
        <v>-160725</v>
      </c>
      <c r="L49" s="192">
        <f>$E$75-$D$75*L$48</f>
        <v>-142600</v>
      </c>
      <c r="M49" s="192">
        <f>$E$82-$D$82*M$48</f>
        <v>-136009.09090909091</v>
      </c>
      <c r="N49" s="192">
        <f>$E$89-$D$89*N$48</f>
        <v>-128100</v>
      </c>
      <c r="O49" s="192">
        <f>$E$96-$D$96*O$48</f>
        <v>-125541.17647058822</v>
      </c>
      <c r="Z49" s="1"/>
    </row>
    <row r="50" spans="3:26" ht="14.25">
      <c r="C50" t="s">
        <v>216</v>
      </c>
      <c r="D50" s="193">
        <v>4630</v>
      </c>
      <c r="E50" s="193">
        <v>2700</v>
      </c>
      <c r="F50" s="1"/>
      <c r="G50" s="1" t="s">
        <v>218</v>
      </c>
      <c r="H50" s="192">
        <f ca="1" t="shared" si="2" ref="H50:J50">($E$40-H$49)/H$48</f>
        <v>4363.791666666667</v>
      </c>
      <c r="I50" s="192">
        <f t="shared" ca="1" si="2"/>
        <v>4364.727272727273</v>
      </c>
      <c r="J50" s="192">
        <f t="shared" ca="1" si="2"/>
        <v>4365.8500000000004</v>
      </c>
      <c r="K50" s="192">
        <f ca="1">($E$40-K$49)/K$48</f>
        <v>4367.333333333333</v>
      </c>
      <c r="L50" s="192">
        <f ca="1" t="shared" si="3" ref="L50:O50">($E$40-L$49)/L$48</f>
        <v>4369.50</v>
      </c>
      <c r="M50" s="192">
        <f t="shared" ca="1" si="3"/>
        <v>4370.4285714285716</v>
      </c>
      <c r="N50" s="192">
        <f t="shared" ca="1" si="3"/>
        <v>4371.666666666667</v>
      </c>
      <c r="O50" s="192">
        <f t="shared" ca="1" si="3"/>
        <v>4372.0999999999995</v>
      </c>
      <c r="Z50" s="1"/>
    </row>
    <row r="51" spans="4:26" ht="14.25">
      <c r="D51" s="193"/>
      <c r="E51" s="193"/>
      <c r="F51" s="1"/>
      <c r="G51" s="1"/>
      <c r="H51" t="b">
        <f ca="1">AND(MAXGROSS-noCARGOwt&gt;H40,CARGO100!H50&lt;CARGO100!$D$40)</f>
        <v>1</v>
      </c>
      <c r="I51" t="b">
        <f ca="1">AND(MAXGROSS-noCARGOwt&gt;I40,CARGO100!I50&lt;CARGO100!$D$40)</f>
        <v>1</v>
      </c>
      <c r="J51" t="b">
        <f ca="1">AND(MAXGROSS-noCARGOwt&gt;J40,CARGO100!J50&lt;CARGO100!$D$40)</f>
        <v>1</v>
      </c>
      <c r="K51" t="b">
        <f ca="1">AND(MAXGROSS-noCARGOwt&gt;K40,CARGO100!K50&lt;CARGO100!$D$40)</f>
        <v>1</v>
      </c>
      <c r="L51" t="b">
        <f ca="1">AND(MAXGROSS-noCARGOwt&gt;L40,CARGO100!L50&lt;CARGO100!$D$40)</f>
        <v>1</v>
      </c>
      <c r="M51" t="b">
        <f ca="1">AND(MAXGROSS-noCARGOwt&gt;M40,CARGO100!M50&lt;CARGO100!$D$40)</f>
        <v>1</v>
      </c>
      <c r="N51" t="b">
        <f ca="1">AND(MAXGROSS-noCARGOwt&gt;N40,CARGO100!N50&lt;CARGO100!$D$40)</f>
        <v>1</v>
      </c>
      <c r="O51" t="b">
        <f ca="1">AND(MAXGROSS-noCARGOwt&gt;O40,CARGO100!O50&lt;CARGO100!$D$40)</f>
        <v>0</v>
      </c>
      <c r="Z51" s="1"/>
    </row>
    <row r="52" spans="4:26" ht="14.25">
      <c r="D52" s="193" t="s">
        <v>227</v>
      </c>
      <c r="E52" s="193"/>
      <c r="F52" s="1"/>
      <c r="Z52" s="1"/>
    </row>
    <row r="53" spans="4:26" ht="14.25">
      <c r="D53" s="193" t="s">
        <v>1</v>
      </c>
      <c r="E53" s="193" t="s">
        <v>0</v>
      </c>
      <c r="F53" s="1"/>
      <c r="H53" s="355" t="s">
        <v>219</v>
      </c>
      <c r="I53" s="355"/>
      <c r="J53" s="355"/>
      <c r="K53" s="355"/>
      <c r="L53" s="355"/>
      <c r="M53" s="355"/>
      <c r="N53" s="355"/>
      <c r="Z53" s="1"/>
    </row>
    <row r="54" spans="3:26" ht="14.25">
      <c r="C54" t="s">
        <v>217</v>
      </c>
      <c r="D54" s="193">
        <v>4347</v>
      </c>
      <c r="E54" s="193">
        <v>2400</v>
      </c>
      <c r="F54" s="1"/>
      <c r="H54">
        <f ca="1" t="shared" si="4" ref="H54:J54">IF(AND(H44,H51),H40,0)</f>
        <v>100</v>
      </c>
      <c r="I54">
        <f t="shared" ca="1" si="4"/>
        <v>200</v>
      </c>
      <c r="J54">
        <f t="shared" ca="1" si="4"/>
        <v>300</v>
      </c>
      <c r="K54">
        <f ca="1">IF(AND(K44,K51),K40,0)</f>
        <v>400</v>
      </c>
      <c r="L54">
        <f ca="1" t="shared" si="5" ref="L54:O54">IF(AND(L44,L51),L40,0)</f>
        <v>500</v>
      </c>
      <c r="M54">
        <f t="shared" ca="1" si="5"/>
        <v>600</v>
      </c>
      <c r="N54">
        <f t="shared" ca="1" si="5"/>
        <v>700</v>
      </c>
      <c r="O54">
        <f t="shared" ca="1" si="5"/>
        <v>0</v>
      </c>
      <c r="Z54" s="1"/>
    </row>
    <row r="55" spans="3:26" ht="14.25">
      <c r="C55" t="s">
        <v>214</v>
      </c>
      <c r="D55" s="193">
        <v>4377</v>
      </c>
      <c r="E55" s="193">
        <v>3500</v>
      </c>
      <c r="F55" s="1"/>
      <c r="Z55" s="1"/>
    </row>
    <row r="56" spans="3:26" ht="14.25">
      <c r="C56" t="s">
        <v>215</v>
      </c>
      <c r="D56" s="193">
        <v>4541</v>
      </c>
      <c r="E56" s="193">
        <v>3500</v>
      </c>
      <c r="F56" s="1"/>
      <c r="G56" s="1"/>
      <c r="K56" s="196">
        <f ca="1">HLOOKUP(K57,IF(cargoLIMITarea="AFT",$H$40:$O$43,$H$47:$O$50),4,FALSE)</f>
        <v>4371.666666666667</v>
      </c>
      <c r="L56" s="196">
        <f ca="1">IF(cargoLIMITarea="AFT",F31,F36)</f>
        <v>4483.5072966688522</v>
      </c>
      <c r="M56" s="196">
        <f ca="1">HLOOKUP(M57,IF(cargoLIMITarea="AFT",$H$40:$O$43,$H$47:$O$50),4,FALSE)</f>
        <v>4372.0999999999995</v>
      </c>
      <c r="N56" s="1"/>
      <c r="Z56" s="1"/>
    </row>
    <row r="57" spans="3:13" ht="14.25">
      <c r="C57" t="s">
        <v>216</v>
      </c>
      <c r="D57" s="193">
        <v>4653</v>
      </c>
      <c r="E57" s="193">
        <v>2480</v>
      </c>
      <c r="F57" s="1"/>
      <c r="K57" s="193">
        <f ca="1">IF(MAX($H$54:$N$54)&gt;maxGRAPH,maxGRAPH,MAX($H$54:$N$54))</f>
        <v>700</v>
      </c>
      <c r="L57" s="193">
        <f ca="1">IF(M57-K57=0,K57,ROUNDDOWN(M57-(F31-M56)/(K56-M56)*100,-1))</f>
        <v>26500</v>
      </c>
      <c r="M57" s="193">
        <f ca="1">IF(MAX($H$54:$N$54)+100&gt;maxGRAPH,maxGRAPH,MAX($H$54:$N$54)+100)</f>
        <v>800</v>
      </c>
    </row>
    <row r="58" spans="6:12" ht="14.25">
      <c r="F58" s="1"/>
      <c r="G58" s="1"/>
      <c r="H58" s="1"/>
      <c r="I58" s="1"/>
      <c r="J58" s="1"/>
      <c r="K58" s="1"/>
      <c r="L58" s="1"/>
    </row>
    <row r="59" spans="4:12" ht="14.25">
      <c r="D59" s="193" t="s">
        <v>228</v>
      </c>
      <c r="E59" s="193"/>
      <c r="F59" s="1"/>
      <c r="J59" s="192">
        <f ca="1">ROUND(MAXGROSS-SUM(ראשי!$F$47:$F$48),0)</f>
        <v>1100</v>
      </c>
      <c r="K59" t="s">
        <v>221</v>
      </c>
      <c r="L59" s="1"/>
    </row>
    <row r="60" spans="4:12" ht="14.25">
      <c r="D60" s="193" t="s">
        <v>1</v>
      </c>
      <c r="E60" s="193" t="s">
        <v>0</v>
      </c>
      <c r="F60" s="1"/>
      <c r="G60" s="1"/>
      <c r="H60" s="1"/>
      <c r="I60" s="1"/>
      <c r="J60" s="1">
        <f ca="1">payload-FUEL100-PAXandEQUIP</f>
        <v>820</v>
      </c>
      <c r="K60" s="197" t="s">
        <v>222</v>
      </c>
      <c r="L60" s="1"/>
    </row>
    <row r="61" spans="3:12" ht="15" thickBot="1">
      <c r="C61" t="s">
        <v>217</v>
      </c>
      <c r="D61" s="193">
        <v>4347</v>
      </c>
      <c r="E61" s="193">
        <v>2400</v>
      </c>
      <c r="F61" s="1"/>
      <c r="G61" s="1"/>
      <c r="H61" s="1"/>
      <c r="I61" s="1"/>
      <c r="J61" s="1"/>
      <c r="K61" s="1"/>
      <c r="L61" s="1"/>
    </row>
    <row r="62" spans="3:12" ht="15.75" thickBot="1">
      <c r="C62" t="s">
        <v>214</v>
      </c>
      <c r="D62" s="193">
        <v>4376</v>
      </c>
      <c r="E62" s="193">
        <v>3400</v>
      </c>
      <c r="F62" s="1"/>
      <c r="G62" s="195">
        <f ca="1">IFERROR(IF(MIN(J60,L57)&gt;maxGRAPH,maxGRAPH,MIN(J60,L57)),0)</f>
        <v>800</v>
      </c>
      <c r="H62" s="421" t="s">
        <v>220</v>
      </c>
      <c r="I62" s="421"/>
      <c r="J62" s="421"/>
      <c r="K62" s="422"/>
      <c r="L62" s="1"/>
    </row>
    <row r="63" spans="3:12" ht="14.25">
      <c r="C63" t="s">
        <v>215</v>
      </c>
      <c r="D63" s="193">
        <v>4543</v>
      </c>
      <c r="E63" s="193">
        <v>3400</v>
      </c>
      <c r="F63" s="1"/>
      <c r="G63" s="1" t="str">
        <f ca="1">IF(OR(maxCARGO=J60,maxCARGO=maxGRAPH),"(משקל)","(CG)")</f>
        <v>(משקל)</v>
      </c>
      <c r="H63" s="1" t="s">
        <v>223</v>
      </c>
      <c r="I63" s="1"/>
      <c r="J63" s="1"/>
      <c r="K63" s="1"/>
      <c r="L63" s="1"/>
    </row>
    <row r="64" spans="3:7" ht="14.25">
      <c r="C64" t="s">
        <v>216</v>
      </c>
      <c r="D64" s="193">
        <v>4663</v>
      </c>
      <c r="E64" s="193">
        <v>2350</v>
      </c>
      <c r="F64" s="1"/>
      <c r="G64" s="1"/>
    </row>
    <row r="65" spans="6:8" ht="14.25">
      <c r="F65" s="1"/>
      <c r="G65" s="1" t="str">
        <f ca="1">IF(maxCARGO&gt;=(680+40),"GO","NO GO")</f>
        <v>GO</v>
      </c>
      <c r="H65" t="s">
        <v>232</v>
      </c>
    </row>
    <row r="66" spans="4:7" ht="14.25">
      <c r="D66" s="193" t="s">
        <v>209</v>
      </c>
      <c r="E66" s="193"/>
      <c r="F66" s="1"/>
      <c r="G66" s="1"/>
    </row>
    <row r="67" spans="4:7" ht="14.25">
      <c r="D67" s="193" t="s">
        <v>1</v>
      </c>
      <c r="E67" s="193" t="s">
        <v>0</v>
      </c>
      <c r="F67" s="1"/>
      <c r="G67" s="1"/>
    </row>
    <row r="68" spans="3:7" ht="14.25">
      <c r="C68" t="s">
        <v>217</v>
      </c>
      <c r="D68" s="193">
        <v>4350</v>
      </c>
      <c r="E68" s="193">
        <v>2400</v>
      </c>
      <c r="F68" s="1"/>
      <c r="G68" s="1"/>
    </row>
    <row r="69" spans="3:7" ht="14.25">
      <c r="C69" t="s">
        <v>214</v>
      </c>
      <c r="D69" s="193">
        <v>4374</v>
      </c>
      <c r="E69" s="193">
        <v>3300</v>
      </c>
      <c r="F69" s="1"/>
      <c r="G69" s="1"/>
    </row>
    <row r="70" spans="3:7" ht="14.25">
      <c r="C70" t="s">
        <v>215</v>
      </c>
      <c r="D70" s="193">
        <v>4549</v>
      </c>
      <c r="E70" s="193">
        <v>3300</v>
      </c>
      <c r="F70" s="1"/>
      <c r="G70" s="1"/>
    </row>
    <row r="71" spans="3:7" ht="14.25">
      <c r="C71" t="s">
        <v>216</v>
      </c>
      <c r="D71" s="193">
        <v>4674</v>
      </c>
      <c r="E71" s="193">
        <v>2260</v>
      </c>
      <c r="F71" s="1"/>
      <c r="G71" s="1"/>
    </row>
    <row r="72" spans="6:7" ht="14.25">
      <c r="F72" s="1"/>
      <c r="G72" s="1"/>
    </row>
    <row r="73" spans="4:5" ht="14.25">
      <c r="D73" s="193" t="s">
        <v>210</v>
      </c>
      <c r="E73" s="193"/>
    </row>
    <row r="74" spans="4:5" ht="14.25">
      <c r="D74" s="193" t="s">
        <v>1</v>
      </c>
      <c r="E74" s="193" t="s">
        <v>0</v>
      </c>
    </row>
    <row r="75" spans="3:5" ht="14.25">
      <c r="C75" t="s">
        <v>217</v>
      </c>
      <c r="D75" s="193">
        <v>4350</v>
      </c>
      <c r="E75" s="193">
        <v>2400</v>
      </c>
    </row>
    <row r="76" spans="3:5" ht="14.25">
      <c r="C76" t="s">
        <v>214</v>
      </c>
      <c r="D76" s="193">
        <v>4374</v>
      </c>
      <c r="E76" s="193">
        <v>3200</v>
      </c>
    </row>
    <row r="77" spans="3:5" ht="14.25">
      <c r="C77" t="s">
        <v>215</v>
      </c>
      <c r="D77" s="193">
        <v>4552</v>
      </c>
      <c r="E77" s="193">
        <v>3200</v>
      </c>
    </row>
    <row r="78" spans="3:5" ht="14.25">
      <c r="C78" t="s">
        <v>216</v>
      </c>
      <c r="D78" s="193">
        <v>4682</v>
      </c>
      <c r="E78" s="193">
        <v>2190</v>
      </c>
    </row>
    <row r="80" spans="4:5" ht="14.25">
      <c r="D80" s="193" t="s">
        <v>211</v>
      </c>
      <c r="E80" s="193"/>
    </row>
    <row r="81" spans="4:5" ht="14.25">
      <c r="D81" s="193" t="s">
        <v>1</v>
      </c>
      <c r="E81" s="193" t="s">
        <v>0</v>
      </c>
    </row>
    <row r="82" spans="3:5" ht="14.25">
      <c r="C82" t="s">
        <v>217</v>
      </c>
      <c r="D82" s="193">
        <v>4350</v>
      </c>
      <c r="E82" s="193">
        <v>2400</v>
      </c>
    </row>
    <row r="83" spans="3:5" ht="14.25">
      <c r="C83" t="s">
        <v>214</v>
      </c>
      <c r="D83" s="193">
        <v>4372</v>
      </c>
      <c r="E83" s="193">
        <v>3100</v>
      </c>
    </row>
    <row r="84" spans="3:5" ht="14.25">
      <c r="C84" t="s">
        <v>215</v>
      </c>
      <c r="D84" s="193">
        <v>4557</v>
      </c>
      <c r="E84" s="193">
        <v>3100</v>
      </c>
    </row>
    <row r="85" spans="3:5" ht="14.25">
      <c r="C85" t="s">
        <v>216</v>
      </c>
      <c r="D85" s="193">
        <v>4690</v>
      </c>
      <c r="E85" s="193">
        <v>2100</v>
      </c>
    </row>
    <row r="87" spans="4:5" ht="14.25">
      <c r="D87" s="193" t="s">
        <v>212</v>
      </c>
      <c r="E87" s="193"/>
    </row>
    <row r="88" spans="4:5" ht="14.25">
      <c r="D88" s="193" t="s">
        <v>1</v>
      </c>
      <c r="E88" s="193" t="s">
        <v>0</v>
      </c>
    </row>
    <row r="89" spans="3:5" ht="14.25">
      <c r="C89" t="s">
        <v>217</v>
      </c>
      <c r="D89" s="193">
        <v>4350</v>
      </c>
      <c r="E89" s="193">
        <v>2400</v>
      </c>
    </row>
    <row r="90" spans="3:5" ht="14.25">
      <c r="C90" t="s">
        <v>214</v>
      </c>
      <c r="D90" s="193">
        <v>4370</v>
      </c>
      <c r="E90" s="193">
        <v>3000</v>
      </c>
    </row>
    <row r="91" spans="3:5" ht="14.25">
      <c r="C91" t="s">
        <v>215</v>
      </c>
      <c r="D91" s="193">
        <v>4560</v>
      </c>
      <c r="E91" s="193">
        <v>3000</v>
      </c>
    </row>
    <row r="92" spans="3:5" ht="14.25">
      <c r="C92" t="s">
        <v>216</v>
      </c>
      <c r="D92" s="193">
        <v>4695</v>
      </c>
      <c r="E92" s="193">
        <v>2050</v>
      </c>
    </row>
    <row r="94" spans="4:5" ht="14.25">
      <c r="D94" s="193" t="s">
        <v>234</v>
      </c>
      <c r="E94" s="193"/>
    </row>
    <row r="95" spans="4:5" ht="14.25">
      <c r="D95" s="193" t="s">
        <v>1</v>
      </c>
      <c r="E95" s="193" t="s">
        <v>0</v>
      </c>
    </row>
    <row r="96" spans="3:5" ht="14.25">
      <c r="C96" t="s">
        <v>217</v>
      </c>
      <c r="D96" s="193">
        <v>4350</v>
      </c>
      <c r="E96" s="193">
        <v>2400</v>
      </c>
    </row>
    <row r="97" spans="3:5" ht="14.25">
      <c r="C97" t="s">
        <v>214</v>
      </c>
      <c r="D97" s="193">
        <v>4367</v>
      </c>
      <c r="E97" s="193">
        <v>2900</v>
      </c>
    </row>
    <row r="98" spans="3:5" ht="14.25">
      <c r="C98" t="s">
        <v>215</v>
      </c>
      <c r="D98" s="193">
        <v>4564</v>
      </c>
      <c r="E98" s="193">
        <v>2900</v>
      </c>
    </row>
    <row r="99" spans="3:5" ht="14.25">
      <c r="C99" t="s">
        <v>216</v>
      </c>
      <c r="D99" s="193">
        <v>4700</v>
      </c>
      <c r="E99" s="193">
        <v>2000</v>
      </c>
    </row>
  </sheetData>
  <mergeCells count="20">
    <mergeCell ref="E21:G21"/>
    <mergeCell ref="I22:J22"/>
    <mergeCell ref="D27:I27"/>
    <mergeCell ref="D29:I29"/>
    <mergeCell ref="D30:E30"/>
    <mergeCell ref="F30:G30"/>
    <mergeCell ref="H30:I30"/>
    <mergeCell ref="H62:K62"/>
    <mergeCell ref="D31:E31"/>
    <mergeCell ref="F31:G31"/>
    <mergeCell ref="H31:I31"/>
    <mergeCell ref="D34:I34"/>
    <mergeCell ref="D35:E35"/>
    <mergeCell ref="F35:G35"/>
    <mergeCell ref="H35:I35"/>
    <mergeCell ref="D36:E36"/>
    <mergeCell ref="F36:G36"/>
    <mergeCell ref="H36:I36"/>
    <mergeCell ref="D38:E38"/>
    <mergeCell ref="H53:N53"/>
  </mergeCells>
  <conditionalFormatting sqref="F19">
    <cfRule type="cellIs" priority="2" dxfId="7" operator="greaterThan">
      <formula>80</formula>
    </cfRule>
  </conditionalFormatting>
  <conditionalFormatting sqref="F19">
    <cfRule type="cellIs" priority="1" dxfId="7" operator="greaterThan">
      <formula>120</formula>
    </cfRule>
  </conditionalFormatting>
  <pageMargins left="0.7" right="0.7" top="0.75" bottom="0.75" header="0.3" footer="0.3"/>
  <pageSetup horizontalDpi="200" verticalDpi="200" orientation="portrait" paperSize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2"/>
  <dimension ref="B6:H23"/>
  <sheetViews>
    <sheetView rightToLeft="1" workbookViewId="0" topLeftCell="A1">
      <selection pane="topLeft" activeCell="C33" sqref="C33"/>
    </sheetView>
  </sheetViews>
  <sheetFormatPr defaultRowHeight="14.25"/>
  <cols>
    <col min="3" max="3" width="43.625" bestFit="1" customWidth="1"/>
    <col min="5" max="5" width="10.375" bestFit="1" customWidth="1"/>
    <col min="6" max="6" width="11.375" bestFit="1" customWidth="1"/>
    <col min="7" max="7" width="10" bestFit="1" customWidth="1"/>
    <col min="8" max="8" width="8.5" bestFit="1" customWidth="1"/>
  </cols>
  <sheetData>
    <row r="5" ht="15" thickBot="1"/>
    <row r="6" spans="3:8" ht="15">
      <c r="C6" s="359" t="s">
        <v>247</v>
      </c>
      <c r="D6" s="360"/>
      <c r="E6" s="360"/>
      <c r="F6" s="360"/>
      <c r="G6" s="360"/>
      <c r="H6" s="361"/>
    </row>
    <row r="7" spans="3:8" ht="14.25">
      <c r="C7" s="4" t="s">
        <v>2</v>
      </c>
      <c r="D7" s="5" t="s">
        <v>0</v>
      </c>
      <c r="E7" s="5" t="s">
        <v>14</v>
      </c>
      <c r="F7" s="51" t="s">
        <v>3</v>
      </c>
      <c r="G7" s="51" t="s">
        <v>4</v>
      </c>
      <c r="H7" s="6" t="s">
        <v>15</v>
      </c>
    </row>
    <row r="8" spans="3:8" ht="14.25">
      <c r="C8" s="217" t="s">
        <v>279</v>
      </c>
      <c r="D8" s="100"/>
      <c r="E8" s="100">
        <v>3282</v>
      </c>
      <c r="F8" s="118">
        <f>D8*E8</f>
        <v>0</v>
      </c>
      <c r="G8" s="118">
        <f>D8*H8</f>
        <v>0</v>
      </c>
      <c r="H8" s="2">
        <v>1021</v>
      </c>
    </row>
    <row r="9" spans="3:8" ht="14.25">
      <c r="C9" s="217" t="s">
        <v>280</v>
      </c>
      <c r="D9" s="100"/>
      <c r="E9" s="100">
        <v>3282</v>
      </c>
      <c r="F9" s="118">
        <f t="shared" si="0" ref="F9:F13">D9*E9</f>
        <v>0</v>
      </c>
      <c r="G9" s="118">
        <f t="shared" si="1" ref="G9:G13">D9*H9</f>
        <v>0</v>
      </c>
      <c r="H9" s="2">
        <v>-1021</v>
      </c>
    </row>
    <row r="10" spans="3:8" ht="14.25">
      <c r="C10" s="217" t="s">
        <v>281</v>
      </c>
      <c r="D10" s="100"/>
      <c r="E10" s="100">
        <v>4147</v>
      </c>
      <c r="F10" s="118">
        <f t="shared" si="0"/>
        <v>0</v>
      </c>
      <c r="G10" s="118">
        <f t="shared" si="1"/>
        <v>0</v>
      </c>
      <c r="H10" s="2">
        <v>1021</v>
      </c>
    </row>
    <row r="11" spans="3:8" ht="14.25">
      <c r="C11" s="217" t="s">
        <v>282</v>
      </c>
      <c r="D11" s="100"/>
      <c r="E11" s="100">
        <v>4147</v>
      </c>
      <c r="F11" s="118">
        <f t="shared" si="0"/>
        <v>0</v>
      </c>
      <c r="G11" s="118">
        <f t="shared" si="1"/>
        <v>0</v>
      </c>
      <c r="H11" s="2">
        <v>-1021</v>
      </c>
    </row>
    <row r="12" spans="3:8" ht="14.25">
      <c r="C12" s="217" t="s">
        <v>244</v>
      </c>
      <c r="D12" s="100"/>
      <c r="E12" s="100">
        <v>3393</v>
      </c>
      <c r="F12" s="118">
        <f t="shared" si="0"/>
        <v>0</v>
      </c>
      <c r="G12" s="118">
        <f t="shared" si="1"/>
        <v>0</v>
      </c>
      <c r="H12" s="2">
        <v>1463</v>
      </c>
    </row>
    <row r="13" spans="3:8" ht="14.25">
      <c r="C13" s="217" t="s">
        <v>245</v>
      </c>
      <c r="D13" s="100"/>
      <c r="E13" s="100">
        <v>3393</v>
      </c>
      <c r="F13" s="118">
        <f t="shared" si="0"/>
        <v>0</v>
      </c>
      <c r="G13" s="118">
        <f t="shared" si="1"/>
        <v>0</v>
      </c>
      <c r="H13" s="2">
        <v>-1463</v>
      </c>
    </row>
    <row r="14" spans="3:8" ht="14.25">
      <c r="C14" s="25"/>
      <c r="D14" s="100"/>
      <c r="E14" s="100"/>
      <c r="F14" s="35"/>
      <c r="G14" s="35"/>
      <c r="H14" s="2"/>
    </row>
    <row r="15" spans="3:8" ht="15" thickBot="1">
      <c r="C15" s="37"/>
      <c r="D15" s="99"/>
      <c r="E15" s="99"/>
      <c r="F15" s="36"/>
      <c r="G15" s="36"/>
      <c r="H15" s="3"/>
    </row>
    <row r="16" ht="15" thickBot="1"/>
    <row r="17" spans="3:8" ht="15.75" thickBot="1">
      <c r="C17" s="224" t="s">
        <v>246</v>
      </c>
      <c r="D17" s="222">
        <f>SUM(D8:D15)</f>
        <v>0</v>
      </c>
      <c r="E17" s="222">
        <f>IFERROR(F17/D17,0)</f>
        <v>0</v>
      </c>
      <c r="F17" s="222">
        <f>SUM(F8:F15)</f>
        <v>0</v>
      </c>
      <c r="G17" s="222">
        <f>SUM(G8:G15)</f>
        <v>0</v>
      </c>
      <c r="H17" s="223">
        <f>IFERROR(G17/D17,0)</f>
        <v>0</v>
      </c>
    </row>
    <row r="21" spans="8:8" ht="14.25">
      <c r="H21" t="s">
        <v>283</v>
      </c>
    </row>
    <row r="23" spans="2:5" ht="14.25">
      <c r="B23" t="s">
        <v>360</v>
      </c>
      <c r="D23" t="b">
        <f>userCONFIG="11: גלישה - תנינים"</f>
        <v>0</v>
      </c>
      <c r="E23" t="s">
        <v>361</v>
      </c>
    </row>
  </sheetData>
  <mergeCells count="1">
    <mergeCell ref="C6:H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3"/>
  <dimension ref="A1:D37"/>
  <sheetViews>
    <sheetView rightToLeft="1" workbookViewId="0" topLeftCell="A1">
      <selection pane="topLeft" activeCell="C22" sqref="C22"/>
    </sheetView>
  </sheetViews>
  <sheetFormatPr defaultColWidth="9.005" defaultRowHeight="22.5" customHeight="1"/>
  <cols>
    <col min="1" max="1" width="9" style="193"/>
    <col min="2" max="2" width="10.5" style="264" bestFit="1" customWidth="1"/>
    <col min="3" max="3" width="45.75" style="252" customWidth="1"/>
    <col min="4" max="4" width="9" style="193"/>
    <col min="5" max="16384" width="9" style="252"/>
  </cols>
  <sheetData>
    <row r="1" spans="1:4" ht="22.5" customHeight="1">
      <c r="A1" s="255" t="s">
        <v>103</v>
      </c>
      <c r="B1" s="256" t="s">
        <v>19</v>
      </c>
      <c r="C1" s="257" t="s">
        <v>264</v>
      </c>
      <c r="D1" s="258" t="s">
        <v>267</v>
      </c>
    </row>
    <row r="2" spans="1:4" ht="22.5" customHeight="1">
      <c r="A2" s="259">
        <v>3.10</v>
      </c>
      <c r="B2" s="260">
        <v>44260</v>
      </c>
      <c r="C2" s="253" t="s">
        <v>265</v>
      </c>
      <c r="D2" s="261" t="s">
        <v>268</v>
      </c>
    </row>
    <row r="3" spans="1:4" ht="22.5" customHeight="1">
      <c r="A3" s="259">
        <v>3.11</v>
      </c>
      <c r="B3" s="260">
        <v>44265</v>
      </c>
      <c r="C3" s="253" t="s">
        <v>266</v>
      </c>
      <c r="D3" s="261" t="s">
        <v>268</v>
      </c>
    </row>
    <row r="4" spans="1:4" ht="22.5" customHeight="1">
      <c r="A4" s="259">
        <v>3.12</v>
      </c>
      <c r="B4" s="260">
        <v>44308</v>
      </c>
      <c r="C4" s="253" t="s">
        <v>275</v>
      </c>
      <c r="D4" s="261" t="s">
        <v>268</v>
      </c>
    </row>
    <row r="5" spans="1:4" ht="22.5" customHeight="1">
      <c r="A5" s="259">
        <v>3.13</v>
      </c>
      <c r="B5" s="260">
        <v>44327</v>
      </c>
      <c r="C5" s="253" t="s">
        <v>276</v>
      </c>
      <c r="D5" s="261" t="s">
        <v>268</v>
      </c>
    </row>
    <row r="6" spans="1:4" ht="22.5" customHeight="1">
      <c r="A6" s="259">
        <v>3.20</v>
      </c>
      <c r="B6" s="260">
        <v>44689</v>
      </c>
      <c r="C6" s="253" t="s">
        <v>284</v>
      </c>
      <c r="D6" s="261" t="s">
        <v>268</v>
      </c>
    </row>
    <row r="7" spans="1:4" ht="22.5" customHeight="1">
      <c r="A7" s="259">
        <v>3.21</v>
      </c>
      <c r="B7" s="260">
        <v>44725</v>
      </c>
      <c r="C7" s="253" t="s">
        <v>289</v>
      </c>
      <c r="D7" s="261" t="s">
        <v>268</v>
      </c>
    </row>
    <row r="8" spans="1:4" ht="22.5" customHeight="1">
      <c r="A8" s="259">
        <v>4</v>
      </c>
      <c r="B8" s="260">
        <v>44738</v>
      </c>
      <c r="C8" s="253" t="s">
        <v>346</v>
      </c>
      <c r="D8" s="261" t="s">
        <v>268</v>
      </c>
    </row>
    <row r="9" spans="1:4" ht="22.5" customHeight="1">
      <c r="A9" s="259">
        <v>4</v>
      </c>
      <c r="B9" s="260">
        <v>44781</v>
      </c>
      <c r="C9" s="253" t="s">
        <v>362</v>
      </c>
      <c r="D9" s="261" t="s">
        <v>268</v>
      </c>
    </row>
    <row r="10" spans="1:4" ht="22.5" customHeight="1">
      <c r="A10" s="259">
        <v>4.01</v>
      </c>
      <c r="B10" s="260">
        <v>44797</v>
      </c>
      <c r="C10" s="253" t="s">
        <v>363</v>
      </c>
      <c r="D10" s="261" t="s">
        <v>268</v>
      </c>
    </row>
    <row r="11" spans="1:4" ht="22.5" customHeight="1">
      <c r="A11" s="259">
        <v>4.0199999999999996</v>
      </c>
      <c r="B11" s="260">
        <v>44873</v>
      </c>
      <c r="C11" s="253" t="s">
        <v>364</v>
      </c>
      <c r="D11" s="261" t="s">
        <v>268</v>
      </c>
    </row>
    <row r="12" spans="1:4" ht="22.5" customHeight="1">
      <c r="A12" s="259">
        <v>4.03</v>
      </c>
      <c r="B12" s="260">
        <v>44902</v>
      </c>
      <c r="C12" s="253" t="s">
        <v>368</v>
      </c>
      <c r="D12" s="261" t="s">
        <v>268</v>
      </c>
    </row>
    <row r="13" spans="1:4" ht="22.5" customHeight="1">
      <c r="A13" s="259">
        <v>4.04</v>
      </c>
      <c r="B13" s="260">
        <v>44948</v>
      </c>
      <c r="C13" s="253" t="s">
        <v>369</v>
      </c>
      <c r="D13" s="261" t="s">
        <v>268</v>
      </c>
    </row>
    <row r="14" spans="1:4" ht="22.5" customHeight="1">
      <c r="A14" s="259">
        <v>4.05</v>
      </c>
      <c r="B14" s="260">
        <v>44965</v>
      </c>
      <c r="C14" s="253" t="s">
        <v>370</v>
      </c>
      <c r="D14" s="261" t="s">
        <v>268</v>
      </c>
    </row>
    <row r="15" spans="1:4" ht="22.5" customHeight="1">
      <c r="A15" s="259">
        <v>4.05</v>
      </c>
      <c r="B15" s="260">
        <v>44965</v>
      </c>
      <c r="C15" s="253" t="s">
        <v>378</v>
      </c>
      <c r="D15" s="261" t="s">
        <v>268</v>
      </c>
    </row>
    <row r="16" spans="1:4" ht="22.5" customHeight="1">
      <c r="A16" s="259">
        <v>4.0599999999999996</v>
      </c>
      <c r="B16" s="260">
        <v>44974</v>
      </c>
      <c r="C16" s="253" t="s">
        <v>380</v>
      </c>
      <c r="D16" s="261" t="s">
        <v>268</v>
      </c>
    </row>
    <row r="17" spans="1:4" ht="22.5" customHeight="1">
      <c r="A17" s="259">
        <v>4.07</v>
      </c>
      <c r="B17" s="260">
        <v>45200</v>
      </c>
      <c r="C17" s="253" t="s">
        <v>382</v>
      </c>
      <c r="D17" s="261" t="s">
        <v>268</v>
      </c>
    </row>
    <row r="18" spans="1:4" ht="22.5" customHeight="1">
      <c r="A18" s="259">
        <v>4.08</v>
      </c>
      <c r="B18" s="260">
        <v>45231</v>
      </c>
      <c r="C18" s="253" t="s">
        <v>383</v>
      </c>
      <c r="D18" s="261" t="s">
        <v>268</v>
      </c>
    </row>
    <row r="19" spans="1:4" ht="22.5" customHeight="1">
      <c r="A19" s="259">
        <v>4.0999999999999996</v>
      </c>
      <c r="B19" s="260">
        <v>45598</v>
      </c>
      <c r="C19" s="253" t="s">
        <v>386</v>
      </c>
      <c r="D19" s="261" t="s">
        <v>268</v>
      </c>
    </row>
    <row r="20" spans="1:4" ht="22.5" customHeight="1">
      <c r="A20" s="259"/>
      <c r="B20" s="260"/>
      <c r="C20" s="253"/>
      <c r="D20" s="261"/>
    </row>
    <row r="21" spans="1:4" ht="22.5" customHeight="1">
      <c r="A21" s="259"/>
      <c r="B21" s="260"/>
      <c r="C21" s="253"/>
      <c r="D21" s="261"/>
    </row>
    <row r="22" spans="1:4" ht="22.5" customHeight="1">
      <c r="A22" s="259"/>
      <c r="B22" s="260"/>
      <c r="C22" s="253"/>
      <c r="D22" s="261"/>
    </row>
    <row r="23" spans="1:4" ht="22.5" customHeight="1" thickBot="1">
      <c r="A23" s="265"/>
      <c r="B23" s="263"/>
      <c r="C23" s="254"/>
      <c r="D23" s="262"/>
    </row>
    <row r="24" spans="1:1" ht="22.5" customHeight="1">
      <c r="A24" s="266"/>
    </row>
    <row r="25" spans="1:1" ht="22.5" customHeight="1">
      <c r="A25" s="266"/>
    </row>
    <row r="26" spans="1:1" ht="22.5" customHeight="1">
      <c r="A26" s="266"/>
    </row>
    <row r="27" spans="1:1" ht="22.5" customHeight="1">
      <c r="A27" s="266"/>
    </row>
    <row r="28" spans="1:1" ht="22.5" customHeight="1">
      <c r="A28" s="266"/>
    </row>
    <row r="29" spans="1:1" ht="22.5" customHeight="1">
      <c r="A29" s="266"/>
    </row>
    <row r="30" spans="1:1" ht="22.5" customHeight="1">
      <c r="A30" s="266"/>
    </row>
    <row r="31" spans="1:1" ht="22.5" customHeight="1">
      <c r="A31" s="266"/>
    </row>
    <row r="32" spans="1:1" ht="22.5" customHeight="1">
      <c r="A32" s="266"/>
    </row>
    <row r="33" spans="1:1" ht="22.5" customHeight="1">
      <c r="A33" s="266"/>
    </row>
    <row r="34" spans="1:1" ht="22.5" customHeight="1">
      <c r="A34" s="266"/>
    </row>
    <row r="35" spans="1:1" ht="22.5" customHeight="1">
      <c r="A35" s="266"/>
    </row>
    <row r="36" spans="1:1" ht="22.5" customHeight="1">
      <c r="A36" s="266"/>
    </row>
    <row r="37" spans="1:1" ht="22.5" customHeight="1">
      <c r="A37" s="266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ראשי</vt:lpstr>
      <vt:lpstr>תמונות</vt:lpstr>
      <vt:lpstr>נתונים</vt:lpstr>
      <vt:lpstr>תצורות</vt:lpstr>
      <vt:lpstr>CARGO</vt:lpstr>
      <vt:lpstr>ברזל</vt:lpstr>
      <vt:lpstr>משקל מערכות</vt:lpstr>
      <vt:lpstr>דלק</vt:lpstr>
      <vt:lpstr>CARGO70</vt:lpstr>
      <vt:lpstr>CARGO80</vt:lpstr>
      <vt:lpstr>CARGO90</vt:lpstr>
      <vt:lpstr>CARGO100</vt:lpstr>
      <vt:lpstr>FR</vt:lpstr>
      <vt:lpstr>גרסאות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