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OBOOK 450 G4\Documents\"/>
    </mc:Choice>
  </mc:AlternateContent>
  <xr:revisionPtr revIDLastSave="0" documentId="13_ncr:1_{5B871091-C627-4A43-9A30-D05CFD7E607E}" xr6:coauthVersionLast="45" xr6:coauthVersionMax="45" xr10:uidLastSave="{00000000-0000-0000-0000-000000000000}"/>
  <bookViews>
    <workbookView xWindow="-108" yWindow="-108" windowWidth="23256" windowHeight="12576" tabRatio="500" firstSheet="2" activeTab="2" xr2:uid="{00000000-000D-0000-FFFF-FFFF00000000}"/>
  </bookViews>
  <sheets>
    <sheet name="Dimension Data" sheetId="4" state="hidden" r:id="rId1"/>
    <sheet name="Ampath" sheetId="3" state="hidden" r:id="rId2"/>
    <sheet name="SmartFunder Savings Calcula (2" sheetId="8" r:id="rId3"/>
    <sheet name="Sheet3" sheetId="7" r:id="rId4"/>
    <sheet name="Sheet7" sheetId="12" r:id="rId5"/>
    <sheet name="Sheet2" sheetId="6" state="hidden" r:id="rId6"/>
    <sheet name="Sheet1" sheetId="2" state="hidden" r:id="rId7"/>
    <sheet name="No admin fee" sheetId="5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8" l="1"/>
  <c r="E52" i="8" l="1"/>
  <c r="F52" i="8" l="1"/>
  <c r="F15" i="8" l="1"/>
  <c r="M52" i="8" l="1"/>
  <c r="L52" i="8"/>
  <c r="K52" i="8"/>
  <c r="J52" i="8"/>
  <c r="G52" i="8"/>
  <c r="M57" i="8" l="1"/>
  <c r="M61" i="8"/>
  <c r="M54" i="8"/>
  <c r="L55" i="8"/>
  <c r="K56" i="8"/>
  <c r="J57" i="8"/>
  <c r="G54" i="8"/>
  <c r="F56" i="8"/>
  <c r="E57" i="8"/>
  <c r="F63" i="8" l="1"/>
  <c r="K59" i="8"/>
  <c r="K55" i="8"/>
  <c r="K63" i="8"/>
  <c r="K62" i="8"/>
  <c r="J53" i="8"/>
  <c r="J63" i="8"/>
  <c r="J55" i="8"/>
  <c r="J56" i="8"/>
  <c r="J60" i="8"/>
  <c r="J59" i="8"/>
  <c r="G61" i="8"/>
  <c r="G57" i="8"/>
  <c r="F62" i="8"/>
  <c r="F58" i="8"/>
  <c r="F54" i="8"/>
  <c r="F59" i="8"/>
  <c r="F61" i="8"/>
  <c r="F57" i="8"/>
  <c r="F55" i="8"/>
  <c r="F53" i="8"/>
  <c r="F60" i="8"/>
  <c r="L62" i="8"/>
  <c r="L54" i="8"/>
  <c r="G53" i="8"/>
  <c r="K58" i="8"/>
  <c r="K54" i="8"/>
  <c r="L61" i="8"/>
  <c r="L57" i="8"/>
  <c r="M53" i="8"/>
  <c r="M60" i="8"/>
  <c r="M56" i="8"/>
  <c r="G63" i="8"/>
  <c r="G59" i="8"/>
  <c r="G55" i="8"/>
  <c r="J62" i="8"/>
  <c r="J58" i="8"/>
  <c r="J54" i="8"/>
  <c r="K61" i="8"/>
  <c r="K57" i="8"/>
  <c r="L53" i="8"/>
  <c r="L60" i="8"/>
  <c r="L56" i="8"/>
  <c r="M63" i="8"/>
  <c r="M59" i="8"/>
  <c r="M55" i="8"/>
  <c r="L58" i="8"/>
  <c r="G60" i="8"/>
  <c r="G56" i="8"/>
  <c r="G62" i="8"/>
  <c r="G58" i="8"/>
  <c r="J61" i="8"/>
  <c r="K53" i="8"/>
  <c r="K60" i="8"/>
  <c r="L63" i="8"/>
  <c r="L59" i="8"/>
  <c r="M62" i="8"/>
  <c r="M58" i="8"/>
  <c r="E53" i="8"/>
  <c r="E59" i="8"/>
  <c r="E62" i="8"/>
  <c r="E58" i="8"/>
  <c r="E55" i="8"/>
  <c r="E60" i="8"/>
  <c r="D27" i="8" s="1"/>
  <c r="E63" i="8"/>
  <c r="E54" i="8"/>
  <c r="E61" i="8"/>
  <c r="E56" i="8"/>
  <c r="F18" i="8"/>
  <c r="F17" i="8"/>
  <c r="G15" i="8" l="1"/>
  <c r="G16" i="8"/>
  <c r="G17" i="8"/>
  <c r="G18" i="8"/>
  <c r="D19" i="8"/>
  <c r="D22" i="8" s="1"/>
  <c r="F19" i="8" l="1"/>
  <c r="D23" i="8" s="1"/>
  <c r="G19" i="8"/>
  <c r="D24" i="8" s="1"/>
  <c r="D21" i="8"/>
  <c r="B21" i="8"/>
  <c r="D12" i="8"/>
  <c r="D25" i="8" l="1"/>
  <c r="D26" i="8" s="1"/>
  <c r="D28" i="8" s="1"/>
  <c r="E81" i="5" l="1"/>
  <c r="E80" i="5"/>
  <c r="E79" i="5"/>
  <c r="E78" i="5"/>
  <c r="E77" i="5"/>
  <c r="E76" i="5"/>
  <c r="E75" i="5"/>
  <c r="E74" i="5"/>
  <c r="E73" i="5"/>
  <c r="E72" i="5"/>
  <c r="E71" i="5"/>
  <c r="H7" i="5"/>
  <c r="C13" i="5"/>
  <c r="C12" i="5"/>
  <c r="B12" i="5"/>
  <c r="C6" i="5"/>
  <c r="H5" i="5"/>
  <c r="C5" i="4"/>
  <c r="C12" i="4" s="1"/>
  <c r="C13" i="4"/>
  <c r="E36" i="4"/>
  <c r="C16" i="4" s="1"/>
  <c r="H7" i="4" s="1"/>
  <c r="C5" i="3"/>
  <c r="C12" i="3" s="1"/>
  <c r="C6" i="3"/>
  <c r="J5" i="3" s="1"/>
  <c r="C13" i="3"/>
  <c r="E37" i="3"/>
  <c r="E46" i="4"/>
  <c r="E45" i="4"/>
  <c r="E44" i="4"/>
  <c r="E43" i="4"/>
  <c r="E42" i="4"/>
  <c r="E41" i="4"/>
  <c r="E40" i="4"/>
  <c r="E39" i="4"/>
  <c r="E38" i="4"/>
  <c r="E37" i="4"/>
  <c r="B12" i="4"/>
  <c r="E47" i="3"/>
  <c r="E46" i="3"/>
  <c r="E45" i="3"/>
  <c r="E44" i="3"/>
  <c r="E43" i="3"/>
  <c r="E42" i="3"/>
  <c r="E41" i="3"/>
  <c r="E40" i="3"/>
  <c r="E39" i="3"/>
  <c r="E38" i="3"/>
  <c r="B12" i="3"/>
  <c r="H5" i="3"/>
  <c r="C16" i="3"/>
  <c r="H7" i="3" s="1"/>
  <c r="H5" i="4"/>
  <c r="C14" i="3" l="1"/>
  <c r="C14" i="5"/>
  <c r="C14" i="4"/>
  <c r="C15" i="4" s="1"/>
  <c r="J6" i="4" s="1"/>
  <c r="C15" i="3"/>
  <c r="H6" i="3"/>
  <c r="H6" i="5"/>
  <c r="C15" i="5"/>
  <c r="J6" i="5" s="1"/>
  <c r="H6" i="4"/>
  <c r="C6" i="4"/>
  <c r="J5" i="5"/>
  <c r="C17" i="4" l="1"/>
  <c r="H4" i="4" s="1"/>
  <c r="H8" i="4" s="1"/>
  <c r="J5" i="4"/>
  <c r="C17" i="5"/>
  <c r="H4" i="5" s="1"/>
  <c r="H8" i="5" s="1"/>
  <c r="J6" i="3"/>
  <c r="C17" i="3"/>
  <c r="H4" i="3" s="1"/>
  <c r="H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Marli</author>
  </authors>
  <commentList>
    <comment ref="C5" authorId="0" shapeId="0" xr:uid="{00000000-0006-0000-0000-000001000000}">
      <text>
        <r>
          <rPr>
            <b/>
            <u/>
            <sz val="10"/>
            <color indexed="81"/>
            <rFont val="Calibri"/>
            <family val="2"/>
          </rPr>
          <t xml:space="preserve">User input 1:
</t>
        </r>
        <r>
          <rPr>
            <sz val="10"/>
            <color indexed="81"/>
            <rFont val="Calibri"/>
            <family val="2"/>
          </rPr>
          <t>Current taxable income</t>
        </r>
      </text>
    </comment>
    <comment ref="C8" authorId="1" shapeId="0" xr:uid="{00000000-0006-0000-0000-000002000000}">
      <text>
        <r>
          <rPr>
            <b/>
            <u/>
            <sz val="10"/>
            <color indexed="81"/>
            <rFont val="Calibri"/>
            <family val="2"/>
          </rPr>
          <t>User Input 2: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 xml:space="preserve">Number of relatives (bursaries)
</t>
        </r>
      </text>
    </comment>
    <comment ref="C9" authorId="0" shapeId="0" xr:uid="{00000000-0006-0000-0000-000003000000}">
      <text>
        <r>
          <rPr>
            <b/>
            <u/>
            <sz val="10"/>
            <color indexed="81"/>
            <rFont val="Calibri"/>
            <family val="2"/>
          </rPr>
          <t>User input 3: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>School fees outstanding for all relatives</t>
        </r>
      </text>
    </comment>
    <comment ref="C10" authorId="0" shapeId="0" xr:uid="{00000000-0006-0000-0000-000004000000}">
      <text>
        <r>
          <rPr>
            <b/>
            <u/>
            <sz val="10"/>
            <color indexed="81"/>
            <rFont val="Calibri"/>
            <family val="2"/>
          </rPr>
          <t xml:space="preserve">User Input 4:
</t>
        </r>
        <r>
          <rPr>
            <sz val="10"/>
            <color indexed="81"/>
            <rFont val="Calibri"/>
            <family val="2"/>
          </rPr>
          <t>Tertiary education fees outstanding for all relatives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Marli</author>
  </authors>
  <commentList>
    <comment ref="C5" authorId="0" shapeId="0" xr:uid="{00000000-0006-0000-0100-000001000000}">
      <text>
        <r>
          <rPr>
            <b/>
            <u/>
            <sz val="10"/>
            <color indexed="81"/>
            <rFont val="Calibri"/>
            <family val="2"/>
          </rPr>
          <t xml:space="preserve">User input 1:
</t>
        </r>
        <r>
          <rPr>
            <sz val="10"/>
            <color indexed="81"/>
            <rFont val="Calibri"/>
            <family val="2"/>
          </rPr>
          <t>Current taxable income</t>
        </r>
      </text>
    </comment>
    <comment ref="C8" authorId="1" shapeId="0" xr:uid="{00000000-0006-0000-0100-000002000000}">
      <text>
        <r>
          <rPr>
            <b/>
            <u/>
            <sz val="10"/>
            <color indexed="81"/>
            <rFont val="Calibri"/>
            <family val="2"/>
          </rPr>
          <t>User Input 2: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 xml:space="preserve">Number of relatives (bursaries)
</t>
        </r>
      </text>
    </comment>
    <comment ref="C9" authorId="0" shapeId="0" xr:uid="{00000000-0006-0000-0100-000003000000}">
      <text>
        <r>
          <rPr>
            <b/>
            <u/>
            <sz val="10"/>
            <color indexed="81"/>
            <rFont val="Calibri"/>
            <family val="2"/>
          </rPr>
          <t>User input 3: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>School fees outstanding for all relatives</t>
        </r>
      </text>
    </comment>
    <comment ref="C10" authorId="0" shapeId="0" xr:uid="{00000000-0006-0000-0100-000004000000}">
      <text>
        <r>
          <rPr>
            <b/>
            <u/>
            <sz val="10"/>
            <color indexed="81"/>
            <rFont val="Calibri"/>
            <family val="2"/>
          </rPr>
          <t xml:space="preserve">User Input 4:
</t>
        </r>
        <r>
          <rPr>
            <sz val="10"/>
            <color indexed="81"/>
            <rFont val="Calibri"/>
            <family val="2"/>
          </rPr>
          <t>Tertiary education fees outstanding for all relatives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Marli</author>
  </authors>
  <commentList>
    <comment ref="C5" authorId="0" shapeId="0" xr:uid="{00000000-0006-0000-0700-000001000000}">
      <text>
        <r>
          <rPr>
            <b/>
            <u/>
            <sz val="10"/>
            <color indexed="81"/>
            <rFont val="Calibri"/>
            <family val="2"/>
          </rPr>
          <t xml:space="preserve">User input 1:
</t>
        </r>
        <r>
          <rPr>
            <sz val="10"/>
            <color indexed="81"/>
            <rFont val="Calibri"/>
            <family val="2"/>
          </rPr>
          <t>Current taxable income</t>
        </r>
      </text>
    </comment>
    <comment ref="C8" authorId="1" shapeId="0" xr:uid="{00000000-0006-0000-0700-000002000000}">
      <text>
        <r>
          <rPr>
            <b/>
            <u/>
            <sz val="10"/>
            <color indexed="81"/>
            <rFont val="Calibri"/>
            <family val="2"/>
          </rPr>
          <t>User Input 2: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 xml:space="preserve">Number of relatives (bursaries)
</t>
        </r>
      </text>
    </comment>
    <comment ref="C9" authorId="0" shapeId="0" xr:uid="{00000000-0006-0000-0700-000003000000}">
      <text>
        <r>
          <rPr>
            <b/>
            <u/>
            <sz val="10"/>
            <color indexed="81"/>
            <rFont val="Calibri"/>
            <family val="2"/>
          </rPr>
          <t>User input 3:</t>
        </r>
        <r>
          <rPr>
            <b/>
            <sz val="10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  <family val="2"/>
          </rPr>
          <t>School fees outstanding for all relatives</t>
        </r>
      </text>
    </comment>
    <comment ref="C10" authorId="0" shapeId="0" xr:uid="{00000000-0006-0000-0700-000004000000}">
      <text>
        <r>
          <rPr>
            <b/>
            <u/>
            <sz val="10"/>
            <color indexed="81"/>
            <rFont val="Calibri"/>
            <family val="2"/>
          </rPr>
          <t xml:space="preserve">User Input 4:
</t>
        </r>
        <r>
          <rPr>
            <sz val="10"/>
            <color indexed="81"/>
            <rFont val="Calibri"/>
            <family val="2"/>
          </rPr>
          <t>Tertiary education fees outstanding for all relatives</t>
        </r>
      </text>
    </comment>
  </commentList>
</comments>
</file>

<file path=xl/sharedStrings.xml><?xml version="1.0" encoding="utf-8"?>
<sst xmlns="http://schemas.openxmlformats.org/spreadsheetml/2006/main" count="214" uniqueCount="96">
  <si>
    <t>Annual</t>
  </si>
  <si>
    <t>Primary rebate</t>
  </si>
  <si>
    <t>Taxable calculator</t>
  </si>
  <si>
    <t>Without SmartFunder</t>
  </si>
  <si>
    <t>Current taxable income</t>
  </si>
  <si>
    <t>Educational Expenses</t>
  </si>
  <si>
    <t>With SmartFunder</t>
  </si>
  <si>
    <t>-Tax exempt bursaries</t>
  </si>
  <si>
    <t>New taxable income</t>
  </si>
  <si>
    <t>Total school fees (NQF level 1 - 4 or Grade R - 12) still to be paid for the remainder of the calendar year for all relatives (Maximum R20 000 per relative per year)</t>
  </si>
  <si>
    <t>Total tertiary education fees (NQF level 5 - 10) still to be paid for the remainder of the calendar year for all relatives (Maximum R60 000 per relative per year)</t>
  </si>
  <si>
    <t>Current pay as you earn tax (PAYE)</t>
  </si>
  <si>
    <t>New pay as you earn tax (PAYE)</t>
  </si>
  <si>
    <t>Potential Tax Saving**</t>
  </si>
  <si>
    <t>**Please note that these are just indicative numbers.  Actual savings can only be assessed once it has been processed through your employer's payroll system, taking into consideration all information.</t>
  </si>
  <si>
    <t>Number of bursaries</t>
  </si>
  <si>
    <t>Current Cost to Company</t>
  </si>
  <si>
    <r>
      <t>Cost per bursary per month</t>
    </r>
    <r>
      <rPr>
        <sz val="10.5"/>
        <color rgb="FF222222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(excl. VAT)</t>
    </r>
  </si>
  <si>
    <t>Less than or equal to R99 999</t>
  </si>
  <si>
    <t>Between R100 000 and 149 999</t>
  </si>
  <si>
    <t>Between R150 000 and R199 999</t>
  </si>
  <si>
    <t>Between R200 000 and R249 999</t>
  </si>
  <si>
    <t>Between R250 000 and R299 999</t>
  </si>
  <si>
    <t>Between R300 000 and R349 999</t>
  </si>
  <si>
    <t>Between R350 000 and R399 999</t>
  </si>
  <si>
    <t>Between R400 000 and R449 999</t>
  </si>
  <si>
    <t>Between R450 000 and R499 999</t>
  </si>
  <si>
    <t>Between R500 000 and R549 999</t>
  </si>
  <si>
    <t>Between R550 000 and R600 000</t>
  </si>
  <si>
    <t>Bursary administration fee</t>
  </si>
  <si>
    <r>
      <t>Annual cost per bursary</t>
    </r>
    <r>
      <rPr>
        <sz val="10.5"/>
        <color rgb="FF222222"/>
        <rFont val="Arial"/>
        <family val="2"/>
      </rPr>
      <t xml:space="preserve"> </t>
    </r>
    <r>
      <rPr>
        <b/>
        <sz val="10.5"/>
        <color rgb="FF000000"/>
        <rFont val="Arial"/>
        <family val="2"/>
      </rPr>
      <t>(Incl. VAT)</t>
    </r>
  </si>
  <si>
    <t>Tax Savings Calculator</t>
  </si>
  <si>
    <t>Ampath</t>
  </si>
  <si>
    <t>Dimension Data /Britehouse/Eliance/Merchants/ Internet Solutions</t>
  </si>
  <si>
    <t>Standard 2019 fees</t>
  </si>
  <si>
    <t>per annum and paying</t>
  </si>
  <si>
    <t>Dear ###</t>
  </si>
  <si>
    <t xml:space="preserve">per annum by using the SmartFunder benefit. </t>
  </si>
  <si>
    <t>According to the our calculation based on the information available to us, in stead of being taxed on</t>
  </si>
  <si>
    <t xml:space="preserve">You can potentially achieve a saving of </t>
  </si>
  <si>
    <t>tax</t>
  </si>
  <si>
    <t xml:space="preserve">your tax will now be calculated on </t>
  </si>
  <si>
    <t xml:space="preserve">per annum and you will be taxed </t>
  </si>
  <si>
    <t xml:space="preserve">then after deducting a small admin fee of </t>
  </si>
  <si>
    <t xml:space="preserve">for the entire year, </t>
  </si>
  <si>
    <t xml:space="preserve">your estimated net saving is  </t>
  </si>
  <si>
    <t>per annum</t>
  </si>
  <si>
    <t>for all beneficiaries per annum</t>
  </si>
  <si>
    <t>School</t>
  </si>
  <si>
    <t>Tertiary</t>
  </si>
  <si>
    <t>Not Tax Exempt</t>
  </si>
  <si>
    <t>Tax Exempt</t>
  </si>
  <si>
    <t>Total Fees</t>
  </si>
  <si>
    <t>Type of Bursary</t>
  </si>
  <si>
    <t xml:space="preserve">SmartFunder Benefit Calculator 2019 </t>
  </si>
  <si>
    <t>Total Bursary Deduction</t>
  </si>
  <si>
    <t>BACKGROUND DATA TO BE HIDDEN FROM USER VIEW</t>
  </si>
  <si>
    <t>Annual Cost (inc VAT): 
Bursary 2</t>
  </si>
  <si>
    <t>Annual Cost (inc VAT): 
Bursary 1</t>
  </si>
  <si>
    <t>Annual Cost (inc VAT): 
Bursary 3</t>
  </si>
  <si>
    <t>Annual Cost (inc VAT): 
Bursary 4</t>
  </si>
  <si>
    <t>Annual Cost (inc VAT): 
Bursary 5</t>
  </si>
  <si>
    <t>Annual Cost (inc VAT): 
Bursary 6</t>
  </si>
  <si>
    <t>Annual Cost (inc VAT): 
Bursary 7</t>
  </si>
  <si>
    <r>
      <t>Cost per bursary per month</t>
    </r>
    <r>
      <rPr>
        <sz val="11"/>
        <color rgb="FF222222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(excl. VAT)</t>
    </r>
  </si>
  <si>
    <t>**Please note that these are indicative numbers.  
**Actual savings can only be assessed once it has been processed through the employer's payroll system, taking into consideration all other package structuring information.</t>
  </si>
  <si>
    <t>1. This SmartFunder Benefit calculator is intended to calculate estimated tax savings as a result of utilising the pre-tax benefit for educational expenses.</t>
  </si>
  <si>
    <t>2. Actual savings can only be determined once processed via your employer's payroll system, taking into consideration all other package structuring information.</t>
  </si>
  <si>
    <t>4. Alternatively, speak to your HR generalist for more assistance.</t>
  </si>
  <si>
    <t>Potential Annual Tax Saving**</t>
  </si>
  <si>
    <t>Beneficiary 1</t>
  </si>
  <si>
    <t>Beneficiary 2</t>
  </si>
  <si>
    <t>Beneficiary 3</t>
  </si>
  <si>
    <t>Beneficiary 4</t>
  </si>
  <si>
    <t>Tax exempt educational expenses deduction</t>
  </si>
  <si>
    <t>Non tax exempt educational expenses deduction</t>
  </si>
  <si>
    <t>Administration fee</t>
  </si>
  <si>
    <t>New Pay As You Earn tax (PAYE)</t>
  </si>
  <si>
    <t>Current Pay As You Earn tax (PAYE)</t>
  </si>
  <si>
    <t>Beneficiary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</si>
  <si>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</si>
  <si>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</si>
  <si>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</si>
  <si>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</si>
  <si>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</si>
  <si>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</si>
  <si>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</si>
  <si>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</si>
  <si>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</si>
  <si>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</si>
  <si>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</si>
  <si>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</si>
  <si>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First Month on Benefit</t>
  </si>
  <si>
    <t>Select Benefit type</t>
  </si>
  <si>
    <t>Total benefit deduction</t>
  </si>
  <si>
    <t xml:space="preserve">3. To utilise this calculator, enter the required information into the blue cells.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</si>
</sst>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_-&quot;R&quot;* #,##0.00_-;\-&quot;R&quot;* #,##0.00_-;_-&quot;R&quot;* &quot;-&quot;??_-;_-@_-"/>
    <numFmt numFmtId="167" formatCode="_ * #,##0_ ;_ * \-#,##0_ ;_ * &quot;-&quot;??_ ;_ @_ "/>
    <numFmt numFmtId="168" formatCode="_-&quot;R&quot;* #,##0_-;\-&quot;R&quot;* #,##0_-;_-&quot;R&quot;* &quot;-&quot;??_-;_-@_-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u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222222"/>
      <name val="Arial"/>
      <family val="2"/>
    </font>
    <font>
      <sz val="10.5"/>
      <color rgb="FF000000"/>
      <name val="Arial"/>
      <family val="2"/>
    </font>
    <font>
      <b/>
      <sz val="11"/>
      <color rgb="FF555555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6"/>
      <color theme="0"/>
      <name val="Arial"/>
      <family val="2"/>
    </font>
    <font>
      <b/>
      <sz val="18"/>
      <name val="Arial"/>
      <family val="2"/>
    </font>
    <font>
      <b/>
      <i/>
      <u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222222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0">
    <xf numFmtId="0" fontId="0" fillId="0" borderId="0"/>
    <xf numFmtId="165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3"/>
    <xf numFmtId="9" fontId="2" fillId="0" borderId="0" xfId="3" applyNumberFormat="1"/>
    <xf numFmtId="167" fontId="2" fillId="0" borderId="0" xfId="1" applyNumberFormat="1" applyFont="1"/>
    <xf numFmtId="167" fontId="2" fillId="0" borderId="0" xfId="3" applyNumberFormat="1"/>
    <xf numFmtId="9" fontId="2" fillId="0" borderId="0" xfId="3" applyNumberFormat="1" applyAlignment="1">
      <alignment horizontal="right"/>
    </xf>
    <xf numFmtId="0" fontId="2" fillId="0" borderId="0" xfId="3" applyAlignment="1">
      <alignment wrapText="1"/>
    </xf>
    <xf numFmtId="0" fontId="4" fillId="0" borderId="0" xfId="3" applyFont="1"/>
    <xf numFmtId="0" fontId="5" fillId="0" borderId="0" xfId="3" applyFont="1"/>
    <xf numFmtId="166" fontId="2" fillId="0" borderId="0" xfId="2" applyFont="1" applyAlignment="1">
      <alignment horizontal="right"/>
    </xf>
    <xf numFmtId="168" fontId="5" fillId="0" borderId="0" xfId="2" applyNumberFormat="1" applyFont="1"/>
    <xf numFmtId="10" fontId="2" fillId="0" borderId="0" xfId="9" applyNumberFormat="1" applyFont="1"/>
    <xf numFmtId="0" fontId="14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center" vertical="center" wrapText="1"/>
    </xf>
    <xf numFmtId="166" fontId="2" fillId="0" borderId="3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5" xfId="2" applyFont="1" applyBorder="1" applyAlignment="1">
      <alignment horizontal="right"/>
    </xf>
    <xf numFmtId="0" fontId="14" fillId="2" borderId="5" xfId="0" applyFont="1" applyFill="1" applyBorder="1" applyAlignment="1">
      <alignment horizontal="center" vertical="center" wrapText="1"/>
    </xf>
    <xf numFmtId="166" fontId="2" fillId="0" borderId="1" xfId="2" applyFont="1" applyBorder="1" applyAlignment="1">
      <alignment horizontal="right"/>
    </xf>
    <xf numFmtId="43" fontId="2" fillId="0" borderId="0" xfId="3" applyNumberFormat="1"/>
    <xf numFmtId="0" fontId="17" fillId="0" borderId="0" xfId="0" applyFont="1"/>
    <xf numFmtId="0" fontId="18" fillId="3" borderId="6" xfId="3" applyFont="1" applyFill="1" applyBorder="1"/>
    <xf numFmtId="0" fontId="18" fillId="3" borderId="7" xfId="3" applyFont="1" applyFill="1" applyBorder="1"/>
    <xf numFmtId="0" fontId="18" fillId="3" borderId="8" xfId="3" applyFont="1" applyFill="1" applyBorder="1"/>
    <xf numFmtId="166" fontId="18" fillId="3" borderId="9" xfId="2" applyFont="1" applyFill="1" applyBorder="1" applyAlignment="1">
      <alignment horizontal="center"/>
    </xf>
    <xf numFmtId="0" fontId="6" fillId="0" borderId="10" xfId="3" applyFont="1" applyBorder="1"/>
    <xf numFmtId="0" fontId="6" fillId="0" borderId="12" xfId="3" applyFont="1" applyBorder="1"/>
    <xf numFmtId="166" fontId="6" fillId="0" borderId="13" xfId="2" applyFont="1" applyBorder="1" applyAlignment="1">
      <alignment horizontal="right"/>
    </xf>
    <xf numFmtId="0" fontId="6" fillId="0" borderId="10" xfId="3" applyFont="1" applyBorder="1" applyAlignment="1">
      <alignment wrapText="1"/>
    </xf>
    <xf numFmtId="1" fontId="7" fillId="4" borderId="11" xfId="2" applyNumberFormat="1" applyFont="1" applyFill="1" applyBorder="1" applyAlignment="1" applyProtection="1">
      <alignment horizontal="center" vertical="center" wrapText="1"/>
      <protection locked="0"/>
    </xf>
    <xf numFmtId="166" fontId="7" fillId="4" borderId="11" xfId="2" applyFont="1" applyFill="1" applyBorder="1" applyAlignment="1" applyProtection="1">
      <alignment vertical="center" wrapText="1"/>
      <protection locked="0"/>
    </xf>
    <xf numFmtId="0" fontId="6" fillId="0" borderId="12" xfId="3" applyFont="1" applyBorder="1" applyAlignment="1">
      <alignment wrapText="1"/>
    </xf>
    <xf numFmtId="166" fontId="7" fillId="4" borderId="13" xfId="2" applyFont="1" applyFill="1" applyBorder="1" applyAlignment="1" applyProtection="1">
      <alignment vertical="center"/>
      <protection locked="0"/>
    </xf>
    <xf numFmtId="0" fontId="18" fillId="3" borderId="14" xfId="3" applyFont="1" applyFill="1" applyBorder="1"/>
    <xf numFmtId="166" fontId="18" fillId="3" borderId="15" xfId="2" applyFont="1" applyFill="1" applyBorder="1" applyAlignment="1">
      <alignment horizontal="center"/>
    </xf>
    <xf numFmtId="166" fontId="6" fillId="0" borderId="11" xfId="2" applyFont="1" applyBorder="1" applyAlignment="1">
      <alignment horizontal="right"/>
    </xf>
    <xf numFmtId="0" fontId="6" fillId="0" borderId="16" xfId="3" quotePrefix="1" applyFont="1" applyBorder="1"/>
    <xf numFmtId="166" fontId="6" fillId="0" borderId="17" xfId="2" applyFont="1" applyBorder="1" applyAlignment="1">
      <alignment horizontal="right"/>
    </xf>
    <xf numFmtId="0" fontId="6" fillId="0" borderId="10" xfId="3" quotePrefix="1" applyFont="1" applyBorder="1"/>
    <xf numFmtId="0" fontId="6" fillId="0" borderId="16" xfId="3" applyFont="1" applyBorder="1"/>
    <xf numFmtId="0" fontId="6" fillId="0" borderId="18" xfId="3" applyFont="1" applyBorder="1"/>
    <xf numFmtId="166" fontId="6" fillId="0" borderId="19" xfId="2" applyFont="1" applyBorder="1" applyAlignment="1">
      <alignment horizontal="right"/>
    </xf>
    <xf numFmtId="0" fontId="8" fillId="3" borderId="20" xfId="3" applyFont="1" applyFill="1" applyBorder="1"/>
    <xf numFmtId="166" fontId="8" fillId="3" borderId="21" xfId="2" applyFont="1" applyFill="1" applyBorder="1" applyAlignment="1">
      <alignment horizontal="right"/>
    </xf>
    <xf numFmtId="0" fontId="4" fillId="0" borderId="0" xfId="3" applyFont="1" applyAlignment="1">
      <alignment wrapText="1"/>
    </xf>
    <xf numFmtId="0" fontId="19" fillId="0" borderId="23" xfId="3" applyFont="1" applyBorder="1" applyAlignment="1">
      <alignment vertical="top"/>
    </xf>
    <xf numFmtId="0" fontId="19" fillId="0" borderId="24" xfId="3" applyFont="1" applyBorder="1" applyAlignment="1">
      <alignment vertical="top"/>
    </xf>
    <xf numFmtId="0" fontId="18" fillId="5" borderId="8" xfId="3" applyFont="1" applyFill="1" applyBorder="1"/>
    <xf numFmtId="166" fontId="18" fillId="5" borderId="9" xfId="2" applyFont="1" applyFill="1" applyBorder="1" applyAlignment="1">
      <alignment horizontal="center"/>
    </xf>
    <xf numFmtId="0" fontId="18" fillId="5" borderId="6" xfId="3" applyFont="1" applyFill="1" applyBorder="1"/>
    <xf numFmtId="0" fontId="18" fillId="5" borderId="7" xfId="3" applyFont="1" applyFill="1" applyBorder="1"/>
    <xf numFmtId="0" fontId="20" fillId="5" borderId="23" xfId="3" applyFont="1" applyFill="1" applyBorder="1" applyAlignment="1">
      <alignment horizontal="center" vertical="center"/>
    </xf>
    <xf numFmtId="0" fontId="18" fillId="5" borderId="14" xfId="3" applyFont="1" applyFill="1" applyBorder="1"/>
    <xf numFmtId="166" fontId="18" fillId="5" borderId="15" xfId="2" applyFont="1" applyFill="1" applyBorder="1" applyAlignment="1">
      <alignment horizontal="center"/>
    </xf>
    <xf numFmtId="0" fontId="19" fillId="6" borderId="23" xfId="3" applyFont="1" applyFill="1" applyBorder="1" applyAlignment="1">
      <alignment vertical="top" wrapText="1"/>
    </xf>
    <xf numFmtId="0" fontId="18" fillId="6" borderId="8" xfId="3" applyFont="1" applyFill="1" applyBorder="1"/>
    <xf numFmtId="166" fontId="18" fillId="6" borderId="9" xfId="2" applyFont="1" applyFill="1" applyBorder="1" applyAlignment="1">
      <alignment horizontal="center"/>
    </xf>
    <xf numFmtId="0" fontId="18" fillId="6" borderId="6" xfId="3" applyFont="1" applyFill="1" applyBorder="1"/>
    <xf numFmtId="0" fontId="18" fillId="6" borderId="7" xfId="3" applyFont="1" applyFill="1" applyBorder="1"/>
    <xf numFmtId="0" fontId="18" fillId="6" borderId="14" xfId="3" applyFont="1" applyFill="1" applyBorder="1"/>
    <xf numFmtId="166" fontId="18" fillId="6" borderId="15" xfId="2" applyFont="1" applyFill="1" applyBorder="1" applyAlignment="1">
      <alignment horizontal="center"/>
    </xf>
    <xf numFmtId="0" fontId="21" fillId="0" borderId="0" xfId="3" applyFont="1"/>
    <xf numFmtId="166" fontId="22" fillId="0" borderId="0" xfId="3" applyNumberFormat="1" applyFont="1"/>
    <xf numFmtId="166" fontId="21" fillId="0" borderId="0" xfId="3" applyNumberFormat="1" applyFont="1"/>
    <xf numFmtId="166" fontId="2" fillId="0" borderId="0" xfId="3" applyNumberFormat="1"/>
    <xf numFmtId="166" fontId="0" fillId="0" borderId="0" xfId="0" applyNumberFormat="1"/>
    <xf numFmtId="0" fontId="5" fillId="0" borderId="0" xfId="3" applyFont="1" applyBorder="1"/>
    <xf numFmtId="166" fontId="5" fillId="0" borderId="0" xfId="2" applyFont="1" applyAlignment="1">
      <alignment horizontal="right"/>
    </xf>
    <xf numFmtId="0" fontId="24" fillId="3" borderId="0" xfId="3" applyFont="1" applyFill="1" applyBorder="1"/>
    <xf numFmtId="166" fontId="24" fillId="3" borderId="0" xfId="2" applyFont="1" applyFill="1" applyBorder="1" applyAlignment="1">
      <alignment horizontal="center"/>
    </xf>
    <xf numFmtId="166" fontId="24" fillId="3" borderId="0" xfId="2" applyFont="1" applyFill="1" applyBorder="1" applyAlignment="1">
      <alignment horizontal="right"/>
    </xf>
    <xf numFmtId="166" fontId="8" fillId="3" borderId="0" xfId="2" applyFont="1" applyFill="1" applyBorder="1" applyAlignment="1">
      <alignment horizontal="center"/>
    </xf>
    <xf numFmtId="166" fontId="5" fillId="0" borderId="0" xfId="2" applyFont="1" applyFill="1" applyBorder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5" fillId="0" borderId="0" xfId="3" applyFont="1" applyFill="1" applyBorder="1" applyAlignment="1">
      <alignment horizontal="left" vertical="top" wrapText="1"/>
    </xf>
    <xf numFmtId="0" fontId="4" fillId="0" borderId="0" xfId="3" applyFont="1" applyBorder="1"/>
    <xf numFmtId="0" fontId="28" fillId="8" borderId="0" xfId="3" applyFont="1" applyFill="1" applyBorder="1" applyAlignment="1">
      <alignment horizontal="left" vertical="top"/>
    </xf>
    <xf numFmtId="0" fontId="4" fillId="8" borderId="0" xfId="3" applyFont="1" applyFill="1" applyBorder="1" applyAlignment="1">
      <alignment horizontal="left" wrapText="1"/>
    </xf>
    <xf numFmtId="0" fontId="4" fillId="8" borderId="0" xfId="3" applyFont="1" applyFill="1" applyBorder="1" applyAlignment="1">
      <alignment wrapText="1"/>
    </xf>
    <xf numFmtId="0" fontId="4" fillId="8" borderId="0" xfId="3" applyFont="1" applyFill="1"/>
    <xf numFmtId="0" fontId="4" fillId="8" borderId="0" xfId="3" applyFont="1" applyFill="1" applyBorder="1"/>
    <xf numFmtId="0" fontId="29" fillId="8" borderId="0" xfId="3" applyFont="1" applyFill="1" applyBorder="1" applyAlignment="1">
      <alignment horizontal="left" vertical="top"/>
    </xf>
    <xf numFmtId="0" fontId="29" fillId="8" borderId="33" xfId="3" applyFont="1" applyFill="1" applyBorder="1" applyAlignment="1">
      <alignment wrapText="1"/>
    </xf>
    <xf numFmtId="0" fontId="4" fillId="8" borderId="33" xfId="3" applyFont="1" applyFill="1" applyBorder="1"/>
    <xf numFmtId="166" fontId="4" fillId="8" borderId="0" xfId="2" applyFont="1" applyFill="1" applyBorder="1" applyAlignment="1">
      <alignment horizontal="right"/>
    </xf>
    <xf numFmtId="0" fontId="29" fillId="8" borderId="32" xfId="3" applyFont="1" applyFill="1" applyBorder="1"/>
    <xf numFmtId="0" fontId="4" fillId="8" borderId="34" xfId="3" applyFont="1" applyFill="1" applyBorder="1"/>
    <xf numFmtId="9" fontId="4" fillId="8" borderId="31" xfId="3" applyNumberFormat="1" applyFont="1" applyFill="1" applyBorder="1"/>
    <xf numFmtId="166" fontId="4" fillId="8" borderId="31" xfId="2" applyFont="1" applyFill="1" applyBorder="1" applyAlignment="1">
      <alignment horizontal="right"/>
    </xf>
    <xf numFmtId="9" fontId="4" fillId="8" borderId="0" xfId="3" applyNumberFormat="1" applyFont="1" applyFill="1" applyBorder="1"/>
    <xf numFmtId="167" fontId="4" fillId="8" borderId="33" xfId="1" applyNumberFormat="1" applyFont="1" applyFill="1" applyBorder="1"/>
    <xf numFmtId="9" fontId="4" fillId="8" borderId="30" xfId="3" applyNumberFormat="1" applyFont="1" applyFill="1" applyBorder="1"/>
    <xf numFmtId="167" fontId="4" fillId="8" borderId="30" xfId="1" applyNumberFormat="1" applyFont="1" applyFill="1" applyBorder="1"/>
    <xf numFmtId="167" fontId="4" fillId="8" borderId="0" xfId="1" applyNumberFormat="1" applyFont="1" applyFill="1" applyBorder="1"/>
    <xf numFmtId="9" fontId="4" fillId="8" borderId="30" xfId="3" applyNumberFormat="1" applyFont="1" applyFill="1" applyBorder="1" applyAlignment="1">
      <alignment horizontal="right"/>
    </xf>
    <xf numFmtId="9" fontId="4" fillId="8" borderId="0" xfId="3" applyNumberFormat="1" applyFont="1" applyFill="1" applyBorder="1" applyAlignment="1">
      <alignment horizontal="right"/>
    </xf>
    <xf numFmtId="167" fontId="4" fillId="8" borderId="0" xfId="3" applyNumberFormat="1" applyFont="1" applyFill="1" applyBorder="1"/>
    <xf numFmtId="0" fontId="4" fillId="8" borderId="30" xfId="3" applyFont="1" applyFill="1" applyBorder="1"/>
    <xf numFmtId="168" fontId="4" fillId="8" borderId="30" xfId="2" applyNumberFormat="1" applyFont="1" applyFill="1" applyBorder="1"/>
    <xf numFmtId="168" fontId="4" fillId="8" borderId="0" xfId="2" applyNumberFormat="1" applyFont="1" applyFill="1" applyBorder="1"/>
    <xf numFmtId="0" fontId="30" fillId="8" borderId="33" xfId="0" applyFont="1" applyFill="1" applyBorder="1" applyAlignment="1">
      <alignment horizontal="left" vertical="top" wrapText="1"/>
    </xf>
    <xf numFmtId="0" fontId="30" fillId="8" borderId="30" xfId="0" applyFont="1" applyFill="1" applyBorder="1" applyAlignment="1">
      <alignment horizontal="left" vertical="top" wrapText="1"/>
    </xf>
    <xf numFmtId="0" fontId="4" fillId="0" borderId="0" xfId="3" applyFont="1" applyBorder="1" applyAlignment="1">
      <alignment horizontal="left" vertical="top" wrapText="1"/>
    </xf>
    <xf numFmtId="0" fontId="4" fillId="0" borderId="0" xfId="3" applyFont="1" applyAlignment="1">
      <alignment horizontal="left" vertical="top" wrapText="1"/>
    </xf>
    <xf numFmtId="166" fontId="4" fillId="8" borderId="30" xfId="2" applyFont="1" applyFill="1" applyBorder="1" applyAlignment="1">
      <alignment horizontal="right"/>
    </xf>
    <xf numFmtId="1" fontId="32" fillId="8" borderId="30" xfId="0" applyNumberFormat="1" applyFont="1" applyFill="1" applyBorder="1" applyAlignment="1">
      <alignment horizontal="center" vertical="top" wrapText="1"/>
    </xf>
    <xf numFmtId="1" fontId="32" fillId="8" borderId="0" xfId="3" applyNumberFormat="1" applyFont="1" applyFill="1" applyAlignment="1">
      <alignment horizontal="center" vertical="top" wrapText="1"/>
    </xf>
    <xf numFmtId="0" fontId="8" fillId="3" borderId="3" xfId="3" applyFont="1" applyFill="1" applyBorder="1"/>
    <xf numFmtId="166" fontId="4" fillId="0" borderId="0" xfId="2" applyFont="1" applyBorder="1" applyAlignment="1">
      <alignment horizontal="right"/>
    </xf>
    <xf numFmtId="166" fontId="32" fillId="0" borderId="0" xfId="2" applyFont="1" applyBorder="1" applyAlignment="1">
      <alignment horizontal="right"/>
    </xf>
    <xf numFmtId="0" fontId="4" fillId="0" borderId="0" xfId="3" applyFont="1" applyBorder="1" applyAlignment="1">
      <alignment wrapText="1"/>
    </xf>
    <xf numFmtId="166" fontId="4" fillId="7" borderId="0" xfId="2" applyFont="1" applyFill="1" applyBorder="1" applyAlignment="1" applyProtection="1">
      <alignment vertical="center" wrapText="1"/>
    </xf>
    <xf numFmtId="166" fontId="29" fillId="7" borderId="0" xfId="2" applyFont="1" applyFill="1" applyBorder="1" applyAlignment="1" applyProtection="1">
      <alignment vertical="center" wrapText="1"/>
    </xf>
    <xf numFmtId="166" fontId="29" fillId="0" borderId="0" xfId="2" applyFont="1" applyBorder="1" applyAlignment="1">
      <alignment horizontal="right"/>
    </xf>
    <xf numFmtId="166" fontId="34" fillId="0" borderId="0" xfId="2" applyFont="1" applyBorder="1" applyAlignment="1">
      <alignment horizontal="right"/>
    </xf>
    <xf numFmtId="166" fontId="33" fillId="0" borderId="0" xfId="2" applyFont="1" applyFill="1" applyBorder="1" applyAlignment="1">
      <alignment horizontal="right"/>
    </xf>
    <xf numFmtId="166" fontId="32" fillId="0" borderId="0" xfId="2" applyFont="1" applyFill="1" applyBorder="1" applyAlignment="1">
      <alignment horizontal="right"/>
    </xf>
    <xf numFmtId="166" fontId="4" fillId="0" borderId="29" xfId="2" applyFont="1" applyBorder="1" applyAlignment="1">
      <alignment horizontal="right"/>
    </xf>
    <xf numFmtId="0" fontId="25" fillId="0" borderId="0" xfId="3" applyFont="1" applyFill="1" applyBorder="1" applyAlignment="1">
      <alignment horizontal="center" vertical="top" wrapText="1"/>
    </xf>
    <xf numFmtId="1" fontId="23" fillId="8" borderId="3" xfId="2" applyNumberFormat="1" applyFont="1" applyFill="1" applyBorder="1" applyAlignment="1" applyProtection="1">
      <alignment horizontal="left" vertical="top" wrapText="1"/>
      <protection locked="0"/>
    </xf>
    <xf numFmtId="1" fontId="23" fillId="8" borderId="0" xfId="2" applyNumberFormat="1" applyFont="1" applyFill="1" applyBorder="1" applyAlignment="1" applyProtection="1">
      <alignment horizontal="left" vertical="top" wrapText="1"/>
      <protection locked="0"/>
    </xf>
    <xf numFmtId="0" fontId="4" fillId="8" borderId="3" xfId="3" applyFont="1" applyFill="1" applyBorder="1" applyAlignment="1">
      <alignment wrapText="1"/>
    </xf>
    <xf numFmtId="0" fontId="29" fillId="8" borderId="3" xfId="3" applyFont="1" applyFill="1" applyBorder="1"/>
    <xf numFmtId="0" fontId="4" fillId="8" borderId="3" xfId="3" applyFont="1" applyFill="1" applyBorder="1"/>
    <xf numFmtId="0" fontId="4" fillId="8" borderId="3" xfId="3" quotePrefix="1" applyFont="1" applyFill="1" applyBorder="1"/>
    <xf numFmtId="0" fontId="29" fillId="8" borderId="3" xfId="3" quotePrefix="1" applyFont="1" applyFill="1" applyBorder="1"/>
    <xf numFmtId="0" fontId="4" fillId="8" borderId="35" xfId="3" applyFont="1" applyFill="1" applyBorder="1"/>
    <xf numFmtId="0" fontId="29" fillId="8" borderId="0" xfId="3" applyFont="1" applyFill="1" applyBorder="1"/>
    <xf numFmtId="0" fontId="4" fillId="8" borderId="0" xfId="3" quotePrefix="1" applyFont="1" applyFill="1" applyBorder="1"/>
    <xf numFmtId="0" fontId="29" fillId="8" borderId="0" xfId="3" quotePrefix="1" applyFont="1" applyFill="1" applyBorder="1"/>
    <xf numFmtId="0" fontId="4" fillId="8" borderId="29" xfId="3" applyFont="1" applyFill="1" applyBorder="1"/>
    <xf numFmtId="166" fontId="29" fillId="8" borderId="0" xfId="2" applyFont="1" applyFill="1" applyBorder="1" applyAlignment="1">
      <alignment horizontal="right"/>
    </xf>
    <xf numFmtId="166" fontId="34" fillId="8" borderId="0" xfId="2" applyFont="1" applyFill="1" applyBorder="1" applyAlignment="1">
      <alignment horizontal="right"/>
    </xf>
    <xf numFmtId="166" fontId="33" fillId="8" borderId="0" xfId="2" applyFont="1" applyFill="1" applyBorder="1" applyAlignment="1">
      <alignment horizontal="right"/>
    </xf>
    <xf numFmtId="166" fontId="32" fillId="8" borderId="0" xfId="2" applyFont="1" applyFill="1" applyBorder="1" applyAlignment="1">
      <alignment horizontal="right"/>
    </xf>
    <xf numFmtId="166" fontId="4" fillId="8" borderId="29" xfId="2" applyFont="1" applyFill="1" applyBorder="1" applyAlignment="1">
      <alignment horizontal="right"/>
    </xf>
    <xf numFmtId="0" fontId="35" fillId="0" borderId="0" xfId="3" applyFont="1" applyFill="1" applyBorder="1"/>
    <xf numFmtId="0" fontId="35" fillId="0" borderId="0" xfId="3" applyFont="1" applyFill="1"/>
    <xf numFmtId="166" fontId="35" fillId="0" borderId="0" xfId="2" applyFont="1" applyFill="1" applyAlignment="1">
      <alignment horizontal="right"/>
    </xf>
    <xf numFmtId="166" fontId="29" fillId="8" borderId="0" xfId="2" applyFont="1" applyFill="1" applyBorder="1" applyAlignment="1" applyProtection="1">
      <alignment vertical="center" wrapText="1"/>
      <protection locked="0"/>
    </xf>
    <xf numFmtId="166" fontId="29" fillId="8" borderId="0" xfId="2" applyFont="1" applyFill="1" applyBorder="1" applyAlignment="1" applyProtection="1">
      <alignment vertical="center" wrapText="1"/>
    </xf>
    <xf numFmtId="0" fontId="8" fillId="3" borderId="3" xfId="3" applyFont="1" applyFill="1" applyBorder="1" applyAlignment="1">
      <alignment horizontal="left"/>
    </xf>
    <xf numFmtId="164" fontId="5" fillId="0" borderId="0" xfId="3" applyNumberFormat="1" applyFont="1"/>
    <xf numFmtId="166" fontId="29" fillId="9" borderId="0" xfId="2" applyFont="1" applyFill="1" applyBorder="1" applyAlignment="1" applyProtection="1">
      <alignment vertical="center" wrapText="1"/>
      <protection locked="0"/>
    </xf>
    <xf numFmtId="0" fontId="29" fillId="9" borderId="0" xfId="3" applyFont="1" applyFill="1" applyBorder="1" applyAlignment="1">
      <alignment wrapText="1"/>
    </xf>
    <xf numFmtId="1" fontId="33" fillId="9" borderId="0" xfId="2" applyNumberFormat="1" applyFont="1" applyFill="1" applyBorder="1" applyAlignment="1" applyProtection="1">
      <alignment horizontal="center" vertical="center" wrapText="1"/>
      <protection locked="0"/>
    </xf>
    <xf numFmtId="0" fontId="36" fillId="8" borderId="33" xfId="0" applyFont="1" applyFill="1" applyBorder="1" applyAlignment="1">
      <alignment horizontal="justify" vertical="center"/>
    </xf>
    <xf numFmtId="166" fontId="4" fillId="10" borderId="30" xfId="2" applyFont="1" applyFill="1" applyBorder="1" applyAlignment="1">
      <alignment horizontal="right"/>
    </xf>
    <xf numFmtId="166" fontId="29" fillId="0" borderId="0" xfId="2" applyFont="1" applyFill="1" applyBorder="1" applyAlignment="1" applyProtection="1">
      <alignment vertical="center" wrapText="1"/>
      <protection locked="0"/>
    </xf>
    <xf numFmtId="9" fontId="4" fillId="0" borderId="0" xfId="9" applyFont="1" applyFill="1" applyBorder="1" applyAlignment="1" applyProtection="1">
      <alignment vertical="center" wrapText="1"/>
    </xf>
    <xf numFmtId="0" fontId="8" fillId="6" borderId="5" xfId="3" applyFont="1" applyFill="1" applyBorder="1" applyAlignment="1">
      <alignment horizontal="center"/>
    </xf>
    <xf numFmtId="0" fontId="18" fillId="6" borderId="25" xfId="3" applyFont="1" applyFill="1" applyBorder="1" applyAlignment="1">
      <alignment horizontal="center"/>
    </xf>
    <xf numFmtId="0" fontId="4" fillId="0" borderId="22" xfId="3" applyFont="1" applyBorder="1" applyAlignment="1">
      <alignment horizontal="left" wrapText="1"/>
    </xf>
    <xf numFmtId="0" fontId="8" fillId="5" borderId="5" xfId="3" applyFont="1" applyFill="1" applyBorder="1" applyAlignment="1">
      <alignment horizontal="center"/>
    </xf>
    <xf numFmtId="0" fontId="18" fillId="5" borderId="25" xfId="3" applyFont="1" applyFill="1" applyBorder="1" applyAlignment="1">
      <alignment horizontal="center"/>
    </xf>
    <xf numFmtId="0" fontId="25" fillId="8" borderId="4" xfId="3" applyFont="1" applyFill="1" applyBorder="1" applyAlignment="1">
      <alignment horizontal="center" vertical="top" wrapText="1"/>
    </xf>
    <xf numFmtId="0" fontId="25" fillId="8" borderId="27" xfId="3" applyFont="1" applyFill="1" applyBorder="1" applyAlignment="1">
      <alignment horizontal="center" vertical="top" wrapText="1"/>
    </xf>
    <xf numFmtId="0" fontId="25" fillId="8" borderId="28" xfId="3" applyFont="1" applyFill="1" applyBorder="1" applyAlignment="1">
      <alignment horizontal="center" vertical="top" wrapText="1"/>
    </xf>
    <xf numFmtId="0" fontId="27" fillId="0" borderId="23" xfId="3" applyFont="1" applyBorder="1" applyAlignment="1">
      <alignment horizontal="center" vertical="top"/>
    </xf>
    <xf numFmtId="0" fontId="27" fillId="0" borderId="22" xfId="3" applyFont="1" applyBorder="1" applyAlignment="1">
      <alignment horizontal="center" vertical="top"/>
    </xf>
    <xf numFmtId="0" fontId="27" fillId="0" borderId="24" xfId="3" applyFont="1" applyBorder="1" applyAlignment="1">
      <alignment horizontal="center" vertical="top"/>
    </xf>
    <xf numFmtId="0" fontId="26" fillId="3" borderId="3" xfId="3" applyFont="1" applyFill="1" applyBorder="1" applyAlignment="1">
      <alignment horizontal="center"/>
    </xf>
    <xf numFmtId="0" fontId="26" fillId="3" borderId="0" xfId="3" applyFont="1" applyFill="1" applyBorder="1" applyAlignment="1">
      <alignment horizontal="center"/>
    </xf>
    <xf numFmtId="0" fontId="26" fillId="3" borderId="26" xfId="3" applyFont="1" applyFill="1" applyBorder="1" applyAlignment="1">
      <alignment horizontal="center"/>
    </xf>
    <xf numFmtId="0" fontId="8" fillId="3" borderId="5" xfId="3" applyFont="1" applyFill="1" applyBorder="1" applyAlignment="1">
      <alignment horizontal="center"/>
    </xf>
    <xf numFmtId="0" fontId="18" fillId="3" borderId="25" xfId="3" applyFont="1" applyFill="1" applyBorder="1" applyAlignment="1">
      <alignment horizontal="center"/>
    </xf>
    <xf numFmtId="0" fontId="35" fillId="0" borderId="0" xfId="3" applyFont="1" applyFill="1" applyBorder="1" applyAlignment="1">
      <alignment wrapText="1"/>
    </xf>
    <xf numFmtId="0" fontId="35" fillId="0" borderId="3" xfId="3" applyFont="1" applyFill="1" applyBorder="1" applyAlignment="1"/>
    <xf numFmtId="0" fontId="35" fillId="0" borderId="0" xfId="3" applyFont="1" applyFill="1" applyBorder="1" applyAlignment="1"/>
    <xf numFmtId="0" fontId="35" fillId="0" borderId="26" xfId="3" applyFont="1" applyFill="1" applyBorder="1" applyAlignment="1"/>
    <xf numFmtId="0" fontId="26" fillId="0" borderId="0" xfId="3" applyFont="1" applyFill="1" applyBorder="1" applyAlignment="1"/>
    <xf numFmtId="166" fontId="24" fillId="0" borderId="0" xfId="2" applyFont="1" applyFill="1" applyBorder="1" applyAlignment="1">
      <alignment horizontal="center"/>
    </xf>
    <xf numFmtId="166" fontId="8" fillId="0" borderId="0" xfId="2" applyFont="1" applyFill="1" applyBorder="1" applyAlignment="1">
      <alignment horizontal="left" vertical="top"/>
    </xf>
    <xf numFmtId="166" fontId="4" fillId="0" borderId="0" xfId="2" applyFont="1" applyFill="1" applyBorder="1" applyAlignment="1">
      <alignment horizontal="right"/>
    </xf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24" fillId="0" borderId="0" xfId="3" applyFont="1" applyFill="1" applyBorder="1" applyAlignment="1">
      <alignment horizontal="left"/>
    </xf>
    <xf numFmtId="1" fontId="23" fillId="0" borderId="0" xfId="2" applyNumberFormat="1" applyFont="1" applyFill="1" applyBorder="1" applyAlignment="1" applyProtection="1">
      <alignment horizontal="left" vertical="top" wrapText="1"/>
      <protection locked="0"/>
    </xf>
    <xf numFmtId="0" fontId="5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 wrapText="1"/>
    </xf>
    <xf numFmtId="166" fontId="24" fillId="0" borderId="0" xfId="2" applyFont="1" applyFill="1" applyBorder="1" applyAlignment="1">
      <alignment horizontal="left"/>
    </xf>
    <xf numFmtId="10" fontId="4" fillId="0" borderId="0" xfId="9" applyNumberFormat="1" applyFont="1" applyFill="1" applyBorder="1"/>
    <xf numFmtId="166" fontId="4" fillId="0" borderId="0" xfId="3" applyNumberFormat="1" applyFont="1" applyFill="1" applyBorder="1"/>
    <xf numFmtId="0" fontId="4" fillId="0" borderId="0" xfId="3" applyFont="1" applyFill="1" applyBorder="1"/>
    <xf numFmtId="166" fontId="34" fillId="0" borderId="0" xfId="2" applyFont="1" applyFill="1" applyBorder="1" applyAlignment="1">
      <alignment horizontal="right"/>
    </xf>
    <xf numFmtId="166" fontId="35" fillId="0" borderId="0" xfId="2" applyFont="1" applyFill="1" applyBorder="1" applyAlignment="1">
      <alignment horizontal="right"/>
    </xf>
    <xf numFmtId="0" fontId="27" fillId="0" borderId="0" xfId="3" applyFont="1" applyFill="1" applyBorder="1" applyAlignment="1">
      <alignment vertical="top"/>
    </xf>
    <xf numFmtId="0" fontId="23" fillId="0" borderId="0" xfId="3" applyFont="1" applyFill="1" applyBorder="1"/>
    <xf numFmtId="0" fontId="4" fillId="0" borderId="0" xfId="3" applyFont="1" applyFill="1" applyBorder="1" applyAlignment="1">
      <alignment wrapText="1"/>
    </xf>
    <xf numFmtId="0" fontId="8" fillId="0" borderId="0" xfId="3" applyFont="1" applyFill="1" applyBorder="1"/>
    <xf numFmtId="164" fontId="4" fillId="0" borderId="0" xfId="3" applyNumberFormat="1" applyFont="1" applyFill="1" applyBorder="1" applyAlignment="1">
      <alignment wrapText="1"/>
    </xf>
    <xf numFmtId="164" fontId="4" fillId="0" borderId="0" xfId="3" applyNumberFormat="1" applyFont="1" applyFill="1" applyBorder="1"/>
    <xf numFmtId="166" fontId="24" fillId="0" borderId="0" xfId="2" applyFont="1" applyFill="1" applyBorder="1" applyAlignment="1">
      <alignment horizontal="right"/>
    </xf>
    <xf numFmtId="166" fontId="24" fillId="0" borderId="0" xfId="2" applyFont="1" applyFill="1" applyBorder="1" applyAlignment="1"/>
    <xf numFmtId="0" fontId="25" fillId="0" borderId="0" xfId="3" applyFont="1" applyFill="1" applyBorder="1" applyAlignment="1">
      <alignment vertical="top" wrapText="1"/>
    </xf>
    <xf numFmtId="0" fontId="35" fillId="0" borderId="3" xfId="3" applyFont="1" applyFill="1" applyBorder="1" applyAlignment="1">
      <alignment horizontal="center" wrapText="1"/>
    </xf>
    <xf numFmtId="0" fontId="35" fillId="0" borderId="0" xfId="3" applyFont="1" applyFill="1" applyBorder="1" applyAlignment="1">
      <alignment horizontal="center" wrapText="1"/>
    </xf>
    <xf numFmtId="0" fontId="35" fillId="0" borderId="26" xfId="3" applyFont="1" applyFill="1" applyBorder="1" applyAlignment="1">
      <alignment horizontal="center" wrapText="1"/>
    </xf>
    <xf numFmtId="166" fontId="24" fillId="3" borderId="26" xfId="2" applyFont="1" applyFill="1" applyBorder="1" applyAlignment="1">
      <alignment horizontal="center"/>
    </xf>
    <xf numFmtId="166" fontId="4" fillId="8" borderId="26" xfId="2" applyFont="1" applyFill="1" applyBorder="1" applyAlignment="1">
      <alignment horizontal="right"/>
    </xf>
    <xf numFmtId="0" fontId="4" fillId="8" borderId="26" xfId="3" applyFont="1" applyFill="1" applyBorder="1" applyAlignment="1"/>
    <xf numFmtId="0" fontId="24" fillId="3" borderId="26" xfId="3" applyFont="1" applyFill="1" applyBorder="1"/>
    <xf numFmtId="1" fontId="23" fillId="8" borderId="26" xfId="2" applyNumberFormat="1" applyFont="1" applyFill="1" applyBorder="1" applyAlignment="1" applyProtection="1">
      <alignment horizontal="left" vertical="top" wrapText="1"/>
      <protection locked="0"/>
    </xf>
    <xf numFmtId="166" fontId="4" fillId="7" borderId="26" xfId="2" applyFont="1" applyFill="1" applyBorder="1" applyAlignment="1" applyProtection="1">
      <alignment vertical="center" wrapText="1"/>
    </xf>
    <xf numFmtId="10" fontId="4" fillId="8" borderId="26" xfId="9" applyNumberFormat="1" applyFont="1" applyFill="1" applyBorder="1"/>
    <xf numFmtId="166" fontId="4" fillId="8" borderId="26" xfId="3" applyNumberFormat="1" applyFont="1" applyFill="1" applyBorder="1"/>
    <xf numFmtId="0" fontId="4" fillId="8" borderId="26" xfId="3" applyFont="1" applyFill="1" applyBorder="1"/>
    <xf numFmtId="166" fontId="34" fillId="8" borderId="26" xfId="2" applyFont="1" applyFill="1" applyBorder="1" applyAlignment="1">
      <alignment horizontal="right"/>
    </xf>
    <xf numFmtId="10" fontId="4" fillId="8" borderId="36" xfId="9" applyNumberFormat="1" applyFont="1" applyFill="1" applyBorder="1"/>
    <xf numFmtId="166" fontId="24" fillId="3" borderId="26" xfId="2" applyFont="1" applyFill="1" applyBorder="1" applyAlignment="1">
      <alignment horizontal="right"/>
    </xf>
  </cellXfs>
  <cellStyles count="10">
    <cellStyle name="Comma" xfId="1" builtinId="3"/>
    <cellStyle name="Currency" xfId="2" builtinId="4"/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10" xfId="3" xr:uid="{00000000-0005-0000-0000-000007000000}"/>
    <cellStyle name="Normal 2 4" xfId="4" xr:uid="{00000000-0005-0000-0000-000008000000}"/>
    <cellStyle name="Percent" xfId="9" builtinId="5"/>
  </cellStyles>
  <dxfs count="0"/>
  <tableStyles count="0" defaultTableStyle="TableStyleMedium9" defaultPivotStyle="PivotStyleMedium7"/>
  <colors>
    <mruColors>
      <color rgb="FF171B2C"/>
      <color rgb="FF1C2134"/>
      <color rgb="FF020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</xdr:row>
      <xdr:rowOff>45860</xdr:rowOff>
    </xdr:from>
    <xdr:to>
      <xdr:col>2</xdr:col>
      <xdr:colOff>1252362</xdr:colOff>
      <xdr:row>1</xdr:row>
      <xdr:rowOff>479427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48687F-4F6D-4DB1-9199-F489DCF1E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25" y="236360"/>
          <a:ext cx="744362" cy="433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</xdr:row>
      <xdr:rowOff>45860</xdr:rowOff>
    </xdr:from>
    <xdr:to>
      <xdr:col>2</xdr:col>
      <xdr:colOff>1252362</xdr:colOff>
      <xdr:row>1</xdr:row>
      <xdr:rowOff>479427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C9A4DC-4325-4E75-AB5B-AE0C9D316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25" y="236360"/>
          <a:ext cx="744362" cy="4335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295796</xdr:colOff>
      <xdr:row>2</xdr:row>
      <xdr:rowOff>67556</xdr:rowOff>
    </xdr:from>
    <xdr:to>
      <xdr:col>1</xdr:col>
      <xdr:colOff>1031798</xdr:colOff>
      <xdr:row>2</xdr:row>
      <xdr:rowOff>501123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021" y="458081"/>
          <a:ext cx="736002" cy="433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367238</xdr:colOff>
      <xdr:row>0</xdr:row>
      <xdr:rowOff>31750</xdr:rowOff>
    </xdr:from>
    <xdr:to>
      <xdr:col>13</xdr:col>
      <xdr:colOff>451550</xdr:colOff>
      <xdr:row>20</xdr:row>
      <xdr:rowOff>79027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4D334-38E2-4AEA-A5D2-0FD320051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7838" y="31750"/>
          <a:ext cx="4199112" cy="4047777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7</xdr:col>
      <xdr:colOff>314325</xdr:colOff>
      <xdr:row>8</xdr:row>
      <xdr:rowOff>147017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7C49E-6998-4528-91A6-5F734F9F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100"/>
          <a:ext cx="5076825" cy="170911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</xdr:row>
      <xdr:rowOff>45860</xdr:rowOff>
    </xdr:from>
    <xdr:to>
      <xdr:col>2</xdr:col>
      <xdr:colOff>1246647</xdr:colOff>
      <xdr:row>1</xdr:row>
      <xdr:rowOff>475617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2AE3FC-51CA-4E7E-B3EE-0EA07F965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6220" y="228740"/>
          <a:ext cx="738647" cy="429757"/>
        </a:xfrm>
        <a:prstGeom prst="rect">
          <a:avLst/>
        </a:prstGeom>
      </xdr:spPr>
    </xdr:pic>
    <xdr:clientData/>
  </xdr:twoCellAnchor>
  <xdr:twoCellAnchor editAs="oneCell">
    <xdr:from>
      <xdr:col>1</xdr:col>
      <xdr:colOff>423331</xdr:colOff>
      <xdr:row>34</xdr:row>
      <xdr:rowOff>31749</xdr:rowOff>
    </xdr:from>
    <xdr:to>
      <xdr:col>3</xdr:col>
      <xdr:colOff>984250</xdr:colOff>
      <xdr:row>68</xdr:row>
      <xdr:rowOff>166852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B8A69-AF67-4E7F-A26F-CD04948B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651" y="8764269"/>
          <a:ext cx="6359739" cy="605584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264584</xdr:colOff>
      <xdr:row>19</xdr:row>
      <xdr:rowOff>21166</xdr:rowOff>
    </xdr:from>
    <xdr:to>
      <xdr:col>4</xdr:col>
      <xdr:colOff>571501</xdr:colOff>
      <xdr:row>33</xdr:row>
      <xdr:rowOff>95519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8FEBD5-ECA6-4C17-ACF0-5BBD1631F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584" y="6140026"/>
          <a:ext cx="7683077" cy="252037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6"/>
  <sheetViews>
    <sheetView showGridLines="0" zoomScale="90" zoomScaleNormal="90" zoomScalePageLayoutView="90" workbookViewId="0">
      <selection activeCell="E31" sqref="E31"/>
    </sheetView>
  </sheetViews>
  <sheetFormatPr defaultColWidth="8.8984375" defaultRowHeight="13.8" x14ac:dyDescent="0.25"/>
  <cols>
    <col min="1" max="1" width="3.59765625" style="1" customWidth="1"/>
    <col min="2" max="2" width="59.5" style="7" customWidth="1"/>
    <col min="3" max="3" width="16.59765625" style="9" bestFit="1" customWidth="1"/>
    <col min="4" max="4" width="17.09765625" style="9" customWidth="1"/>
    <col min="5" max="5" width="15.3984375" style="1" bestFit="1" customWidth="1"/>
    <col min="6" max="6" width="8.8984375" style="1"/>
    <col min="7" max="7" width="11.59765625" style="1" customWidth="1"/>
    <col min="8" max="8" width="14.59765625" style="1" bestFit="1" customWidth="1"/>
    <col min="9" max="9" width="10.8984375" style="1" bestFit="1" customWidth="1"/>
    <col min="10" max="10" width="12.59765625" style="1" customWidth="1"/>
    <col min="11" max="13" width="8.8984375" style="1"/>
    <col min="14" max="14" width="14.59765625" style="1" bestFit="1" customWidth="1"/>
    <col min="15" max="16384" width="8.8984375" style="1"/>
  </cols>
  <sheetData>
    <row r="1" spans="2:12" ht="14.4" thickBot="1" x14ac:dyDescent="0.3"/>
    <row r="2" spans="2:12" ht="80.25" customHeight="1" thickBot="1" x14ac:dyDescent="0.35">
      <c r="B2" s="55" t="s">
        <v>33</v>
      </c>
      <c r="C2" s="47"/>
      <c r="D2" s="1"/>
      <c r="F2" s="21"/>
      <c r="G2"/>
    </row>
    <row r="3" spans="2:12" ht="18" thickBot="1" x14ac:dyDescent="0.35">
      <c r="B3" s="152" t="s">
        <v>31</v>
      </c>
      <c r="C3" s="153"/>
      <c r="D3" s="1"/>
      <c r="G3" s="1" t="s">
        <v>36</v>
      </c>
    </row>
    <row r="4" spans="2:12" s="8" customFormat="1" ht="17.399999999999999" x14ac:dyDescent="0.3">
      <c r="B4" s="56" t="s">
        <v>3</v>
      </c>
      <c r="C4" s="57" t="s">
        <v>0</v>
      </c>
      <c r="G4" s="62" t="s">
        <v>39</v>
      </c>
      <c r="H4" s="63">
        <f>C17</f>
        <v>918</v>
      </c>
      <c r="I4" s="62" t="s">
        <v>37</v>
      </c>
      <c r="J4" s="62"/>
    </row>
    <row r="5" spans="2:12" ht="17.399999999999999" x14ac:dyDescent="0.3">
      <c r="B5" s="26" t="s">
        <v>4</v>
      </c>
      <c r="C5" s="31">
        <f>7200*12</f>
        <v>86400</v>
      </c>
      <c r="D5" s="1"/>
      <c r="G5" s="62" t="s">
        <v>38</v>
      </c>
      <c r="H5" s="64">
        <f>C5</f>
        <v>86400</v>
      </c>
      <c r="I5" s="62" t="s">
        <v>35</v>
      </c>
      <c r="J5" s="64">
        <f>C6</f>
        <v>1332</v>
      </c>
      <c r="K5" s="1" t="s">
        <v>40</v>
      </c>
    </row>
    <row r="6" spans="2:12" ht="18" thickBot="1" x14ac:dyDescent="0.35">
      <c r="B6" s="27" t="s">
        <v>11</v>
      </c>
      <c r="C6" s="28">
        <f>IF(C5&gt;600000,"Do not qualify for SmartFunder",MAX(0,IF($C$5&gt;$B$26,$D$26+($C$5-$B$26)*$C$26-$C$31,IF($C$5&gt;$B$25,$D$25+($C$5-$B$25)*$C$25-$C$31,IF($C$5&gt;$B$24,$D$24+($C$5-$B$24)*$C$24-$C$31,IF($C$5&gt;$B$23,$D$23+($C$5-$B$23)*$C$23-$C$31,IF($C$5&gt;$B$22,$D$22+($C$5-$B$22)*$C$22-$C$31,"")))))))</f>
        <v>1332</v>
      </c>
      <c r="D6" s="1"/>
      <c r="G6" s="62" t="s">
        <v>41</v>
      </c>
      <c r="H6" s="64">
        <f>C14</f>
        <v>46400</v>
      </c>
      <c r="I6" s="62" t="s">
        <v>42</v>
      </c>
      <c r="J6" s="64">
        <f>C15</f>
        <v>0</v>
      </c>
    </row>
    <row r="7" spans="2:12" s="8" customFormat="1" ht="18" thickBot="1" x14ac:dyDescent="0.35">
      <c r="B7" s="58" t="s">
        <v>5</v>
      </c>
      <c r="C7" s="59"/>
      <c r="G7" s="62" t="s">
        <v>43</v>
      </c>
      <c r="H7" s="64">
        <f>C16</f>
        <v>414</v>
      </c>
      <c r="I7" s="62" t="s">
        <v>44</v>
      </c>
      <c r="J7" s="62"/>
      <c r="K7" s="1"/>
      <c r="L7" s="1"/>
    </row>
    <row r="8" spans="2:12" s="8" customFormat="1" ht="17.399999999999999" x14ac:dyDescent="0.3">
      <c r="B8" s="29" t="s">
        <v>15</v>
      </c>
      <c r="C8" s="30">
        <v>2</v>
      </c>
      <c r="G8" s="62" t="s">
        <v>45</v>
      </c>
      <c r="H8" s="63">
        <f>H4</f>
        <v>918</v>
      </c>
      <c r="I8" s="62" t="s">
        <v>46</v>
      </c>
      <c r="J8" s="1"/>
      <c r="K8" s="1"/>
      <c r="L8" s="1"/>
    </row>
    <row r="9" spans="2:12" s="6" customFormat="1" ht="52.2" x14ac:dyDescent="0.3">
      <c r="B9" s="29" t="s">
        <v>9</v>
      </c>
      <c r="C9" s="31">
        <v>40000</v>
      </c>
      <c r="J9" s="1"/>
      <c r="K9" s="1"/>
      <c r="L9" s="1"/>
    </row>
    <row r="10" spans="2:12" ht="52.2" x14ac:dyDescent="0.3">
      <c r="B10" s="32" t="s">
        <v>10</v>
      </c>
      <c r="C10" s="33"/>
      <c r="D10" s="1"/>
    </row>
    <row r="11" spans="2:12" s="8" customFormat="1" ht="17.399999999999999" x14ac:dyDescent="0.3">
      <c r="B11" s="60" t="s">
        <v>6</v>
      </c>
      <c r="C11" s="61" t="s">
        <v>0</v>
      </c>
      <c r="J11" s="1"/>
      <c r="K11" s="1"/>
      <c r="L11" s="1"/>
    </row>
    <row r="12" spans="2:12" ht="17.399999999999999" x14ac:dyDescent="0.3">
      <c r="B12" s="26" t="str">
        <f>B5</f>
        <v>Current taxable income</v>
      </c>
      <c r="C12" s="36">
        <f>C5</f>
        <v>86400</v>
      </c>
      <c r="D12" s="11"/>
    </row>
    <row r="13" spans="2:12" ht="18" thickBot="1" x14ac:dyDescent="0.35">
      <c r="B13" s="37" t="s">
        <v>7</v>
      </c>
      <c r="C13" s="38">
        <f>-SUM(C9:C10)</f>
        <v>-40000</v>
      </c>
      <c r="D13" s="1"/>
    </row>
    <row r="14" spans="2:12" ht="17.399999999999999" x14ac:dyDescent="0.3">
      <c r="B14" s="39" t="s">
        <v>8</v>
      </c>
      <c r="C14" s="36">
        <f>SUM(C12:C13)</f>
        <v>46400</v>
      </c>
      <c r="D14" s="1"/>
    </row>
    <row r="15" spans="2:12" ht="18" thickBot="1" x14ac:dyDescent="0.35">
      <c r="B15" s="40" t="s">
        <v>12</v>
      </c>
      <c r="C15" s="38">
        <f>IF(C14&gt;600000,"Do not qualify for SmartFunder",MAX(0,IF($C$14&gt;$B$26,$D$26+($C$14-$B$26)*$C$26-$C$31,IF($C$14&gt;$B$25,$D$25+($C$14-$B$25)*$C$25-$C$31,IF($C$14&gt;$B$24,$D$24+($C$14-$B$24)*$C$24-$C$31,IF($C$14&gt;$B$23,$D$23+($C$14-$B$23)*$C$23-$C$31,IF($C$14&gt;$B$22,$D$22+($C$14-$B$22)*$C$22-$C$31,"")))))))</f>
        <v>0</v>
      </c>
      <c r="D15" s="11"/>
    </row>
    <row r="16" spans="2:12" ht="17.399999999999999" x14ac:dyDescent="0.3">
      <c r="B16" s="41" t="s">
        <v>29</v>
      </c>
      <c r="C16" s="42">
        <f>IF(C5&gt;600000,"Do not qualify for SmartFunder",MAX(0,IF($C$5&gt;$C$46,E46,IF($C$5&gt;$C$45,E45,IF($C$5&gt;$C$44,E44,IF($C$5&gt;$C$43,E43,IF($C$5&gt;$C$42,E42,IF(C5&gt;C41,E41,IF(C5&gt;C40,E40,IF(C5&gt;C39,E39,IF(C5&gt;C38,E38,IF(C5&gt;C37,E37,IF(C5&gt;C36,E36,"")))))))))))))*C8</f>
        <v>414</v>
      </c>
      <c r="D16" s="11"/>
    </row>
    <row r="17" spans="2:10" ht="18" thickBot="1" x14ac:dyDescent="0.35">
      <c r="B17" s="43" t="s">
        <v>13</v>
      </c>
      <c r="C17" s="44">
        <f>C6-C15-C16</f>
        <v>918</v>
      </c>
      <c r="D17" s="4"/>
    </row>
    <row r="18" spans="2:10" ht="47.1" customHeight="1" x14ac:dyDescent="0.25">
      <c r="B18" s="154" t="s">
        <v>14</v>
      </c>
      <c r="C18" s="154"/>
      <c r="D18" s="45"/>
    </row>
    <row r="19" spans="2:10" ht="14.1" customHeight="1" x14ac:dyDescent="0.25">
      <c r="B19" s="45"/>
      <c r="C19" s="45"/>
      <c r="D19" s="45"/>
    </row>
    <row r="21" spans="2:10" ht="13.2" x14ac:dyDescent="0.25">
      <c r="B21" s="1" t="s">
        <v>2</v>
      </c>
      <c r="C21" s="1"/>
      <c r="D21" s="1"/>
    </row>
    <row r="22" spans="2:10" ht="13.2" x14ac:dyDescent="0.25">
      <c r="B22" s="1">
        <v>0</v>
      </c>
      <c r="C22" s="2">
        <v>0.18</v>
      </c>
      <c r="D22" s="1"/>
    </row>
    <row r="23" spans="2:10" ht="13.2" x14ac:dyDescent="0.25">
      <c r="B23" s="3">
        <v>195850</v>
      </c>
      <c r="C23" s="2">
        <v>0.26</v>
      </c>
      <c r="D23" s="3">
        <v>35253</v>
      </c>
    </row>
    <row r="24" spans="2:10" ht="13.2" x14ac:dyDescent="0.25">
      <c r="B24" s="3">
        <v>305850</v>
      </c>
      <c r="C24" s="2">
        <v>0.31</v>
      </c>
      <c r="D24" s="3">
        <v>63853</v>
      </c>
    </row>
    <row r="25" spans="2:10" x14ac:dyDescent="0.25">
      <c r="B25" s="3">
        <v>423300</v>
      </c>
      <c r="C25" s="2">
        <v>0.36</v>
      </c>
      <c r="D25" s="3">
        <v>100263</v>
      </c>
      <c r="H25" s="7"/>
      <c r="I25" s="3"/>
      <c r="J25" s="3"/>
    </row>
    <row r="26" spans="2:10" ht="13.2" x14ac:dyDescent="0.25">
      <c r="B26" s="3">
        <v>555600</v>
      </c>
      <c r="C26" s="2">
        <v>0.39</v>
      </c>
      <c r="D26" s="3">
        <v>147891</v>
      </c>
    </row>
    <row r="27" spans="2:10" ht="13.2" x14ac:dyDescent="0.25">
      <c r="B27" s="3">
        <v>708310</v>
      </c>
      <c r="C27" s="5">
        <v>0.41</v>
      </c>
      <c r="D27" s="3">
        <v>207448</v>
      </c>
    </row>
    <row r="28" spans="2:10" ht="13.2" x14ac:dyDescent="0.25">
      <c r="B28" s="3">
        <v>1500000</v>
      </c>
      <c r="C28" s="5">
        <v>0.45</v>
      </c>
      <c r="D28" s="3">
        <v>532041</v>
      </c>
    </row>
    <row r="29" spans="2:10" ht="13.2" x14ac:dyDescent="0.25">
      <c r="B29" s="1"/>
      <c r="C29" s="1"/>
      <c r="D29" s="1"/>
    </row>
    <row r="30" spans="2:10" ht="13.2" x14ac:dyDescent="0.25">
      <c r="B30" s="1"/>
      <c r="C30" s="1"/>
      <c r="D30" s="1"/>
    </row>
    <row r="31" spans="2:10" ht="15" x14ac:dyDescent="0.25">
      <c r="B31" s="1" t="s">
        <v>1</v>
      </c>
      <c r="C31" s="10">
        <v>14220</v>
      </c>
      <c r="D31" s="1"/>
    </row>
    <row r="34" spans="2:7" ht="14.4" thickBot="1" x14ac:dyDescent="0.3"/>
    <row r="35" spans="2:7" ht="42" thickBot="1" x14ac:dyDescent="0.3">
      <c r="B35" s="12" t="s">
        <v>16</v>
      </c>
      <c r="C35" s="18"/>
      <c r="D35" s="18" t="s">
        <v>17</v>
      </c>
      <c r="E35" s="14" t="s">
        <v>30</v>
      </c>
    </row>
    <row r="36" spans="2:7" ht="14.4" thickBot="1" x14ac:dyDescent="0.3">
      <c r="B36" s="13" t="s">
        <v>18</v>
      </c>
      <c r="C36" s="17">
        <v>0</v>
      </c>
      <c r="D36" s="17">
        <v>15</v>
      </c>
      <c r="E36" s="19">
        <f>D36*115%*12</f>
        <v>207</v>
      </c>
      <c r="G36" s="20"/>
    </row>
    <row r="37" spans="2:7" ht="14.4" thickBot="1" x14ac:dyDescent="0.3">
      <c r="B37" s="13" t="s">
        <v>19</v>
      </c>
      <c r="C37" s="17">
        <v>99999.99</v>
      </c>
      <c r="D37" s="15">
        <v>45</v>
      </c>
      <c r="E37" s="19">
        <f t="shared" ref="E37:E46" si="0">D37*115%*12</f>
        <v>620.99999999999989</v>
      </c>
      <c r="G37" s="20"/>
    </row>
    <row r="38" spans="2:7" ht="14.4" thickBot="1" x14ac:dyDescent="0.3">
      <c r="B38" s="13" t="s">
        <v>20</v>
      </c>
      <c r="C38" s="15">
        <v>149999.99</v>
      </c>
      <c r="D38" s="17">
        <v>47</v>
      </c>
      <c r="E38" s="19">
        <f t="shared" si="0"/>
        <v>648.59999999999991</v>
      </c>
      <c r="G38" s="20"/>
    </row>
    <row r="39" spans="2:7" ht="14.4" thickBot="1" x14ac:dyDescent="0.3">
      <c r="B39" s="13" t="s">
        <v>21</v>
      </c>
      <c r="C39" s="17">
        <v>199999.99</v>
      </c>
      <c r="D39" s="15">
        <v>65</v>
      </c>
      <c r="E39" s="19">
        <f t="shared" si="0"/>
        <v>897</v>
      </c>
      <c r="G39" s="20"/>
    </row>
    <row r="40" spans="2:7" ht="14.4" thickBot="1" x14ac:dyDescent="0.3">
      <c r="B40" s="13" t="s">
        <v>22</v>
      </c>
      <c r="C40" s="15">
        <v>249999.99</v>
      </c>
      <c r="D40" s="17">
        <v>65</v>
      </c>
      <c r="E40" s="19">
        <f t="shared" si="0"/>
        <v>897</v>
      </c>
      <c r="G40" s="20"/>
    </row>
    <row r="41" spans="2:7" ht="14.4" thickBot="1" x14ac:dyDescent="0.3">
      <c r="B41" s="13" t="s">
        <v>23</v>
      </c>
      <c r="C41" s="17">
        <v>299999.99</v>
      </c>
      <c r="D41" s="15">
        <v>65</v>
      </c>
      <c r="E41" s="19">
        <f t="shared" si="0"/>
        <v>897</v>
      </c>
      <c r="G41" s="20"/>
    </row>
    <row r="42" spans="2:7" ht="14.4" thickBot="1" x14ac:dyDescent="0.3">
      <c r="B42" s="13" t="s">
        <v>24</v>
      </c>
      <c r="C42" s="15">
        <v>349999.99</v>
      </c>
      <c r="D42" s="17">
        <v>80</v>
      </c>
      <c r="E42" s="19">
        <f t="shared" si="0"/>
        <v>1104</v>
      </c>
      <c r="G42" s="20"/>
    </row>
    <row r="43" spans="2:7" ht="14.4" thickBot="1" x14ac:dyDescent="0.3">
      <c r="B43" s="13" t="s">
        <v>25</v>
      </c>
      <c r="C43" s="17">
        <v>399999.99</v>
      </c>
      <c r="D43" s="15">
        <v>85</v>
      </c>
      <c r="E43" s="19">
        <f t="shared" si="0"/>
        <v>1172.9999999999998</v>
      </c>
      <c r="G43" s="20"/>
    </row>
    <row r="44" spans="2:7" ht="14.4" thickBot="1" x14ac:dyDescent="0.3">
      <c r="B44" s="13" t="s">
        <v>26</v>
      </c>
      <c r="C44" s="15">
        <v>449999.99</v>
      </c>
      <c r="D44" s="17">
        <v>90</v>
      </c>
      <c r="E44" s="19">
        <f t="shared" si="0"/>
        <v>1241.9999999999998</v>
      </c>
      <c r="G44" s="20"/>
    </row>
    <row r="45" spans="2:7" ht="14.4" thickBot="1" x14ac:dyDescent="0.3">
      <c r="B45" s="13" t="s">
        <v>27</v>
      </c>
      <c r="C45" s="17">
        <v>499999.99</v>
      </c>
      <c r="D45" s="17">
        <v>90</v>
      </c>
      <c r="E45" s="19">
        <f t="shared" si="0"/>
        <v>1241.9999999999998</v>
      </c>
      <c r="G45" s="20"/>
    </row>
    <row r="46" spans="2:7" ht="14.4" thickBot="1" x14ac:dyDescent="0.3">
      <c r="B46" s="13" t="s">
        <v>28</v>
      </c>
      <c r="C46" s="17">
        <v>549999.99</v>
      </c>
      <c r="D46" s="16">
        <v>95</v>
      </c>
      <c r="E46" s="19">
        <f t="shared" si="0"/>
        <v>1310.9999999999998</v>
      </c>
      <c r="G46" s="20"/>
    </row>
  </sheetData>
  <sheetProtection selectLockedCells="1"/>
  <mergeCells count="2">
    <mergeCell ref="B3:C3"/>
    <mergeCell ref="B18:C18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7"/>
  <sheetViews>
    <sheetView showGridLines="0" topLeftCell="C1" zoomScale="90" zoomScaleNormal="90" zoomScalePageLayoutView="90" workbookViewId="0">
      <selection activeCell="G3" sqref="G3:K8"/>
    </sheetView>
  </sheetViews>
  <sheetFormatPr defaultColWidth="8.8984375" defaultRowHeight="13.8" x14ac:dyDescent="0.25"/>
  <cols>
    <col min="1" max="1" width="3.59765625" style="1" customWidth="1"/>
    <col min="2" max="2" width="59.5" style="7" customWidth="1"/>
    <col min="3" max="3" width="16.59765625" style="9" bestFit="1" customWidth="1"/>
    <col min="4" max="4" width="17.09765625" style="9" customWidth="1"/>
    <col min="5" max="5" width="15.3984375" style="1" bestFit="1" customWidth="1"/>
    <col min="6" max="6" width="8.8984375" style="1"/>
    <col min="7" max="7" width="11.59765625" style="1" customWidth="1"/>
    <col min="8" max="8" width="14.59765625" style="1" bestFit="1" customWidth="1"/>
    <col min="9" max="9" width="10.8984375" style="1" bestFit="1" customWidth="1"/>
    <col min="10" max="10" width="15.8984375" style="1" customWidth="1"/>
    <col min="11" max="13" width="8.8984375" style="1"/>
    <col min="14" max="14" width="14.59765625" style="1" bestFit="1" customWidth="1"/>
    <col min="15" max="16384" width="8.8984375" style="1"/>
  </cols>
  <sheetData>
    <row r="1" spans="2:12" ht="14.4" thickBot="1" x14ac:dyDescent="0.3"/>
    <row r="2" spans="2:12" ht="72.900000000000006" customHeight="1" thickBot="1" x14ac:dyDescent="0.35">
      <c r="B2" s="52" t="s">
        <v>32</v>
      </c>
      <c r="C2" s="47"/>
      <c r="D2" s="1"/>
      <c r="F2" s="21"/>
      <c r="G2"/>
    </row>
    <row r="3" spans="2:12" ht="18" thickBot="1" x14ac:dyDescent="0.35">
      <c r="B3" s="155" t="s">
        <v>31</v>
      </c>
      <c r="C3" s="156"/>
      <c r="D3" s="1"/>
      <c r="G3" s="1" t="s">
        <v>36</v>
      </c>
    </row>
    <row r="4" spans="2:12" s="8" customFormat="1" ht="17.399999999999999" x14ac:dyDescent="0.3">
      <c r="B4" s="48" t="s">
        <v>3</v>
      </c>
      <c r="C4" s="49" t="s">
        <v>0</v>
      </c>
      <c r="G4" s="62" t="s">
        <v>39</v>
      </c>
      <c r="H4" s="63">
        <f>C17</f>
        <v>228</v>
      </c>
      <c r="I4" s="62" t="s">
        <v>37</v>
      </c>
      <c r="J4" s="62"/>
    </row>
    <row r="5" spans="2:12" ht="17.399999999999999" x14ac:dyDescent="0.3">
      <c r="B5" s="26" t="s">
        <v>4</v>
      </c>
      <c r="C5" s="31">
        <f>7200*12</f>
        <v>86400</v>
      </c>
      <c r="D5" s="1"/>
      <c r="G5" s="62" t="s">
        <v>38</v>
      </c>
      <c r="H5" s="64">
        <f>C5</f>
        <v>86400</v>
      </c>
      <c r="I5" s="62" t="s">
        <v>35</v>
      </c>
      <c r="J5" s="64">
        <f>C6</f>
        <v>1332</v>
      </c>
      <c r="K5" s="1" t="s">
        <v>40</v>
      </c>
    </row>
    <row r="6" spans="2:12" ht="18" thickBot="1" x14ac:dyDescent="0.35">
      <c r="B6" s="27" t="s">
        <v>11</v>
      </c>
      <c r="C6" s="28">
        <f>IF(C5&gt;600000,"Do not qualify for SmartFunder",MAX(0,IF($C$5&gt;$B$26,$D$26+($C$5-$B$26)*$C$26-$C$31,IF($C$5&gt;$B$25,$D$25+($C$5-$B$25)*$C$25-$C$31,IF($C$5&gt;$B$24,$D$24+($C$5-$B$24)*$C$24-$C$31,IF($C$5&gt;$B$23,$D$23+($C$5-$B$23)*$C$23-$C$31,IF($C$5&gt;$B$22,$D$22+($C$5-$B$22)*$C$22-$C$31,"")))))))</f>
        <v>1332</v>
      </c>
      <c r="D6" s="1"/>
      <c r="G6" s="62" t="s">
        <v>41</v>
      </c>
      <c r="H6" s="64">
        <f>C14</f>
        <v>46400</v>
      </c>
      <c r="I6" s="62" t="s">
        <v>42</v>
      </c>
      <c r="J6" s="64">
        <f>C15</f>
        <v>0</v>
      </c>
    </row>
    <row r="7" spans="2:12" s="8" customFormat="1" ht="18" thickBot="1" x14ac:dyDescent="0.35">
      <c r="B7" s="50" t="s">
        <v>5</v>
      </c>
      <c r="C7" s="51"/>
      <c r="G7" s="62" t="s">
        <v>43</v>
      </c>
      <c r="H7" s="64">
        <f>C16</f>
        <v>1104</v>
      </c>
      <c r="I7" s="62" t="s">
        <v>44</v>
      </c>
      <c r="J7" s="62"/>
      <c r="K7" s="1"/>
      <c r="L7" s="1"/>
    </row>
    <row r="8" spans="2:12" s="8" customFormat="1" ht="17.399999999999999" x14ac:dyDescent="0.3">
      <c r="B8" s="29" t="s">
        <v>15</v>
      </c>
      <c r="C8" s="30">
        <v>2</v>
      </c>
      <c r="G8" s="62" t="s">
        <v>45</v>
      </c>
      <c r="H8" s="63">
        <f>H4</f>
        <v>228</v>
      </c>
      <c r="I8" s="62" t="s">
        <v>46</v>
      </c>
      <c r="J8" s="1"/>
      <c r="K8" s="1"/>
      <c r="L8" s="1"/>
    </row>
    <row r="9" spans="2:12" s="6" customFormat="1" ht="52.2" x14ac:dyDescent="0.3">
      <c r="B9" s="29" t="s">
        <v>9</v>
      </c>
      <c r="C9" s="31">
        <v>40000</v>
      </c>
      <c r="J9" s="1"/>
      <c r="K9" s="1"/>
      <c r="L9" s="1"/>
    </row>
    <row r="10" spans="2:12" ht="52.2" x14ac:dyDescent="0.3">
      <c r="B10" s="32" t="s">
        <v>10</v>
      </c>
      <c r="C10" s="33"/>
      <c r="D10" s="1"/>
    </row>
    <row r="11" spans="2:12" s="8" customFormat="1" ht="17.399999999999999" x14ac:dyDescent="0.3">
      <c r="B11" s="53" t="s">
        <v>6</v>
      </c>
      <c r="C11" s="54" t="s">
        <v>0</v>
      </c>
      <c r="J11" s="1"/>
      <c r="K11" s="1"/>
      <c r="L11" s="1"/>
    </row>
    <row r="12" spans="2:12" ht="17.399999999999999" x14ac:dyDescent="0.3">
      <c r="B12" s="26" t="str">
        <f>B5</f>
        <v>Current taxable income</v>
      </c>
      <c r="C12" s="36">
        <f>C5</f>
        <v>86400</v>
      </c>
      <c r="D12" s="11"/>
    </row>
    <row r="13" spans="2:12" ht="18" thickBot="1" x14ac:dyDescent="0.35">
      <c r="B13" s="37" t="s">
        <v>7</v>
      </c>
      <c r="C13" s="38">
        <f>-SUM(C9:C10)</f>
        <v>-40000</v>
      </c>
      <c r="D13" s="1"/>
    </row>
    <row r="14" spans="2:12" ht="17.399999999999999" x14ac:dyDescent="0.3">
      <c r="B14" s="39" t="s">
        <v>8</v>
      </c>
      <c r="C14" s="36">
        <f>SUM(C12:C13)</f>
        <v>46400</v>
      </c>
      <c r="D14" s="1"/>
    </row>
    <row r="15" spans="2:12" ht="18" thickBot="1" x14ac:dyDescent="0.35">
      <c r="B15" s="40" t="s">
        <v>12</v>
      </c>
      <c r="C15" s="38">
        <f>IF(C14&gt;600000,"Do not qualify for SmartFunder",MAX(0,IF($C$14&gt;$B$26,$D$26+($C$14-$B$26)*$C$26-$C$31,IF($C$14&gt;$B$25,$D$25+($C$14-$B$25)*$C$25-$C$31,IF($C$14&gt;$B$24,$D$24+($C$14-$B$24)*$C$24-$C$31,IF($C$14&gt;$B$23,$D$23+($C$14-$B$23)*$C$23-$C$31,IF($C$14&gt;$B$22,$D$22+($C$14-$B$22)*$C$22-$C$31,"")))))))</f>
        <v>0</v>
      </c>
      <c r="D15" s="11"/>
    </row>
    <row r="16" spans="2:12" ht="17.399999999999999" x14ac:dyDescent="0.3">
      <c r="B16" s="41" t="s">
        <v>29</v>
      </c>
      <c r="C16" s="42">
        <f>IF(C5&gt;600000,"Do not qualify for SmartFunder",MAX(0,IF($C$5&gt;$C$47,E47,IF($C$5&gt;$C$46,E46,IF($C$5&gt;$C$45,E45,IF($C$5&gt;$C$44,E44,IF($C$5&gt;$C$43,E43,IF(C5&gt;C42,E42,IF(C5&gt;C41,E41,IF(C5&gt;C40,E40,IF(C5&gt;C39,E39,IF(C5&gt;C38,E38,IF(C5&gt;C37,E37,"")))))))))))))*C8</f>
        <v>1104</v>
      </c>
      <c r="D16" s="11"/>
    </row>
    <row r="17" spans="2:10" ht="18" thickBot="1" x14ac:dyDescent="0.35">
      <c r="B17" s="43" t="s">
        <v>13</v>
      </c>
      <c r="C17" s="44">
        <f>C6-C15-C16</f>
        <v>228</v>
      </c>
      <c r="D17" s="4"/>
    </row>
    <row r="18" spans="2:10" ht="47.1" customHeight="1" x14ac:dyDescent="0.25">
      <c r="B18" s="154" t="s">
        <v>14</v>
      </c>
      <c r="C18" s="154"/>
      <c r="D18" s="45"/>
    </row>
    <row r="19" spans="2:10" ht="14.1" customHeight="1" x14ac:dyDescent="0.25">
      <c r="B19" s="45"/>
      <c r="C19" s="45"/>
      <c r="D19" s="45"/>
    </row>
    <row r="21" spans="2:10" ht="13.2" x14ac:dyDescent="0.25">
      <c r="B21" s="1" t="s">
        <v>2</v>
      </c>
      <c r="C21" s="1"/>
      <c r="D21" s="1"/>
    </row>
    <row r="22" spans="2:10" ht="13.2" x14ac:dyDescent="0.25">
      <c r="B22" s="1">
        <v>0</v>
      </c>
      <c r="C22" s="2">
        <v>0.18</v>
      </c>
      <c r="D22" s="1"/>
    </row>
    <row r="23" spans="2:10" ht="13.2" x14ac:dyDescent="0.25">
      <c r="B23" s="3">
        <v>195850</v>
      </c>
      <c r="C23" s="2">
        <v>0.26</v>
      </c>
      <c r="D23" s="3">
        <v>35253</v>
      </c>
    </row>
    <row r="24" spans="2:10" ht="13.2" x14ac:dyDescent="0.25">
      <c r="B24" s="3">
        <v>305850</v>
      </c>
      <c r="C24" s="2">
        <v>0.31</v>
      </c>
      <c r="D24" s="3">
        <v>63853</v>
      </c>
    </row>
    <row r="25" spans="2:10" x14ac:dyDescent="0.25">
      <c r="B25" s="3">
        <v>423300</v>
      </c>
      <c r="C25" s="2">
        <v>0.36</v>
      </c>
      <c r="D25" s="3">
        <v>100263</v>
      </c>
      <c r="H25" s="7"/>
      <c r="I25" s="3"/>
      <c r="J25" s="3"/>
    </row>
    <row r="26" spans="2:10" ht="13.2" x14ac:dyDescent="0.25">
      <c r="B26" s="3">
        <v>555600</v>
      </c>
      <c r="C26" s="2">
        <v>0.39</v>
      </c>
      <c r="D26" s="3">
        <v>147891</v>
      </c>
    </row>
    <row r="27" spans="2:10" ht="13.2" x14ac:dyDescent="0.25">
      <c r="B27" s="3">
        <v>708310</v>
      </c>
      <c r="C27" s="5">
        <v>0.41</v>
      </c>
      <c r="D27" s="3">
        <v>207448</v>
      </c>
    </row>
    <row r="28" spans="2:10" ht="13.2" x14ac:dyDescent="0.25">
      <c r="B28" s="3">
        <v>1500000</v>
      </c>
      <c r="C28" s="5">
        <v>0.45</v>
      </c>
      <c r="D28" s="3">
        <v>532041</v>
      </c>
    </row>
    <row r="29" spans="2:10" ht="13.2" x14ac:dyDescent="0.25">
      <c r="B29" s="1"/>
      <c r="C29" s="1"/>
      <c r="D29" s="1"/>
    </row>
    <row r="30" spans="2:10" ht="13.2" x14ac:dyDescent="0.25">
      <c r="B30" s="1"/>
      <c r="C30" s="1"/>
      <c r="D30" s="1"/>
    </row>
    <row r="31" spans="2:10" ht="15" x14ac:dyDescent="0.25">
      <c r="B31" s="1" t="s">
        <v>1</v>
      </c>
      <c r="C31" s="10">
        <v>14220</v>
      </c>
      <c r="D31" s="1"/>
    </row>
    <row r="35" spans="2:7" ht="14.4" thickBot="1" x14ac:dyDescent="0.3"/>
    <row r="36" spans="2:7" ht="42" thickBot="1" x14ac:dyDescent="0.3">
      <c r="B36" s="12" t="s">
        <v>16</v>
      </c>
      <c r="C36" s="18"/>
      <c r="D36" s="18" t="s">
        <v>17</v>
      </c>
      <c r="E36" s="14" t="s">
        <v>30</v>
      </c>
    </row>
    <row r="37" spans="2:7" ht="14.4" thickBot="1" x14ac:dyDescent="0.3">
      <c r="B37" s="13" t="s">
        <v>18</v>
      </c>
      <c r="C37" s="17">
        <v>0</v>
      </c>
      <c r="D37" s="17">
        <v>40</v>
      </c>
      <c r="E37" s="19">
        <f>D37*115%*12</f>
        <v>552</v>
      </c>
      <c r="G37" s="20"/>
    </row>
    <row r="38" spans="2:7" ht="14.4" thickBot="1" x14ac:dyDescent="0.3">
      <c r="B38" s="13" t="s">
        <v>19</v>
      </c>
      <c r="C38" s="17">
        <v>99999.99</v>
      </c>
      <c r="D38" s="15">
        <v>40</v>
      </c>
      <c r="E38" s="19">
        <f t="shared" ref="E38:E47" si="0">D38*115%*12</f>
        <v>552</v>
      </c>
      <c r="G38" s="20"/>
    </row>
    <row r="39" spans="2:7" ht="14.4" thickBot="1" x14ac:dyDescent="0.3">
      <c r="B39" s="13" t="s">
        <v>20</v>
      </c>
      <c r="C39" s="15">
        <v>149999.99</v>
      </c>
      <c r="D39" s="17">
        <v>65</v>
      </c>
      <c r="E39" s="19">
        <f t="shared" si="0"/>
        <v>897</v>
      </c>
      <c r="G39" s="20"/>
    </row>
    <row r="40" spans="2:7" ht="14.4" thickBot="1" x14ac:dyDescent="0.3">
      <c r="B40" s="13" t="s">
        <v>21</v>
      </c>
      <c r="C40" s="17">
        <v>199999.99</v>
      </c>
      <c r="D40" s="15">
        <v>65</v>
      </c>
      <c r="E40" s="19">
        <f t="shared" si="0"/>
        <v>897</v>
      </c>
      <c r="G40" s="20"/>
    </row>
    <row r="41" spans="2:7" ht="14.4" thickBot="1" x14ac:dyDescent="0.3">
      <c r="B41" s="13" t="s">
        <v>22</v>
      </c>
      <c r="C41" s="15">
        <v>249999.99</v>
      </c>
      <c r="D41" s="17">
        <v>65</v>
      </c>
      <c r="E41" s="19">
        <f t="shared" si="0"/>
        <v>897</v>
      </c>
      <c r="G41" s="20"/>
    </row>
    <row r="42" spans="2:7" ht="14.4" thickBot="1" x14ac:dyDescent="0.3">
      <c r="B42" s="13" t="s">
        <v>23</v>
      </c>
      <c r="C42" s="17">
        <v>299999.99</v>
      </c>
      <c r="D42" s="15">
        <v>65</v>
      </c>
      <c r="E42" s="19">
        <f t="shared" si="0"/>
        <v>897</v>
      </c>
      <c r="G42" s="20"/>
    </row>
    <row r="43" spans="2:7" ht="14.4" thickBot="1" x14ac:dyDescent="0.3">
      <c r="B43" s="13" t="s">
        <v>24</v>
      </c>
      <c r="C43" s="15">
        <v>349999.99</v>
      </c>
      <c r="D43" s="17">
        <v>85</v>
      </c>
      <c r="E43" s="19">
        <f t="shared" si="0"/>
        <v>1172.9999999999998</v>
      </c>
      <c r="G43" s="20"/>
    </row>
    <row r="44" spans="2:7" ht="14.4" thickBot="1" x14ac:dyDescent="0.3">
      <c r="B44" s="13" t="s">
        <v>25</v>
      </c>
      <c r="C44" s="17">
        <v>399999.99</v>
      </c>
      <c r="D44" s="15">
        <v>85</v>
      </c>
      <c r="E44" s="19">
        <f t="shared" si="0"/>
        <v>1172.9999999999998</v>
      </c>
      <c r="G44" s="20"/>
    </row>
    <row r="45" spans="2:7" ht="14.4" thickBot="1" x14ac:dyDescent="0.3">
      <c r="B45" s="13" t="s">
        <v>26</v>
      </c>
      <c r="C45" s="15">
        <v>449999.99</v>
      </c>
      <c r="D45" s="17">
        <v>85</v>
      </c>
      <c r="E45" s="19">
        <f t="shared" si="0"/>
        <v>1172.9999999999998</v>
      </c>
      <c r="G45" s="20"/>
    </row>
    <row r="46" spans="2:7" ht="14.4" thickBot="1" x14ac:dyDescent="0.3">
      <c r="B46" s="13" t="s">
        <v>27</v>
      </c>
      <c r="C46" s="17">
        <v>499999.99</v>
      </c>
      <c r="D46" s="17">
        <v>85</v>
      </c>
      <c r="E46" s="19">
        <f t="shared" si="0"/>
        <v>1172.9999999999998</v>
      </c>
      <c r="G46" s="20"/>
    </row>
    <row r="47" spans="2:7" ht="14.4" thickBot="1" x14ac:dyDescent="0.3">
      <c r="B47" s="13" t="s">
        <v>28</v>
      </c>
      <c r="C47" s="17">
        <v>549999.99</v>
      </c>
      <c r="D47" s="16">
        <v>85</v>
      </c>
      <c r="E47" s="19">
        <f t="shared" si="0"/>
        <v>1172.9999999999998</v>
      </c>
      <c r="G47" s="20"/>
    </row>
  </sheetData>
  <sheetProtection selectLockedCells="1"/>
  <mergeCells count="2">
    <mergeCell ref="B3:C3"/>
    <mergeCell ref="B18:C18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6"/>
  <sheetViews>
    <sheetView showGridLines="0" tabSelected="1" topLeftCell="A6" zoomScale="80" zoomScaleNormal="80" zoomScalePageLayoutView="90" workbookViewId="0">
      <selection activeCell="K15" sqref="K15"/>
    </sheetView>
  </sheetViews>
  <sheetFormatPr defaultColWidth="8.8984375" defaultRowHeight="15" x14ac:dyDescent="0.25"/>
  <cols>
    <col min="1" max="1" width="3.59765625" style="67" customWidth="1"/>
    <col min="2" max="2" width="28" style="8" customWidth="1"/>
    <col min="3" max="3" width="14.19921875" style="8" customWidth="1"/>
    <col min="4" max="4" width="15.5" style="68" customWidth="1"/>
    <col min="5" max="5" width="15" style="68" customWidth="1"/>
    <col min="6" max="7" width="13.09765625" style="68" customWidth="1"/>
    <col min="8" max="8" width="12.19921875" style="68" customWidth="1"/>
    <col min="9" max="9" width="15.09765625" style="68" customWidth="1"/>
    <col min="10" max="16" width="6.59765625" style="8" customWidth="1"/>
    <col min="17" max="17" width="13.59765625" style="8" bestFit="1" customWidth="1"/>
    <col min="18" max="16384" width="8.8984375" style="8"/>
  </cols>
  <sheetData>
    <row r="1" spans="1:21" s="139" customFormat="1" x14ac:dyDescent="0.25">
      <c r="A1" s="138"/>
      <c r="D1" s="140"/>
      <c r="E1" s="140"/>
      <c r="F1" s="140"/>
      <c r="G1" s="140"/>
      <c r="H1" s="140"/>
      <c r="I1" s="140"/>
    </row>
    <row r="2" spans="1:21" s="139" customFormat="1" ht="15.6" thickBot="1" x14ac:dyDescent="0.3">
      <c r="A2" s="138"/>
      <c r="D2" s="140"/>
      <c r="E2" s="140"/>
      <c r="F2" s="140"/>
      <c r="G2" s="140"/>
      <c r="H2" s="188"/>
      <c r="I2" s="18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1" ht="47.25" customHeight="1" x14ac:dyDescent="0.3">
      <c r="B3" s="160" t="s">
        <v>54</v>
      </c>
      <c r="C3" s="161"/>
      <c r="D3" s="161"/>
      <c r="E3" s="161"/>
      <c r="F3" s="161"/>
      <c r="G3" s="162"/>
      <c r="H3" s="189"/>
      <c r="I3" s="189"/>
      <c r="J3" s="189"/>
      <c r="K3" s="189"/>
      <c r="L3" s="189"/>
      <c r="M3" s="189"/>
      <c r="N3" s="189"/>
      <c r="O3" s="189"/>
      <c r="P3" s="75"/>
      <c r="Q3" s="190"/>
      <c r="R3" s="75"/>
      <c r="S3" s="75"/>
      <c r="T3" s="75"/>
      <c r="U3" s="75"/>
    </row>
    <row r="4" spans="1:21" s="139" customFormat="1" ht="30.75" customHeight="1" x14ac:dyDescent="0.25">
      <c r="A4" s="138"/>
      <c r="B4" s="198" t="s">
        <v>66</v>
      </c>
      <c r="C4" s="199"/>
      <c r="D4" s="199"/>
      <c r="E4" s="199"/>
      <c r="F4" s="199"/>
      <c r="G4" s="200"/>
      <c r="H4" s="168"/>
      <c r="I4" s="168"/>
      <c r="J4" s="168"/>
      <c r="K4" s="168"/>
      <c r="L4" s="168"/>
      <c r="M4" s="168"/>
      <c r="N4" s="168"/>
      <c r="O4" s="168"/>
      <c r="P4" s="138"/>
      <c r="Q4" s="175"/>
      <c r="R4" s="191"/>
      <c r="S4" s="138"/>
      <c r="T4" s="138"/>
      <c r="U4" s="138"/>
    </row>
    <row r="5" spans="1:21" s="139" customFormat="1" ht="15" customHeight="1" x14ac:dyDescent="0.25">
      <c r="A5" s="138"/>
      <c r="B5" s="198" t="s">
        <v>67</v>
      </c>
      <c r="C5" s="199"/>
      <c r="D5" s="199"/>
      <c r="E5" s="199"/>
      <c r="F5" s="199"/>
      <c r="G5" s="200"/>
      <c r="H5" s="168"/>
      <c r="I5" s="168"/>
      <c r="J5" s="168"/>
      <c r="K5" s="168"/>
      <c r="L5" s="168"/>
      <c r="M5" s="168"/>
      <c r="N5" s="168"/>
      <c r="O5" s="168"/>
      <c r="P5" s="138"/>
      <c r="Q5" s="175"/>
      <c r="R5" s="191"/>
      <c r="S5" s="138"/>
      <c r="T5" s="138"/>
      <c r="U5" s="138"/>
    </row>
    <row r="6" spans="1:21" s="139" customFormat="1" ht="15" customHeight="1" x14ac:dyDescent="0.25">
      <c r="A6" s="138"/>
      <c r="B6" s="198" t="s">
        <v>95</v>
      </c>
      <c r="C6" s="199"/>
      <c r="D6" s="199"/>
      <c r="E6" s="199"/>
      <c r="F6" s="199"/>
      <c r="G6" s="200"/>
      <c r="H6" s="168"/>
      <c r="I6" s="168"/>
      <c r="J6" s="168"/>
      <c r="K6" s="168"/>
      <c r="L6" s="168"/>
      <c r="M6" s="168"/>
      <c r="N6" s="168"/>
      <c r="O6" s="168"/>
      <c r="P6" s="138"/>
      <c r="Q6" s="175"/>
      <c r="R6" s="191"/>
      <c r="S6" s="138"/>
      <c r="T6" s="138"/>
      <c r="U6" s="138"/>
    </row>
    <row r="7" spans="1:21" s="139" customFormat="1" ht="15" customHeight="1" x14ac:dyDescent="0.25">
      <c r="A7" s="138"/>
      <c r="B7" s="198" t="s">
        <v>68</v>
      </c>
      <c r="C7" s="199"/>
      <c r="D7" s="199"/>
      <c r="E7" s="199"/>
      <c r="F7" s="199"/>
      <c r="G7" s="200"/>
      <c r="H7" s="168"/>
      <c r="I7" s="168"/>
      <c r="J7" s="168"/>
      <c r="K7" s="168"/>
      <c r="L7" s="168"/>
      <c r="M7" s="168"/>
      <c r="N7" s="168"/>
      <c r="O7" s="168"/>
      <c r="P7" s="138"/>
      <c r="Q7" s="175"/>
      <c r="R7" s="191"/>
      <c r="S7" s="138"/>
      <c r="T7" s="138"/>
      <c r="U7" s="138"/>
    </row>
    <row r="8" spans="1:21" s="139" customFormat="1" x14ac:dyDescent="0.25">
      <c r="A8" s="138"/>
      <c r="B8" s="169"/>
      <c r="C8" s="170"/>
      <c r="D8" s="170"/>
      <c r="E8" s="170"/>
      <c r="F8" s="170"/>
      <c r="G8" s="171"/>
      <c r="H8" s="170"/>
      <c r="I8" s="170"/>
      <c r="J8" s="170"/>
      <c r="K8" s="170"/>
      <c r="L8" s="170"/>
      <c r="M8" s="170"/>
      <c r="N8" s="170"/>
      <c r="O8" s="170"/>
      <c r="P8" s="138"/>
      <c r="Q8" s="175"/>
      <c r="R8" s="191"/>
      <c r="S8" s="138"/>
      <c r="T8" s="138"/>
      <c r="U8" s="138"/>
    </row>
    <row r="9" spans="1:21" ht="21" x14ac:dyDescent="0.4">
      <c r="B9" s="163" t="s">
        <v>31</v>
      </c>
      <c r="C9" s="164"/>
      <c r="D9" s="164"/>
      <c r="E9" s="164"/>
      <c r="F9" s="164"/>
      <c r="G9" s="165"/>
      <c r="H9" s="172"/>
      <c r="I9" s="172"/>
      <c r="J9" s="172"/>
      <c r="K9" s="172"/>
      <c r="L9" s="172"/>
      <c r="M9" s="172"/>
      <c r="N9" s="172"/>
      <c r="O9" s="172"/>
      <c r="P9" s="75"/>
      <c r="Q9" s="175"/>
      <c r="R9" s="191"/>
      <c r="S9" s="75"/>
      <c r="T9" s="75"/>
      <c r="U9" s="75"/>
    </row>
    <row r="10" spans="1:21" ht="17.399999999999999" x14ac:dyDescent="0.3">
      <c r="B10" s="143" t="s">
        <v>3</v>
      </c>
      <c r="C10" s="69"/>
      <c r="D10" s="72" t="s">
        <v>0</v>
      </c>
      <c r="E10" s="72"/>
      <c r="F10" s="70"/>
      <c r="G10" s="201"/>
      <c r="H10" s="173"/>
      <c r="I10" s="173"/>
      <c r="J10" s="174"/>
      <c r="K10" s="174"/>
      <c r="L10" s="174"/>
      <c r="M10" s="174"/>
      <c r="N10" s="174"/>
      <c r="O10" s="174"/>
      <c r="P10" s="75"/>
      <c r="Q10" s="175"/>
      <c r="R10" s="191"/>
      <c r="S10" s="75"/>
      <c r="T10" s="75"/>
      <c r="U10" s="75"/>
    </row>
    <row r="11" spans="1:21" s="7" customFormat="1" ht="13.8" x14ac:dyDescent="0.25">
      <c r="A11" s="77"/>
      <c r="B11" s="125" t="s">
        <v>4</v>
      </c>
      <c r="C11" s="82"/>
      <c r="D11" s="145">
        <v>550000</v>
      </c>
      <c r="E11" s="141"/>
      <c r="F11" s="86"/>
      <c r="G11" s="202"/>
      <c r="H11" s="175"/>
      <c r="I11" s="175"/>
      <c r="J11" s="176"/>
      <c r="K11" s="176"/>
      <c r="L11" s="176"/>
      <c r="M11" s="176"/>
      <c r="N11" s="176"/>
      <c r="O11" s="176"/>
      <c r="P11" s="186"/>
      <c r="Q11" s="175"/>
      <c r="R11" s="191"/>
      <c r="S11" s="186"/>
      <c r="T11" s="186"/>
      <c r="U11" s="186"/>
    </row>
    <row r="12" spans="1:21" s="7" customFormat="1" ht="13.8" x14ac:dyDescent="0.25">
      <c r="A12" s="77"/>
      <c r="B12" s="125" t="s">
        <v>78</v>
      </c>
      <c r="C12" s="82"/>
      <c r="D12" s="111">
        <f>IF(D11&gt;600000,"Do not qualify for SmartFunder",MAX(0,IF($D$11&gt;$B$43,$D$43+($D$11-$B$43)*$C$43-$D$48,IF($D$11&gt;$B$42,$D$42+($D$11-$B$42)*$C$42-$D$48,IF($D$11&gt;$B$41,$D$41+($D$11-$B$41)*$C$41-$D$48,IF($D$11&gt;$B$40,$D$40+($D$11-$B$40)*$C$40-$D$48,IF($D$11&gt;$B$39,$G$39+($D$11-$B$39)*$C$39-$D$48,"")))))))</f>
        <v>131655</v>
      </c>
      <c r="E12" s="136"/>
      <c r="F12" s="86"/>
      <c r="G12" s="203"/>
      <c r="H12" s="177"/>
      <c r="I12" s="177"/>
      <c r="J12" s="176"/>
      <c r="K12" s="176"/>
      <c r="L12" s="176"/>
      <c r="M12" s="176"/>
      <c r="N12" s="176"/>
      <c r="O12" s="176"/>
      <c r="P12" s="186"/>
      <c r="Q12" s="175"/>
      <c r="R12" s="191"/>
      <c r="S12" s="186"/>
      <c r="T12" s="186"/>
      <c r="U12" s="186"/>
    </row>
    <row r="13" spans="1:21" ht="18" customHeight="1" x14ac:dyDescent="0.3">
      <c r="B13" s="109" t="s">
        <v>5</v>
      </c>
      <c r="C13" s="69"/>
      <c r="D13" s="69"/>
      <c r="E13" s="69"/>
      <c r="F13" s="69"/>
      <c r="G13" s="204"/>
      <c r="H13" s="192"/>
      <c r="I13" s="192"/>
      <c r="J13" s="178"/>
      <c r="K13" s="178"/>
      <c r="L13" s="178"/>
      <c r="M13" s="178"/>
      <c r="N13" s="178"/>
      <c r="O13" s="178"/>
      <c r="P13" s="75"/>
      <c r="Q13" s="175"/>
      <c r="R13" s="191"/>
      <c r="S13" s="75"/>
      <c r="T13" s="75"/>
      <c r="U13" s="75"/>
    </row>
    <row r="14" spans="1:21" ht="49.5" customHeight="1" x14ac:dyDescent="0.25">
      <c r="B14" s="121" t="s">
        <v>79</v>
      </c>
      <c r="C14" s="122" t="s">
        <v>93</v>
      </c>
      <c r="D14" s="122" t="s">
        <v>52</v>
      </c>
      <c r="E14" s="122" t="s">
        <v>92</v>
      </c>
      <c r="F14" s="122" t="s">
        <v>51</v>
      </c>
      <c r="G14" s="205" t="s">
        <v>50</v>
      </c>
      <c r="H14" s="179"/>
      <c r="I14" s="179"/>
      <c r="J14" s="180"/>
      <c r="K14" s="180"/>
      <c r="L14" s="180"/>
      <c r="M14" s="180"/>
      <c r="N14" s="180"/>
      <c r="O14" s="180"/>
      <c r="P14" s="75"/>
      <c r="Q14" s="75"/>
      <c r="R14" s="75"/>
      <c r="S14" s="75"/>
      <c r="T14" s="75"/>
      <c r="U14" s="75"/>
    </row>
    <row r="15" spans="1:21" s="45" customFormat="1" ht="13.8" x14ac:dyDescent="0.25">
      <c r="A15" s="112"/>
      <c r="B15" s="123" t="s">
        <v>70</v>
      </c>
      <c r="C15" s="146" t="s">
        <v>48</v>
      </c>
      <c r="D15" s="145">
        <v>20000</v>
      </c>
      <c r="E15" s="147" t="s">
        <v>80</v>
      </c>
      <c r="F15" s="113">
        <f>IF(AND(C15="School",D15&lt;20000),D15,IF(AND(C15="School",D15=20000),D15,IF(AND(C15="School",D15&gt;20001),20000,IF(AND(C15="Tertiary",D15&lt;60000),D15,IF(AND(C15="Tertiary",D15=60000),D15,IF(AND(C15="Tertiary",D15&gt;60001),60000,"No Value"))))))</f>
        <v>20000</v>
      </c>
      <c r="G15" s="206" t="str">
        <f t="shared" ref="G15:G18" si="0">IF(AND(C15="School",D15&lt;20000),0,IF(AND(C15="School",D15&gt;20000),D15-20000,IF(AND(C15="Tertiary",D15&lt;60000),0,IF(AND(C15="Tertiary",D15&gt;60000),D15-60000,"No Value"))))</f>
        <v>No Value</v>
      </c>
      <c r="H15" s="151"/>
      <c r="I15" s="150"/>
      <c r="J15" s="181"/>
      <c r="K15" s="181"/>
      <c r="L15" s="181"/>
      <c r="M15" s="181"/>
      <c r="N15" s="181"/>
      <c r="O15" s="181"/>
      <c r="P15" s="191"/>
      <c r="Q15" s="191"/>
      <c r="R15" s="191"/>
      <c r="S15" s="191"/>
      <c r="T15" s="191"/>
      <c r="U15" s="191"/>
    </row>
    <row r="16" spans="1:21" s="45" customFormat="1" ht="13.8" x14ac:dyDescent="0.25">
      <c r="A16" s="112"/>
      <c r="B16" s="123" t="s">
        <v>71</v>
      </c>
      <c r="C16" s="146" t="s">
        <v>48</v>
      </c>
      <c r="D16" s="145">
        <v>20000</v>
      </c>
      <c r="E16" s="147" t="s">
        <v>80</v>
      </c>
      <c r="F16" s="113">
        <f>IF(AND(C16="School",D16&lt;20000),D16,IF(AND(C16="School",D16=20000),D16,IF(AND(C16="School",D16&gt;20001),20000,IF(AND(C16="Tertiary",D16&lt;60000),D16,IF(AND(C16="Tertiary",D16=60000),D16,IF(AND(C16="Tertiary",D16&gt;60001),60000,"No Value"))))))</f>
        <v>20000</v>
      </c>
      <c r="G16" s="206" t="str">
        <f t="shared" si="0"/>
        <v>No Value</v>
      </c>
      <c r="H16" s="151"/>
      <c r="I16" s="150"/>
      <c r="J16" s="181"/>
      <c r="K16" s="181"/>
      <c r="L16" s="181"/>
      <c r="M16" s="181"/>
      <c r="N16" s="181"/>
      <c r="O16" s="181"/>
      <c r="P16" s="191"/>
      <c r="Q16" s="191"/>
      <c r="R16" s="191"/>
      <c r="S16" s="191"/>
      <c r="T16" s="191"/>
      <c r="U16" s="191"/>
    </row>
    <row r="17" spans="1:21" s="45" customFormat="1" ht="13.8" x14ac:dyDescent="0.25">
      <c r="A17" s="112"/>
      <c r="B17" s="123" t="s">
        <v>72</v>
      </c>
      <c r="C17" s="146" t="s">
        <v>49</v>
      </c>
      <c r="D17" s="145">
        <v>60000</v>
      </c>
      <c r="E17" s="147" t="s">
        <v>80</v>
      </c>
      <c r="F17" s="113">
        <f t="shared" ref="F16:F18" si="1">IF(AND(C17="School",D17&lt;20000),D17,IF(AND(C17="School",D17=20000),D17,IF(AND(C17="School",D17&gt;20001),20000,IF(AND(C17="Tertiary",D17&lt;60000),D17,IF(AND(C17="Tertiary",D17=60000),D17,IF(AND(C17="Tertiary",D17&gt;60001),60000,"No Value"))))))</f>
        <v>60000</v>
      </c>
      <c r="G17" s="206" t="str">
        <f t="shared" si="0"/>
        <v>No Value</v>
      </c>
      <c r="H17" s="151"/>
      <c r="I17" s="150"/>
      <c r="J17" s="181"/>
      <c r="K17" s="181"/>
      <c r="L17" s="181"/>
      <c r="M17" s="181"/>
      <c r="N17" s="181"/>
      <c r="O17" s="181"/>
      <c r="P17" s="191"/>
      <c r="Q17" s="191"/>
      <c r="R17" s="191"/>
      <c r="S17" s="191"/>
      <c r="T17" s="191"/>
      <c r="U17" s="191"/>
    </row>
    <row r="18" spans="1:21" s="45" customFormat="1" ht="13.8" x14ac:dyDescent="0.25">
      <c r="A18" s="112"/>
      <c r="B18" s="123" t="s">
        <v>73</v>
      </c>
      <c r="C18" s="146"/>
      <c r="D18" s="145"/>
      <c r="E18" s="147"/>
      <c r="F18" s="113" t="str">
        <f t="shared" si="1"/>
        <v>No Value</v>
      </c>
      <c r="G18" s="206" t="str">
        <f t="shared" si="0"/>
        <v>No Value</v>
      </c>
      <c r="H18" s="151"/>
      <c r="I18" s="150"/>
      <c r="J18" s="181"/>
      <c r="K18" s="181"/>
      <c r="L18" s="181"/>
      <c r="M18" s="181"/>
      <c r="N18" s="181"/>
      <c r="O18" s="181"/>
      <c r="P18" s="191"/>
      <c r="Q18" s="191"/>
      <c r="R18" s="191"/>
      <c r="S18" s="191"/>
      <c r="T18" s="191"/>
      <c r="U18" s="191"/>
    </row>
    <row r="19" spans="1:21" s="45" customFormat="1" ht="13.8" x14ac:dyDescent="0.25">
      <c r="A19" s="112"/>
      <c r="B19" s="123" t="s">
        <v>55</v>
      </c>
      <c r="C19" s="80"/>
      <c r="D19" s="114">
        <f>SUM(D15:D18)</f>
        <v>100000</v>
      </c>
      <c r="E19" s="142"/>
      <c r="F19" s="113">
        <f>SUM(F15:F18)</f>
        <v>100000</v>
      </c>
      <c r="G19" s="206">
        <f>SUM(G15:G18)</f>
        <v>0</v>
      </c>
      <c r="H19" s="151"/>
      <c r="I19" s="150"/>
      <c r="J19" s="182"/>
      <c r="K19" s="182"/>
      <c r="L19" s="182"/>
      <c r="M19" s="182"/>
      <c r="N19" s="182"/>
      <c r="O19" s="182"/>
      <c r="P19" s="193"/>
      <c r="Q19" s="191"/>
      <c r="R19" s="191"/>
      <c r="S19" s="191"/>
      <c r="T19" s="191"/>
      <c r="U19" s="191"/>
    </row>
    <row r="20" spans="1:21" ht="17.399999999999999" x14ac:dyDescent="0.3">
      <c r="B20" s="109" t="s">
        <v>6</v>
      </c>
      <c r="C20" s="69"/>
      <c r="D20" s="70" t="s">
        <v>0</v>
      </c>
      <c r="E20" s="70"/>
      <c r="F20" s="70"/>
      <c r="G20" s="201"/>
      <c r="H20" s="173"/>
      <c r="I20" s="173"/>
      <c r="J20" s="183"/>
      <c r="K20" s="183"/>
      <c r="L20" s="183"/>
      <c r="M20" s="183"/>
      <c r="N20" s="183"/>
      <c r="O20" s="183"/>
      <c r="P20" s="75"/>
      <c r="Q20" s="75"/>
      <c r="R20" s="75"/>
      <c r="S20" s="75"/>
      <c r="T20" s="75"/>
      <c r="U20" s="75"/>
    </row>
    <row r="21" spans="1:21" s="7" customFormat="1" ht="13.8" x14ac:dyDescent="0.25">
      <c r="A21" s="77"/>
      <c r="B21" s="124" t="str">
        <f>B11</f>
        <v>Current taxable income</v>
      </c>
      <c r="C21" s="129"/>
      <c r="D21" s="115">
        <f>D11</f>
        <v>550000</v>
      </c>
      <c r="E21" s="133"/>
      <c r="F21" s="86"/>
      <c r="G21" s="207"/>
      <c r="H21" s="184"/>
      <c r="I21" s="184"/>
      <c r="J21" s="177"/>
      <c r="K21" s="177"/>
      <c r="L21" s="177"/>
      <c r="M21" s="177"/>
      <c r="N21" s="177"/>
      <c r="O21" s="177"/>
      <c r="P21" s="186"/>
      <c r="Q21" s="194"/>
      <c r="R21" s="186"/>
      <c r="S21" s="186"/>
      <c r="T21" s="186"/>
      <c r="U21" s="186"/>
    </row>
    <row r="22" spans="1:21" s="7" customFormat="1" ht="13.8" x14ac:dyDescent="0.25">
      <c r="A22" s="77"/>
      <c r="B22" s="125" t="s">
        <v>94</v>
      </c>
      <c r="C22" s="82"/>
      <c r="D22" s="110">
        <f>D19</f>
        <v>100000</v>
      </c>
      <c r="E22" s="86"/>
      <c r="F22" s="86"/>
      <c r="G22" s="207"/>
      <c r="H22" s="184"/>
      <c r="I22" s="184"/>
      <c r="J22" s="177"/>
      <c r="K22" s="177"/>
      <c r="L22" s="177"/>
      <c r="M22" s="177"/>
      <c r="N22" s="177"/>
      <c r="O22" s="177"/>
      <c r="P22" s="186"/>
      <c r="Q22" s="194"/>
      <c r="R22" s="186"/>
      <c r="S22" s="186"/>
      <c r="T22" s="186"/>
      <c r="U22" s="186"/>
    </row>
    <row r="23" spans="1:21" s="7" customFormat="1" ht="13.8" x14ac:dyDescent="0.25">
      <c r="A23" s="77"/>
      <c r="B23" s="126" t="s">
        <v>74</v>
      </c>
      <c r="C23" s="130"/>
      <c r="D23" s="116">
        <f>-F19</f>
        <v>-100000</v>
      </c>
      <c r="E23" s="134"/>
      <c r="F23" s="86"/>
      <c r="G23" s="208"/>
      <c r="H23" s="185"/>
      <c r="I23" s="185"/>
      <c r="J23" s="177"/>
      <c r="K23" s="177"/>
      <c r="L23" s="177"/>
      <c r="M23" s="177"/>
      <c r="N23" s="177"/>
      <c r="O23" s="177"/>
      <c r="P23" s="186"/>
      <c r="Q23" s="194"/>
      <c r="R23" s="186"/>
      <c r="S23" s="186"/>
      <c r="T23" s="186"/>
      <c r="U23" s="186"/>
    </row>
    <row r="24" spans="1:21" s="7" customFormat="1" ht="13.8" x14ac:dyDescent="0.25">
      <c r="A24" s="77"/>
      <c r="B24" s="126" t="s">
        <v>75</v>
      </c>
      <c r="C24" s="130"/>
      <c r="D24" s="110">
        <f>G19</f>
        <v>0</v>
      </c>
      <c r="E24" s="86"/>
      <c r="F24" s="86"/>
      <c r="G24" s="209"/>
      <c r="H24" s="186"/>
      <c r="I24" s="186"/>
      <c r="J24" s="177"/>
      <c r="K24" s="177"/>
      <c r="L24" s="177"/>
      <c r="M24" s="177"/>
      <c r="N24" s="177"/>
      <c r="O24" s="177"/>
      <c r="P24" s="186"/>
      <c r="Q24" s="186"/>
      <c r="R24" s="186"/>
      <c r="S24" s="186"/>
      <c r="T24" s="186"/>
      <c r="U24" s="186"/>
    </row>
    <row r="25" spans="1:21" s="7" customFormat="1" ht="13.8" x14ac:dyDescent="0.25">
      <c r="A25" s="77"/>
      <c r="B25" s="127" t="s">
        <v>8</v>
      </c>
      <c r="C25" s="131"/>
      <c r="D25" s="117">
        <f>SUM(D21+D23)</f>
        <v>450000</v>
      </c>
      <c r="E25" s="135"/>
      <c r="F25" s="134"/>
      <c r="G25" s="210"/>
      <c r="H25" s="187"/>
      <c r="I25" s="187"/>
      <c r="J25" s="177"/>
      <c r="K25" s="177"/>
      <c r="L25" s="177"/>
      <c r="M25" s="177"/>
      <c r="N25" s="177"/>
      <c r="O25" s="177"/>
      <c r="P25" s="186"/>
      <c r="Q25" s="186"/>
      <c r="R25" s="186"/>
      <c r="S25" s="186"/>
      <c r="T25" s="186"/>
      <c r="U25" s="186"/>
    </row>
    <row r="26" spans="1:21" s="7" customFormat="1" ht="13.8" x14ac:dyDescent="0.25">
      <c r="A26" s="77"/>
      <c r="B26" s="125" t="s">
        <v>77</v>
      </c>
      <c r="C26" s="82"/>
      <c r="D26" s="118">
        <f>IF(D25&gt;600000,"Do not qualify for SmartFunder",MAX(0,IF($D$25&gt;$B$43,$D$43+($D$25-$B$43)*$C$43-$D$48,IF($D$25&gt;$B$42,$D$42+($D$25-$B$42)*$C$42-$D$48,IF($D$25&gt;$B$41,$D$41+($D$25-$B$41)*$C$41-$D$48,IF($D$25&gt;$B$40,$D$40+($D$25-$B$40)*$C$40-$D$48,IF($D$25&gt;$B$39,$G$39+($D$25-$B$39)*$C$39-$D$48,"")))))))</f>
        <v>95655</v>
      </c>
      <c r="E26" s="136"/>
      <c r="F26" s="134"/>
      <c r="G26" s="210"/>
      <c r="H26" s="187"/>
      <c r="I26" s="187"/>
      <c r="J26" s="177"/>
      <c r="K26" s="177"/>
      <c r="L26" s="177"/>
      <c r="M26" s="177"/>
      <c r="N26" s="177"/>
      <c r="O26" s="177"/>
      <c r="P26" s="194"/>
      <c r="Q26" s="186"/>
      <c r="R26" s="186"/>
      <c r="S26" s="186"/>
      <c r="T26" s="186"/>
      <c r="U26" s="186"/>
    </row>
    <row r="27" spans="1:21" s="7" customFormat="1" ht="13.8" x14ac:dyDescent="0.25">
      <c r="A27" s="77"/>
      <c r="B27" s="128" t="s">
        <v>76</v>
      </c>
      <c r="C27" s="132"/>
      <c r="D27" s="119">
        <f>IF(D11&gt;600000,"Do not qualify for SmartFunder",MAX(0,IF($D$11&gt;$C$63,E63,IF($D$11&gt;$C$62,E62,IF($D$11&gt;$C$61,E61,IF($D$11&gt;$C$60,E60,IF($D$11&gt;$C$59,E59,IF(D11&gt;C58,E58,IF(D11&gt;C57,E57,IF(D11&gt;C56,E56,IF(D11&gt;C55,E55,IF(D11&gt;C54,E54,IF(D11&gt;C53,E53,"")))))))))))))+IF(D11&gt;600000,"Do not qualify for SmartFunder",MAX(0,IF($D$11&gt;$C$63,F63,IF($D$11&gt;$C$62,F62,IF($D$11&gt;$C$61,F61,IF($D$11&gt;$C$60,F60,IF($D$11&gt;$C$59,F59,IF(D11&gt;C58,F58,IF(D11&gt;C57,F57,IF(D11&gt;C56,F56,IF(D11&gt;C55,F55,IF(D11&gt;C54,F54,IF(D11&gt;C53,F53,"")))))))))))))+IF(D11&gt;600000,"Do not qualify for SmartFunder",MAX(0,IF($D$11&gt;$C$63,G63,IF($D$11&gt;$C$62,G62,IF($D$11&gt;$C$61,G61,IF($D$11&gt;$C$60,G60,IF($D$11&gt;$C$59,G59,IF(D11&gt;C58,G58,IF(D11&gt;C57,G57,IF(D11&gt;C56,G56,IF(D11&gt;C55,G55,IF(D11&gt;C54,G54,IF(D11&gt;C53,G53,"")))))))))))))+IF(D11&gt;600000,"Do not qualify for SmartFunder",MAX(0,IF($D$11&gt;$C$63,J63,IF($D$11&gt;$C$62,J62,IF($D$11&gt;$C$61,J61,IF($D$11&gt;$C$60,J60,IF($D$11&gt;$C$59,J59,IF(D11&gt;C58,J58,IF(D11&gt;C57,J57,IF(D11&gt;C56,J56,IF(D11&gt;C55,J55,IF(D11&gt;C54,J54,IF(D11&gt;C53,J53,"")))))))))))))+IF(D11&gt;600000,"Do not qualify for SmartFunder",MAX(0,IF($D$11&gt;$C$63,K63,IF($D$11&gt;$C$62,K62,IF($D$11&gt;$C$61,K61,IF($D$11&gt;$C$60,K60,IF($D$11&gt;$C$59,K59,IF(D11&gt;C58,K58,IF(D11&gt;C57,K57,IF(D11&gt;C56,K56,IF(D11&gt;C55,K55,IF(D11&gt;C54,K54,IF(D11&gt;C53,K53,"")))))))))))))+IF(D11&gt;600000,"Do not qualify for SmartFunder",MAX(0,IF($D$11&gt;$C$63,L63,IF($D$11&gt;$C$62,L62,IF($D$11&gt;$C$61,L61,IF($D$11&gt;$C$60,L60,IF($D$11&gt;$C$59,L59,IF(D11&gt;C58,L58,IF(D11&gt;C57,L57,IF(D11&gt;C56,L56,IF(D11&gt;C55,L55,IF(D11&gt;C54,L54,IF(D11&gt;C53,L53,"")))))))))))))+IF(D11&gt;600000,"Do not qualify for SmartFunder",MAX(0,IF($D$11&gt;$C$63,M63,IF($D$11&gt;$C$62,M62,IF($D$11&gt;$C$61,M61,IF($D$11&gt;$C$60,M60,IF($D$11&gt;$C$59,M59,IF(D11&gt;C58,M58,IF(D11&gt;C57,M57,IF(D11&gt;C56,M56,IF(D11&gt;C55,M55,IF(D11&gt;C54,M54,IF(D11&gt;C53,M53,"")))))))))))))</f>
        <v>6210</v>
      </c>
      <c r="E27" s="137"/>
      <c r="F27" s="137"/>
      <c r="G27" s="211"/>
      <c r="H27" s="184"/>
      <c r="I27" s="184"/>
      <c r="J27" s="177"/>
      <c r="K27" s="177"/>
      <c r="L27" s="177"/>
      <c r="M27" s="177"/>
      <c r="N27" s="177"/>
      <c r="O27" s="177"/>
      <c r="P27" s="194"/>
      <c r="Q27" s="186"/>
      <c r="R27" s="186"/>
      <c r="S27" s="186"/>
      <c r="T27" s="186"/>
      <c r="U27" s="186"/>
    </row>
    <row r="28" spans="1:21" ht="17.399999999999999" x14ac:dyDescent="0.3">
      <c r="B28" s="109" t="s">
        <v>69</v>
      </c>
      <c r="C28" s="69"/>
      <c r="D28" s="71">
        <f>D12-D26-D27</f>
        <v>29790</v>
      </c>
      <c r="E28" s="71"/>
      <c r="F28" s="71"/>
      <c r="G28" s="212"/>
      <c r="H28" s="195"/>
      <c r="I28" s="195"/>
      <c r="J28" s="196"/>
      <c r="K28" s="196"/>
      <c r="L28" s="196"/>
      <c r="M28" s="196"/>
      <c r="N28" s="196"/>
      <c r="O28" s="196"/>
      <c r="P28" s="144"/>
    </row>
    <row r="29" spans="1:21" ht="36" customHeight="1" thickBot="1" x14ac:dyDescent="0.3">
      <c r="B29" s="157" t="s">
        <v>65</v>
      </c>
      <c r="C29" s="158"/>
      <c r="D29" s="158"/>
      <c r="E29" s="158"/>
      <c r="F29" s="158"/>
      <c r="G29" s="159"/>
      <c r="H29" s="197"/>
      <c r="I29" s="197"/>
      <c r="J29" s="197"/>
      <c r="K29" s="197"/>
      <c r="L29" s="197"/>
      <c r="M29" s="197"/>
      <c r="N29" s="197"/>
      <c r="O29" s="197"/>
    </row>
    <row r="30" spans="1:21" s="75" customFormat="1" ht="21.75" customHeight="1" x14ac:dyDescent="0.25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</row>
    <row r="31" spans="1:21" s="74" customFormat="1" ht="16.5" customHeight="1" x14ac:dyDescent="0.25">
      <c r="A31" s="75"/>
      <c r="B31" s="76"/>
      <c r="C31" s="76"/>
      <c r="D31" s="76"/>
      <c r="E31" s="76"/>
      <c r="F31" s="76"/>
      <c r="G31" s="76"/>
      <c r="H31" s="76"/>
      <c r="I31" s="76"/>
    </row>
    <row r="32" spans="1:21" s="7" customFormat="1" ht="15.75" customHeight="1" x14ac:dyDescent="0.25">
      <c r="A32" s="77"/>
      <c r="B32" s="78" t="s">
        <v>56</v>
      </c>
      <c r="C32" s="79"/>
      <c r="D32" s="79"/>
      <c r="E32" s="79"/>
      <c r="F32" s="79"/>
      <c r="G32" s="80"/>
      <c r="H32" s="80"/>
      <c r="I32" s="80"/>
      <c r="J32" s="81"/>
      <c r="K32" s="82"/>
      <c r="L32" s="82"/>
      <c r="M32" s="82"/>
    </row>
    <row r="33" spans="1:13" s="7" customFormat="1" ht="15.75" customHeight="1" x14ac:dyDescent="0.25">
      <c r="A33" s="77"/>
      <c r="B33" s="83"/>
      <c r="C33" s="79"/>
      <c r="D33" s="79"/>
      <c r="E33" s="79"/>
      <c r="F33" s="79"/>
      <c r="G33" s="80"/>
      <c r="H33" s="80"/>
      <c r="I33" s="80"/>
      <c r="J33" s="81"/>
      <c r="K33" s="82"/>
      <c r="L33" s="82"/>
      <c r="M33" s="82"/>
    </row>
    <row r="34" spans="1:13" s="7" customFormat="1" ht="14.1" customHeight="1" x14ac:dyDescent="0.25">
      <c r="A34" s="77"/>
      <c r="B34" s="84" t="s">
        <v>53</v>
      </c>
      <c r="C34" s="82"/>
      <c r="D34" s="80"/>
      <c r="E34" s="80"/>
      <c r="F34" s="80"/>
      <c r="G34" s="80"/>
      <c r="H34" s="80"/>
      <c r="I34" s="80"/>
      <c r="J34" s="82"/>
      <c r="K34" s="82"/>
      <c r="L34" s="82"/>
      <c r="M34" s="82"/>
    </row>
    <row r="35" spans="1:13" s="7" customFormat="1" ht="13.8" x14ac:dyDescent="0.25">
      <c r="A35" s="77"/>
      <c r="B35" s="85" t="s">
        <v>48</v>
      </c>
      <c r="C35" s="82"/>
      <c r="D35" s="86"/>
      <c r="E35" s="86"/>
      <c r="F35" s="86"/>
      <c r="G35" s="86"/>
      <c r="H35" s="86"/>
      <c r="I35" s="86"/>
      <c r="J35" s="82"/>
      <c r="K35" s="82"/>
      <c r="L35" s="82"/>
      <c r="M35" s="82"/>
    </row>
    <row r="36" spans="1:13" s="7" customFormat="1" ht="13.8" x14ac:dyDescent="0.25">
      <c r="A36" s="77"/>
      <c r="B36" s="85" t="s">
        <v>49</v>
      </c>
      <c r="C36" s="82"/>
      <c r="D36" s="86"/>
      <c r="E36" s="86"/>
      <c r="F36" s="86"/>
      <c r="G36" s="86"/>
      <c r="H36" s="86"/>
      <c r="I36" s="86"/>
      <c r="J36" s="82"/>
      <c r="K36" s="82"/>
      <c r="L36" s="82"/>
      <c r="M36" s="82"/>
    </row>
    <row r="37" spans="1:13" s="7" customFormat="1" ht="13.8" x14ac:dyDescent="0.25">
      <c r="A37" s="77"/>
      <c r="B37" s="82"/>
      <c r="C37" s="82"/>
      <c r="D37" s="86"/>
      <c r="E37" s="86"/>
      <c r="F37" s="86"/>
      <c r="G37" s="86"/>
      <c r="H37" s="86"/>
      <c r="I37" s="86"/>
      <c r="J37" s="82"/>
      <c r="K37" s="82"/>
      <c r="L37" s="82"/>
      <c r="M37" s="82"/>
    </row>
    <row r="38" spans="1:13" s="7" customFormat="1" ht="13.8" x14ac:dyDescent="0.25">
      <c r="A38" s="77"/>
      <c r="B38" s="87" t="s">
        <v>2</v>
      </c>
      <c r="C38" s="87"/>
      <c r="D38" s="85"/>
      <c r="E38" s="82"/>
      <c r="F38" s="82"/>
      <c r="G38" s="82"/>
      <c r="H38" s="82"/>
      <c r="I38" s="82"/>
      <c r="J38" s="82"/>
      <c r="K38" s="82"/>
      <c r="L38" s="82"/>
      <c r="M38" s="82"/>
    </row>
    <row r="39" spans="1:13" s="7" customFormat="1" ht="13.8" x14ac:dyDescent="0.25">
      <c r="A39" s="77"/>
      <c r="B39" s="88">
        <v>0</v>
      </c>
      <c r="C39" s="89">
        <v>0.18</v>
      </c>
      <c r="D39" s="90"/>
      <c r="E39" s="86"/>
      <c r="F39" s="91"/>
      <c r="G39" s="82"/>
      <c r="H39" s="82"/>
      <c r="I39" s="82"/>
      <c r="J39" s="82"/>
      <c r="K39" s="82"/>
      <c r="L39" s="82"/>
      <c r="M39" s="82"/>
    </row>
    <row r="40" spans="1:13" s="7" customFormat="1" ht="13.8" x14ac:dyDescent="0.25">
      <c r="A40" s="77"/>
      <c r="B40" s="92">
        <v>195850</v>
      </c>
      <c r="C40" s="93">
        <v>0.26</v>
      </c>
      <c r="D40" s="94">
        <v>35253</v>
      </c>
      <c r="E40" s="95"/>
      <c r="F40" s="91"/>
      <c r="G40" s="86"/>
      <c r="H40" s="86"/>
      <c r="I40" s="86"/>
      <c r="J40" s="82"/>
      <c r="K40" s="82"/>
      <c r="L40" s="82"/>
      <c r="M40" s="82"/>
    </row>
    <row r="41" spans="1:13" s="7" customFormat="1" ht="13.8" x14ac:dyDescent="0.25">
      <c r="A41" s="77"/>
      <c r="B41" s="92">
        <v>305850</v>
      </c>
      <c r="C41" s="93">
        <v>0.31</v>
      </c>
      <c r="D41" s="94">
        <v>63853</v>
      </c>
      <c r="E41" s="95"/>
      <c r="F41" s="91"/>
      <c r="G41" s="86"/>
      <c r="H41" s="86"/>
      <c r="I41" s="86"/>
      <c r="J41" s="82"/>
      <c r="K41" s="82"/>
      <c r="L41" s="82"/>
      <c r="M41" s="82"/>
    </row>
    <row r="42" spans="1:13" s="7" customFormat="1" ht="13.8" x14ac:dyDescent="0.25">
      <c r="A42" s="77"/>
      <c r="B42" s="92">
        <v>423300</v>
      </c>
      <c r="C42" s="93">
        <v>0.36</v>
      </c>
      <c r="D42" s="94">
        <v>100263</v>
      </c>
      <c r="E42" s="95"/>
      <c r="F42" s="91"/>
      <c r="G42" s="86"/>
      <c r="H42" s="86"/>
      <c r="I42" s="86"/>
      <c r="J42" s="82"/>
      <c r="K42" s="82"/>
      <c r="L42" s="82"/>
      <c r="M42" s="82"/>
    </row>
    <row r="43" spans="1:13" s="7" customFormat="1" ht="13.8" x14ac:dyDescent="0.25">
      <c r="A43" s="77"/>
      <c r="B43" s="92">
        <v>555600</v>
      </c>
      <c r="C43" s="93">
        <v>0.39</v>
      </c>
      <c r="D43" s="94">
        <v>147891</v>
      </c>
      <c r="E43" s="95"/>
      <c r="F43" s="91"/>
      <c r="G43" s="86"/>
      <c r="H43" s="86"/>
      <c r="I43" s="86"/>
      <c r="J43" s="82"/>
      <c r="K43" s="82"/>
      <c r="L43" s="82"/>
      <c r="M43" s="82"/>
    </row>
    <row r="44" spans="1:13" s="7" customFormat="1" ht="13.8" x14ac:dyDescent="0.25">
      <c r="A44" s="77"/>
      <c r="B44" s="92">
        <v>708310</v>
      </c>
      <c r="C44" s="96">
        <v>0.41</v>
      </c>
      <c r="D44" s="94">
        <v>207448</v>
      </c>
      <c r="E44" s="95"/>
      <c r="F44" s="97"/>
      <c r="G44" s="86"/>
      <c r="H44" s="86"/>
      <c r="I44" s="86"/>
      <c r="J44" s="82"/>
      <c r="K44" s="82"/>
      <c r="L44" s="82"/>
      <c r="M44" s="82"/>
    </row>
    <row r="45" spans="1:13" s="7" customFormat="1" ht="13.8" x14ac:dyDescent="0.25">
      <c r="A45" s="77"/>
      <c r="B45" s="92">
        <v>1500000</v>
      </c>
      <c r="C45" s="96">
        <v>0.45</v>
      </c>
      <c r="D45" s="94">
        <v>532041</v>
      </c>
      <c r="E45" s="95"/>
      <c r="F45" s="97"/>
      <c r="G45" s="86"/>
      <c r="H45" s="86"/>
      <c r="I45" s="86"/>
      <c r="J45" s="98"/>
      <c r="K45" s="82"/>
      <c r="L45" s="82"/>
      <c r="M45" s="82"/>
    </row>
    <row r="46" spans="1:13" s="7" customFormat="1" ht="13.8" x14ac:dyDescent="0.25">
      <c r="A46" s="77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1:13" s="7" customFormat="1" ht="13.8" x14ac:dyDescent="0.25">
      <c r="A47" s="77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1:13" s="7" customFormat="1" ht="13.8" x14ac:dyDescent="0.25">
      <c r="A48" s="77"/>
      <c r="B48" s="85" t="s">
        <v>1</v>
      </c>
      <c r="C48" s="99"/>
      <c r="D48" s="100">
        <v>14220</v>
      </c>
      <c r="E48" s="101"/>
      <c r="F48" s="101"/>
      <c r="G48" s="82"/>
      <c r="H48" s="82"/>
      <c r="I48" s="82"/>
      <c r="J48" s="82"/>
      <c r="K48" s="82"/>
      <c r="L48" s="82"/>
      <c r="M48" s="82"/>
    </row>
    <row r="49" spans="1:13" s="7" customFormat="1" ht="13.8" x14ac:dyDescent="0.25">
      <c r="A49" s="77"/>
      <c r="B49" s="82"/>
      <c r="C49" s="82"/>
      <c r="D49" s="86"/>
      <c r="E49" s="86"/>
      <c r="F49" s="86"/>
      <c r="G49" s="86"/>
      <c r="H49" s="86"/>
      <c r="I49" s="86"/>
      <c r="J49" s="82"/>
      <c r="K49" s="82"/>
      <c r="L49" s="82"/>
      <c r="M49" s="82"/>
    </row>
    <row r="50" spans="1:13" s="7" customFormat="1" ht="13.8" x14ac:dyDescent="0.25">
      <c r="A50" s="77"/>
      <c r="B50" s="82"/>
      <c r="C50" s="82"/>
      <c r="D50" s="86"/>
      <c r="E50" s="86"/>
      <c r="F50" s="86"/>
      <c r="G50" s="86"/>
      <c r="H50" s="86"/>
      <c r="I50" s="86"/>
      <c r="J50" s="82"/>
      <c r="K50" s="82"/>
      <c r="L50" s="82"/>
      <c r="M50" s="82"/>
    </row>
    <row r="51" spans="1:13" s="7" customFormat="1" ht="82.8" x14ac:dyDescent="0.25">
      <c r="A51" s="77"/>
      <c r="B51" s="102" t="s">
        <v>16</v>
      </c>
      <c r="C51" s="82"/>
      <c r="D51" s="103" t="s">
        <v>64</v>
      </c>
      <c r="E51" s="103" t="s">
        <v>58</v>
      </c>
      <c r="F51" s="103" t="s">
        <v>57</v>
      </c>
      <c r="G51" s="103" t="s">
        <v>59</v>
      </c>
      <c r="H51" s="103"/>
      <c r="I51" s="103"/>
      <c r="J51" s="103" t="s">
        <v>60</v>
      </c>
      <c r="K51" s="103" t="s">
        <v>61</v>
      </c>
      <c r="L51" s="103" t="s">
        <v>62</v>
      </c>
      <c r="M51" s="103" t="s">
        <v>63</v>
      </c>
    </row>
    <row r="52" spans="1:13" s="105" customFormat="1" ht="13.8" x14ac:dyDescent="0.3">
      <c r="A52" s="104"/>
      <c r="B52" s="102"/>
      <c r="C52" s="103"/>
      <c r="D52" s="103"/>
      <c r="E52" s="107">
        <f>IFERROR(VLOOKUP(E15,Sheet3!$A:$B,2,0),0)</f>
        <v>12</v>
      </c>
      <c r="F52" s="107">
        <f>IFERROR(VLOOKUP(E16,Sheet3!$A:$B,2,0),0)</f>
        <v>12</v>
      </c>
      <c r="G52" s="108">
        <f>IFERROR(VLOOKUP(E17,Sheet3!$A:$B,2,0),0)</f>
        <v>12</v>
      </c>
      <c r="H52" s="108"/>
      <c r="I52" s="108"/>
      <c r="J52" s="108">
        <f>IFERROR(VLOOKUP(E18,Sheet3!$A:$B,2,0),0)</f>
        <v>0</v>
      </c>
      <c r="K52" s="108">
        <f>IFERROR(VLOOKUP(#REF!,Sheet3!$A:$B,2,0),0)</f>
        <v>0</v>
      </c>
      <c r="L52" s="108">
        <f>IFERROR(VLOOKUP(#REF!,Sheet3!$A:$B,2,0),0)</f>
        <v>0</v>
      </c>
      <c r="M52" s="108">
        <f>IFERROR(VLOOKUP(#REF!,Sheet3!$A:$B,2,0),0)</f>
        <v>0</v>
      </c>
    </row>
    <row r="53" spans="1:13" s="7" customFormat="1" ht="13.8" x14ac:dyDescent="0.25">
      <c r="A53" s="77"/>
      <c r="B53" s="148" t="s">
        <v>18</v>
      </c>
      <c r="C53" s="106">
        <v>0</v>
      </c>
      <c r="D53" s="149">
        <v>10</v>
      </c>
      <c r="E53" s="106">
        <f>D53*115%*$E$52</f>
        <v>138</v>
      </c>
      <c r="F53" s="106">
        <f>D53*115%*$F$52</f>
        <v>138</v>
      </c>
      <c r="G53" s="106">
        <f>D53*115%*$G$52</f>
        <v>138</v>
      </c>
      <c r="H53" s="106"/>
      <c r="I53" s="106"/>
      <c r="J53" s="106">
        <f>D53*115%*$J$52</f>
        <v>0</v>
      </c>
      <c r="K53" s="106">
        <f>D53*115%*$K$52</f>
        <v>0</v>
      </c>
      <c r="L53" s="106">
        <f>D53*115%*$L$52</f>
        <v>0</v>
      </c>
      <c r="M53" s="106">
        <f>D53*115%*$M$52</f>
        <v>0</v>
      </c>
    </row>
    <row r="54" spans="1:13" s="7" customFormat="1" ht="13.8" x14ac:dyDescent="0.25">
      <c r="A54" s="77"/>
      <c r="B54" s="148" t="s">
        <v>19</v>
      </c>
      <c r="C54" s="106">
        <v>99999.99</v>
      </c>
      <c r="D54" s="149">
        <v>30</v>
      </c>
      <c r="E54" s="106">
        <f>D54*115%*$E$52</f>
        <v>414</v>
      </c>
      <c r="F54" s="106">
        <f t="shared" ref="F54:F63" si="2">D54*115%*$F$52</f>
        <v>414</v>
      </c>
      <c r="G54" s="106">
        <f t="shared" ref="G54:G63" si="3">D54*115%*$G$52</f>
        <v>414</v>
      </c>
      <c r="H54" s="106"/>
      <c r="I54" s="106"/>
      <c r="J54" s="106">
        <f t="shared" ref="J54:J63" si="4">D54*115%*$J$52</f>
        <v>0</v>
      </c>
      <c r="K54" s="106">
        <f t="shared" ref="K54:K63" si="5">D54*115%*$K$52</f>
        <v>0</v>
      </c>
      <c r="L54" s="106">
        <f t="shared" ref="L54:L63" si="6">D54*115%*$L$52</f>
        <v>0</v>
      </c>
      <c r="M54" s="106">
        <f t="shared" ref="M54:M63" si="7">D54*115%*$M$52</f>
        <v>0</v>
      </c>
    </row>
    <row r="55" spans="1:13" s="7" customFormat="1" ht="13.8" x14ac:dyDescent="0.25">
      <c r="A55" s="77"/>
      <c r="B55" s="148" t="s">
        <v>20</v>
      </c>
      <c r="C55" s="106">
        <v>149999.99</v>
      </c>
      <c r="D55" s="149">
        <v>50</v>
      </c>
      <c r="E55" s="106">
        <f>D55*115%*$E$52</f>
        <v>689.99999999999989</v>
      </c>
      <c r="F55" s="106">
        <f t="shared" si="2"/>
        <v>689.99999999999989</v>
      </c>
      <c r="G55" s="106">
        <f t="shared" si="3"/>
        <v>689.99999999999989</v>
      </c>
      <c r="H55" s="106"/>
      <c r="I55" s="106"/>
      <c r="J55" s="106">
        <f t="shared" si="4"/>
        <v>0</v>
      </c>
      <c r="K55" s="106">
        <f t="shared" si="5"/>
        <v>0</v>
      </c>
      <c r="L55" s="106">
        <f t="shared" si="6"/>
        <v>0</v>
      </c>
      <c r="M55" s="106">
        <f t="shared" si="7"/>
        <v>0</v>
      </c>
    </row>
    <row r="56" spans="1:13" s="7" customFormat="1" ht="13.8" x14ac:dyDescent="0.25">
      <c r="A56" s="77"/>
      <c r="B56" s="148" t="s">
        <v>21</v>
      </c>
      <c r="C56" s="106">
        <v>199999.99</v>
      </c>
      <c r="D56" s="149">
        <v>70</v>
      </c>
      <c r="E56" s="106">
        <f t="shared" ref="E56:E63" si="8">D56*115%*$E$52</f>
        <v>966</v>
      </c>
      <c r="F56" s="106">
        <f t="shared" si="2"/>
        <v>966</v>
      </c>
      <c r="G56" s="106">
        <f t="shared" si="3"/>
        <v>966</v>
      </c>
      <c r="H56" s="106"/>
      <c r="I56" s="106"/>
      <c r="J56" s="106">
        <f t="shared" si="4"/>
        <v>0</v>
      </c>
      <c r="K56" s="106">
        <f t="shared" si="5"/>
        <v>0</v>
      </c>
      <c r="L56" s="106">
        <f t="shared" si="6"/>
        <v>0</v>
      </c>
      <c r="M56" s="106">
        <f t="shared" si="7"/>
        <v>0</v>
      </c>
    </row>
    <row r="57" spans="1:13" s="7" customFormat="1" ht="13.8" x14ac:dyDescent="0.25">
      <c r="A57" s="77"/>
      <c r="B57" s="148" t="s">
        <v>22</v>
      </c>
      <c r="C57" s="106">
        <v>249999.99</v>
      </c>
      <c r="D57" s="149">
        <v>90</v>
      </c>
      <c r="E57" s="106">
        <f>D57*115%*$E$52</f>
        <v>1241.9999999999998</v>
      </c>
      <c r="F57" s="106">
        <f t="shared" si="2"/>
        <v>1241.9999999999998</v>
      </c>
      <c r="G57" s="106">
        <f t="shared" si="3"/>
        <v>1241.9999999999998</v>
      </c>
      <c r="H57" s="106"/>
      <c r="I57" s="106"/>
      <c r="J57" s="106">
        <f t="shared" si="4"/>
        <v>0</v>
      </c>
      <c r="K57" s="106">
        <f t="shared" si="5"/>
        <v>0</v>
      </c>
      <c r="L57" s="106">
        <f t="shared" si="6"/>
        <v>0</v>
      </c>
      <c r="M57" s="106">
        <f t="shared" si="7"/>
        <v>0</v>
      </c>
    </row>
    <row r="58" spans="1:13" s="7" customFormat="1" ht="13.8" x14ac:dyDescent="0.25">
      <c r="A58" s="77"/>
      <c r="B58" s="148" t="s">
        <v>23</v>
      </c>
      <c r="C58" s="106">
        <v>299999.99</v>
      </c>
      <c r="D58" s="149">
        <v>100</v>
      </c>
      <c r="E58" s="106">
        <f t="shared" si="8"/>
        <v>1379.9999999999998</v>
      </c>
      <c r="F58" s="106">
        <f t="shared" si="2"/>
        <v>1379.9999999999998</v>
      </c>
      <c r="G58" s="106">
        <f t="shared" si="3"/>
        <v>1379.9999999999998</v>
      </c>
      <c r="H58" s="106"/>
      <c r="I58" s="106"/>
      <c r="J58" s="106">
        <f t="shared" si="4"/>
        <v>0</v>
      </c>
      <c r="K58" s="106">
        <f t="shared" si="5"/>
        <v>0</v>
      </c>
      <c r="L58" s="106">
        <f t="shared" si="6"/>
        <v>0</v>
      </c>
      <c r="M58" s="106">
        <f t="shared" si="7"/>
        <v>0</v>
      </c>
    </row>
    <row r="59" spans="1:13" s="7" customFormat="1" ht="13.8" x14ac:dyDescent="0.25">
      <c r="A59" s="77"/>
      <c r="B59" s="148" t="s">
        <v>24</v>
      </c>
      <c r="C59" s="106">
        <v>349999.99</v>
      </c>
      <c r="D59" s="149">
        <v>110</v>
      </c>
      <c r="E59" s="106">
        <f t="shared" si="8"/>
        <v>1517.9999999999998</v>
      </c>
      <c r="F59" s="106">
        <f t="shared" si="2"/>
        <v>1517.9999999999998</v>
      </c>
      <c r="G59" s="106">
        <f t="shared" si="3"/>
        <v>1517.9999999999998</v>
      </c>
      <c r="H59" s="106"/>
      <c r="I59" s="106"/>
      <c r="J59" s="106">
        <f t="shared" si="4"/>
        <v>0</v>
      </c>
      <c r="K59" s="106">
        <f t="shared" si="5"/>
        <v>0</v>
      </c>
      <c r="L59" s="106">
        <f t="shared" si="6"/>
        <v>0</v>
      </c>
      <c r="M59" s="106">
        <f t="shared" si="7"/>
        <v>0</v>
      </c>
    </row>
    <row r="60" spans="1:13" s="7" customFormat="1" ht="13.8" x14ac:dyDescent="0.25">
      <c r="A60" s="77"/>
      <c r="B60" s="148" t="s">
        <v>25</v>
      </c>
      <c r="C60" s="106">
        <v>399999.99</v>
      </c>
      <c r="D60" s="149">
        <v>120</v>
      </c>
      <c r="E60" s="106">
        <f t="shared" si="8"/>
        <v>1656</v>
      </c>
      <c r="F60" s="106">
        <f t="shared" si="2"/>
        <v>1656</v>
      </c>
      <c r="G60" s="106">
        <f t="shared" si="3"/>
        <v>1656</v>
      </c>
      <c r="H60" s="106"/>
      <c r="I60" s="106"/>
      <c r="J60" s="106">
        <f t="shared" si="4"/>
        <v>0</v>
      </c>
      <c r="K60" s="106">
        <f t="shared" si="5"/>
        <v>0</v>
      </c>
      <c r="L60" s="106">
        <f t="shared" si="6"/>
        <v>0</v>
      </c>
      <c r="M60" s="106">
        <f t="shared" si="7"/>
        <v>0</v>
      </c>
    </row>
    <row r="61" spans="1:13" s="7" customFormat="1" ht="13.8" x14ac:dyDescent="0.25">
      <c r="A61" s="77"/>
      <c r="B61" s="148" t="s">
        <v>26</v>
      </c>
      <c r="C61" s="106">
        <v>449999.99</v>
      </c>
      <c r="D61" s="149">
        <v>130</v>
      </c>
      <c r="E61" s="106">
        <f t="shared" si="8"/>
        <v>1794</v>
      </c>
      <c r="F61" s="106">
        <f t="shared" si="2"/>
        <v>1794</v>
      </c>
      <c r="G61" s="106">
        <f t="shared" si="3"/>
        <v>1794</v>
      </c>
      <c r="H61" s="106"/>
      <c r="I61" s="106"/>
      <c r="J61" s="106">
        <f t="shared" si="4"/>
        <v>0</v>
      </c>
      <c r="K61" s="106">
        <f t="shared" si="5"/>
        <v>0</v>
      </c>
      <c r="L61" s="106">
        <f t="shared" si="6"/>
        <v>0</v>
      </c>
      <c r="M61" s="106">
        <f t="shared" si="7"/>
        <v>0</v>
      </c>
    </row>
    <row r="62" spans="1:13" s="7" customFormat="1" ht="13.8" x14ac:dyDescent="0.25">
      <c r="A62" s="77"/>
      <c r="B62" s="148" t="s">
        <v>27</v>
      </c>
      <c r="C62" s="106">
        <v>499999.99</v>
      </c>
      <c r="D62" s="149">
        <v>140</v>
      </c>
      <c r="E62" s="106">
        <f t="shared" si="8"/>
        <v>1932</v>
      </c>
      <c r="F62" s="106">
        <f t="shared" si="2"/>
        <v>1932</v>
      </c>
      <c r="G62" s="106">
        <f t="shared" si="3"/>
        <v>1932</v>
      </c>
      <c r="H62" s="106"/>
      <c r="I62" s="106"/>
      <c r="J62" s="106">
        <f t="shared" si="4"/>
        <v>0</v>
      </c>
      <c r="K62" s="106">
        <f t="shared" si="5"/>
        <v>0</v>
      </c>
      <c r="L62" s="106">
        <f t="shared" si="6"/>
        <v>0</v>
      </c>
      <c r="M62" s="106">
        <f t="shared" si="7"/>
        <v>0</v>
      </c>
    </row>
    <row r="63" spans="1:13" s="7" customFormat="1" ht="13.8" x14ac:dyDescent="0.25">
      <c r="A63" s="77"/>
      <c r="B63" s="148" t="s">
        <v>28</v>
      </c>
      <c r="C63" s="106">
        <v>549999.99</v>
      </c>
      <c r="D63" s="149">
        <v>150</v>
      </c>
      <c r="E63" s="106">
        <f t="shared" si="8"/>
        <v>2070</v>
      </c>
      <c r="F63" s="106">
        <f t="shared" si="2"/>
        <v>2070</v>
      </c>
      <c r="G63" s="106">
        <f t="shared" si="3"/>
        <v>2070</v>
      </c>
      <c r="H63" s="106"/>
      <c r="I63" s="106"/>
      <c r="J63" s="106">
        <f t="shared" si="4"/>
        <v>0</v>
      </c>
      <c r="K63" s="106">
        <f t="shared" si="5"/>
        <v>0</v>
      </c>
      <c r="L63" s="106">
        <f t="shared" si="6"/>
        <v>0</v>
      </c>
      <c r="M63" s="106">
        <f t="shared" si="7"/>
        <v>0</v>
      </c>
    </row>
    <row r="64" spans="1:13" x14ac:dyDescent="0.25">
      <c r="B64" s="75"/>
      <c r="C64" s="75"/>
      <c r="D64" s="73"/>
      <c r="E64" s="73"/>
      <c r="F64" s="73"/>
      <c r="G64" s="73"/>
      <c r="H64" s="73"/>
      <c r="I64" s="73"/>
      <c r="J64" s="75"/>
    </row>
    <row r="65" spans="2:10" x14ac:dyDescent="0.25">
      <c r="B65" s="75"/>
      <c r="C65" s="75"/>
      <c r="D65" s="73"/>
      <c r="E65" s="73"/>
      <c r="F65" s="73"/>
      <c r="G65" s="73"/>
      <c r="H65" s="73"/>
      <c r="I65" s="73"/>
      <c r="J65" s="75"/>
    </row>
    <row r="66" spans="2:10" x14ac:dyDescent="0.25">
      <c r="B66" s="75"/>
      <c r="C66" s="75"/>
      <c r="D66" s="73"/>
      <c r="E66" s="73"/>
      <c r="F66" s="73"/>
      <c r="G66" s="73"/>
      <c r="H66" s="73"/>
      <c r="I66" s="73"/>
      <c r="J66" s="75"/>
    </row>
  </sheetData>
  <sheetProtection selectLockedCells="1"/>
  <mergeCells count="14">
    <mergeCell ref="B3:G3"/>
    <mergeCell ref="B4:G4"/>
    <mergeCell ref="B5:G5"/>
    <mergeCell ref="B6:G6"/>
    <mergeCell ref="B7:G7"/>
    <mergeCell ref="J20:O20"/>
    <mergeCell ref="J12:O12"/>
    <mergeCell ref="J13:O13"/>
    <mergeCell ref="J14:O14"/>
    <mergeCell ref="J10:O10"/>
    <mergeCell ref="J19:O19"/>
    <mergeCell ref="J11:O11"/>
    <mergeCell ref="B9:G9"/>
    <mergeCell ref="B29:G29"/>
  </mergeCells>
  <phoneticPr fontId="37" type="noConversion"/>
  <dataValidations count="1">
    <dataValidation type="list" allowBlank="1" showInputMessage="1" showErrorMessage="1" sqref="C15:C18" xr:uid="{00000000-0002-0000-0200-000000000000}">
      <formula1>$B$35:$B$36</formula1>
    </dataValidation>
  </dataValidations>
  <pageMargins left="0.75" right="0.75" top="1" bottom="1" header="0.5" footer="0.5"/>
  <pageSetup paperSize="8" orientation="landscape" r:id="rId1"/>
  <headerFooter alignWithMargins="0"/>
  <rowBreaks count="1" manualBreakCount="1">
    <brk id="3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B74C3-5D57-4E95-9DF1-6A7D548A739C}">
          <x14:formula1>
            <xm:f>Sheet3!$A$1:$A$12</xm:f>
          </x14:formula1>
          <xm:sqref>E15:E18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13" sqref="B13"/>
    </sheetView>
  </sheetViews>
  <sheetFormatPr defaultRowHeight="15.6" x14ac:dyDescent="0.3"/>
  <cols>
    <col min="1" max="1" width="15.19921875" customWidth="1"/>
  </cols>
  <sheetData>
    <row r="1" spans="1:2" x14ac:dyDescent="0.3">
      <c r="A1" t="s">
        <v>80</v>
      </c>
      <c r="B1">
        <v>12</v>
      </c>
    </row>
    <row r="2" spans="1:2" x14ac:dyDescent="0.3">
      <c r="A2" t="s">
        <v>81</v>
      </c>
      <c r="B2">
        <v>11</v>
      </c>
    </row>
    <row r="3" spans="1:2" x14ac:dyDescent="0.3">
      <c r="A3" t="s">
        <v>82</v>
      </c>
      <c r="B3">
        <v>10</v>
      </c>
    </row>
    <row r="4" spans="1:2" x14ac:dyDescent="0.3">
      <c r="A4" t="s">
        <v>83</v>
      </c>
      <c r="B4">
        <v>9</v>
      </c>
    </row>
    <row r="5" spans="1:2" x14ac:dyDescent="0.3">
      <c r="A5" t="s">
        <v>84</v>
      </c>
      <c r="B5">
        <v>8</v>
      </c>
    </row>
    <row r="6" spans="1:2" x14ac:dyDescent="0.3">
      <c r="A6" t="s">
        <v>85</v>
      </c>
      <c r="B6">
        <v>7</v>
      </c>
    </row>
    <row r="7" spans="1:2" x14ac:dyDescent="0.3">
      <c r="A7" t="s">
        <v>86</v>
      </c>
      <c r="B7">
        <v>6</v>
      </c>
    </row>
    <row r="8" spans="1:2" x14ac:dyDescent="0.3">
      <c r="A8" t="s">
        <v>87</v>
      </c>
      <c r="B8">
        <v>5</v>
      </c>
    </row>
    <row r="9" spans="1:2" x14ac:dyDescent="0.3">
      <c r="A9" t="s">
        <v>88</v>
      </c>
      <c r="B9">
        <v>4</v>
      </c>
    </row>
    <row r="10" spans="1:2" x14ac:dyDescent="0.3">
      <c r="A10" t="s">
        <v>89</v>
      </c>
      <c r="B10">
        <v>3</v>
      </c>
    </row>
    <row r="11" spans="1:2" x14ac:dyDescent="0.3">
      <c r="A11" t="s">
        <v>90</v>
      </c>
      <c r="B11">
        <v>2</v>
      </c>
    </row>
    <row r="12" spans="1:2" x14ac:dyDescent="0.3">
      <c r="A12" t="s">
        <v>91</v>
      </c>
      <c r="B12">
        <v>1</v>
      </c>
    </row>
  </sheetData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D19" sqref="D1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984375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81"/>
  <sheetViews>
    <sheetView showGridLines="0" zoomScale="90" zoomScaleNormal="90" zoomScalePageLayoutView="90" workbookViewId="0"/>
  </sheetViews>
  <sheetFormatPr defaultColWidth="8.8984375" defaultRowHeight="13.8" x14ac:dyDescent="0.25"/>
  <cols>
    <col min="1" max="1" width="3.59765625" style="1" customWidth="1"/>
    <col min="2" max="2" width="59.5" style="7" customWidth="1"/>
    <col min="3" max="3" width="16.59765625" style="9" bestFit="1" customWidth="1"/>
    <col min="4" max="4" width="17.09765625" style="9" customWidth="1"/>
    <col min="5" max="5" width="15.3984375" style="1" bestFit="1" customWidth="1"/>
    <col min="6" max="6" width="8.8984375" style="1"/>
    <col min="7" max="7" width="34.8984375" style="1" customWidth="1"/>
    <col min="8" max="8" width="12.59765625" style="1" customWidth="1"/>
    <col min="9" max="9" width="20.59765625" style="1" customWidth="1"/>
    <col min="10" max="10" width="12.59765625" style="1" customWidth="1"/>
    <col min="11" max="13" width="8.8984375" style="1"/>
    <col min="14" max="14" width="14.59765625" style="1" bestFit="1" customWidth="1"/>
    <col min="15" max="16384" width="8.8984375" style="1"/>
  </cols>
  <sheetData>
    <row r="1" spans="2:12" ht="14.4" thickBot="1" x14ac:dyDescent="0.3"/>
    <row r="2" spans="2:12" ht="72.900000000000006" customHeight="1" thickBot="1" x14ac:dyDescent="0.35">
      <c r="B2" s="46" t="s">
        <v>34</v>
      </c>
      <c r="C2" s="47"/>
      <c r="D2" s="1"/>
      <c r="E2" s="65"/>
      <c r="F2" s="21"/>
      <c r="G2" s="66"/>
      <c r="H2" s="65"/>
    </row>
    <row r="3" spans="2:12" ht="18" thickBot="1" x14ac:dyDescent="0.35">
      <c r="B3" s="166" t="s">
        <v>31</v>
      </c>
      <c r="C3" s="167"/>
      <c r="D3" s="1"/>
      <c r="G3" s="1" t="s">
        <v>36</v>
      </c>
    </row>
    <row r="4" spans="2:12" s="8" customFormat="1" ht="17.399999999999999" x14ac:dyDescent="0.3">
      <c r="B4" s="24" t="s">
        <v>3</v>
      </c>
      <c r="C4" s="25" t="s">
        <v>0</v>
      </c>
      <c r="G4" s="62" t="s">
        <v>39</v>
      </c>
      <c r="H4" s="63">
        <f>C17</f>
        <v>49735.5</v>
      </c>
      <c r="I4" s="62" t="s">
        <v>37</v>
      </c>
      <c r="J4" s="62"/>
    </row>
    <row r="5" spans="2:12" ht="17.399999999999999" x14ac:dyDescent="0.3">
      <c r="B5" s="26" t="s">
        <v>4</v>
      </c>
      <c r="C5" s="28">
        <v>550000</v>
      </c>
      <c r="D5" s="1"/>
      <c r="G5" s="62" t="s">
        <v>38</v>
      </c>
      <c r="H5" s="64">
        <f>C5</f>
        <v>550000</v>
      </c>
      <c r="I5" s="62" t="s">
        <v>35</v>
      </c>
      <c r="J5" s="64">
        <f>C6</f>
        <v>131655</v>
      </c>
      <c r="K5" s="1" t="s">
        <v>40</v>
      </c>
    </row>
    <row r="6" spans="2:12" ht="18" thickBot="1" x14ac:dyDescent="0.35">
      <c r="B6" s="27" t="s">
        <v>11</v>
      </c>
      <c r="C6" s="28">
        <f>IF(C5&gt;600000,"Do not qualify for SmartFunder",MAX(0,IF($C$5&gt;$B$38,$D$38+($C$5-$B$38)*$C$38-$C$43,IF($C$5&gt;$B$37,$D$37+($C$5-$B$37)*$C$37-$C$43,IF($C$5&gt;$B$36,$D$36+($C$5-$B$36)*$C$36-$C$43,IF($C$5&gt;$B$35,$D$35+($C$5-$B$35)*$C$35-$C$43,IF($C$5&gt;$B$34,$D$34+($C$5-$B$34)*$C$34-$C$43,"")))))))</f>
        <v>131655</v>
      </c>
      <c r="D6" s="1"/>
      <c r="G6" s="62" t="s">
        <v>41</v>
      </c>
      <c r="H6" s="64">
        <f>C14</f>
        <v>410000</v>
      </c>
      <c r="I6" s="62" t="s">
        <v>42</v>
      </c>
      <c r="J6" s="64">
        <f>C15</f>
        <v>81919.5</v>
      </c>
    </row>
    <row r="7" spans="2:12" s="8" customFormat="1" ht="18" thickBot="1" x14ac:dyDescent="0.35">
      <c r="B7" s="22" t="s">
        <v>5</v>
      </c>
      <c r="C7" s="23"/>
      <c r="G7" s="62" t="s">
        <v>43</v>
      </c>
      <c r="H7" s="64">
        <f>C16</f>
        <v>0</v>
      </c>
      <c r="I7" s="62" t="s">
        <v>47</v>
      </c>
      <c r="J7" s="62"/>
      <c r="K7" s="1"/>
      <c r="L7" s="1"/>
    </row>
    <row r="8" spans="2:12" s="8" customFormat="1" ht="17.399999999999999" x14ac:dyDescent="0.3">
      <c r="B8" s="29" t="s">
        <v>15</v>
      </c>
      <c r="C8" s="30">
        <v>1</v>
      </c>
      <c r="G8" s="62" t="s">
        <v>45</v>
      </c>
      <c r="H8" s="63">
        <f>H4</f>
        <v>49735.5</v>
      </c>
      <c r="I8" s="62" t="s">
        <v>46</v>
      </c>
      <c r="J8" s="1"/>
      <c r="K8" s="1"/>
      <c r="L8" s="1"/>
    </row>
    <row r="9" spans="2:12" s="6" customFormat="1" ht="52.2" x14ac:dyDescent="0.3">
      <c r="B9" s="29" t="s">
        <v>9</v>
      </c>
      <c r="C9" s="31">
        <v>140000</v>
      </c>
      <c r="J9" s="1"/>
      <c r="K9" s="1"/>
      <c r="L9" s="1"/>
    </row>
    <row r="10" spans="2:12" ht="52.2" x14ac:dyDescent="0.3">
      <c r="B10" s="32" t="s">
        <v>10</v>
      </c>
      <c r="C10" s="33"/>
      <c r="D10" s="1"/>
    </row>
    <row r="11" spans="2:12" s="8" customFormat="1" ht="17.399999999999999" x14ac:dyDescent="0.3">
      <c r="B11" s="34" t="s">
        <v>6</v>
      </c>
      <c r="C11" s="35" t="s">
        <v>0</v>
      </c>
      <c r="J11" s="1"/>
      <c r="K11" s="1"/>
      <c r="L11" s="1"/>
    </row>
    <row r="12" spans="2:12" ht="17.399999999999999" x14ac:dyDescent="0.3">
      <c r="B12" s="26" t="str">
        <f>B5</f>
        <v>Current taxable income</v>
      </c>
      <c r="C12" s="36">
        <f>C5</f>
        <v>550000</v>
      </c>
      <c r="D12" s="11"/>
    </row>
    <row r="13" spans="2:12" ht="18" thickBot="1" x14ac:dyDescent="0.35">
      <c r="B13" s="37" t="s">
        <v>7</v>
      </c>
      <c r="C13" s="38">
        <f>-SUM(C9:C10)</f>
        <v>-140000</v>
      </c>
      <c r="D13" s="1"/>
      <c r="E13" s="65"/>
    </row>
    <row r="14" spans="2:12" ht="17.399999999999999" x14ac:dyDescent="0.3">
      <c r="B14" s="39" t="s">
        <v>8</v>
      </c>
      <c r="C14" s="36">
        <f>SUM(C12:C13)</f>
        <v>410000</v>
      </c>
      <c r="D14" s="1"/>
    </row>
    <row r="15" spans="2:12" ht="18" thickBot="1" x14ac:dyDescent="0.35">
      <c r="B15" s="40" t="s">
        <v>12</v>
      </c>
      <c r="C15" s="38">
        <f>IF(C14&gt;600000,"Do not qualify for SmartFunder",MAX(0,IF($C$14&gt;$B$38,$D$38+($C$14-$B$38)*$C$38-$C$43,IF($C$14&gt;$B$37,$D$37+($C$14-$B$37)*$C$37-$C$43,IF($C$14&gt;$B$36,$D$36+($C$14-$B$36)*$C$36-$C$43,IF($C$14&gt;$B$35,$D$35+($C$14-$B$35)*$C$35-$C$43,IF($C$14&gt;$B$34,$D$34+($C$14-$B$34)*$C$34-$C$43,"")))))))</f>
        <v>81919.5</v>
      </c>
      <c r="D15" s="11"/>
      <c r="E15" s="65"/>
    </row>
    <row r="16" spans="2:12" ht="17.399999999999999" x14ac:dyDescent="0.3">
      <c r="B16" s="41" t="s">
        <v>29</v>
      </c>
      <c r="C16" s="42"/>
      <c r="D16" s="11"/>
    </row>
    <row r="17" spans="2:4" ht="18" thickBot="1" x14ac:dyDescent="0.35">
      <c r="B17" s="43" t="s">
        <v>13</v>
      </c>
      <c r="C17" s="44">
        <f>C6-C15-C16</f>
        <v>49735.5</v>
      </c>
      <c r="D17" s="4"/>
    </row>
    <row r="18" spans="2:4" ht="47.1" customHeight="1" x14ac:dyDescent="0.25">
      <c r="B18" s="154" t="s">
        <v>14</v>
      </c>
      <c r="C18" s="154"/>
      <c r="D18" s="45"/>
    </row>
    <row r="19" spans="2:4" ht="14.1" customHeight="1" x14ac:dyDescent="0.25">
      <c r="B19" s="45"/>
      <c r="C19" s="45"/>
      <c r="D19" s="45"/>
    </row>
    <row r="33" spans="2:10" ht="13.2" x14ac:dyDescent="0.25">
      <c r="B33" s="1" t="s">
        <v>2</v>
      </c>
      <c r="C33" s="1"/>
      <c r="D33" s="1"/>
    </row>
    <row r="34" spans="2:10" ht="13.2" x14ac:dyDescent="0.25">
      <c r="B34" s="1">
        <v>0</v>
      </c>
      <c r="C34" s="2">
        <v>0.18</v>
      </c>
      <c r="D34" s="1"/>
    </row>
    <row r="35" spans="2:10" ht="13.2" x14ac:dyDescent="0.25">
      <c r="B35" s="3">
        <v>195850</v>
      </c>
      <c r="C35" s="2">
        <v>0.26</v>
      </c>
      <c r="D35" s="3">
        <v>35253</v>
      </c>
    </row>
    <row r="36" spans="2:10" ht="13.2" x14ac:dyDescent="0.25">
      <c r="B36" s="3">
        <v>305850</v>
      </c>
      <c r="C36" s="2">
        <v>0.31</v>
      </c>
      <c r="D36" s="3">
        <v>63853</v>
      </c>
    </row>
    <row r="37" spans="2:10" x14ac:dyDescent="0.25">
      <c r="B37" s="3">
        <v>423300</v>
      </c>
      <c r="C37" s="2">
        <v>0.36</v>
      </c>
      <c r="D37" s="3">
        <v>100263</v>
      </c>
      <c r="H37" s="7"/>
      <c r="I37" s="3"/>
      <c r="J37" s="3"/>
    </row>
    <row r="38" spans="2:10" ht="13.2" x14ac:dyDescent="0.25">
      <c r="B38" s="3">
        <v>555600</v>
      </c>
      <c r="C38" s="2">
        <v>0.39</v>
      </c>
      <c r="D38" s="3">
        <v>147891</v>
      </c>
    </row>
    <row r="39" spans="2:10" ht="13.2" x14ac:dyDescent="0.25">
      <c r="B39" s="3">
        <v>708310</v>
      </c>
      <c r="C39" s="5">
        <v>0.41</v>
      </c>
      <c r="D39" s="3">
        <v>207448</v>
      </c>
    </row>
    <row r="40" spans="2:10" ht="13.2" x14ac:dyDescent="0.25">
      <c r="B40" s="3">
        <v>1500000</v>
      </c>
      <c r="C40" s="5">
        <v>0.45</v>
      </c>
      <c r="D40" s="3">
        <v>532041</v>
      </c>
    </row>
    <row r="41" spans="2:10" ht="13.2" x14ac:dyDescent="0.25">
      <c r="B41" s="1"/>
      <c r="C41" s="1"/>
      <c r="D41" s="1"/>
    </row>
    <row r="42" spans="2:10" ht="13.2" x14ac:dyDescent="0.25">
      <c r="B42" s="1"/>
      <c r="C42" s="1"/>
      <c r="D42" s="1"/>
    </row>
    <row r="43" spans="2:10" ht="15" x14ac:dyDescent="0.25">
      <c r="B43" s="1" t="s">
        <v>1</v>
      </c>
      <c r="C43" s="10">
        <v>14220</v>
      </c>
      <c r="D43" s="1"/>
    </row>
    <row r="69" spans="2:7" ht="14.4" thickBot="1" x14ac:dyDescent="0.3"/>
    <row r="70" spans="2:7" ht="42" thickBot="1" x14ac:dyDescent="0.3">
      <c r="B70" s="12" t="s">
        <v>16</v>
      </c>
      <c r="C70" s="18"/>
      <c r="D70" s="18" t="s">
        <v>17</v>
      </c>
      <c r="E70" s="14" t="s">
        <v>30</v>
      </c>
    </row>
    <row r="71" spans="2:7" ht="14.4" thickBot="1" x14ac:dyDescent="0.3">
      <c r="B71" s="13" t="s">
        <v>18</v>
      </c>
      <c r="C71" s="17">
        <v>0</v>
      </c>
      <c r="D71" s="17">
        <v>10</v>
      </c>
      <c r="E71" s="19">
        <f>D71*115%*12</f>
        <v>138</v>
      </c>
      <c r="G71" s="20"/>
    </row>
    <row r="72" spans="2:7" ht="14.4" thickBot="1" x14ac:dyDescent="0.3">
      <c r="B72" s="13" t="s">
        <v>19</v>
      </c>
      <c r="C72" s="17">
        <v>99999.99</v>
      </c>
      <c r="D72" s="15">
        <v>25</v>
      </c>
      <c r="E72" s="19">
        <f t="shared" ref="E72:E81" si="0">D72*115%*12</f>
        <v>344.99999999999994</v>
      </c>
      <c r="G72" s="20"/>
    </row>
    <row r="73" spans="2:7" ht="14.4" thickBot="1" x14ac:dyDescent="0.3">
      <c r="B73" s="13" t="s">
        <v>20</v>
      </c>
      <c r="C73" s="15">
        <v>149999.99</v>
      </c>
      <c r="D73" s="17">
        <v>40</v>
      </c>
      <c r="E73" s="19">
        <f t="shared" si="0"/>
        <v>552</v>
      </c>
      <c r="G73" s="20"/>
    </row>
    <row r="74" spans="2:7" ht="14.4" thickBot="1" x14ac:dyDescent="0.3">
      <c r="B74" s="13" t="s">
        <v>21</v>
      </c>
      <c r="C74" s="17">
        <v>199999.99</v>
      </c>
      <c r="D74" s="15">
        <v>65</v>
      </c>
      <c r="E74" s="19">
        <f t="shared" si="0"/>
        <v>897</v>
      </c>
      <c r="G74" s="20"/>
    </row>
    <row r="75" spans="2:7" ht="14.4" thickBot="1" x14ac:dyDescent="0.3">
      <c r="B75" s="13" t="s">
        <v>22</v>
      </c>
      <c r="C75" s="15">
        <v>249999.99</v>
      </c>
      <c r="D75" s="17">
        <v>70</v>
      </c>
      <c r="E75" s="19">
        <f t="shared" si="0"/>
        <v>966</v>
      </c>
      <c r="G75" s="20"/>
    </row>
    <row r="76" spans="2:7" ht="14.4" thickBot="1" x14ac:dyDescent="0.3">
      <c r="B76" s="13" t="s">
        <v>23</v>
      </c>
      <c r="C76" s="17">
        <v>299999.99</v>
      </c>
      <c r="D76" s="15">
        <v>75</v>
      </c>
      <c r="E76" s="19">
        <f t="shared" si="0"/>
        <v>1035</v>
      </c>
      <c r="G76" s="20"/>
    </row>
    <row r="77" spans="2:7" ht="14.4" thickBot="1" x14ac:dyDescent="0.3">
      <c r="B77" s="13" t="s">
        <v>24</v>
      </c>
      <c r="C77" s="15">
        <v>349999.99</v>
      </c>
      <c r="D77" s="17">
        <v>80</v>
      </c>
      <c r="E77" s="19">
        <f t="shared" si="0"/>
        <v>1104</v>
      </c>
      <c r="G77" s="20"/>
    </row>
    <row r="78" spans="2:7" ht="14.4" thickBot="1" x14ac:dyDescent="0.3">
      <c r="B78" s="13" t="s">
        <v>25</v>
      </c>
      <c r="C78" s="17">
        <v>399999.99</v>
      </c>
      <c r="D78" s="15">
        <v>85</v>
      </c>
      <c r="E78" s="19">
        <f t="shared" si="0"/>
        <v>1172.9999999999998</v>
      </c>
      <c r="G78" s="20"/>
    </row>
    <row r="79" spans="2:7" ht="14.4" thickBot="1" x14ac:dyDescent="0.3">
      <c r="B79" s="13" t="s">
        <v>26</v>
      </c>
      <c r="C79" s="15">
        <v>449999.99</v>
      </c>
      <c r="D79" s="17">
        <v>90</v>
      </c>
      <c r="E79" s="19">
        <f t="shared" si="0"/>
        <v>1241.9999999999998</v>
      </c>
      <c r="G79" s="20"/>
    </row>
    <row r="80" spans="2:7" ht="14.4" thickBot="1" x14ac:dyDescent="0.3">
      <c r="B80" s="13" t="s">
        <v>27</v>
      </c>
      <c r="C80" s="17">
        <v>499999.99</v>
      </c>
      <c r="D80" s="17">
        <v>95</v>
      </c>
      <c r="E80" s="19">
        <f t="shared" si="0"/>
        <v>1310.9999999999998</v>
      </c>
      <c r="G80" s="20"/>
    </row>
    <row r="81" spans="2:7" ht="14.4" thickBot="1" x14ac:dyDescent="0.3">
      <c r="B81" s="13" t="s">
        <v>28</v>
      </c>
      <c r="C81" s="17">
        <v>549999.99</v>
      </c>
      <c r="D81" s="16">
        <v>100</v>
      </c>
      <c r="E81" s="19">
        <f t="shared" si="0"/>
        <v>1379.9999999999998</v>
      </c>
      <c r="G81" s="20"/>
    </row>
  </sheetData>
  <sheetProtection selectLockedCells="1"/>
  <mergeCells count="2">
    <mergeCell ref="B3:C3"/>
    <mergeCell ref="B18:C18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Dimension Data</vt:lpstr>
      <vt:lpstr>Ampath</vt:lpstr>
      <vt:lpstr>SmartFunder Savings Calcula (2</vt:lpstr>
      <vt:lpstr>Sheet3</vt:lpstr>
      <vt:lpstr>Sheet7</vt:lpstr>
      <vt:lpstr>Sheet2</vt:lpstr>
      <vt:lpstr>Sheet1</vt:lpstr>
      <vt:lpstr>No admin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JD Hayward</cp:lastModifiedBy>
  <dcterms:created xsi:type="dcterms:W3CDTF">2018-01-23T08:05:54Z</dcterms:created>
  <dcterms:modified xsi:type="dcterms:W3CDTF">2019-11-14T12:36:50Z</dcterms:modified>
</cp:coreProperties>
</file>