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7.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8.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9.xml" ContentType="application/vnd.openxmlformats-officedocument.drawing+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8800" windowHeight="12165" firstSheet="40" activeTab="43"/>
  </bookViews>
  <sheets>
    <sheet name="기초수학" sheetId="1" r:id="rId1"/>
    <sheet name="선형대수" sheetId="2" r:id="rId2"/>
    <sheet name="통계" sheetId="12" r:id="rId3"/>
    <sheet name="기하학" sheetId="7" r:id="rId4"/>
    <sheet name="지수함수" sheetId="8" r:id="rId5"/>
    <sheet name="로그함수" sheetId="10" r:id="rId6"/>
    <sheet name="로그함수2" sheetId="11" r:id="rId7"/>
    <sheet name="자연상수" sheetId="9" r:id="rId8"/>
    <sheet name="머신러닝기초" sheetId="3" r:id="rId9"/>
    <sheet name="MNIST(데이터셋)" sheetId="4" r:id="rId10"/>
    <sheet name="EDA" sheetId="13" r:id="rId11"/>
    <sheet name="pivot_table" sheetId="14" r:id="rId12"/>
    <sheet name="상관_회귀" sheetId="15" r:id="rId13"/>
    <sheet name="확률" sheetId="16" r:id="rId14"/>
    <sheet name="예측모델" sheetId="17" r:id="rId15"/>
    <sheet name="분류모델" sheetId="33" r:id="rId16"/>
    <sheet name="미분공식" sheetId="18" r:id="rId17"/>
    <sheet name="다항회귀_다중회귀" sheetId="32" r:id="rId18"/>
    <sheet name="퍼셉트론" sheetId="19" r:id="rId19"/>
    <sheet name="다층퍼셉트론" sheetId="20" r:id="rId20"/>
    <sheet name="활성화함수" sheetId="21" r:id="rId21"/>
    <sheet name="경사하강법" sheetId="22" r:id="rId22"/>
    <sheet name="모델설계" sheetId="23" r:id="rId23"/>
    <sheet name="모델설계2" sheetId="24" r:id="rId24"/>
    <sheet name="모델설계3" sheetId="27" r:id="rId25"/>
    <sheet name="모델설계4" sheetId="30" r:id="rId26"/>
    <sheet name="모델설계5" sheetId="31" r:id="rId27"/>
    <sheet name="모델최적화" sheetId="29" r:id="rId28"/>
    <sheet name="희소행렬" sheetId="25" r:id="rId29"/>
    <sheet name="제대로된 모델 만드는 방법" sheetId="28" r:id="rId30"/>
    <sheet name="앙상블" sheetId="34" r:id="rId31"/>
    <sheet name="도커" sheetId="35" r:id="rId32"/>
    <sheet name="합성곱(컨볼루션)" sheetId="37" r:id="rId33"/>
    <sheet name="MNIST_정규화" sheetId="40" r:id="rId34"/>
    <sheet name="CNN모델설계_MLP_MNIST" sheetId="38" r:id="rId35"/>
    <sheet name="CNN모델설계_CNN_MNIST" sheetId="41" r:id="rId36"/>
    <sheet name="CNN모델설계_CNN_fashion_MNIST" sheetId="42" r:id="rId37"/>
    <sheet name="텍스트처리" sheetId="43" r:id="rId38"/>
    <sheet name="텍스트_MLP_설계" sheetId="44" r:id="rId39"/>
    <sheet name="텍스트_LSTM_모델설계" sheetId="45" r:id="rId40"/>
    <sheet name="텍스트_LSTM_모델설계 (2)" sheetId="47" r:id="rId41"/>
    <sheet name="GPU설정" sheetId="46" r:id="rId42"/>
    <sheet name="오토인코더" sheetId="48" r:id="rId43"/>
    <sheet name="GAN" sheetId="49" r:id="rId44"/>
  </sheets>
  <externalReferences>
    <externalReference r:id="rId45"/>
    <externalReference r:id="rId46"/>
  </externalReferences>
  <definedNames>
    <definedName name="_xlchart.0" hidden="1">[1]이상치가없는경우!$B$2:$B$31</definedName>
    <definedName name="_xlchart.1" hidden="1">[1]이상치가있는경우!$B$2:$B$31</definedName>
  </definedNames>
  <calcPr calcId="162913"/>
  <pivotCaches>
    <pivotCache cacheId="0" r:id="rId47"/>
    <pivotCache cacheId="1" r:id="rId48"/>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48" i="49" l="1"/>
  <c r="M52" i="49"/>
  <c r="T54" i="49"/>
  <c r="V55" i="49"/>
  <c r="O56" i="49"/>
  <c r="AF57" i="49"/>
  <c r="I62" i="49"/>
  <c r="H64" i="49"/>
  <c r="T62" i="49" s="1"/>
  <c r="Y118" i="49"/>
  <c r="S121" i="49"/>
  <c r="W121" i="49"/>
  <c r="L167" i="49"/>
  <c r="L7" i="48"/>
  <c r="AD7" i="48"/>
  <c r="AS7" i="48"/>
  <c r="AD14" i="48"/>
  <c r="BU25" i="48" s="1"/>
  <c r="AS14" i="48"/>
  <c r="BR20" i="48"/>
  <c r="BW20" i="48"/>
  <c r="AB21" i="47" l="1"/>
  <c r="AC15" i="47"/>
  <c r="W19" i="47"/>
  <c r="X18" i="47"/>
  <c r="Z18" i="47"/>
  <c r="V18" i="47"/>
  <c r="Q19" i="47"/>
  <c r="P17" i="47"/>
  <c r="L17" i="47"/>
  <c r="G18" i="45"/>
  <c r="F60" i="45" s="1"/>
  <c r="Q32" i="45"/>
  <c r="P31" i="45"/>
  <c r="AM27" i="42" l="1"/>
  <c r="AG20" i="42"/>
  <c r="V29" i="42"/>
  <c r="V32" i="42" s="1"/>
  <c r="Q28" i="42"/>
  <c r="AO27" i="42"/>
  <c r="AH27" i="42"/>
  <c r="AI29" i="42" s="1"/>
  <c r="S32" i="41"/>
  <c r="S29" i="41"/>
  <c r="Q28" i="41"/>
  <c r="AO27" i="41"/>
  <c r="AM27" i="41"/>
  <c r="AN29" i="41" s="1"/>
  <c r="AH27" i="41"/>
  <c r="AI29" i="41" s="1"/>
  <c r="AG20" i="41"/>
  <c r="Q24" i="38"/>
  <c r="Q23" i="38"/>
  <c r="Q25" i="38" s="1"/>
  <c r="N24" i="38"/>
  <c r="N23" i="38"/>
  <c r="N25" i="38" s="1"/>
  <c r="BF29" i="40"/>
  <c r="BE29" i="40"/>
  <c r="BD29" i="40"/>
  <c r="BC29" i="40"/>
  <c r="BB29" i="40"/>
  <c r="BA29" i="40"/>
  <c r="AZ29" i="40"/>
  <c r="AY29" i="40"/>
  <c r="AX29" i="40"/>
  <c r="AW29" i="40"/>
  <c r="AV29" i="40"/>
  <c r="AU29" i="40"/>
  <c r="AT29" i="40"/>
  <c r="AS29" i="40"/>
  <c r="AR29" i="40"/>
  <c r="AQ29" i="40"/>
  <c r="AP29" i="40"/>
  <c r="AO29" i="40"/>
  <c r="AN29" i="40"/>
  <c r="AM29" i="40"/>
  <c r="AL29" i="40"/>
  <c r="AK29" i="40"/>
  <c r="AJ29" i="40"/>
  <c r="AI29" i="40"/>
  <c r="AH29" i="40"/>
  <c r="AG29" i="40"/>
  <c r="AF29" i="40"/>
  <c r="AE29" i="40"/>
  <c r="BF28" i="40"/>
  <c r="BE28" i="40"/>
  <c r="BD28" i="40"/>
  <c r="BC28" i="40"/>
  <c r="BB28" i="40"/>
  <c r="BA28" i="40"/>
  <c r="AZ28" i="40"/>
  <c r="AY28" i="40"/>
  <c r="AX28" i="40"/>
  <c r="AW28" i="40"/>
  <c r="AV28" i="40"/>
  <c r="AU28" i="40"/>
  <c r="AT28" i="40"/>
  <c r="AS28" i="40"/>
  <c r="AR28" i="40"/>
  <c r="AQ28" i="40"/>
  <c r="AP28" i="40"/>
  <c r="AO28" i="40"/>
  <c r="AN28" i="40"/>
  <c r="AM28" i="40"/>
  <c r="AL28" i="40"/>
  <c r="AK28" i="40"/>
  <c r="AJ28" i="40"/>
  <c r="AI28" i="40"/>
  <c r="AH28" i="40"/>
  <c r="AG28" i="40"/>
  <c r="AF28" i="40"/>
  <c r="AE28" i="40"/>
  <c r="BF27" i="40"/>
  <c r="BE27" i="40"/>
  <c r="BD27" i="40"/>
  <c r="BC27" i="40"/>
  <c r="BB27" i="40"/>
  <c r="BA27" i="40"/>
  <c r="AZ27" i="40"/>
  <c r="AY27" i="40"/>
  <c r="AX27" i="40"/>
  <c r="AW27" i="40"/>
  <c r="AV27" i="40"/>
  <c r="AU27" i="40"/>
  <c r="AT27" i="40"/>
  <c r="AS27" i="40"/>
  <c r="AR27" i="40"/>
  <c r="AQ27" i="40"/>
  <c r="AP27" i="40"/>
  <c r="AO27" i="40"/>
  <c r="AN27" i="40"/>
  <c r="AM27" i="40"/>
  <c r="AL27" i="40"/>
  <c r="AK27" i="40"/>
  <c r="AJ27" i="40"/>
  <c r="AI27" i="40"/>
  <c r="AH27" i="40"/>
  <c r="AG27" i="40"/>
  <c r="AF27" i="40"/>
  <c r="AE27" i="40"/>
  <c r="BF26" i="40"/>
  <c r="BE26" i="40"/>
  <c r="BD26" i="40"/>
  <c r="BC26" i="40"/>
  <c r="BB26" i="40"/>
  <c r="BA26" i="40"/>
  <c r="AZ26" i="40"/>
  <c r="AY26" i="40"/>
  <c r="AX26" i="40"/>
  <c r="AW26" i="40"/>
  <c r="AV26" i="40"/>
  <c r="AU26" i="40"/>
  <c r="AT26" i="40"/>
  <c r="AS26" i="40"/>
  <c r="AR26" i="40"/>
  <c r="AQ26" i="40"/>
  <c r="AP26" i="40"/>
  <c r="AO26" i="40"/>
  <c r="AN26" i="40"/>
  <c r="AM26" i="40"/>
  <c r="AL26" i="40"/>
  <c r="AK26" i="40"/>
  <c r="AJ26" i="40"/>
  <c r="AI26" i="40"/>
  <c r="AH26" i="40"/>
  <c r="AG26" i="40"/>
  <c r="AF26" i="40"/>
  <c r="AE26" i="40"/>
  <c r="BF25" i="40"/>
  <c r="BE25" i="40"/>
  <c r="BD25" i="40"/>
  <c r="BC25" i="40"/>
  <c r="BB25" i="40"/>
  <c r="BA25" i="40"/>
  <c r="AZ25" i="40"/>
  <c r="AY25" i="40"/>
  <c r="AX25" i="40"/>
  <c r="AW25" i="40"/>
  <c r="AV25" i="40"/>
  <c r="AU25" i="40"/>
  <c r="AT25" i="40"/>
  <c r="AS25" i="40"/>
  <c r="AR25" i="40"/>
  <c r="AQ25" i="40"/>
  <c r="AP25" i="40"/>
  <c r="AO25" i="40"/>
  <c r="AN25" i="40"/>
  <c r="AM25" i="40"/>
  <c r="AL25" i="40"/>
  <c r="AK25" i="40"/>
  <c r="AJ25" i="40"/>
  <c r="AI25" i="40"/>
  <c r="AH25" i="40"/>
  <c r="AG25" i="40"/>
  <c r="AF25" i="40"/>
  <c r="AE25" i="40"/>
  <c r="BF24" i="40"/>
  <c r="BE24" i="40"/>
  <c r="BD24" i="40"/>
  <c r="BC24" i="40"/>
  <c r="BB24" i="40"/>
  <c r="BA24" i="40"/>
  <c r="AZ24" i="40"/>
  <c r="AY24" i="40"/>
  <c r="AX24" i="40"/>
  <c r="AW24" i="40"/>
  <c r="AV24" i="40"/>
  <c r="AU24" i="40"/>
  <c r="AT24" i="40"/>
  <c r="AS24" i="40"/>
  <c r="AR24" i="40"/>
  <c r="AQ24" i="40"/>
  <c r="AP24" i="40"/>
  <c r="AO24" i="40"/>
  <c r="AN24" i="40"/>
  <c r="AM24" i="40"/>
  <c r="AL24" i="40"/>
  <c r="AK24" i="40"/>
  <c r="AJ24" i="40"/>
  <c r="AI24" i="40"/>
  <c r="AH24" i="40"/>
  <c r="AG24" i="40"/>
  <c r="AF24" i="40"/>
  <c r="AE24" i="40"/>
  <c r="BF23" i="40"/>
  <c r="BE23" i="40"/>
  <c r="BD23" i="40"/>
  <c r="BC23" i="40"/>
  <c r="BB23" i="40"/>
  <c r="BA23" i="40"/>
  <c r="AZ23" i="40"/>
  <c r="AY23" i="40"/>
  <c r="AX23" i="40"/>
  <c r="AW23" i="40"/>
  <c r="AV23" i="40"/>
  <c r="AU23" i="40"/>
  <c r="AT23" i="40"/>
  <c r="AS23" i="40"/>
  <c r="AR23" i="40"/>
  <c r="AQ23" i="40"/>
  <c r="AP23" i="40"/>
  <c r="AO23" i="40"/>
  <c r="AN23" i="40"/>
  <c r="AM23" i="40"/>
  <c r="AL23" i="40"/>
  <c r="AK23" i="40"/>
  <c r="AJ23" i="40"/>
  <c r="AI23" i="40"/>
  <c r="AH23" i="40"/>
  <c r="AG23" i="40"/>
  <c r="AF23" i="40"/>
  <c r="AE23" i="40"/>
  <c r="BF22" i="40"/>
  <c r="BE22" i="40"/>
  <c r="BD22" i="40"/>
  <c r="BC22" i="40"/>
  <c r="BB22" i="40"/>
  <c r="BA22" i="40"/>
  <c r="AZ22" i="40"/>
  <c r="AY22" i="40"/>
  <c r="AX22" i="40"/>
  <c r="AW22" i="40"/>
  <c r="AV22" i="40"/>
  <c r="AU22" i="40"/>
  <c r="AT22" i="40"/>
  <c r="AS22" i="40"/>
  <c r="AR22" i="40"/>
  <c r="AQ22" i="40"/>
  <c r="AP22" i="40"/>
  <c r="AO22" i="40"/>
  <c r="AN22" i="40"/>
  <c r="AM22" i="40"/>
  <c r="AL22" i="40"/>
  <c r="AK22" i="40"/>
  <c r="AJ22" i="40"/>
  <c r="AI22" i="40"/>
  <c r="AH22" i="40"/>
  <c r="AG22" i="40"/>
  <c r="AF22" i="40"/>
  <c r="AE22" i="40"/>
  <c r="BF21" i="40"/>
  <c r="BE21" i="40"/>
  <c r="BD21" i="40"/>
  <c r="BC21" i="40"/>
  <c r="BB21" i="40"/>
  <c r="BA21" i="40"/>
  <c r="AZ21" i="40"/>
  <c r="AY21" i="40"/>
  <c r="AX21" i="40"/>
  <c r="AW21" i="40"/>
  <c r="AV21" i="40"/>
  <c r="AU21" i="40"/>
  <c r="AT21" i="40"/>
  <c r="AS21" i="40"/>
  <c r="AR21" i="40"/>
  <c r="AQ21" i="40"/>
  <c r="AP21" i="40"/>
  <c r="AO21" i="40"/>
  <c r="AN21" i="40"/>
  <c r="AM21" i="40"/>
  <c r="AL21" i="40"/>
  <c r="AK21" i="40"/>
  <c r="AJ21" i="40"/>
  <c r="AI21" i="40"/>
  <c r="AH21" i="40"/>
  <c r="AG21" i="40"/>
  <c r="AF21" i="40"/>
  <c r="AE21" i="40"/>
  <c r="BF20" i="40"/>
  <c r="BE20" i="40"/>
  <c r="BD20" i="40"/>
  <c r="BC20" i="40"/>
  <c r="BB20" i="40"/>
  <c r="BA20" i="40"/>
  <c r="AZ20" i="40"/>
  <c r="AY20" i="40"/>
  <c r="AX20" i="40"/>
  <c r="AW20" i="40"/>
  <c r="AV20" i="40"/>
  <c r="AU20" i="40"/>
  <c r="AT20" i="40"/>
  <c r="AS20" i="40"/>
  <c r="AR20" i="40"/>
  <c r="AQ20" i="40"/>
  <c r="AP20" i="40"/>
  <c r="AO20" i="40"/>
  <c r="AN20" i="40"/>
  <c r="AM20" i="40"/>
  <c r="AL20" i="40"/>
  <c r="AK20" i="40"/>
  <c r="AJ20" i="40"/>
  <c r="AI20" i="40"/>
  <c r="AH20" i="40"/>
  <c r="AG20" i="40"/>
  <c r="AF20" i="40"/>
  <c r="AE20" i="40"/>
  <c r="BF19" i="40"/>
  <c r="BE19" i="40"/>
  <c r="BD19" i="40"/>
  <c r="BC19" i="40"/>
  <c r="BB19" i="40"/>
  <c r="BA19" i="40"/>
  <c r="AZ19" i="40"/>
  <c r="AY19" i="40"/>
  <c r="AX19" i="40"/>
  <c r="AW19" i="40"/>
  <c r="AV19" i="40"/>
  <c r="AU19" i="40"/>
  <c r="AT19" i="40"/>
  <c r="AS19" i="40"/>
  <c r="AR19" i="40"/>
  <c r="AQ19" i="40"/>
  <c r="AP19" i="40"/>
  <c r="AO19" i="40"/>
  <c r="AN19" i="40"/>
  <c r="AM19" i="40"/>
  <c r="AL19" i="40"/>
  <c r="AK19" i="40"/>
  <c r="AJ19" i="40"/>
  <c r="AI19" i="40"/>
  <c r="AH19" i="40"/>
  <c r="AG19" i="40"/>
  <c r="AF19" i="40"/>
  <c r="AE19" i="40"/>
  <c r="BF18" i="40"/>
  <c r="BE18" i="40"/>
  <c r="BD18" i="40"/>
  <c r="BC18" i="40"/>
  <c r="BB18" i="40"/>
  <c r="BA18" i="40"/>
  <c r="AZ18" i="40"/>
  <c r="AY18" i="40"/>
  <c r="AX18" i="40"/>
  <c r="AW18" i="40"/>
  <c r="AV18" i="40"/>
  <c r="AU18" i="40"/>
  <c r="AT18" i="40"/>
  <c r="AS18" i="40"/>
  <c r="AR18" i="40"/>
  <c r="AQ18" i="40"/>
  <c r="AP18" i="40"/>
  <c r="AO18" i="40"/>
  <c r="AN18" i="40"/>
  <c r="AM18" i="40"/>
  <c r="AL18" i="40"/>
  <c r="AK18" i="40"/>
  <c r="AJ18" i="40"/>
  <c r="AI18" i="40"/>
  <c r="AH18" i="40"/>
  <c r="AG18" i="40"/>
  <c r="AF18" i="40"/>
  <c r="AE18" i="40"/>
  <c r="BF17" i="40"/>
  <c r="BE17" i="40"/>
  <c r="BD17" i="40"/>
  <c r="BC17" i="40"/>
  <c r="BB17" i="40"/>
  <c r="BA17" i="40"/>
  <c r="AZ17" i="40"/>
  <c r="AY17" i="40"/>
  <c r="AX17" i="40"/>
  <c r="AW17" i="40"/>
  <c r="AV17" i="40"/>
  <c r="AU17" i="40"/>
  <c r="AT17" i="40"/>
  <c r="AS17" i="40"/>
  <c r="AR17" i="40"/>
  <c r="AQ17" i="40"/>
  <c r="AP17" i="40"/>
  <c r="AO17" i="40"/>
  <c r="AN17" i="40"/>
  <c r="AM17" i="40"/>
  <c r="AL17" i="40"/>
  <c r="AK17" i="40"/>
  <c r="AJ17" i="40"/>
  <c r="AI17" i="40"/>
  <c r="AH17" i="40"/>
  <c r="AG17" i="40"/>
  <c r="AF17" i="40"/>
  <c r="AE17" i="40"/>
  <c r="BF16" i="40"/>
  <c r="BE16" i="40"/>
  <c r="BD16" i="40"/>
  <c r="BC16" i="40"/>
  <c r="BB16" i="40"/>
  <c r="BA16" i="40"/>
  <c r="AZ16" i="40"/>
  <c r="AY16" i="40"/>
  <c r="AX16" i="40"/>
  <c r="AW16" i="40"/>
  <c r="AV16" i="40"/>
  <c r="AU16" i="40"/>
  <c r="AT16" i="40"/>
  <c r="AS16" i="40"/>
  <c r="AR16" i="40"/>
  <c r="AQ16" i="40"/>
  <c r="AP16" i="40"/>
  <c r="AO16" i="40"/>
  <c r="AN16" i="40"/>
  <c r="AM16" i="40"/>
  <c r="AL16" i="40"/>
  <c r="AK16" i="40"/>
  <c r="AJ16" i="40"/>
  <c r="AI16" i="40"/>
  <c r="AH16" i="40"/>
  <c r="AG16" i="40"/>
  <c r="AF16" i="40"/>
  <c r="AE16" i="40"/>
  <c r="BF15" i="40"/>
  <c r="BE15" i="40"/>
  <c r="BD15" i="40"/>
  <c r="BC15" i="40"/>
  <c r="BB15" i="40"/>
  <c r="BA15" i="40"/>
  <c r="AZ15" i="40"/>
  <c r="AY15" i="40"/>
  <c r="AX15" i="40"/>
  <c r="AW15" i="40"/>
  <c r="AV15" i="40"/>
  <c r="AU15" i="40"/>
  <c r="AT15" i="40"/>
  <c r="AS15" i="40"/>
  <c r="AR15" i="40"/>
  <c r="AQ15" i="40"/>
  <c r="AP15" i="40"/>
  <c r="AO15" i="40"/>
  <c r="AN15" i="40"/>
  <c r="AM15" i="40"/>
  <c r="AL15" i="40"/>
  <c r="AK15" i="40"/>
  <c r="AJ15" i="40"/>
  <c r="AI15" i="40"/>
  <c r="AH15" i="40"/>
  <c r="AG15" i="40"/>
  <c r="AF15" i="40"/>
  <c r="AE15" i="40"/>
  <c r="BF14" i="40"/>
  <c r="BE14" i="40"/>
  <c r="BD14" i="40"/>
  <c r="BC14" i="40"/>
  <c r="BB14" i="40"/>
  <c r="BA14" i="40"/>
  <c r="AZ14" i="40"/>
  <c r="AY14" i="40"/>
  <c r="AX14" i="40"/>
  <c r="AW14" i="40"/>
  <c r="AV14" i="40"/>
  <c r="AU14" i="40"/>
  <c r="AT14" i="40"/>
  <c r="AS14" i="40"/>
  <c r="AR14" i="40"/>
  <c r="AQ14" i="40"/>
  <c r="AP14" i="40"/>
  <c r="AO14" i="40"/>
  <c r="AN14" i="40"/>
  <c r="AM14" i="40"/>
  <c r="AL14" i="40"/>
  <c r="AK14" i="40"/>
  <c r="AJ14" i="40"/>
  <c r="AI14" i="40"/>
  <c r="AH14" i="40"/>
  <c r="AG14" i="40"/>
  <c r="AF14" i="40"/>
  <c r="AE14" i="40"/>
  <c r="BF13" i="40"/>
  <c r="BE13" i="40"/>
  <c r="BD13" i="40"/>
  <c r="BC13" i="40"/>
  <c r="BB13" i="40"/>
  <c r="BA13" i="40"/>
  <c r="AZ13" i="40"/>
  <c r="AY13" i="40"/>
  <c r="AX13" i="40"/>
  <c r="AW13" i="40"/>
  <c r="AV13" i="40"/>
  <c r="AU13" i="40"/>
  <c r="AT13" i="40"/>
  <c r="AS13" i="40"/>
  <c r="AR13" i="40"/>
  <c r="AQ13" i="40"/>
  <c r="AP13" i="40"/>
  <c r="AO13" i="40"/>
  <c r="AN13" i="40"/>
  <c r="AM13" i="40"/>
  <c r="AL13" i="40"/>
  <c r="AK13" i="40"/>
  <c r="AJ13" i="40"/>
  <c r="AI13" i="40"/>
  <c r="AH13" i="40"/>
  <c r="AG13" i="40"/>
  <c r="AF13" i="40"/>
  <c r="AE13" i="40"/>
  <c r="BF12" i="40"/>
  <c r="BE12" i="40"/>
  <c r="BD12" i="40"/>
  <c r="BC12" i="40"/>
  <c r="BB12" i="40"/>
  <c r="BA12" i="40"/>
  <c r="AZ12" i="40"/>
  <c r="AY12" i="40"/>
  <c r="AX12" i="40"/>
  <c r="AW12" i="40"/>
  <c r="AV12" i="40"/>
  <c r="AU12" i="40"/>
  <c r="AT12" i="40"/>
  <c r="AS12" i="40"/>
  <c r="AR12" i="40"/>
  <c r="AQ12" i="40"/>
  <c r="AP12" i="40"/>
  <c r="AO12" i="40"/>
  <c r="AN12" i="40"/>
  <c r="AM12" i="40"/>
  <c r="AL12" i="40"/>
  <c r="AK12" i="40"/>
  <c r="AJ12" i="40"/>
  <c r="AI12" i="40"/>
  <c r="AH12" i="40"/>
  <c r="AG12" i="40"/>
  <c r="AF12" i="40"/>
  <c r="AE12" i="40"/>
  <c r="BF11" i="40"/>
  <c r="BE11" i="40"/>
  <c r="BD11" i="40"/>
  <c r="BC11" i="40"/>
  <c r="BB11" i="40"/>
  <c r="BA11" i="40"/>
  <c r="AZ11" i="40"/>
  <c r="AY11" i="40"/>
  <c r="AX11" i="40"/>
  <c r="AW11" i="40"/>
  <c r="AV11" i="40"/>
  <c r="AU11" i="40"/>
  <c r="AT11" i="40"/>
  <c r="AS11" i="40"/>
  <c r="AR11" i="40"/>
  <c r="AQ11" i="40"/>
  <c r="AP11" i="40"/>
  <c r="AO11" i="40"/>
  <c r="AN11" i="40"/>
  <c r="AM11" i="40"/>
  <c r="AL11" i="40"/>
  <c r="AK11" i="40"/>
  <c r="AJ11" i="40"/>
  <c r="AI11" i="40"/>
  <c r="AH11" i="40"/>
  <c r="AG11" i="40"/>
  <c r="AF11" i="40"/>
  <c r="AE11" i="40"/>
  <c r="BF10" i="40"/>
  <c r="BE10" i="40"/>
  <c r="BD10" i="40"/>
  <c r="BC10" i="40"/>
  <c r="BB10" i="40"/>
  <c r="BA10" i="40"/>
  <c r="AZ10" i="40"/>
  <c r="AY10" i="40"/>
  <c r="AX10" i="40"/>
  <c r="AW10" i="40"/>
  <c r="AV10" i="40"/>
  <c r="AU10" i="40"/>
  <c r="AT10" i="40"/>
  <c r="AS10" i="40"/>
  <c r="AR10" i="40"/>
  <c r="AQ10" i="40"/>
  <c r="AP10" i="40"/>
  <c r="AO10" i="40"/>
  <c r="AN10" i="40"/>
  <c r="AM10" i="40"/>
  <c r="AL10" i="40"/>
  <c r="AK10" i="40"/>
  <c r="AJ10" i="40"/>
  <c r="AI10" i="40"/>
  <c r="AH10" i="40"/>
  <c r="AG10" i="40"/>
  <c r="AF10" i="40"/>
  <c r="AE10" i="40"/>
  <c r="BF9" i="40"/>
  <c r="BE9" i="40"/>
  <c r="BD9" i="40"/>
  <c r="BC9" i="40"/>
  <c r="BB9" i="40"/>
  <c r="BA9" i="40"/>
  <c r="AZ9" i="40"/>
  <c r="AY9" i="40"/>
  <c r="AX9" i="40"/>
  <c r="AW9" i="40"/>
  <c r="AV9" i="40"/>
  <c r="AU9" i="40"/>
  <c r="AT9" i="40"/>
  <c r="AS9" i="40"/>
  <c r="AR9" i="40"/>
  <c r="AQ9" i="40"/>
  <c r="AP9" i="40"/>
  <c r="AO9" i="40"/>
  <c r="AN9" i="40"/>
  <c r="AM9" i="40"/>
  <c r="AL9" i="40"/>
  <c r="AK9" i="40"/>
  <c r="AJ9" i="40"/>
  <c r="AI9" i="40"/>
  <c r="AH9" i="40"/>
  <c r="AG9" i="40"/>
  <c r="AF9" i="40"/>
  <c r="AE9" i="40"/>
  <c r="BF8" i="40"/>
  <c r="BE8" i="40"/>
  <c r="BD8" i="40"/>
  <c r="BC8" i="40"/>
  <c r="BB8" i="40"/>
  <c r="BA8" i="40"/>
  <c r="AZ8" i="40"/>
  <c r="AY8" i="40"/>
  <c r="AX8" i="40"/>
  <c r="AW8" i="40"/>
  <c r="AV8" i="40"/>
  <c r="AU8" i="40"/>
  <c r="AT8" i="40"/>
  <c r="AS8" i="40"/>
  <c r="AR8" i="40"/>
  <c r="AQ8" i="40"/>
  <c r="AP8" i="40"/>
  <c r="AO8" i="40"/>
  <c r="AN8" i="40"/>
  <c r="AM8" i="40"/>
  <c r="AL8" i="40"/>
  <c r="AK8" i="40"/>
  <c r="AJ8" i="40"/>
  <c r="AI8" i="40"/>
  <c r="AH8" i="40"/>
  <c r="AG8" i="40"/>
  <c r="AF8" i="40"/>
  <c r="AE8" i="40"/>
  <c r="BF7" i="40"/>
  <c r="BE7" i="40"/>
  <c r="BD7" i="40"/>
  <c r="BC7" i="40"/>
  <c r="BB7" i="40"/>
  <c r="BA7" i="40"/>
  <c r="AZ7" i="40"/>
  <c r="AY7" i="40"/>
  <c r="AX7" i="40"/>
  <c r="AW7" i="40"/>
  <c r="AV7" i="40"/>
  <c r="AU7" i="40"/>
  <c r="AT7" i="40"/>
  <c r="AS7" i="40"/>
  <c r="AR7" i="40"/>
  <c r="AQ7" i="40"/>
  <c r="AP7" i="40"/>
  <c r="AO7" i="40"/>
  <c r="AN7" i="40"/>
  <c r="AM7" i="40"/>
  <c r="AL7" i="40"/>
  <c r="AK7" i="40"/>
  <c r="AJ7" i="40"/>
  <c r="AI7" i="40"/>
  <c r="AH7" i="40"/>
  <c r="AG7" i="40"/>
  <c r="AF7" i="40"/>
  <c r="AE7" i="40"/>
  <c r="BF6" i="40"/>
  <c r="BE6" i="40"/>
  <c r="BD6" i="40"/>
  <c r="BC6" i="40"/>
  <c r="BB6" i="40"/>
  <c r="BA6" i="40"/>
  <c r="AZ6" i="40"/>
  <c r="AY6" i="40"/>
  <c r="AX6" i="40"/>
  <c r="AW6" i="40"/>
  <c r="AV6" i="40"/>
  <c r="AU6" i="40"/>
  <c r="AT6" i="40"/>
  <c r="AS6" i="40"/>
  <c r="AR6" i="40"/>
  <c r="AQ6" i="40"/>
  <c r="AP6" i="40"/>
  <c r="AO6" i="40"/>
  <c r="AN6" i="40"/>
  <c r="AM6" i="40"/>
  <c r="AL6" i="40"/>
  <c r="AK6" i="40"/>
  <c r="AJ6" i="40"/>
  <c r="AI6" i="40"/>
  <c r="AH6" i="40"/>
  <c r="AG6" i="40"/>
  <c r="AF6" i="40"/>
  <c r="AE6" i="40"/>
  <c r="BF5" i="40"/>
  <c r="BE5" i="40"/>
  <c r="BD5" i="40"/>
  <c r="BC5" i="40"/>
  <c r="BB5" i="40"/>
  <c r="BA5" i="40"/>
  <c r="AZ5" i="40"/>
  <c r="AY5" i="40"/>
  <c r="AX5" i="40"/>
  <c r="AW5" i="40"/>
  <c r="AV5" i="40"/>
  <c r="AU5" i="40"/>
  <c r="AT5" i="40"/>
  <c r="AS5" i="40"/>
  <c r="AR5" i="40"/>
  <c r="AQ5" i="40"/>
  <c r="AP5" i="40"/>
  <c r="AO5" i="40"/>
  <c r="AN5" i="40"/>
  <c r="AM5" i="40"/>
  <c r="AL5" i="40"/>
  <c r="AK5" i="40"/>
  <c r="AJ5" i="40"/>
  <c r="AI5" i="40"/>
  <c r="AH5" i="40"/>
  <c r="AG5" i="40"/>
  <c r="AF5" i="40"/>
  <c r="AE5" i="40"/>
  <c r="BF4" i="40"/>
  <c r="BE4" i="40"/>
  <c r="BD4" i="40"/>
  <c r="BC4" i="40"/>
  <c r="BB4" i="40"/>
  <c r="BA4" i="40"/>
  <c r="AZ4" i="40"/>
  <c r="AY4" i="40"/>
  <c r="AX4" i="40"/>
  <c r="AW4" i="40"/>
  <c r="AV4" i="40"/>
  <c r="AU4" i="40"/>
  <c r="AT4" i="40"/>
  <c r="AS4" i="40"/>
  <c r="AR4" i="40"/>
  <c r="AQ4" i="40"/>
  <c r="AP4" i="40"/>
  <c r="AO4" i="40"/>
  <c r="AN4" i="40"/>
  <c r="AM4" i="40"/>
  <c r="AL4" i="40"/>
  <c r="AK4" i="40"/>
  <c r="AJ4" i="40"/>
  <c r="AI4" i="40"/>
  <c r="AH4" i="40"/>
  <c r="AG4" i="40"/>
  <c r="AF4" i="40"/>
  <c r="AE4" i="40"/>
  <c r="BF3" i="40"/>
  <c r="BE3" i="40"/>
  <c r="BD3" i="40"/>
  <c r="BC3" i="40"/>
  <c r="BB3" i="40"/>
  <c r="BA3" i="40"/>
  <c r="AZ3" i="40"/>
  <c r="AY3" i="40"/>
  <c r="AX3" i="40"/>
  <c r="AW3" i="40"/>
  <c r="AV3" i="40"/>
  <c r="AU3" i="40"/>
  <c r="AT3" i="40"/>
  <c r="AS3" i="40"/>
  <c r="AR3" i="40"/>
  <c r="AQ3" i="40"/>
  <c r="AP3" i="40"/>
  <c r="AO3" i="40"/>
  <c r="AN3" i="40"/>
  <c r="AM3" i="40"/>
  <c r="AL3" i="40"/>
  <c r="AK3" i="40"/>
  <c r="AJ3" i="40"/>
  <c r="AI3" i="40"/>
  <c r="AH3" i="40"/>
  <c r="AG3" i="40"/>
  <c r="AF3" i="40"/>
  <c r="AE3" i="40"/>
  <c r="BF2" i="40"/>
  <c r="BE2" i="40"/>
  <c r="BD2" i="40"/>
  <c r="BC2" i="40"/>
  <c r="BB2" i="40"/>
  <c r="BA2" i="40"/>
  <c r="AZ2" i="40"/>
  <c r="AY2" i="40"/>
  <c r="AX2" i="40"/>
  <c r="AW2" i="40"/>
  <c r="AV2" i="40"/>
  <c r="AU2" i="40"/>
  <c r="AT2" i="40"/>
  <c r="AS2" i="40"/>
  <c r="AR2" i="40"/>
  <c r="AQ2" i="40"/>
  <c r="AP2" i="40"/>
  <c r="AO2" i="40"/>
  <c r="AN2" i="40"/>
  <c r="AM2" i="40"/>
  <c r="AL2" i="40"/>
  <c r="AK2" i="40"/>
  <c r="AJ2" i="40"/>
  <c r="AI2" i="40"/>
  <c r="AH2" i="40"/>
  <c r="AG2" i="40"/>
  <c r="AF2" i="40"/>
  <c r="AE2" i="40"/>
  <c r="S97" i="37"/>
  <c r="S98" i="37"/>
  <c r="T98" i="37"/>
  <c r="U98" i="37"/>
  <c r="S99" i="37"/>
  <c r="T99" i="37"/>
  <c r="U99" i="37"/>
  <c r="T97" i="37"/>
  <c r="U97" i="37"/>
  <c r="R77" i="37"/>
  <c r="S77" i="37"/>
  <c r="T77" i="37"/>
  <c r="U77" i="37"/>
  <c r="V77" i="37"/>
  <c r="W77" i="37"/>
  <c r="R78" i="37"/>
  <c r="S78" i="37"/>
  <c r="T78" i="37"/>
  <c r="U78" i="37"/>
  <c r="V78" i="37"/>
  <c r="W78" i="37"/>
  <c r="R79" i="37"/>
  <c r="S79" i="37"/>
  <c r="T79" i="37"/>
  <c r="U79" i="37"/>
  <c r="V79" i="37"/>
  <c r="W79" i="37"/>
  <c r="R80" i="37"/>
  <c r="S80" i="37"/>
  <c r="T80" i="37"/>
  <c r="U80" i="37"/>
  <c r="V80" i="37"/>
  <c r="W80" i="37"/>
  <c r="R81" i="37"/>
  <c r="S81" i="37"/>
  <c r="T81" i="37"/>
  <c r="U81" i="37"/>
  <c r="V81" i="37"/>
  <c r="W81" i="37"/>
  <c r="R82" i="37"/>
  <c r="S82" i="37"/>
  <c r="T82" i="37"/>
  <c r="U82" i="37"/>
  <c r="V82" i="37"/>
  <c r="W82" i="37"/>
  <c r="S76" i="37"/>
  <c r="T76" i="37"/>
  <c r="U76" i="37"/>
  <c r="V76" i="37"/>
  <c r="W76" i="37"/>
  <c r="R76" i="37"/>
  <c r="W71" i="37"/>
  <c r="V71" i="37"/>
  <c r="U71" i="37"/>
  <c r="T71" i="37"/>
  <c r="S71" i="37"/>
  <c r="R71" i="37"/>
  <c r="W70" i="37"/>
  <c r="V70" i="37"/>
  <c r="U70" i="37"/>
  <c r="T70" i="37"/>
  <c r="S70" i="37"/>
  <c r="R70" i="37"/>
  <c r="W69" i="37"/>
  <c r="V69" i="37"/>
  <c r="U69" i="37"/>
  <c r="T69" i="37"/>
  <c r="S69" i="37"/>
  <c r="R69" i="37"/>
  <c r="W68" i="37"/>
  <c r="V68" i="37"/>
  <c r="U68" i="37"/>
  <c r="T68" i="37"/>
  <c r="S68" i="37"/>
  <c r="R68" i="37"/>
  <c r="W67" i="37"/>
  <c r="V67" i="37"/>
  <c r="U67" i="37"/>
  <c r="T67" i="37"/>
  <c r="S67" i="37"/>
  <c r="R67" i="37"/>
  <c r="W66" i="37"/>
  <c r="V66" i="37"/>
  <c r="U66" i="37"/>
  <c r="T66" i="37"/>
  <c r="S66" i="37"/>
  <c r="R66" i="37"/>
  <c r="W65" i="37"/>
  <c r="V65" i="37"/>
  <c r="U65" i="37"/>
  <c r="T65" i="37"/>
  <c r="S65" i="37"/>
  <c r="R65" i="37"/>
  <c r="Q51" i="37"/>
  <c r="R51" i="37"/>
  <c r="S51" i="37"/>
  <c r="T51" i="37"/>
  <c r="U51" i="37"/>
  <c r="V51" i="37"/>
  <c r="W51" i="37"/>
  <c r="X51" i="37"/>
  <c r="Q52" i="37"/>
  <c r="R52" i="37"/>
  <c r="S52" i="37"/>
  <c r="T52" i="37"/>
  <c r="U52" i="37"/>
  <c r="V52" i="37"/>
  <c r="W52" i="37"/>
  <c r="X52" i="37"/>
  <c r="Q53" i="37"/>
  <c r="R53" i="37"/>
  <c r="S53" i="37"/>
  <c r="T53" i="37"/>
  <c r="U53" i="37"/>
  <c r="V53" i="37"/>
  <c r="W53" i="37"/>
  <c r="X53" i="37"/>
  <c r="Q54" i="37"/>
  <c r="R54" i="37"/>
  <c r="S54" i="37"/>
  <c r="T54" i="37"/>
  <c r="U54" i="37"/>
  <c r="V54" i="37"/>
  <c r="W54" i="37"/>
  <c r="X54" i="37"/>
  <c r="Q55" i="37"/>
  <c r="R55" i="37"/>
  <c r="S55" i="37"/>
  <c r="T55" i="37"/>
  <c r="U55" i="37"/>
  <c r="V55" i="37"/>
  <c r="W55" i="37"/>
  <c r="X55" i="37"/>
  <c r="Q56" i="37"/>
  <c r="R56" i="37"/>
  <c r="S56" i="37"/>
  <c r="T56" i="37"/>
  <c r="U56" i="37"/>
  <c r="V56" i="37"/>
  <c r="W56" i="37"/>
  <c r="X56" i="37"/>
  <c r="Q57" i="37"/>
  <c r="R57" i="37"/>
  <c r="S57" i="37"/>
  <c r="T57" i="37"/>
  <c r="U57" i="37"/>
  <c r="V57" i="37"/>
  <c r="W57" i="37"/>
  <c r="X57" i="37"/>
  <c r="Q58" i="37"/>
  <c r="R58" i="37"/>
  <c r="S58" i="37"/>
  <c r="T58" i="37"/>
  <c r="U58" i="37"/>
  <c r="V58" i="37"/>
  <c r="W58" i="37"/>
  <c r="X58" i="37"/>
  <c r="R50" i="37"/>
  <c r="S50" i="37"/>
  <c r="T50" i="37"/>
  <c r="U50" i="37"/>
  <c r="V50" i="37"/>
  <c r="W50" i="37"/>
  <c r="X50" i="37"/>
  <c r="Q50" i="37"/>
  <c r="I37" i="37"/>
  <c r="I41" i="37" s="1"/>
  <c r="H37" i="37"/>
  <c r="H41" i="37" s="1"/>
  <c r="G37" i="37"/>
  <c r="G41" i="37" s="1"/>
  <c r="F37" i="37"/>
  <c r="F41" i="37" s="1"/>
  <c r="E37" i="37"/>
  <c r="E41" i="37" s="1"/>
  <c r="D37" i="37"/>
  <c r="D41" i="37" s="1"/>
  <c r="D24" i="37"/>
  <c r="E24" i="37"/>
  <c r="F24" i="37"/>
  <c r="G24" i="37"/>
  <c r="H24" i="37"/>
  <c r="I24" i="37"/>
  <c r="J24" i="37"/>
  <c r="C24" i="37"/>
  <c r="E12" i="37"/>
  <c r="F12" i="37"/>
  <c r="G12" i="37"/>
  <c r="H12" i="37"/>
  <c r="I12" i="37"/>
  <c r="D12" i="37"/>
  <c r="AN32" i="41" l="1"/>
  <c r="AJ35" i="41"/>
  <c r="O27" i="38"/>
  <c r="AN29" i="42"/>
  <c r="AN32" i="42" s="1"/>
  <c r="AJ35" i="42" s="1"/>
  <c r="H38" i="28"/>
  <c r="D31" i="28"/>
  <c r="D30" i="28"/>
  <c r="P80" i="33" l="1"/>
  <c r="P81" i="33" s="1"/>
  <c r="N80" i="33"/>
  <c r="N81" i="33" s="1"/>
  <c r="P83" i="33" s="1"/>
  <c r="N76" i="33"/>
  <c r="M89" i="33" s="1"/>
  <c r="Q61" i="33"/>
  <c r="R61" i="33" s="1"/>
  <c r="Q62" i="33"/>
  <c r="R62" i="33" s="1"/>
  <c r="Q57" i="33"/>
  <c r="R57" i="33" s="1"/>
  <c r="P58" i="33"/>
  <c r="Q58" i="33" s="1"/>
  <c r="R58" i="33" s="1"/>
  <c r="P59" i="33"/>
  <c r="Q59" i="33" s="1"/>
  <c r="R59" i="33" s="1"/>
  <c r="P60" i="33"/>
  <c r="Q60" i="33" s="1"/>
  <c r="R60" i="33" s="1"/>
  <c r="P61" i="33"/>
  <c r="P62" i="33"/>
  <c r="P57" i="33"/>
  <c r="P49" i="33"/>
  <c r="Q49" i="33" s="1"/>
  <c r="R49" i="33" s="1"/>
  <c r="P48" i="33"/>
  <c r="Q48" i="33" s="1"/>
  <c r="R48" i="33" s="1"/>
  <c r="P47" i="33"/>
  <c r="Q47" i="33" s="1"/>
  <c r="R47" i="33" s="1"/>
  <c r="P46" i="33"/>
  <c r="Q46" i="33" s="1"/>
  <c r="R46" i="33" s="1"/>
  <c r="P45" i="33"/>
  <c r="Q45" i="33" s="1"/>
  <c r="R45" i="33" s="1"/>
  <c r="P39" i="33"/>
  <c r="Q39" i="33" s="1"/>
  <c r="R39" i="33" s="1"/>
  <c r="P38" i="33"/>
  <c r="Q24" i="33"/>
  <c r="R24" i="33" s="1"/>
  <c r="P25" i="33"/>
  <c r="P23" i="33"/>
  <c r="P24" i="33"/>
  <c r="P22" i="33"/>
  <c r="Q22" i="33" s="1"/>
  <c r="R22" i="33" s="1"/>
  <c r="M42" i="33"/>
  <c r="M34" i="33"/>
  <c r="Q23" i="33" l="1"/>
  <c r="R23" i="33" s="1"/>
  <c r="Q25" i="33"/>
  <c r="R25" i="33" s="1"/>
  <c r="R63" i="33"/>
  <c r="U63" i="33" s="1"/>
  <c r="Q38" i="33"/>
  <c r="R38" i="33" s="1"/>
  <c r="R40" i="33" s="1"/>
  <c r="U40" i="33" s="1"/>
  <c r="R50" i="33"/>
  <c r="U50" i="33" s="1"/>
  <c r="R26" i="33" l="1"/>
  <c r="U26" i="33" s="1"/>
  <c r="K36" i="27"/>
  <c r="N31" i="27"/>
  <c r="N30" i="27"/>
  <c r="N32" i="27" s="1"/>
  <c r="L30" i="27"/>
  <c r="L32" i="27" s="1"/>
  <c r="J31" i="27"/>
  <c r="J30" i="27"/>
  <c r="J32" i="27" s="1"/>
  <c r="N34" i="27" s="1"/>
  <c r="J38" i="27" s="1"/>
  <c r="G92" i="21"/>
  <c r="H92" i="21"/>
  <c r="F92" i="21"/>
  <c r="G86" i="21"/>
  <c r="H86" i="21"/>
  <c r="F86" i="21"/>
  <c r="G78" i="21"/>
  <c r="G80" i="21" s="1"/>
  <c r="H78" i="21"/>
  <c r="H80" i="21" s="1"/>
  <c r="F78" i="21"/>
  <c r="F80" i="21" s="1"/>
  <c r="J38" i="24"/>
  <c r="K31" i="24"/>
  <c r="M33" i="24"/>
  <c r="K33" i="24"/>
  <c r="I31" i="24"/>
  <c r="I33" i="24" s="1"/>
  <c r="N33" i="24" s="1"/>
  <c r="J40" i="24" s="1"/>
  <c r="I46" i="24"/>
  <c r="I45" i="23"/>
  <c r="F95" i="21" l="1"/>
  <c r="F99" i="21" s="1"/>
  <c r="L67" i="21"/>
  <c r="L66" i="21"/>
  <c r="L65" i="21"/>
  <c r="L64" i="21"/>
  <c r="L63" i="21"/>
  <c r="L62" i="21"/>
  <c r="L61" i="21"/>
  <c r="L60" i="21"/>
  <c r="L59" i="21"/>
  <c r="L58" i="21"/>
  <c r="L57" i="21"/>
  <c r="L56" i="21"/>
  <c r="L55" i="21"/>
  <c r="L54" i="21"/>
  <c r="L53" i="21"/>
  <c r="L52" i="21"/>
  <c r="L51" i="21"/>
  <c r="L50" i="21"/>
  <c r="L49" i="21"/>
  <c r="L48" i="21"/>
  <c r="L47" i="21"/>
  <c r="C48" i="21"/>
  <c r="C49" i="21"/>
  <c r="C50" i="21"/>
  <c r="C51" i="21"/>
  <c r="C52" i="21"/>
  <c r="C53" i="21"/>
  <c r="C54" i="21"/>
  <c r="C55" i="21"/>
  <c r="C56" i="21"/>
  <c r="C57" i="21"/>
  <c r="C58" i="21"/>
  <c r="C59" i="21"/>
  <c r="C60" i="21"/>
  <c r="C61" i="21"/>
  <c r="C62" i="21"/>
  <c r="C63" i="21"/>
  <c r="C64" i="21"/>
  <c r="C65" i="21"/>
  <c r="C66" i="21"/>
  <c r="C67" i="21"/>
  <c r="C47" i="21"/>
  <c r="C31" i="21"/>
  <c r="C32" i="21"/>
  <c r="C33" i="21"/>
  <c r="C34" i="21"/>
  <c r="C35" i="21"/>
  <c r="C36" i="21"/>
  <c r="C37" i="21"/>
  <c r="C38" i="21"/>
  <c r="C39" i="21"/>
  <c r="C40" i="21"/>
  <c r="C41" i="21"/>
  <c r="C42" i="21"/>
  <c r="C30" i="21"/>
  <c r="C5" i="21"/>
  <c r="C6" i="21"/>
  <c r="C7" i="21"/>
  <c r="C8" i="21"/>
  <c r="C9" i="21"/>
  <c r="C10" i="21"/>
  <c r="C11" i="21"/>
  <c r="C12" i="21"/>
  <c r="C13" i="21"/>
  <c r="C14" i="21"/>
  <c r="C15" i="21"/>
  <c r="C16" i="21"/>
  <c r="C17" i="21"/>
  <c r="P20" i="20"/>
  <c r="Q20" i="20" s="1"/>
  <c r="R20" i="20" s="1"/>
  <c r="P21" i="20"/>
  <c r="Q21" i="20" s="1"/>
  <c r="R21" i="20" s="1"/>
  <c r="P22" i="20"/>
  <c r="Q22" i="20" s="1"/>
  <c r="R22" i="20" s="1"/>
  <c r="P19" i="20"/>
  <c r="Q19" i="20" s="1"/>
  <c r="R19" i="20" s="1"/>
  <c r="P13" i="20"/>
  <c r="Q13" i="20" s="1"/>
  <c r="R13" i="20" s="1"/>
  <c r="T17" i="20" s="1"/>
  <c r="P14" i="20"/>
  <c r="Q14" i="20" s="1"/>
  <c r="R14" i="20" s="1"/>
  <c r="T18" i="20" s="1"/>
  <c r="P15" i="20"/>
  <c r="Q15" i="20" s="1"/>
  <c r="R15" i="20" s="1"/>
  <c r="T19" i="20" s="1"/>
  <c r="P12" i="20"/>
  <c r="Q12" i="20" s="1"/>
  <c r="R12" i="20" s="1"/>
  <c r="T16" i="20" s="1"/>
  <c r="O35" i="19"/>
  <c r="P35" i="19" s="1"/>
  <c r="O36" i="19"/>
  <c r="P36" i="19" s="1"/>
  <c r="O37" i="19"/>
  <c r="P37" i="19" s="1"/>
  <c r="O34" i="19"/>
  <c r="P34" i="19" s="1"/>
  <c r="T5" i="19"/>
  <c r="T6" i="19"/>
  <c r="T7" i="19"/>
  <c r="T8" i="19"/>
  <c r="T10" i="19"/>
  <c r="T11" i="19"/>
  <c r="T12" i="19"/>
  <c r="T13" i="19"/>
  <c r="T14" i="19"/>
  <c r="T4" i="19"/>
  <c r="O12" i="19"/>
  <c r="P12" i="19" s="1"/>
  <c r="O13" i="19"/>
  <c r="P13" i="19" s="1"/>
  <c r="O14" i="19"/>
  <c r="P14" i="19" s="1"/>
  <c r="O11" i="19"/>
  <c r="P11" i="19" s="1"/>
  <c r="G99" i="21" l="1"/>
  <c r="H99" i="21"/>
  <c r="C57" i="17"/>
  <c r="E57" i="17" s="1"/>
  <c r="C58" i="17"/>
  <c r="C59" i="17"/>
  <c r="C56" i="17"/>
  <c r="E56" i="17" s="1"/>
  <c r="E59" i="17"/>
  <c r="F59" i="17" s="1"/>
  <c r="E58" i="17"/>
  <c r="C44" i="17"/>
  <c r="E44" i="17" s="1"/>
  <c r="C45" i="17"/>
  <c r="E45" i="17" s="1"/>
  <c r="C46" i="17"/>
  <c r="C43" i="17"/>
  <c r="E43" i="17" s="1"/>
  <c r="E46" i="17"/>
  <c r="D18" i="17"/>
  <c r="J13" i="17" s="1"/>
  <c r="D17" i="17"/>
  <c r="H12" i="17" s="1"/>
  <c r="R98" i="11"/>
  <c r="P98" i="11"/>
  <c r="R97" i="11"/>
  <c r="P97" i="11"/>
  <c r="R96" i="11"/>
  <c r="P96" i="11"/>
  <c r="R95" i="11"/>
  <c r="P95" i="11"/>
  <c r="R94" i="11"/>
  <c r="Q94" i="11"/>
  <c r="P94" i="11"/>
  <c r="R93" i="11"/>
  <c r="P93" i="11"/>
  <c r="Q93" i="11" s="1"/>
  <c r="R92" i="11"/>
  <c r="P92" i="11"/>
  <c r="Q92" i="11" s="1"/>
  <c r="R91" i="11"/>
  <c r="P91" i="11"/>
  <c r="Q91" i="11" s="1"/>
  <c r="R90" i="11"/>
  <c r="P90" i="11"/>
  <c r="Q90" i="11" s="1"/>
  <c r="R89" i="11"/>
  <c r="P89" i="11"/>
  <c r="Q89" i="11" s="1"/>
  <c r="R88" i="11"/>
  <c r="Q88" i="11"/>
  <c r="P88" i="11"/>
  <c r="R87" i="11"/>
  <c r="P87" i="11"/>
  <c r="Q87" i="11" s="1"/>
  <c r="R86" i="11"/>
  <c r="P86" i="11"/>
  <c r="Q86" i="11" s="1"/>
  <c r="P85" i="11"/>
  <c r="Q85" i="11" s="1"/>
  <c r="P84" i="11"/>
  <c r="Q84" i="11" s="1"/>
  <c r="P83" i="11"/>
  <c r="Q83" i="11" s="1"/>
  <c r="Q73" i="11"/>
  <c r="I12" i="17" l="1"/>
  <c r="J12" i="17"/>
  <c r="K12" i="17" s="1"/>
  <c r="J11" i="17"/>
  <c r="J14" i="17"/>
  <c r="H14" i="17"/>
  <c r="H11" i="17"/>
  <c r="H13" i="17"/>
  <c r="F56" i="17"/>
  <c r="G56" i="17"/>
  <c r="G57" i="17"/>
  <c r="F57" i="17"/>
  <c r="G58" i="17"/>
  <c r="F58" i="17"/>
  <c r="G59" i="17"/>
  <c r="G43" i="17"/>
  <c r="E51" i="17" s="1"/>
  <c r="E52" i="17" s="1"/>
  <c r="F43" i="17"/>
  <c r="G44" i="17"/>
  <c r="F44" i="17"/>
  <c r="G46" i="17"/>
  <c r="F46" i="17"/>
  <c r="F45" i="17"/>
  <c r="G45" i="17"/>
  <c r="F154" i="13"/>
  <c r="F153" i="13"/>
  <c r="H152" i="13"/>
  <c r="F152" i="13"/>
  <c r="F151" i="13"/>
  <c r="F150" i="13"/>
  <c r="F149" i="13"/>
  <c r="F120" i="13"/>
  <c r="F119" i="13"/>
  <c r="H118" i="13"/>
  <c r="F118" i="13"/>
  <c r="F117" i="13"/>
  <c r="F116" i="13"/>
  <c r="F115" i="13"/>
  <c r="J76" i="13"/>
  <c r="J75" i="13"/>
  <c r="G76" i="13"/>
  <c r="G75" i="13"/>
  <c r="L57" i="13"/>
  <c r="L56" i="13"/>
  <c r="H57" i="13"/>
  <c r="H56" i="13"/>
  <c r="F81" i="13" l="1"/>
  <c r="G81" i="13" s="1"/>
  <c r="I82" i="13"/>
  <c r="I13" i="17"/>
  <c r="K13" i="17"/>
  <c r="I11" i="17"/>
  <c r="K11" i="17"/>
  <c r="K15" i="17" s="1"/>
  <c r="I14" i="17"/>
  <c r="K14" i="17"/>
  <c r="E49" i="17"/>
  <c r="E64" i="17"/>
  <c r="E65" i="17" s="1"/>
  <c r="E62" i="17"/>
  <c r="F82" i="13"/>
  <c r="G82" i="13" s="1"/>
  <c r="F83" i="13"/>
  <c r="G83" i="13" s="1"/>
  <c r="I84" i="13"/>
  <c r="I83" i="13"/>
  <c r="F84" i="13"/>
  <c r="G84" i="13" s="1"/>
  <c r="F85" i="13"/>
  <c r="G85" i="13" s="1"/>
  <c r="I85" i="13"/>
  <c r="F63" i="13"/>
  <c r="G62" i="13"/>
  <c r="F62" i="13"/>
  <c r="I81" i="13"/>
  <c r="F65" i="13"/>
  <c r="F64" i="13"/>
  <c r="G65" i="13"/>
  <c r="G64" i="13"/>
  <c r="G63" i="13"/>
  <c r="I15" i="17" l="1"/>
  <c r="D20" i="17" s="1"/>
  <c r="G86" i="13"/>
  <c r="D21" i="17" l="1"/>
  <c r="C11" i="17"/>
  <c r="E11" i="17" s="1"/>
  <c r="C12" i="17"/>
  <c r="E12" i="17" s="1"/>
  <c r="C13" i="17"/>
  <c r="E13" i="17" s="1"/>
  <c r="C14" i="17"/>
  <c r="E14" i="17" s="1"/>
  <c r="B25" i="15"/>
  <c r="B24" i="15"/>
  <c r="B22" i="15"/>
  <c r="N27" i="15" s="1"/>
  <c r="O26" i="15" s="1"/>
  <c r="B21" i="15"/>
  <c r="J27" i="15" s="1"/>
  <c r="K26" i="15" s="1"/>
  <c r="I22" i="15"/>
  <c r="I21" i="15"/>
  <c r="J19" i="15"/>
  <c r="N19" i="15" s="1"/>
  <c r="O18" i="15" s="1"/>
  <c r="C2" i="15"/>
  <c r="D2" i="15" s="1"/>
  <c r="F3" i="15"/>
  <c r="B19" i="15"/>
  <c r="F4" i="15" s="1"/>
  <c r="B18" i="15"/>
  <c r="C5" i="15" s="1"/>
  <c r="D5" i="15" s="1"/>
  <c r="R17" i="13"/>
  <c r="Q17" i="13"/>
  <c r="P17" i="13"/>
  <c r="O17" i="13"/>
  <c r="O18" i="13" s="1"/>
  <c r="N17" i="13"/>
  <c r="N18" i="13" s="1"/>
  <c r="M22" i="13"/>
  <c r="M23" i="13"/>
  <c r="M24" i="13"/>
  <c r="M25" i="13"/>
  <c r="M21" i="13"/>
  <c r="K18" i="15" l="1"/>
  <c r="G13" i="17"/>
  <c r="F13" i="17"/>
  <c r="C4" i="15"/>
  <c r="G14" i="17"/>
  <c r="F14" i="17"/>
  <c r="G12" i="17"/>
  <c r="F12" i="17"/>
  <c r="G11" i="17"/>
  <c r="E25" i="17" s="1"/>
  <c r="E26" i="17" s="1"/>
  <c r="F11" i="17"/>
  <c r="E23" i="17" s="1"/>
  <c r="C3" i="15"/>
  <c r="C15" i="15"/>
  <c r="D15" i="15" s="1"/>
  <c r="F14" i="15"/>
  <c r="F16" i="15"/>
  <c r="C16" i="15"/>
  <c r="F15" i="15"/>
  <c r="C14" i="15"/>
  <c r="F13" i="15"/>
  <c r="C13" i="15"/>
  <c r="F12" i="15"/>
  <c r="C10" i="15"/>
  <c r="D10" i="15" s="1"/>
  <c r="C9" i="15"/>
  <c r="F11" i="15"/>
  <c r="C11" i="15"/>
  <c r="F10" i="15"/>
  <c r="F9" i="15"/>
  <c r="F8" i="15"/>
  <c r="C8" i="15"/>
  <c r="F7" i="15"/>
  <c r="C7" i="15"/>
  <c r="F6" i="15"/>
  <c r="C6" i="15"/>
  <c r="F5" i="15"/>
  <c r="G5" i="15" s="1"/>
  <c r="F2" i="15"/>
  <c r="G2" i="15" s="1"/>
  <c r="C12" i="15"/>
  <c r="R149" i="2"/>
  <c r="P149" i="2"/>
  <c r="G16" i="15" l="1"/>
  <c r="D16" i="15"/>
  <c r="G4" i="15"/>
  <c r="D4" i="15"/>
  <c r="G11" i="15"/>
  <c r="D11" i="15"/>
  <c r="G12" i="15"/>
  <c r="D12" i="15"/>
  <c r="G7" i="15"/>
  <c r="D7" i="15"/>
  <c r="G8" i="15"/>
  <c r="D8" i="15"/>
  <c r="G3" i="15"/>
  <c r="D3" i="15"/>
  <c r="G9" i="15"/>
  <c r="D9" i="15"/>
  <c r="G13" i="15"/>
  <c r="D13" i="15"/>
  <c r="G14" i="15"/>
  <c r="D14" i="15"/>
  <c r="G6" i="15"/>
  <c r="D6" i="15"/>
  <c r="G10" i="15"/>
  <c r="G15" i="15"/>
  <c r="K19" i="12"/>
  <c r="K20" i="12"/>
  <c r="I17" i="12"/>
  <c r="I20" i="12" s="1"/>
  <c r="I16" i="12"/>
  <c r="I19" i="12" s="1"/>
  <c r="B12" i="12"/>
  <c r="C6" i="12" s="1"/>
  <c r="D6" i="12" s="1"/>
  <c r="D17" i="15" l="1"/>
  <c r="C5" i="12"/>
  <c r="D5" i="12" s="1"/>
  <c r="C8" i="12"/>
  <c r="D8" i="12" s="1"/>
  <c r="C9" i="12"/>
  <c r="D9" i="12" s="1"/>
  <c r="G17" i="15"/>
  <c r="C7" i="12"/>
  <c r="D7" i="12" s="1"/>
  <c r="B24" i="11"/>
  <c r="B25" i="11"/>
  <c r="B26" i="11"/>
  <c r="B27" i="11"/>
  <c r="B28" i="11"/>
  <c r="B29" i="11"/>
  <c r="B30" i="11"/>
  <c r="B31" i="11"/>
  <c r="B32" i="11"/>
  <c r="B33" i="11"/>
  <c r="B34" i="11"/>
  <c r="B35" i="11"/>
  <c r="B36" i="11"/>
  <c r="B37" i="11"/>
  <c r="B38" i="11"/>
  <c r="B39" i="11"/>
  <c r="B40" i="11"/>
  <c r="B41" i="11"/>
  <c r="B42" i="11"/>
  <c r="B43" i="11"/>
  <c r="B4" i="11"/>
  <c r="B5" i="11"/>
  <c r="B6" i="11"/>
  <c r="B7" i="11"/>
  <c r="B8" i="11"/>
  <c r="B9" i="11"/>
  <c r="B10" i="11"/>
  <c r="B11" i="11"/>
  <c r="B12" i="11"/>
  <c r="B13" i="11"/>
  <c r="B14" i="11"/>
  <c r="B15" i="11"/>
  <c r="B16" i="11"/>
  <c r="B17" i="11"/>
  <c r="B18" i="11"/>
  <c r="B19" i="11"/>
  <c r="B20" i="11"/>
  <c r="B21" i="11"/>
  <c r="B22" i="11"/>
  <c r="B23" i="11"/>
  <c r="B3" i="11"/>
  <c r="AI139" i="11"/>
  <c r="AI138" i="11"/>
  <c r="Y138" i="11"/>
  <c r="AI137" i="11"/>
  <c r="Y137" i="11"/>
  <c r="AI136" i="11"/>
  <c r="Y136" i="11"/>
  <c r="AI135" i="11"/>
  <c r="Y135" i="11"/>
  <c r="AI134" i="11"/>
  <c r="Y134" i="11"/>
  <c r="AI133" i="11"/>
  <c r="Y133" i="11"/>
  <c r="AI132" i="11"/>
  <c r="Y132" i="11"/>
  <c r="AI131" i="11"/>
  <c r="Y131" i="11"/>
  <c r="AI130" i="11"/>
  <c r="Y130" i="11"/>
  <c r="AI129" i="11"/>
  <c r="Y129" i="11"/>
  <c r="AI128" i="11"/>
  <c r="Y128" i="11"/>
  <c r="AI127" i="11"/>
  <c r="Y127" i="11"/>
  <c r="AI126" i="11"/>
  <c r="Y126" i="11"/>
  <c r="AI125" i="11"/>
  <c r="Y125" i="11"/>
  <c r="AI124" i="11"/>
  <c r="Y124" i="11"/>
  <c r="S126" i="8"/>
  <c r="AI169" i="8"/>
  <c r="AI168" i="8"/>
  <c r="AI167" i="8"/>
  <c r="AI166" i="8"/>
  <c r="AI165" i="8"/>
  <c r="AI164" i="8"/>
  <c r="AI163" i="8"/>
  <c r="AI162" i="8"/>
  <c r="AI161" i="8"/>
  <c r="AI160" i="8"/>
  <c r="AI159" i="8"/>
  <c r="AI158" i="8"/>
  <c r="AI157" i="8"/>
  <c r="AI156" i="8"/>
  <c r="AI155" i="8"/>
  <c r="AI154" i="8"/>
  <c r="AI153" i="8"/>
  <c r="AI152" i="8"/>
  <c r="AI151" i="8"/>
  <c r="AI150" i="8"/>
  <c r="AI149" i="8"/>
  <c r="AI148" i="8"/>
  <c r="AI147" i="8"/>
  <c r="AI146" i="8"/>
  <c r="AI145" i="8"/>
  <c r="AI144" i="8"/>
  <c r="AI143" i="8"/>
  <c r="AI142" i="8"/>
  <c r="AI141" i="8"/>
  <c r="AI140" i="8"/>
  <c r="AI139" i="8"/>
  <c r="AI138" i="8"/>
  <c r="AI137" i="8"/>
  <c r="AI136" i="8"/>
  <c r="AI135" i="8"/>
  <c r="AI134" i="8"/>
  <c r="AI133" i="8"/>
  <c r="AI132" i="8"/>
  <c r="AI131" i="8"/>
  <c r="AI130" i="8"/>
  <c r="AI129" i="8"/>
  <c r="Y129" i="8"/>
  <c r="Y130" i="8"/>
  <c r="Y131" i="8"/>
  <c r="Y132" i="8"/>
  <c r="Y133" i="8"/>
  <c r="Y134" i="8"/>
  <c r="Y135" i="8"/>
  <c r="Y136" i="8"/>
  <c r="Y137" i="8"/>
  <c r="Y138" i="8"/>
  <c r="Y139" i="8"/>
  <c r="Y140" i="8"/>
  <c r="Y141" i="8"/>
  <c r="Y142" i="8"/>
  <c r="Y143" i="8"/>
  <c r="Y144" i="8"/>
  <c r="Y145" i="8"/>
  <c r="Y146" i="8"/>
  <c r="Y147" i="8"/>
  <c r="Y148" i="8"/>
  <c r="Y149" i="8"/>
  <c r="Y150" i="8"/>
  <c r="Y151" i="8"/>
  <c r="Y152" i="8"/>
  <c r="Y153" i="8"/>
  <c r="Y154" i="8"/>
  <c r="Y155" i="8"/>
  <c r="Y156" i="8"/>
  <c r="Y157" i="8"/>
  <c r="Y158" i="8"/>
  <c r="Y159" i="8"/>
  <c r="Y160" i="8"/>
  <c r="Y161" i="8"/>
  <c r="Y162" i="8"/>
  <c r="Y163" i="8"/>
  <c r="Y164" i="8"/>
  <c r="Y165" i="8"/>
  <c r="Y166" i="8"/>
  <c r="Y167" i="8"/>
  <c r="Y168" i="8"/>
  <c r="Y128" i="8"/>
  <c r="N129" i="8"/>
  <c r="N130" i="8"/>
  <c r="N131" i="8"/>
  <c r="N132" i="8"/>
  <c r="N133" i="8"/>
  <c r="N134" i="8"/>
  <c r="N135" i="8"/>
  <c r="N136" i="8"/>
  <c r="N137" i="8"/>
  <c r="N138" i="8"/>
  <c r="N139" i="8"/>
  <c r="N140" i="8"/>
  <c r="N141" i="8"/>
  <c r="N142" i="8"/>
  <c r="N143" i="8"/>
  <c r="N144" i="8"/>
  <c r="N145" i="8"/>
  <c r="N146" i="8"/>
  <c r="N147" i="8"/>
  <c r="N148" i="8"/>
  <c r="N128" i="8"/>
  <c r="E98" i="8"/>
  <c r="E99" i="8"/>
  <c r="E100" i="8"/>
  <c r="E101" i="8"/>
  <c r="E102" i="8"/>
  <c r="E103" i="8"/>
  <c r="E104" i="8"/>
  <c r="E105" i="8"/>
  <c r="E106" i="8"/>
  <c r="E107" i="8"/>
  <c r="E108" i="8"/>
  <c r="E109" i="8"/>
  <c r="E110" i="8"/>
  <c r="E111" i="8"/>
  <c r="E112" i="8"/>
  <c r="E113" i="8"/>
  <c r="E114" i="8"/>
  <c r="E115" i="8"/>
  <c r="E116" i="8"/>
  <c r="E117" i="8"/>
  <c r="E97" i="8"/>
  <c r="D98" i="8"/>
  <c r="D99" i="8"/>
  <c r="D100" i="8"/>
  <c r="D101" i="8"/>
  <c r="D102" i="8"/>
  <c r="D103" i="8"/>
  <c r="D104" i="8"/>
  <c r="D105" i="8"/>
  <c r="D106" i="8"/>
  <c r="D107" i="8"/>
  <c r="D108" i="8"/>
  <c r="D109" i="8"/>
  <c r="D110" i="8"/>
  <c r="D111" i="8"/>
  <c r="D112" i="8"/>
  <c r="D113" i="8"/>
  <c r="D114" i="8"/>
  <c r="D115" i="8"/>
  <c r="D116" i="8"/>
  <c r="D117" i="8"/>
  <c r="D97" i="8"/>
  <c r="C98" i="8"/>
  <c r="C99" i="8"/>
  <c r="C100" i="8"/>
  <c r="C101" i="8"/>
  <c r="C102" i="8"/>
  <c r="C103" i="8"/>
  <c r="C104" i="8"/>
  <c r="C105" i="8"/>
  <c r="C106" i="8"/>
  <c r="C107" i="8"/>
  <c r="C108" i="8"/>
  <c r="C109" i="8"/>
  <c r="C110" i="8"/>
  <c r="C111" i="8"/>
  <c r="C112" i="8"/>
  <c r="C113" i="8"/>
  <c r="C114" i="8"/>
  <c r="C115" i="8"/>
  <c r="C116" i="8"/>
  <c r="C117" i="8"/>
  <c r="C97" i="8"/>
  <c r="H65" i="8"/>
  <c r="H66" i="8"/>
  <c r="H67" i="8"/>
  <c r="H68" i="8"/>
  <c r="H69" i="8"/>
  <c r="H70" i="8"/>
  <c r="H71" i="8"/>
  <c r="H72" i="8"/>
  <c r="H73" i="8"/>
  <c r="H74" i="8"/>
  <c r="H75" i="8"/>
  <c r="H76" i="8"/>
  <c r="H77" i="8"/>
  <c r="H78" i="8"/>
  <c r="H79" i="8"/>
  <c r="H80" i="8"/>
  <c r="H81" i="8"/>
  <c r="H82" i="8"/>
  <c r="H83" i="8"/>
  <c r="H84" i="8"/>
  <c r="H64" i="8"/>
  <c r="F65" i="8"/>
  <c r="F66" i="8"/>
  <c r="F67" i="8"/>
  <c r="F68" i="8"/>
  <c r="F69" i="8"/>
  <c r="F70" i="8"/>
  <c r="F71" i="8"/>
  <c r="F72" i="8"/>
  <c r="F73" i="8"/>
  <c r="F74" i="8"/>
  <c r="F75" i="8"/>
  <c r="F76" i="8"/>
  <c r="F77" i="8"/>
  <c r="F78" i="8"/>
  <c r="F79" i="8"/>
  <c r="F80" i="8"/>
  <c r="F81" i="8"/>
  <c r="F82" i="8"/>
  <c r="F83" i="8"/>
  <c r="F84" i="8"/>
  <c r="F64" i="8"/>
  <c r="D65" i="8"/>
  <c r="D66" i="8"/>
  <c r="D67" i="8"/>
  <c r="D68" i="8"/>
  <c r="D69" i="8"/>
  <c r="D70" i="8"/>
  <c r="D71" i="8"/>
  <c r="D72" i="8"/>
  <c r="D73" i="8"/>
  <c r="D74" i="8"/>
  <c r="D75" i="8"/>
  <c r="D76" i="8"/>
  <c r="D77" i="8"/>
  <c r="D78" i="8"/>
  <c r="D79" i="8"/>
  <c r="D80" i="8"/>
  <c r="D81" i="8"/>
  <c r="D82" i="8"/>
  <c r="D83" i="8"/>
  <c r="D84" i="8"/>
  <c r="D64" i="8"/>
  <c r="C84" i="8"/>
  <c r="C83" i="8"/>
  <c r="C82" i="8"/>
  <c r="C81" i="8"/>
  <c r="C80" i="8"/>
  <c r="C79" i="8"/>
  <c r="C78" i="8"/>
  <c r="C77" i="8"/>
  <c r="C76" i="8"/>
  <c r="C75" i="8"/>
  <c r="C74" i="8"/>
  <c r="C73" i="8"/>
  <c r="C72" i="8"/>
  <c r="C71" i="8"/>
  <c r="C70" i="8"/>
  <c r="C69" i="8"/>
  <c r="C68" i="8"/>
  <c r="C67" i="8"/>
  <c r="C66" i="8"/>
  <c r="C65" i="8"/>
  <c r="C64" i="8"/>
  <c r="E35" i="8"/>
  <c r="E36" i="8"/>
  <c r="E37" i="8"/>
  <c r="E38" i="8"/>
  <c r="E39" i="8"/>
  <c r="E40" i="8"/>
  <c r="E41" i="8"/>
  <c r="E42" i="8"/>
  <c r="E43" i="8"/>
  <c r="E44" i="8"/>
  <c r="E45" i="8"/>
  <c r="E46" i="8"/>
  <c r="E47" i="8"/>
  <c r="E48" i="8"/>
  <c r="E49" i="8"/>
  <c r="E50" i="8"/>
  <c r="E51" i="8"/>
  <c r="E52" i="8"/>
  <c r="E53" i="8"/>
  <c r="E54" i="8"/>
  <c r="E34" i="8"/>
  <c r="D35" i="8"/>
  <c r="D36" i="8"/>
  <c r="D37" i="8"/>
  <c r="D38" i="8"/>
  <c r="D39" i="8"/>
  <c r="D40" i="8"/>
  <c r="D41" i="8"/>
  <c r="D42" i="8"/>
  <c r="D43" i="8"/>
  <c r="D44" i="8"/>
  <c r="D45" i="8"/>
  <c r="D46" i="8"/>
  <c r="D47" i="8"/>
  <c r="D48" i="8"/>
  <c r="D49" i="8"/>
  <c r="D50" i="8"/>
  <c r="D51" i="8"/>
  <c r="D52" i="8"/>
  <c r="D53" i="8"/>
  <c r="D54" i="8"/>
  <c r="D34" i="8"/>
  <c r="C35" i="8"/>
  <c r="C36" i="8"/>
  <c r="C37" i="8"/>
  <c r="C38" i="8"/>
  <c r="C39" i="8"/>
  <c r="C40" i="8"/>
  <c r="C41" i="8"/>
  <c r="C42" i="8"/>
  <c r="C43" i="8"/>
  <c r="C44" i="8"/>
  <c r="C45" i="8"/>
  <c r="C46" i="8"/>
  <c r="C47" i="8"/>
  <c r="C48" i="8"/>
  <c r="C49" i="8"/>
  <c r="C50" i="8"/>
  <c r="C51" i="8"/>
  <c r="C52" i="8"/>
  <c r="C53" i="8"/>
  <c r="C54" i="8"/>
  <c r="C34" i="8"/>
  <c r="D4" i="8"/>
  <c r="D5" i="8"/>
  <c r="D6" i="8"/>
  <c r="D7" i="8"/>
  <c r="D8" i="8"/>
  <c r="D9" i="8"/>
  <c r="D10" i="8"/>
  <c r="D11" i="8"/>
  <c r="D12" i="8"/>
  <c r="D13" i="8"/>
  <c r="D14" i="8"/>
  <c r="D15" i="8"/>
  <c r="D16" i="8"/>
  <c r="D17" i="8"/>
  <c r="D18" i="8"/>
  <c r="D19" i="8"/>
  <c r="D20" i="8"/>
  <c r="D21" i="8"/>
  <c r="D22" i="8"/>
  <c r="D23" i="8"/>
  <c r="D3" i="8"/>
  <c r="E14" i="8"/>
  <c r="C3" i="8"/>
  <c r="E3" i="8"/>
  <c r="G3" i="8"/>
  <c r="F3" i="8"/>
  <c r="G4" i="8"/>
  <c r="G5" i="8"/>
  <c r="G6" i="8"/>
  <c r="G7" i="8"/>
  <c r="G8" i="8"/>
  <c r="G9" i="8"/>
  <c r="G10" i="8"/>
  <c r="G11" i="8"/>
  <c r="G12" i="8"/>
  <c r="G13" i="8"/>
  <c r="G14" i="8"/>
  <c r="G15" i="8"/>
  <c r="G16" i="8"/>
  <c r="G17" i="8"/>
  <c r="G18" i="8"/>
  <c r="G19" i="8"/>
  <c r="G20" i="8"/>
  <c r="G21" i="8"/>
  <c r="G22" i="8"/>
  <c r="G23" i="8"/>
  <c r="F4" i="8"/>
  <c r="F5" i="8"/>
  <c r="F6" i="8"/>
  <c r="F7" i="8"/>
  <c r="F8" i="8"/>
  <c r="F9" i="8"/>
  <c r="F10" i="8"/>
  <c r="F11" i="8"/>
  <c r="F12" i="8"/>
  <c r="F13" i="8"/>
  <c r="F14" i="8"/>
  <c r="F15" i="8"/>
  <c r="F16" i="8"/>
  <c r="F17" i="8"/>
  <c r="F18" i="8"/>
  <c r="F19" i="8"/>
  <c r="F20" i="8"/>
  <c r="F21" i="8"/>
  <c r="F22" i="8"/>
  <c r="F23" i="8"/>
  <c r="E4" i="8"/>
  <c r="E5" i="8"/>
  <c r="E6" i="8"/>
  <c r="E7" i="8"/>
  <c r="E8" i="8"/>
  <c r="E9" i="8"/>
  <c r="E10" i="8"/>
  <c r="E11" i="8"/>
  <c r="E12" i="8"/>
  <c r="E13" i="8"/>
  <c r="E15" i="8"/>
  <c r="E16" i="8"/>
  <c r="E17" i="8"/>
  <c r="E18" i="8"/>
  <c r="E19" i="8"/>
  <c r="E20" i="8"/>
  <c r="E21" i="8"/>
  <c r="E22" i="8"/>
  <c r="E23" i="8"/>
  <c r="C4" i="8"/>
  <c r="C5" i="8"/>
  <c r="C6" i="8"/>
  <c r="C7" i="8"/>
  <c r="C8" i="8"/>
  <c r="C9" i="8"/>
  <c r="C10" i="8"/>
  <c r="C11" i="8"/>
  <c r="C12" i="8"/>
  <c r="C13" i="8"/>
  <c r="C14" i="8"/>
  <c r="C15" i="8"/>
  <c r="C16" i="8"/>
  <c r="C17" i="8"/>
  <c r="C18" i="8"/>
  <c r="C19" i="8"/>
  <c r="C20" i="8"/>
  <c r="C21" i="8"/>
  <c r="C22" i="8"/>
  <c r="C23" i="8"/>
  <c r="B4" i="8"/>
  <c r="B5" i="8"/>
  <c r="B6" i="8"/>
  <c r="B7" i="8"/>
  <c r="B8" i="8"/>
  <c r="B9" i="8"/>
  <c r="B10" i="8"/>
  <c r="B11" i="8"/>
  <c r="B12" i="8"/>
  <c r="B13" i="8"/>
  <c r="B14" i="8"/>
  <c r="B15" i="8"/>
  <c r="B16" i="8"/>
  <c r="B17" i="8"/>
  <c r="B18" i="8"/>
  <c r="B19" i="8"/>
  <c r="B20" i="8"/>
  <c r="B21" i="8"/>
  <c r="B22" i="8"/>
  <c r="B23" i="8"/>
  <c r="B3" i="8"/>
  <c r="D13" i="12" l="1"/>
  <c r="D22" i="15"/>
  <c r="D21" i="15"/>
  <c r="X64" i="3"/>
  <c r="X65" i="3"/>
  <c r="X66" i="3"/>
  <c r="X67" i="3"/>
  <c r="X68" i="3"/>
  <c r="X69" i="3"/>
  <c r="X70" i="3"/>
  <c r="X71" i="3"/>
  <c r="X72" i="3"/>
  <c r="X73" i="3"/>
  <c r="X74" i="3"/>
  <c r="X75" i="3"/>
  <c r="X76" i="3"/>
  <c r="X77" i="3"/>
  <c r="X78" i="3"/>
  <c r="X79" i="3"/>
  <c r="X80" i="3"/>
  <c r="X81" i="3"/>
  <c r="X82" i="3"/>
  <c r="X83" i="3"/>
  <c r="X63" i="3"/>
  <c r="W58" i="3"/>
  <c r="W57" i="3"/>
  <c r="W56" i="3"/>
  <c r="W55" i="3"/>
  <c r="W54" i="3"/>
  <c r="W53" i="3"/>
  <c r="W52" i="3"/>
  <c r="W51" i="3"/>
  <c r="W50" i="3"/>
  <c r="W49" i="3"/>
  <c r="W48" i="3"/>
  <c r="W47" i="3"/>
  <c r="W46" i="3"/>
  <c r="W45" i="3"/>
  <c r="W44" i="3"/>
  <c r="W43" i="3"/>
  <c r="W42" i="3"/>
  <c r="W41" i="3"/>
  <c r="W40" i="3"/>
  <c r="W39" i="3"/>
  <c r="W38" i="3"/>
  <c r="Y39" i="3"/>
  <c r="Y40" i="3"/>
  <c r="Y41" i="3"/>
  <c r="Y42" i="3"/>
  <c r="Y43" i="3"/>
  <c r="Y44" i="3"/>
  <c r="Y45" i="3"/>
  <c r="Y46" i="3"/>
  <c r="Y47" i="3"/>
  <c r="Y48" i="3"/>
  <c r="Y49" i="3"/>
  <c r="Y50" i="3"/>
  <c r="Y51" i="3"/>
  <c r="Y52" i="3"/>
  <c r="Y53" i="3"/>
  <c r="Y54" i="3"/>
  <c r="Y55" i="3"/>
  <c r="Y56" i="3"/>
  <c r="Y57" i="3"/>
  <c r="Y58" i="3"/>
  <c r="Y38" i="3"/>
  <c r="X39" i="3"/>
  <c r="X40" i="3"/>
  <c r="X41" i="3"/>
  <c r="X42" i="3"/>
  <c r="X43" i="3"/>
  <c r="X44" i="3"/>
  <c r="X45" i="3"/>
  <c r="X46" i="3"/>
  <c r="X47" i="3"/>
  <c r="X48" i="3"/>
  <c r="X49" i="3"/>
  <c r="X50" i="3"/>
  <c r="X51" i="3"/>
  <c r="X52" i="3"/>
  <c r="X53" i="3"/>
  <c r="X54" i="3"/>
  <c r="X55" i="3"/>
  <c r="X56" i="3"/>
  <c r="X57" i="3"/>
  <c r="X58" i="3"/>
  <c r="X38" i="3"/>
  <c r="O62" i="3"/>
  <c r="O63" i="3"/>
  <c r="O64" i="3"/>
  <c r="O65" i="3"/>
  <c r="O66" i="3"/>
  <c r="O67" i="3"/>
  <c r="O68" i="3"/>
  <c r="O69" i="3"/>
  <c r="O70" i="3"/>
  <c r="O71" i="3"/>
  <c r="O72" i="3"/>
  <c r="O73" i="3"/>
  <c r="O74" i="3"/>
  <c r="O75" i="3"/>
  <c r="O76" i="3"/>
  <c r="O77" i="3"/>
  <c r="O78" i="3"/>
  <c r="O79" i="3"/>
  <c r="O80" i="3"/>
  <c r="O81" i="3"/>
  <c r="O61" i="3"/>
  <c r="O37" i="3"/>
  <c r="O38" i="3"/>
  <c r="O39" i="3"/>
  <c r="O40" i="3"/>
  <c r="O41" i="3"/>
  <c r="O42" i="3"/>
  <c r="O43" i="3"/>
  <c r="O44" i="3"/>
  <c r="O45" i="3"/>
  <c r="O46" i="3"/>
  <c r="O47" i="3"/>
  <c r="O48" i="3"/>
  <c r="O49" i="3"/>
  <c r="O50" i="3"/>
  <c r="O51" i="3"/>
  <c r="O52" i="3"/>
  <c r="O53" i="3"/>
  <c r="O54" i="3"/>
  <c r="O55" i="3"/>
  <c r="O56" i="3"/>
  <c r="O57" i="3"/>
  <c r="B19" i="3"/>
  <c r="D7" i="3" s="1"/>
  <c r="B20" i="3"/>
  <c r="E7" i="3" s="1"/>
  <c r="G7" i="3" l="1"/>
  <c r="F7" i="3"/>
  <c r="D6" i="3"/>
  <c r="D10" i="3"/>
  <c r="D9" i="3"/>
  <c r="D8" i="3"/>
  <c r="E6" i="3"/>
  <c r="E10" i="3"/>
  <c r="E9" i="3"/>
  <c r="E8" i="3"/>
  <c r="F122" i="1"/>
  <c r="G122" i="1" s="1"/>
  <c r="H122" i="1" s="1"/>
  <c r="I122" i="1" s="1"/>
  <c r="J122" i="1" s="1"/>
  <c r="K122" i="1" s="1"/>
  <c r="L122" i="1" s="1"/>
  <c r="E122" i="1"/>
  <c r="G8" i="3" l="1"/>
  <c r="F8" i="3"/>
  <c r="G10" i="3"/>
  <c r="F10" i="3"/>
  <c r="F6" i="3"/>
  <c r="G6" i="3"/>
  <c r="F9" i="3"/>
  <c r="G9" i="3"/>
  <c r="G23" i="3" l="1"/>
  <c r="G24" i="3"/>
  <c r="H23" i="3" l="1"/>
  <c r="G26" i="3" l="1"/>
  <c r="L28" i="3" s="1"/>
</calcChain>
</file>

<file path=xl/sharedStrings.xml><?xml version="1.0" encoding="utf-8"?>
<sst xmlns="http://schemas.openxmlformats.org/spreadsheetml/2006/main" count="1462" uniqueCount="1111">
  <si>
    <t>항</t>
    <phoneticPr fontId="5" type="noConversion"/>
  </si>
  <si>
    <t>항은 숫자 또는 문자의 곱으로  구성된 식</t>
    <phoneticPr fontId="5" type="noConversion"/>
  </si>
  <si>
    <t>숫자와 문자를 곱한 것</t>
    <phoneticPr fontId="5" type="noConversion"/>
  </si>
  <si>
    <t>3a</t>
    <phoneticPr fontId="5" type="noConversion"/>
  </si>
  <si>
    <t>문자와 문자를 곱한 것</t>
    <phoneticPr fontId="5" type="noConversion"/>
  </si>
  <si>
    <t>a</t>
    <phoneticPr fontId="5" type="noConversion"/>
  </si>
  <si>
    <t>a는 1과 a를 곱한 것이므로</t>
    <phoneticPr fontId="5" type="noConversion"/>
  </si>
  <si>
    <r>
      <t>2a</t>
    </r>
    <r>
      <rPr>
        <vertAlign val="superscript"/>
        <sz val="11"/>
        <color theme="1"/>
        <rFont val="맑은 고딕"/>
        <family val="3"/>
        <charset val="129"/>
        <scheme val="minor"/>
      </rPr>
      <t>2</t>
    </r>
    <phoneticPr fontId="5" type="noConversion"/>
  </si>
  <si>
    <r>
      <t>a</t>
    </r>
    <r>
      <rPr>
        <vertAlign val="superscript"/>
        <sz val="11"/>
        <color theme="1"/>
        <rFont val="맑은 고딕"/>
        <family val="3"/>
        <charset val="129"/>
        <scheme val="minor"/>
      </rPr>
      <t>2</t>
    </r>
    <phoneticPr fontId="5" type="noConversion"/>
  </si>
  <si>
    <t>상수항</t>
    <phoneticPr fontId="5" type="noConversion"/>
  </si>
  <si>
    <t>항 중에서 숫자만 있는 항</t>
    <phoneticPr fontId="5" type="noConversion"/>
  </si>
  <si>
    <t>2x+y+1이라는 식에서 1이 상수항</t>
    <phoneticPr fontId="5" type="noConversion"/>
  </si>
  <si>
    <t>계수</t>
    <phoneticPr fontId="5" type="noConversion"/>
  </si>
  <si>
    <t>coefficient</t>
    <phoneticPr fontId="5" type="noConversion"/>
  </si>
  <si>
    <t>상수와 변수로 구성된 단항식에서 변수와 곱해진 상수</t>
    <phoneticPr fontId="5" type="noConversion"/>
  </si>
  <si>
    <t>-3은 상수항이자 계수이다.</t>
    <phoneticPr fontId="5" type="noConversion"/>
  </si>
  <si>
    <r>
      <t>-3 상수는 x</t>
    </r>
    <r>
      <rPr>
        <vertAlign val="superscript"/>
        <sz val="11"/>
        <color theme="1"/>
        <rFont val="맑은 고딕"/>
        <family val="3"/>
        <charset val="129"/>
        <scheme val="minor"/>
      </rPr>
      <t>0</t>
    </r>
    <r>
      <rPr>
        <sz val="11"/>
        <color theme="1"/>
        <rFont val="맑은 고딕"/>
        <family val="3"/>
        <charset val="129"/>
        <scheme val="minor"/>
      </rPr>
      <t xml:space="preserve"> (x의 0제곱)과 -3의 곱으로 볼 수 있으므로 상수항인 -3도 계수에 포함됨</t>
    </r>
    <phoneticPr fontId="5" type="noConversion"/>
  </si>
  <si>
    <t>단항식과 다항식</t>
    <phoneticPr fontId="5" type="noConversion"/>
  </si>
  <si>
    <t>단항식</t>
    <phoneticPr fontId="5" type="noConversion"/>
  </si>
  <si>
    <t>: 항이 하나로 된 식</t>
    <phoneticPr fontId="5" type="noConversion"/>
  </si>
  <si>
    <t>다항식</t>
    <phoneticPr fontId="5" type="noConversion"/>
  </si>
  <si>
    <t>: 항이 두 개 이상인 항의 합으로 된 식</t>
    <phoneticPr fontId="5" type="noConversion"/>
  </si>
  <si>
    <t>차수</t>
    <phoneticPr fontId="5" type="noConversion"/>
  </si>
  <si>
    <t>차수는 문자를 곱한 횟수를 의미함</t>
    <phoneticPr fontId="5" type="noConversion"/>
  </si>
  <si>
    <r>
      <t>2x</t>
    </r>
    <r>
      <rPr>
        <vertAlign val="superscript"/>
        <sz val="11"/>
        <color theme="1"/>
        <rFont val="맑은 고딕"/>
        <family val="3"/>
        <charset val="129"/>
        <scheme val="minor"/>
      </rPr>
      <t xml:space="preserve">2 </t>
    </r>
    <r>
      <rPr>
        <sz val="11"/>
        <color theme="1"/>
        <rFont val="맑은 고딕"/>
        <family val="3"/>
        <charset val="129"/>
        <scheme val="minor"/>
      </rPr>
      <t>은 x를 두 번 곱했기 때문에 차수가 2이고</t>
    </r>
    <phoneticPr fontId="5" type="noConversion"/>
  </si>
  <si>
    <r>
      <t>3y</t>
    </r>
    <r>
      <rPr>
        <vertAlign val="superscript"/>
        <sz val="11"/>
        <color theme="1"/>
        <rFont val="맑은 고딕"/>
        <family val="3"/>
        <charset val="129"/>
        <scheme val="minor"/>
      </rPr>
      <t xml:space="preserve">1 </t>
    </r>
    <r>
      <rPr>
        <sz val="11"/>
        <color theme="1"/>
        <rFont val="맑은 고딕"/>
        <family val="3"/>
        <charset val="129"/>
        <scheme val="minor"/>
      </rPr>
      <t>은 y를 한 번 곱했기 때문에 차수가 1이됨</t>
    </r>
    <phoneticPr fontId="5" type="noConversion"/>
  </si>
  <si>
    <r>
      <t>-3은 x</t>
    </r>
    <r>
      <rPr>
        <vertAlign val="superscript"/>
        <sz val="11"/>
        <color theme="1"/>
        <rFont val="맑은 고딕"/>
        <family val="3"/>
        <charset val="129"/>
        <scheme val="minor"/>
      </rPr>
      <t xml:space="preserve">0 </t>
    </r>
    <r>
      <rPr>
        <sz val="11"/>
        <color theme="1"/>
        <rFont val="맑은 고딕"/>
        <family val="3"/>
        <charset val="129"/>
        <scheme val="minor"/>
      </rPr>
      <t>은이므로 차수가 0이됨</t>
    </r>
    <r>
      <rPr>
        <vertAlign val="superscript"/>
        <sz val="11"/>
        <color theme="1"/>
        <rFont val="맑은 고딕"/>
        <family val="3"/>
        <charset val="129"/>
        <scheme val="minor"/>
      </rPr>
      <t xml:space="preserve"> </t>
    </r>
    <phoneticPr fontId="5" type="noConversion"/>
  </si>
  <si>
    <t>x를 기준으로 차수를 구하면 x에 대한 이차식</t>
    <phoneticPr fontId="5" type="noConversion"/>
  </si>
  <si>
    <t>y를 기준으로 차수를 구하면 y에 대한 일차식</t>
    <phoneticPr fontId="5" type="noConversion"/>
  </si>
  <si>
    <t>수식</t>
    <phoneticPr fontId="5" type="noConversion"/>
  </si>
  <si>
    <t>수식이란 변수와 상수를 연산자를 이용하여 표현한 식</t>
    <phoneticPr fontId="5" type="noConversion"/>
  </si>
  <si>
    <t>https://colab.research.google.com/drive/1bftNkhYWUaZJa0p-T1hfhgb8yycWZe5O#scrollTo=_Dt-Fv8CDnRs</t>
    <phoneticPr fontId="5" type="noConversion"/>
  </si>
  <si>
    <t>팩토리얼(factorial)</t>
    <phoneticPr fontId="5" type="noConversion"/>
  </si>
  <si>
    <t>피보나치</t>
  </si>
  <si>
    <t>첫째 및 둘째 항이 1이며 그 뒤의 모든 항은 바로 앞 두 항의 합인 수열(컴퓨터에서는 배열이나 리스트)</t>
  </si>
  <si>
    <t>재귀</t>
  </si>
  <si>
    <t>수열(sequence)</t>
    <phoneticPr fontId="5" type="noConversion"/>
  </si>
  <si>
    <t>x</t>
    <phoneticPr fontId="5" type="noConversion"/>
  </si>
  <si>
    <t>y</t>
    <phoneticPr fontId="5" type="noConversion"/>
  </si>
  <si>
    <t>y = ax</t>
    <phoneticPr fontId="5" type="noConversion"/>
  </si>
  <si>
    <t>a</t>
    <phoneticPr fontId="5" type="noConversion"/>
  </si>
  <si>
    <t>y</t>
    <phoneticPr fontId="5" type="noConversion"/>
  </si>
  <si>
    <t>1x</t>
    <phoneticPr fontId="5" type="noConversion"/>
  </si>
  <si>
    <t>2x</t>
    <phoneticPr fontId="5" type="noConversion"/>
  </si>
  <si>
    <t>3x</t>
    <phoneticPr fontId="5" type="noConversion"/>
  </si>
  <si>
    <t>-1x</t>
    <phoneticPr fontId="5" type="noConversion"/>
  </si>
  <si>
    <t>-2x</t>
    <phoneticPr fontId="5" type="noConversion"/>
  </si>
  <si>
    <t>-3x</t>
    <phoneticPr fontId="5" type="noConversion"/>
  </si>
  <si>
    <t>일차함수 그래프</t>
    <phoneticPr fontId="5" type="noConversion"/>
  </si>
  <si>
    <t>키</t>
  </si>
  <si>
    <t>몸무게</t>
  </si>
  <si>
    <t>키 평균</t>
    <phoneticPr fontId="5" type="noConversion"/>
  </si>
  <si>
    <t>몸무게 평균</t>
    <phoneticPr fontId="5" type="noConversion"/>
  </si>
  <si>
    <t>(x-x평균)(y-y평균)의 합</t>
  </si>
  <si>
    <t>(x-x평균) 제곱의 합</t>
  </si>
  <si>
    <t xml:space="preserve"> </t>
    <phoneticPr fontId="5" type="noConversion"/>
  </si>
  <si>
    <t>키 편차
deviation</t>
    <phoneticPr fontId="5" type="noConversion"/>
  </si>
  <si>
    <t>몸무게 편차
deviation</t>
    <phoneticPr fontId="5" type="noConversion"/>
  </si>
  <si>
    <t>편차는 평균과의 차</t>
    <phoneticPr fontId="5" type="noConversion"/>
  </si>
  <si>
    <t>키 편차 x 몸무게 편차</t>
    <phoneticPr fontId="5" type="noConversion"/>
  </si>
  <si>
    <t>키 편차의
제곱</t>
    <phoneticPr fontId="5" type="noConversion"/>
  </si>
  <si>
    <t xml:space="preserve">mean(y) - (mean(x)*a)  </t>
    <phoneticPr fontId="5" type="noConversion"/>
  </si>
  <si>
    <t>y=ax+b</t>
    <phoneticPr fontId="5" type="noConversion"/>
  </si>
  <si>
    <t>기울기(a)</t>
    <phoneticPr fontId="5" type="noConversion"/>
  </si>
  <si>
    <t>y절편(b)</t>
    <phoneticPr fontId="5" type="noConversion"/>
  </si>
  <si>
    <t>y=0.98x-102</t>
    <phoneticPr fontId="5" type="noConversion"/>
  </si>
  <si>
    <t>만약에 키가 163이면</t>
    <phoneticPr fontId="5" type="noConversion"/>
  </si>
  <si>
    <t>이차함수와 그래프</t>
    <phoneticPr fontId="5" type="noConversion"/>
  </si>
  <si>
    <t xml:space="preserve"> </t>
    <phoneticPr fontId="5" type="noConversion"/>
  </si>
  <si>
    <t xml:space="preserve">  </t>
    <phoneticPr fontId="5" type="noConversion"/>
  </si>
  <si>
    <t>x</t>
    <phoneticPr fontId="5" type="noConversion"/>
  </si>
  <si>
    <t>y</t>
    <phoneticPr fontId="5" type="noConversion"/>
  </si>
  <si>
    <r>
      <t>y=x</t>
    </r>
    <r>
      <rPr>
        <vertAlign val="superscript"/>
        <sz val="11"/>
        <color theme="1"/>
        <rFont val="맑은 고딕"/>
        <family val="3"/>
        <charset val="129"/>
        <scheme val="minor"/>
      </rPr>
      <t>2</t>
    </r>
    <phoneticPr fontId="5" type="noConversion"/>
  </si>
  <si>
    <r>
      <t>y=-x</t>
    </r>
    <r>
      <rPr>
        <vertAlign val="superscript"/>
        <sz val="11"/>
        <color theme="1"/>
        <rFont val="맑은 고딕"/>
        <family val="3"/>
        <charset val="129"/>
        <scheme val="minor"/>
      </rPr>
      <t>2</t>
    </r>
    <phoneticPr fontId="5" type="noConversion"/>
  </si>
  <si>
    <r>
      <t>y=ax</t>
    </r>
    <r>
      <rPr>
        <vertAlign val="superscript"/>
        <sz val="11"/>
        <color theme="1"/>
        <rFont val="맑은 고딕"/>
        <family val="3"/>
        <charset val="129"/>
        <scheme val="minor"/>
      </rPr>
      <t>2</t>
    </r>
    <phoneticPr fontId="5" type="noConversion"/>
  </si>
  <si>
    <t>y값</t>
    <phoneticPr fontId="5" type="noConversion"/>
  </si>
  <si>
    <t>a값</t>
    <phoneticPr fontId="5" type="noConversion"/>
  </si>
  <si>
    <r>
      <t>1x</t>
    </r>
    <r>
      <rPr>
        <vertAlign val="superscript"/>
        <sz val="11"/>
        <color theme="1"/>
        <rFont val="맑은 고딕"/>
        <family val="3"/>
        <charset val="129"/>
        <scheme val="minor"/>
      </rPr>
      <t>2</t>
    </r>
    <phoneticPr fontId="5" type="noConversion"/>
  </si>
  <si>
    <r>
      <rPr>
        <sz val="11"/>
        <color theme="1"/>
        <rFont val="맑은 고딕"/>
        <family val="3"/>
        <charset val="129"/>
        <scheme val="minor"/>
      </rPr>
      <t>2</t>
    </r>
    <r>
      <rPr>
        <sz val="11"/>
        <color theme="1"/>
        <rFont val="맑은 고딕"/>
        <family val="2"/>
        <scheme val="minor"/>
      </rPr>
      <t>x</t>
    </r>
    <r>
      <rPr>
        <vertAlign val="superscript"/>
        <sz val="11"/>
        <color theme="1"/>
        <rFont val="맑은 고딕"/>
        <family val="3"/>
        <charset val="129"/>
        <scheme val="minor"/>
      </rPr>
      <t>2</t>
    </r>
    <phoneticPr fontId="5" type="noConversion"/>
  </si>
  <si>
    <r>
      <rPr>
        <sz val="11"/>
        <color theme="1"/>
        <rFont val="맑은 고딕"/>
        <family val="3"/>
        <charset val="129"/>
        <scheme val="minor"/>
      </rPr>
      <t>3</t>
    </r>
    <r>
      <rPr>
        <sz val="11"/>
        <color theme="1"/>
        <rFont val="맑은 고딕"/>
        <family val="2"/>
        <scheme val="minor"/>
      </rPr>
      <t>x</t>
    </r>
    <r>
      <rPr>
        <vertAlign val="superscript"/>
        <sz val="11"/>
        <color theme="1"/>
        <rFont val="맑은 고딕"/>
        <family val="3"/>
        <charset val="129"/>
        <scheme val="minor"/>
      </rPr>
      <t>2</t>
    </r>
    <phoneticPr fontId="5" type="noConversion"/>
  </si>
  <si>
    <t>vector</t>
    <phoneticPr fontId="5" type="noConversion"/>
  </si>
  <si>
    <t>컴퓨터공학과에서의 벡터는 여러 개의 데이터를 하나의 정보로 표현한다는 관점에서 리스트, 배열과 비슷함.</t>
    <phoneticPr fontId="5" type="noConversion"/>
  </si>
  <si>
    <t>수학에서 어떤 정보를 표현할 때 크기와 방향을 모두 가지는 것을 벡터라고 하고, 크기만 가지는 것을 스칼라라고 부름</t>
    <phoneticPr fontId="5" type="noConversion"/>
  </si>
  <si>
    <t>행렬(matrix)</t>
    <phoneticPr fontId="5" type="noConversion"/>
  </si>
  <si>
    <t>원래 격자를 뜻하는 말로, 수학에서는 사각형으로 된 수의 배열을 지칭함. 1개 이상의 벡터 모임</t>
    <phoneticPr fontId="5" type="noConversion"/>
  </si>
  <si>
    <t>y</t>
    <phoneticPr fontId="5" type="noConversion"/>
  </si>
  <si>
    <t>a</t>
    <phoneticPr fontId="5" type="noConversion"/>
  </si>
  <si>
    <t>자연상수 또는 오일러 수</t>
    <phoneticPr fontId="5" type="noConversion"/>
  </si>
  <si>
    <t>기호 e로 표기</t>
    <phoneticPr fontId="5" type="noConversion"/>
  </si>
  <si>
    <t>import numpy as np</t>
    <phoneticPr fontId="5" type="noConversion"/>
  </si>
  <si>
    <t>np.exp(1)</t>
    <phoneticPr fontId="5" type="noConversion"/>
  </si>
  <si>
    <t>== math.e</t>
    <phoneticPr fontId="5" type="noConversion"/>
  </si>
  <si>
    <t>y</t>
    <phoneticPr fontId="5" type="noConversion"/>
  </si>
  <si>
    <t>p</t>
    <phoneticPr fontId="5" type="noConversion"/>
  </si>
  <si>
    <t>q</t>
    <phoneticPr fontId="5" type="noConversion"/>
  </si>
  <si>
    <t>지수함수의 평행이동</t>
    <phoneticPr fontId="5" type="noConversion"/>
  </si>
  <si>
    <t>지수함수의 대칭이동</t>
    <phoneticPr fontId="5" type="noConversion"/>
  </si>
  <si>
    <t>y축에 대해 대칭이동</t>
    <phoneticPr fontId="5" type="noConversion"/>
  </si>
  <si>
    <t>x축에 대해 대칭이동</t>
    <phoneticPr fontId="5" type="noConversion"/>
  </si>
  <si>
    <t xml:space="preserve"> </t>
    <phoneticPr fontId="5" type="noConversion"/>
  </si>
  <si>
    <t>원점에 대해 대칭이동</t>
    <phoneticPr fontId="5" type="noConversion"/>
  </si>
  <si>
    <t>p</t>
    <phoneticPr fontId="5" type="noConversion"/>
  </si>
  <si>
    <t>로지스틱 함수</t>
    <phoneticPr fontId="5" type="noConversion"/>
  </si>
  <si>
    <t>x</t>
    <phoneticPr fontId="5" type="noConversion"/>
  </si>
  <si>
    <t>e</t>
    <phoneticPr fontId="5" type="noConversion"/>
  </si>
  <si>
    <t>통계 기초</t>
    <phoneticPr fontId="5" type="noConversion"/>
  </si>
  <si>
    <t>평균</t>
    <phoneticPr fontId="5" type="noConversion"/>
  </si>
  <si>
    <r>
      <t>키(x</t>
    </r>
    <r>
      <rPr>
        <vertAlign val="subscript"/>
        <sz val="11"/>
        <color theme="1"/>
        <rFont val="맑은 고딕"/>
        <family val="3"/>
        <charset val="129"/>
        <scheme val="minor"/>
      </rPr>
      <t>1</t>
    </r>
    <r>
      <rPr>
        <sz val="11"/>
        <color theme="1"/>
        <rFont val="맑은 고딕"/>
        <family val="2"/>
        <scheme val="minor"/>
      </rPr>
      <t>)</t>
    </r>
    <phoneticPr fontId="5" type="noConversion"/>
  </si>
  <si>
    <t>편차(deviation)</t>
    <phoneticPr fontId="5" type="noConversion"/>
  </si>
  <si>
    <t>편차 제곱</t>
    <phoneticPr fontId="5" type="noConversion"/>
  </si>
  <si>
    <t>편차제곱의 합</t>
    <phoneticPr fontId="5" type="noConversion"/>
  </si>
  <si>
    <t>분산=</t>
    <phoneticPr fontId="5" type="noConversion"/>
  </si>
  <si>
    <t>편차제곱의 합</t>
    <phoneticPr fontId="5" type="noConversion"/>
  </si>
  <si>
    <t>개수</t>
    <phoneticPr fontId="5" type="noConversion"/>
  </si>
  <si>
    <t>엑셀에서 분산 구하는 함수</t>
    <phoneticPr fontId="5" type="noConversion"/>
  </si>
  <si>
    <t>n 샘플의 수</t>
    <phoneticPr fontId="5" type="noConversion"/>
  </si>
  <si>
    <t>n - 1</t>
    <phoneticPr fontId="5" type="noConversion"/>
  </si>
  <si>
    <t>자유도</t>
    <phoneticPr fontId="5" type="noConversion"/>
  </si>
  <si>
    <t>degree of freedom</t>
    <phoneticPr fontId="5" type="noConversion"/>
  </si>
  <si>
    <t>dof</t>
    <phoneticPr fontId="5" type="noConversion"/>
  </si>
  <si>
    <t>모분산</t>
    <phoneticPr fontId="5" type="noConversion"/>
  </si>
  <si>
    <t>표본분산</t>
    <phoneticPr fontId="5" type="noConversion"/>
  </si>
  <si>
    <t>모표준편차</t>
    <phoneticPr fontId="5" type="noConversion"/>
  </si>
  <si>
    <t>표본표준편차</t>
    <phoneticPr fontId="5" type="noConversion"/>
  </si>
  <si>
    <t>단위벡터</t>
    <phoneticPr fontId="5" type="noConversion"/>
  </si>
  <si>
    <t>길이가 1인 벡터</t>
    <phoneticPr fontId="5" type="noConversion"/>
  </si>
  <si>
    <t>벡터의 길이(크기) 구하기</t>
    <phoneticPr fontId="5" type="noConversion"/>
  </si>
  <si>
    <t>피타고라스정리</t>
    <phoneticPr fontId="5" type="noConversion"/>
  </si>
  <si>
    <t>(4, 3)</t>
    <phoneticPr fontId="5" type="noConversion"/>
  </si>
  <si>
    <t>단위 벡터</t>
    <phoneticPr fontId="5" type="noConversion"/>
  </si>
  <si>
    <t>(4/5, 3/5)</t>
    <phoneticPr fontId="5" type="noConversion"/>
  </si>
  <si>
    <t>위치 벡터 성분 구하기</t>
    <phoneticPr fontId="5" type="noConversion"/>
  </si>
  <si>
    <t>영 벡터</t>
    <phoneticPr fontId="5" type="noConversion"/>
  </si>
  <si>
    <t>Name</t>
  </si>
  <si>
    <t>Gender</t>
  </si>
  <si>
    <t>Age</t>
  </si>
  <si>
    <t>Harry Potter</t>
  </si>
  <si>
    <t>Male</t>
  </si>
  <si>
    <t>David Baker</t>
  </si>
  <si>
    <t>John Smith</t>
  </si>
  <si>
    <t>Juan Martinez</t>
  </si>
  <si>
    <t>Jane Connor</t>
  </si>
  <si>
    <t>Female</t>
  </si>
  <si>
    <t>데이터 병합</t>
    <phoneticPr fontId="5" type="noConversion"/>
  </si>
  <si>
    <t>A반</t>
    <phoneticPr fontId="5" type="noConversion"/>
  </si>
  <si>
    <t>B반</t>
    <phoneticPr fontId="5" type="noConversion"/>
  </si>
  <si>
    <t>A반</t>
    <phoneticPr fontId="5" type="noConversion"/>
  </si>
  <si>
    <t>B반</t>
    <phoneticPr fontId="5" type="noConversion"/>
  </si>
  <si>
    <t>D반</t>
    <phoneticPr fontId="5" type="noConversion"/>
  </si>
  <si>
    <t>표 만드는 일반적인 방법</t>
    <phoneticPr fontId="5" type="noConversion"/>
  </si>
  <si>
    <t>id</t>
    <phoneticPr fontId="5" type="noConversion"/>
  </si>
  <si>
    <t>hang1</t>
    <phoneticPr fontId="5" type="noConversion"/>
  </si>
  <si>
    <t>hang2</t>
  </si>
  <si>
    <t>hang3</t>
  </si>
  <si>
    <t>hang4</t>
  </si>
  <si>
    <t>hang5</t>
  </si>
  <si>
    <t>이름</t>
    <phoneticPr fontId="5" type="noConversion"/>
  </si>
  <si>
    <t>홍일동</t>
    <phoneticPr fontId="5" type="noConversion"/>
  </si>
  <si>
    <t>홍이동</t>
    <phoneticPr fontId="5" type="noConversion"/>
  </si>
  <si>
    <t>홍삼동</t>
    <phoneticPr fontId="5" type="noConversion"/>
  </si>
  <si>
    <t>홍사동</t>
    <phoneticPr fontId="5" type="noConversion"/>
  </si>
  <si>
    <t>홍오동</t>
    <phoneticPr fontId="5" type="noConversion"/>
  </si>
  <si>
    <t>키</t>
    <phoneticPr fontId="5" type="noConversion"/>
  </si>
  <si>
    <t>데이터프레임1.join(데이터프레임2)</t>
    <phoneticPr fontId="5" type="noConversion"/>
  </si>
  <si>
    <t>pandas.concat([데이터프레임1, 데이터프레임2])</t>
    <phoneticPr fontId="5" type="noConversion"/>
  </si>
  <si>
    <t>인덱스</t>
    <phoneticPr fontId="5" type="noConversion"/>
  </si>
  <si>
    <t>칼럼명(헤더)</t>
    <phoneticPr fontId="5" type="noConversion"/>
  </si>
  <si>
    <t>'</t>
    <phoneticPr fontId="5" type="noConversion"/>
  </si>
  <si>
    <t>,</t>
    <phoneticPr fontId="5" type="noConversion"/>
  </si>
  <si>
    <t>'Harry Potter',</t>
  </si>
  <si>
    <t>'David Baker',</t>
  </si>
  <si>
    <t>'John Smith',</t>
  </si>
  <si>
    <t>'Juan Martinez',</t>
  </si>
  <si>
    <t>'Jane Connor',</t>
  </si>
  <si>
    <t>Position</t>
  </si>
  <si>
    <t>Wage</t>
  </si>
  <si>
    <t>Manager</t>
  </si>
  <si>
    <t>John Smith</t>
    <phoneticPr fontId="5" type="noConversion"/>
  </si>
  <si>
    <t>Alex Du Bois</t>
    <phoneticPr fontId="5" type="noConversion"/>
  </si>
  <si>
    <t>Joanne Rowling</t>
    <phoneticPr fontId="5" type="noConversion"/>
  </si>
  <si>
    <t>Jane Connor</t>
    <phoneticPr fontId="5" type="noConversion"/>
  </si>
  <si>
    <t>Intern</t>
    <phoneticPr fontId="5" type="noConversion"/>
  </si>
  <si>
    <t>Team Lead</t>
    <phoneticPr fontId="5" type="noConversion"/>
  </si>
  <si>
    <t>Manager</t>
    <phoneticPr fontId="5" type="noConversion"/>
  </si>
  <si>
    <t>학생</t>
    <phoneticPr fontId="17" type="noConversion"/>
  </si>
  <si>
    <t>국</t>
    <phoneticPr fontId="17" type="noConversion"/>
  </si>
  <si>
    <t>영</t>
    <phoneticPr fontId="17" type="noConversion"/>
  </si>
  <si>
    <t>수</t>
    <phoneticPr fontId="17" type="noConversion"/>
  </si>
  <si>
    <t>A</t>
    <phoneticPr fontId="17" type="noConversion"/>
  </si>
  <si>
    <t>B</t>
    <phoneticPr fontId="17" type="noConversion"/>
  </si>
  <si>
    <t>C</t>
    <phoneticPr fontId="17" type="noConversion"/>
  </si>
  <si>
    <t>D</t>
    <phoneticPr fontId="17" type="noConversion"/>
  </si>
  <si>
    <t>E</t>
    <phoneticPr fontId="17" type="noConversion"/>
  </si>
  <si>
    <t>행 레이블</t>
  </si>
  <si>
    <t>A</t>
  </si>
  <si>
    <t>B</t>
  </si>
  <si>
    <t>C</t>
  </si>
  <si>
    <t>D</t>
  </si>
  <si>
    <t>E</t>
  </si>
  <si>
    <t>총합계</t>
  </si>
  <si>
    <t>평균 : 국</t>
  </si>
  <si>
    <t>평균 : 영</t>
  </si>
  <si>
    <t>평균 : 수</t>
  </si>
  <si>
    <t>과목</t>
    <phoneticPr fontId="17" type="noConversion"/>
  </si>
  <si>
    <t>수</t>
  </si>
  <si>
    <t>국</t>
  </si>
  <si>
    <t>영</t>
  </si>
  <si>
    <t>평균 : A</t>
  </si>
  <si>
    <t>평균 : B</t>
  </si>
  <si>
    <t>평균 : C</t>
  </si>
  <si>
    <t>평균 : D</t>
  </si>
  <si>
    <t>평균 : E</t>
  </si>
  <si>
    <t>연도</t>
  </si>
  <si>
    <t>광고비</t>
  </si>
  <si>
    <t>매출액</t>
  </si>
  <si>
    <t>광고비 평균</t>
    <phoneticPr fontId="5" type="noConversion"/>
  </si>
  <si>
    <t>매출액 평균</t>
    <phoneticPr fontId="5" type="noConversion"/>
  </si>
  <si>
    <t>광고비 편차</t>
    <phoneticPr fontId="5" type="noConversion"/>
  </si>
  <si>
    <t>매출액 편차</t>
    <phoneticPr fontId="5" type="noConversion"/>
  </si>
  <si>
    <t>광고비 편차 X 매출액 편차</t>
    <phoneticPr fontId="5" type="noConversion"/>
  </si>
  <si>
    <t>공분산 =</t>
    <phoneticPr fontId="5" type="noConversion"/>
  </si>
  <si>
    <t>광고비 모표준편차</t>
    <phoneticPr fontId="5" type="noConversion"/>
  </si>
  <si>
    <t>공분산=</t>
    <phoneticPr fontId="5" type="noConversion"/>
  </si>
  <si>
    <t>모</t>
    <phoneticPr fontId="5" type="noConversion"/>
  </si>
  <si>
    <t>표본</t>
    <phoneticPr fontId="5" type="noConversion"/>
  </si>
  <si>
    <t>매출액 모표준편차</t>
    <phoneticPr fontId="5" type="noConversion"/>
  </si>
  <si>
    <t>매출액 표본표준편차</t>
    <phoneticPr fontId="5" type="noConversion"/>
  </si>
  <si>
    <t>광고비 표본표준편차</t>
    <phoneticPr fontId="5" type="noConversion"/>
  </si>
  <si>
    <t>상관 =</t>
    <phoneticPr fontId="5" type="noConversion"/>
  </si>
  <si>
    <t>상관=</t>
    <phoneticPr fontId="5" type="noConversion"/>
  </si>
  <si>
    <t>정규화</t>
    <phoneticPr fontId="5" type="noConversion"/>
  </si>
  <si>
    <t>1) 최소 최대 정규화</t>
    <phoneticPr fontId="5" type="noConversion"/>
  </si>
  <si>
    <t>Min-Max Normalization</t>
    <phoneticPr fontId="5" type="noConversion"/>
  </si>
  <si>
    <t>각 특성의 값을 0과 1사이의 범위로 변환</t>
    <phoneticPr fontId="5" type="noConversion"/>
  </si>
  <si>
    <r>
      <t>data</t>
    </r>
    <r>
      <rPr>
        <sz val="9.6"/>
        <color rgb="FF222832"/>
        <rFont val="Var(--pst-font-family-monospace"/>
        <family val="2"/>
      </rPr>
      <t xml:space="preserve"> </t>
    </r>
    <r>
      <rPr>
        <b/>
        <sz val="9.6"/>
        <color rgb="FFCE5C00"/>
        <rFont val="Var(--pst-font-family-monospace"/>
        <family val="2"/>
      </rPr>
      <t>=</t>
    </r>
    <r>
      <rPr>
        <sz val="9.6"/>
        <color rgb="FF222832"/>
        <rFont val="Var(--pst-font-family-monospace"/>
        <family val="2"/>
      </rPr>
      <t xml:space="preserve"> </t>
    </r>
    <r>
      <rPr>
        <b/>
        <sz val="9.6"/>
        <color rgb="FF000000"/>
        <rFont val="Var(--pst-font-family-monospace"/>
        <family val="2"/>
      </rPr>
      <t>[[</t>
    </r>
    <r>
      <rPr>
        <b/>
        <sz val="9.6"/>
        <color rgb="FFCE5C00"/>
        <rFont val="Var(--pst-font-family-monospace"/>
        <family val="2"/>
      </rPr>
      <t>-</t>
    </r>
    <r>
      <rPr>
        <b/>
        <sz val="9.6"/>
        <color rgb="FF0000CF"/>
        <rFont val="Var(--pst-font-family-monospace"/>
        <family val="2"/>
      </rPr>
      <t>1</t>
    </r>
    <r>
      <rPr>
        <b/>
        <sz val="9.6"/>
        <color rgb="FF000000"/>
        <rFont val="Var(--pst-font-family-monospace"/>
        <family val="2"/>
      </rPr>
      <t>,</t>
    </r>
    <r>
      <rPr>
        <sz val="9.6"/>
        <color rgb="FF222832"/>
        <rFont val="Var(--pst-font-family-monospace"/>
        <family val="2"/>
      </rPr>
      <t xml:space="preserve"> </t>
    </r>
    <r>
      <rPr>
        <b/>
        <sz val="9.6"/>
        <color rgb="FF0000CF"/>
        <rFont val="Var(--pst-font-family-monospace"/>
        <family val="2"/>
      </rPr>
      <t>2</t>
    </r>
    <r>
      <rPr>
        <b/>
        <sz val="9.6"/>
        <color rgb="FF000000"/>
        <rFont val="Var(--pst-font-family-monospace"/>
        <family val="2"/>
      </rPr>
      <t>],</t>
    </r>
    <r>
      <rPr>
        <sz val="9.6"/>
        <color rgb="FF222832"/>
        <rFont val="Var(--pst-font-family-monospace"/>
        <family val="2"/>
      </rPr>
      <t xml:space="preserve"> </t>
    </r>
    <r>
      <rPr>
        <b/>
        <sz val="9.6"/>
        <color rgb="FF000000"/>
        <rFont val="Var(--pst-font-family-monospace"/>
        <family val="2"/>
      </rPr>
      <t>[</t>
    </r>
    <r>
      <rPr>
        <b/>
        <sz val="9.6"/>
        <color rgb="FFCE5C00"/>
        <rFont val="Var(--pst-font-family-monospace"/>
        <family val="2"/>
      </rPr>
      <t>-</t>
    </r>
    <r>
      <rPr>
        <b/>
        <sz val="9.6"/>
        <color rgb="FF0000CF"/>
        <rFont val="Var(--pst-font-family-monospace"/>
        <family val="2"/>
      </rPr>
      <t>0.5</t>
    </r>
    <r>
      <rPr>
        <b/>
        <sz val="9.6"/>
        <color rgb="FF000000"/>
        <rFont val="Var(--pst-font-family-monospace"/>
        <family val="2"/>
      </rPr>
      <t>,</t>
    </r>
    <r>
      <rPr>
        <sz val="9.6"/>
        <color rgb="FF222832"/>
        <rFont val="Var(--pst-font-family-monospace"/>
        <family val="2"/>
      </rPr>
      <t xml:space="preserve"> </t>
    </r>
    <r>
      <rPr>
        <b/>
        <sz val="9.6"/>
        <color rgb="FF0000CF"/>
        <rFont val="Var(--pst-font-family-monospace"/>
        <family val="2"/>
      </rPr>
      <t>6</t>
    </r>
    <r>
      <rPr>
        <b/>
        <sz val="9.6"/>
        <color rgb="FF000000"/>
        <rFont val="Var(--pst-font-family-monospace"/>
        <family val="2"/>
      </rPr>
      <t>],</t>
    </r>
    <r>
      <rPr>
        <sz val="9.6"/>
        <color rgb="FF222832"/>
        <rFont val="Var(--pst-font-family-monospace"/>
        <family val="2"/>
      </rPr>
      <t xml:space="preserve"> </t>
    </r>
    <r>
      <rPr>
        <b/>
        <sz val="9.6"/>
        <color rgb="FF000000"/>
        <rFont val="Var(--pst-font-family-monospace"/>
        <family val="2"/>
      </rPr>
      <t>[</t>
    </r>
    <r>
      <rPr>
        <b/>
        <sz val="9.6"/>
        <color rgb="FF0000CF"/>
        <rFont val="Var(--pst-font-family-monospace"/>
        <family val="2"/>
      </rPr>
      <t>0</t>
    </r>
    <r>
      <rPr>
        <b/>
        <sz val="9.6"/>
        <color rgb="FF000000"/>
        <rFont val="Var(--pst-font-family-monospace"/>
        <family val="2"/>
      </rPr>
      <t>,</t>
    </r>
    <r>
      <rPr>
        <sz val="9.6"/>
        <color rgb="FF222832"/>
        <rFont val="Var(--pst-font-family-monospace"/>
        <family val="2"/>
      </rPr>
      <t xml:space="preserve"> </t>
    </r>
    <r>
      <rPr>
        <b/>
        <sz val="9.6"/>
        <color rgb="FF0000CF"/>
        <rFont val="Var(--pst-font-family-monospace"/>
        <family val="2"/>
      </rPr>
      <t>10</t>
    </r>
    <r>
      <rPr>
        <b/>
        <sz val="9.6"/>
        <color rgb="FF000000"/>
        <rFont val="Var(--pst-font-family-monospace"/>
        <family val="2"/>
      </rPr>
      <t>],</t>
    </r>
    <r>
      <rPr>
        <sz val="9.6"/>
        <color rgb="FF222832"/>
        <rFont val="Var(--pst-font-family-monospace"/>
        <family val="2"/>
      </rPr>
      <t xml:space="preserve"> </t>
    </r>
    <r>
      <rPr>
        <b/>
        <sz val="9.6"/>
        <color rgb="FF000000"/>
        <rFont val="Var(--pst-font-family-monospace"/>
        <family val="2"/>
      </rPr>
      <t>[</t>
    </r>
    <r>
      <rPr>
        <b/>
        <sz val="9.6"/>
        <color rgb="FF0000CF"/>
        <rFont val="Var(--pst-font-family-monospace"/>
        <family val="2"/>
      </rPr>
      <t>1</t>
    </r>
    <r>
      <rPr>
        <b/>
        <sz val="9.6"/>
        <color rgb="FF000000"/>
        <rFont val="Var(--pst-font-family-monospace"/>
        <family val="2"/>
      </rPr>
      <t>,</t>
    </r>
    <r>
      <rPr>
        <sz val="9.6"/>
        <color rgb="FF222832"/>
        <rFont val="Var(--pst-font-family-monospace"/>
        <family val="2"/>
      </rPr>
      <t xml:space="preserve"> </t>
    </r>
    <r>
      <rPr>
        <b/>
        <sz val="9.6"/>
        <color rgb="FF0000CF"/>
        <rFont val="Var(--pst-font-family-monospace"/>
        <family val="2"/>
      </rPr>
      <t>18</t>
    </r>
    <r>
      <rPr>
        <b/>
        <sz val="9.6"/>
        <color rgb="FF000000"/>
        <rFont val="Var(--pst-font-family-monospace"/>
        <family val="2"/>
      </rPr>
      <t>]]</t>
    </r>
  </si>
  <si>
    <t>x1</t>
    <phoneticPr fontId="5" type="noConversion"/>
  </si>
  <si>
    <t>x2</t>
    <phoneticPr fontId="5" type="noConversion"/>
  </si>
  <si>
    <t>x1</t>
    <phoneticPr fontId="5" type="noConversion"/>
  </si>
  <si>
    <t>최대값</t>
    <phoneticPr fontId="5" type="noConversion"/>
  </si>
  <si>
    <t>최솟값</t>
    <phoneticPr fontId="5" type="noConversion"/>
  </si>
  <si>
    <t>해당값-최솟값</t>
    <phoneticPr fontId="5" type="noConversion"/>
  </si>
  <si>
    <t>최댓값-최솟값</t>
    <phoneticPr fontId="5" type="noConversion"/>
  </si>
  <si>
    <t>x'1</t>
    <phoneticPr fontId="5" type="noConversion"/>
  </si>
  <si>
    <t>x2</t>
    <phoneticPr fontId="5" type="noConversion"/>
  </si>
  <si>
    <t>x'2</t>
    <phoneticPr fontId="5" type="noConversion"/>
  </si>
  <si>
    <t>2) 표준화(Z-score normalization)</t>
    <phoneticPr fontId="5" type="noConversion"/>
  </si>
  <si>
    <t>평균 0 표준편차 1로 변화</t>
    <phoneticPr fontId="5" type="noConversion"/>
  </si>
  <si>
    <t>특징 간 척도 차이가 커서 정규화가 필요한 경우 유용</t>
    <phoneticPr fontId="5" type="noConversion"/>
  </si>
  <si>
    <t>이상치에 민감할 수 있음</t>
    <phoneticPr fontId="5" type="noConversion"/>
  </si>
  <si>
    <t>키</t>
    <phoneticPr fontId="5" type="noConversion"/>
  </si>
  <si>
    <t>몸무게</t>
    <phoneticPr fontId="5" type="noConversion"/>
  </si>
  <si>
    <t>키 평균</t>
    <phoneticPr fontId="5" type="noConversion"/>
  </si>
  <si>
    <t>표준편차</t>
    <phoneticPr fontId="5" type="noConversion"/>
  </si>
  <si>
    <t>키에 대한 z값</t>
    <phoneticPr fontId="5" type="noConversion"/>
  </si>
  <si>
    <t>편차</t>
    <phoneticPr fontId="5" type="noConversion"/>
  </si>
  <si>
    <t>표준편차</t>
    <phoneticPr fontId="5" type="noConversion"/>
  </si>
  <si>
    <t>z값</t>
    <phoneticPr fontId="5" type="noConversion"/>
  </si>
  <si>
    <t>몸무게에 대한 z값</t>
    <phoneticPr fontId="5" type="noConversion"/>
  </si>
  <si>
    <t>몸무게 평균</t>
    <phoneticPr fontId="5" type="noConversion"/>
  </si>
  <si>
    <t xml:space="preserve">상자수염(boxplot) - 이상치(outlier)를 보고자할 때 </t>
    <phoneticPr fontId="5" type="noConversion"/>
  </si>
  <si>
    <t>번호</t>
    <phoneticPr fontId="17" type="noConversion"/>
  </si>
  <si>
    <t>키</t>
    <phoneticPr fontId="17" type="noConversion"/>
  </si>
  <si>
    <t>최대값</t>
    <phoneticPr fontId="17" type="noConversion"/>
  </si>
  <si>
    <t>3사분위수</t>
    <phoneticPr fontId="17" type="noConversion"/>
  </si>
  <si>
    <t>평균</t>
    <phoneticPr fontId="17" type="noConversion"/>
  </si>
  <si>
    <t>중위수</t>
    <phoneticPr fontId="17" type="noConversion"/>
  </si>
  <si>
    <t>1사분위수</t>
    <phoneticPr fontId="17" type="noConversion"/>
  </si>
  <si>
    <t>최소값</t>
    <phoneticPr fontId="17" type="noConversion"/>
  </si>
  <si>
    <t>1) 이상치가 없을 때</t>
    <phoneticPr fontId="5" type="noConversion"/>
  </si>
  <si>
    <t>키</t>
    <phoneticPr fontId="17" type="noConversion"/>
  </si>
  <si>
    <t>최대값</t>
    <phoneticPr fontId="17" type="noConversion"/>
  </si>
  <si>
    <t>3사분위수</t>
    <phoneticPr fontId="17" type="noConversion"/>
  </si>
  <si>
    <t>평균</t>
    <phoneticPr fontId="17" type="noConversion"/>
  </si>
  <si>
    <t>2) 이상치가 있을 때</t>
    <phoneticPr fontId="5" type="noConversion"/>
  </si>
  <si>
    <t>import  itertools</t>
    <phoneticPr fontId="5" type="noConversion"/>
  </si>
  <si>
    <t>elements = ['A', 'B', 'C']</t>
    <phoneticPr fontId="5" type="noConversion"/>
  </si>
  <si>
    <t>A B C</t>
    <phoneticPr fontId="5" type="noConversion"/>
  </si>
  <si>
    <t>A C B</t>
    <phoneticPr fontId="5" type="noConversion"/>
  </si>
  <si>
    <t>B A C</t>
    <phoneticPr fontId="5" type="noConversion"/>
  </si>
  <si>
    <t>B C A</t>
    <phoneticPr fontId="5" type="noConversion"/>
  </si>
  <si>
    <t>C A B</t>
    <phoneticPr fontId="5" type="noConversion"/>
  </si>
  <si>
    <t>C B A</t>
    <phoneticPr fontId="5" type="noConversion"/>
  </si>
  <si>
    <t>3개 중에 3개뽑기(순서를 고려)</t>
    <phoneticPr fontId="5" type="noConversion"/>
  </si>
  <si>
    <t>로그함수 변형</t>
    <phoneticPr fontId="5" type="noConversion"/>
  </si>
  <si>
    <t>교차(cross) 엔트로피(entropy)</t>
    <phoneticPr fontId="5" type="noConversion"/>
  </si>
  <si>
    <t>위 그래프를 이동</t>
    <phoneticPr fontId="5" type="noConversion"/>
  </si>
  <si>
    <t>a</t>
    <phoneticPr fontId="5" type="noConversion"/>
  </si>
  <si>
    <t>1-x</t>
    <phoneticPr fontId="5" type="noConversion"/>
  </si>
  <si>
    <t>a&gt;1</t>
    <phoneticPr fontId="5" type="noConversion"/>
  </si>
  <si>
    <t>파란색 선은 실제값이 1일때 사용할 수 있는 그래프</t>
    <phoneticPr fontId="5" type="noConversion"/>
  </si>
  <si>
    <t>예측값이 1일때 오차가 0이고, 반대로 예측값이 0에 가까울수록 오차는 커짐</t>
    <phoneticPr fontId="5" type="noConversion"/>
  </si>
  <si>
    <t>빨간색 선은 실제값이 0일때 사용할 수 있는 그래프</t>
    <phoneticPr fontId="5" type="noConversion"/>
  </si>
  <si>
    <t>예측값이 0일때 오차가 0이고, 반대로 예측값이 1에 가까울수록 오차는 커짐</t>
    <phoneticPr fontId="5" type="noConversion"/>
  </si>
  <si>
    <t>x평균</t>
    <phoneticPr fontId="5" type="noConversion"/>
  </si>
  <si>
    <t>y평균</t>
    <phoneticPr fontId="5" type="noConversion"/>
  </si>
  <si>
    <t>x편차</t>
    <phoneticPr fontId="5" type="noConversion"/>
  </si>
  <si>
    <t>y편차</t>
    <phoneticPr fontId="5" type="noConversion"/>
  </si>
  <si>
    <t>기울기</t>
    <phoneticPr fontId="5" type="noConversion"/>
  </si>
  <si>
    <t>x편차 * y편차</t>
    <phoneticPr fontId="5" type="noConversion"/>
  </si>
  <si>
    <t>x편차^2</t>
    <phoneticPr fontId="5" type="noConversion"/>
  </si>
  <si>
    <t>y절편</t>
    <phoneticPr fontId="5" type="noConversion"/>
  </si>
  <si>
    <t>y = 2.3x + 79</t>
    <phoneticPr fontId="5" type="noConversion"/>
  </si>
  <si>
    <t>사람이 공식에 의해 구한 단순 선형 모델</t>
    <phoneticPr fontId="5" type="noConversion"/>
  </si>
  <si>
    <t>머신러닝은 임의의 선을 긋고 그 기울기를 조정해가면서 오차가 가장 적은 기울기를 찾아나가야한다</t>
    <phoneticPr fontId="5" type="noConversion"/>
  </si>
  <si>
    <t>광고비 편차^2</t>
    <phoneticPr fontId="5" type="noConversion"/>
  </si>
  <si>
    <t>오차 = 실제값 - 예측값</t>
    <phoneticPr fontId="5" type="noConversion"/>
  </si>
  <si>
    <t>임의로 머신이 예측한 선</t>
    <phoneticPr fontId="5" type="noConversion"/>
  </si>
  <si>
    <t>기울기</t>
    <phoneticPr fontId="5" type="noConversion"/>
  </si>
  <si>
    <t>y = 3x + 76</t>
    <phoneticPr fontId="5" type="noConversion"/>
  </si>
  <si>
    <t>예측모델</t>
    <phoneticPr fontId="5" type="noConversion"/>
  </si>
  <si>
    <t>예측값</t>
    <phoneticPr fontId="5" type="noConversion"/>
  </si>
  <si>
    <t>y(실제성적, 
실제값)</t>
    <phoneticPr fontId="5" type="noConversion"/>
  </si>
  <si>
    <t>mean absolute error
(mae)</t>
    <phoneticPr fontId="5" type="noConversion"/>
  </si>
  <si>
    <t>오차 = 
실제값 - 예측값</t>
    <phoneticPr fontId="5" type="noConversion"/>
  </si>
  <si>
    <t>|오차|</t>
    <phoneticPr fontId="5" type="noConversion"/>
  </si>
  <si>
    <t>오차제곱</t>
    <phoneticPr fontId="5" type="noConversion"/>
  </si>
  <si>
    <t>mean squared error</t>
    <phoneticPr fontId="5" type="noConversion"/>
  </si>
  <si>
    <t>root mean 
squared error</t>
    <phoneticPr fontId="5" type="noConversion"/>
  </si>
  <si>
    <t>y = 2.5x + 76</t>
    <phoneticPr fontId="5" type="noConversion"/>
  </si>
  <si>
    <t>경사하강법(gradient descent)</t>
    <phoneticPr fontId="5" type="noConversion"/>
  </si>
  <si>
    <t>샘플1</t>
    <phoneticPr fontId="5" type="noConversion"/>
  </si>
  <si>
    <t>샘플2</t>
    <phoneticPr fontId="5" type="noConversion"/>
  </si>
  <si>
    <t>샘플3</t>
    <phoneticPr fontId="5" type="noConversion"/>
  </si>
  <si>
    <t>샘플4</t>
    <phoneticPr fontId="5" type="noConversion"/>
  </si>
  <si>
    <t>입력(x)</t>
    <phoneticPr fontId="5" type="noConversion"/>
  </si>
  <si>
    <t>출력(y)</t>
    <phoneticPr fontId="5" type="noConversion"/>
  </si>
  <si>
    <t>OR 연산</t>
    <phoneticPr fontId="5" type="noConversion"/>
  </si>
  <si>
    <t>w2</t>
    <phoneticPr fontId="5" type="noConversion"/>
  </si>
  <si>
    <t>x1</t>
    <phoneticPr fontId="5" type="noConversion"/>
  </si>
  <si>
    <t>x2</t>
    <phoneticPr fontId="5" type="noConversion"/>
  </si>
  <si>
    <t>x2</t>
    <phoneticPr fontId="5" type="noConversion"/>
  </si>
  <si>
    <t>x0</t>
    <phoneticPr fontId="5" type="noConversion"/>
  </si>
  <si>
    <t>w0</t>
    <phoneticPr fontId="5" type="noConversion"/>
  </si>
  <si>
    <t>w1</t>
    <phoneticPr fontId="5" type="noConversion"/>
  </si>
  <si>
    <t>출력값</t>
    <phoneticPr fontId="5" type="noConversion"/>
  </si>
  <si>
    <t>w0</t>
    <phoneticPr fontId="5" type="noConversion"/>
  </si>
  <si>
    <t>w1</t>
    <phoneticPr fontId="5" type="noConversion"/>
  </si>
  <si>
    <t>w2</t>
    <phoneticPr fontId="5" type="noConversion"/>
  </si>
  <si>
    <t>OR 문제를 해결하는 최적의 weight(가중치)</t>
    <phoneticPr fontId="5" type="noConversion"/>
  </si>
  <si>
    <t>계단함수</t>
    <phoneticPr fontId="5" type="noConversion"/>
  </si>
  <si>
    <t>계단함수 적용 후</t>
    <phoneticPr fontId="5" type="noConversion"/>
  </si>
  <si>
    <t>y</t>
    <phoneticPr fontId="5" type="noConversion"/>
  </si>
  <si>
    <t>계단함수</t>
    <phoneticPr fontId="5" type="noConversion"/>
  </si>
  <si>
    <t>AND 연산</t>
    <phoneticPr fontId="5" type="noConversion"/>
  </si>
  <si>
    <t>OR 분류기</t>
    <phoneticPr fontId="5" type="noConversion"/>
  </si>
  <si>
    <t>AND 문제를 해결하는 최적의 weight(가중치)</t>
    <phoneticPr fontId="5" type="noConversion"/>
  </si>
  <si>
    <t>AND 분류기</t>
    <phoneticPr fontId="5" type="noConversion"/>
  </si>
  <si>
    <t>b1</t>
    <phoneticPr fontId="5" type="noConversion"/>
  </si>
  <si>
    <t>출력(y)</t>
    <phoneticPr fontId="5" type="noConversion"/>
  </si>
  <si>
    <t>시그모이드 함수</t>
    <phoneticPr fontId="5" type="noConversion"/>
  </si>
  <si>
    <t>n1</t>
    <phoneticPr fontId="5" type="noConversion"/>
  </si>
  <si>
    <t>n2</t>
    <phoneticPr fontId="5" type="noConversion"/>
  </si>
  <si>
    <t>n1</t>
    <phoneticPr fontId="5" type="noConversion"/>
  </si>
  <si>
    <t>시그모이드 함수 적용 후</t>
    <phoneticPr fontId="5" type="noConversion"/>
  </si>
  <si>
    <t>출력값</t>
    <phoneticPr fontId="5" type="noConversion"/>
  </si>
  <si>
    <t>w3</t>
    <phoneticPr fontId="5" type="noConversion"/>
  </si>
  <si>
    <t>XOR 문제를 해결하는 최적의 weight(가중치)</t>
    <phoneticPr fontId="5" type="noConversion"/>
  </si>
  <si>
    <t>XOR 분류기</t>
    <phoneticPr fontId="5" type="noConversion"/>
  </si>
  <si>
    <t>n2</t>
    <phoneticPr fontId="5" type="noConversion"/>
  </si>
  <si>
    <t>b2</t>
    <phoneticPr fontId="5" type="noConversion"/>
  </si>
  <si>
    <t>w4</t>
    <phoneticPr fontId="5" type="noConversion"/>
  </si>
  <si>
    <t>w5</t>
    <phoneticPr fontId="5" type="noConversion"/>
  </si>
  <si>
    <t>원하는 값</t>
    <phoneticPr fontId="5" type="noConversion"/>
  </si>
  <si>
    <t>NAND</t>
    <phoneticPr fontId="5" type="noConversion"/>
  </si>
  <si>
    <t>AND 연산</t>
    <phoneticPr fontId="5" type="noConversion"/>
  </si>
  <si>
    <t>relu 함수</t>
    <phoneticPr fontId="5" type="noConversion"/>
  </si>
  <si>
    <t>x</t>
    <phoneticPr fontId="5" type="noConversion"/>
  </si>
  <si>
    <t>하이퍼볼릭 탄젠트 함수</t>
    <phoneticPr fontId="5" type="noConversion"/>
  </si>
  <si>
    <t>소프트플러스 함수</t>
    <phoneticPr fontId="5" type="noConversion"/>
  </si>
  <si>
    <t>model = Sequential()</t>
  </si>
  <si>
    <t>model.add(Dense(30, input_dim=16, activation='relu'))</t>
  </si>
  <si>
    <t>model.add(Dense(1, activation='sigmoid'))</t>
  </si>
  <si>
    <t>model.fit(X, y, epochs=5, batch_size=32)</t>
  </si>
  <si>
    <t>Dense</t>
    <phoneticPr fontId="5" type="noConversion"/>
  </si>
  <si>
    <r>
      <t>x</t>
    </r>
    <r>
      <rPr>
        <vertAlign val="subscript"/>
        <sz val="11"/>
        <color theme="1"/>
        <rFont val="맑은 고딕"/>
        <family val="3"/>
        <charset val="129"/>
        <scheme val="minor"/>
      </rPr>
      <t>1</t>
    </r>
    <phoneticPr fontId="5" type="noConversion"/>
  </si>
  <si>
    <r>
      <t>x</t>
    </r>
    <r>
      <rPr>
        <vertAlign val="subscript"/>
        <sz val="11"/>
        <color theme="1"/>
        <rFont val="맑은 고딕"/>
        <family val="3"/>
        <charset val="129"/>
        <scheme val="minor"/>
      </rPr>
      <t>2</t>
    </r>
    <phoneticPr fontId="5" type="noConversion"/>
  </si>
  <si>
    <r>
      <t>x</t>
    </r>
    <r>
      <rPr>
        <vertAlign val="subscript"/>
        <sz val="11"/>
        <color theme="1"/>
        <rFont val="맑은 고딕"/>
        <family val="3"/>
        <charset val="129"/>
        <scheme val="minor"/>
      </rPr>
      <t>16</t>
    </r>
    <phoneticPr fontId="5" type="noConversion"/>
  </si>
  <si>
    <t>W1</t>
    <phoneticPr fontId="5" type="noConversion"/>
  </si>
  <si>
    <t>W2</t>
    <phoneticPr fontId="5" type="noConversion"/>
  </si>
  <si>
    <t>16개</t>
    <phoneticPr fontId="5" type="noConversion"/>
  </si>
  <si>
    <t>30개</t>
    <phoneticPr fontId="5" type="noConversion"/>
  </si>
  <si>
    <t>relu</t>
    <phoneticPr fontId="5" type="noConversion"/>
  </si>
  <si>
    <t>sigmoid</t>
    <phoneticPr fontId="5" type="noConversion"/>
  </si>
  <si>
    <t>오차 발생</t>
    <phoneticPr fontId="5" type="noConversion"/>
  </si>
  <si>
    <t>adam</t>
    <phoneticPr fontId="5" type="noConversion"/>
  </si>
  <si>
    <t>숫자 예측</t>
    <phoneticPr fontId="5" type="noConversion"/>
  </si>
  <si>
    <t>분류</t>
    <phoneticPr fontId="5" type="noConversion"/>
  </si>
  <si>
    <t>rmse</t>
    <phoneticPr fontId="5" type="noConversion"/>
  </si>
  <si>
    <t>샘플1</t>
    <phoneticPr fontId="5" type="noConversion"/>
  </si>
  <si>
    <t>칼럼명1</t>
    <phoneticPr fontId="5" type="noConversion"/>
  </si>
  <si>
    <t>칼럼명2</t>
    <phoneticPr fontId="5" type="noConversion"/>
  </si>
  <si>
    <t>칼럼명3…</t>
    <phoneticPr fontId="5" type="noConversion"/>
  </si>
  <si>
    <t>칼럼명16</t>
    <phoneticPr fontId="5" type="noConversion"/>
  </si>
  <si>
    <t>x1</t>
    <phoneticPr fontId="5" type="noConversion"/>
  </si>
  <si>
    <t>x2</t>
    <phoneticPr fontId="5" type="noConversion"/>
  </si>
  <si>
    <t>x16</t>
    <phoneticPr fontId="5" type="noConversion"/>
  </si>
  <si>
    <t>샘플2</t>
  </si>
  <si>
    <t>샘플3</t>
  </si>
  <si>
    <t>샘플470</t>
    <phoneticPr fontId="5" type="noConversion"/>
  </si>
  <si>
    <t>model.compile(loss='binary_crossentropy', optimizer='adam', metrics=['accuracy'])</t>
  </si>
  <si>
    <t>15는</t>
    <phoneticPr fontId="5" type="noConversion"/>
  </si>
  <si>
    <t>470 / 32 '=</t>
    <phoneticPr fontId="5" type="noConversion"/>
  </si>
  <si>
    <t>이므로</t>
    <phoneticPr fontId="5" type="noConversion"/>
  </si>
  <si>
    <t>use_bias=True</t>
    <phoneticPr fontId="5" type="noConversion"/>
  </si>
  <si>
    <t>16 * 30</t>
    <phoneticPr fontId="5" type="noConversion"/>
  </si>
  <si>
    <t>30 * 1</t>
    <phoneticPr fontId="5" type="noConversion"/>
  </si>
  <si>
    <t>bias 1개</t>
  </si>
  <si>
    <t>bias 1개</t>
    <phoneticPr fontId="5" type="noConversion"/>
  </si>
  <si>
    <t>폐암수술 후 생존자 예측</t>
    <phoneticPr fontId="5" type="noConversion"/>
  </si>
  <si>
    <t>피마인디언당뇨병예측</t>
    <phoneticPr fontId="5" type="noConversion"/>
  </si>
  <si>
    <t>샘플768</t>
    <phoneticPr fontId="5" type="noConversion"/>
  </si>
  <si>
    <t>칼럼명8</t>
    <phoneticPr fontId="5" type="noConversion"/>
  </si>
  <si>
    <t>x8</t>
    <phoneticPr fontId="5" type="noConversion"/>
  </si>
  <si>
    <r>
      <t>x</t>
    </r>
    <r>
      <rPr>
        <vertAlign val="subscript"/>
        <sz val="11"/>
        <color theme="1"/>
        <rFont val="맑은 고딕"/>
        <family val="2"/>
        <scheme val="minor"/>
      </rPr>
      <t>8</t>
    </r>
    <phoneticPr fontId="5" type="noConversion"/>
  </si>
  <si>
    <t>8개</t>
    <phoneticPr fontId="5" type="noConversion"/>
  </si>
  <si>
    <t>model.fit(X, y, epochs=5)</t>
    <phoneticPr fontId="5" type="noConversion"/>
  </si>
  <si>
    <t>model.add(Dense(12, input_dim=8, activation='relu'))</t>
    <phoneticPr fontId="5" type="noConversion"/>
  </si>
  <si>
    <t>12개</t>
    <phoneticPr fontId="5" type="noConversion"/>
  </si>
  <si>
    <t>8개</t>
    <phoneticPr fontId="5" type="noConversion"/>
  </si>
  <si>
    <t>Dense2</t>
    <phoneticPr fontId="5" type="noConversion"/>
  </si>
  <si>
    <t>Dense1</t>
    <phoneticPr fontId="5" type="noConversion"/>
  </si>
  <si>
    <t>Dense3</t>
    <phoneticPr fontId="5" type="noConversion"/>
  </si>
  <si>
    <t>768 / 32 '=</t>
    <phoneticPr fontId="5" type="noConversion"/>
  </si>
  <si>
    <t>24는</t>
    <phoneticPr fontId="5" type="noConversion"/>
  </si>
  <si>
    <t>8 * 12</t>
    <phoneticPr fontId="5" type="noConversion"/>
  </si>
  <si>
    <t>8 * 12</t>
    <phoneticPr fontId="5" type="noConversion"/>
  </si>
  <si>
    <t>옵티마이저 파라미터 계수</t>
    <phoneticPr fontId="5" type="noConversion"/>
  </si>
  <si>
    <t>최종 파라미터 개수</t>
    <phoneticPr fontId="5" type="noConversion"/>
  </si>
  <si>
    <t>희소행렬</t>
    <phoneticPr fontId="5" type="noConversion"/>
  </si>
  <si>
    <t>성긴 행렬(sparse matrix) 또는 희소행렬은 행렬의 값이 대부분 0인 경우를 가리키는 표현이다. 그와 반대되는 표현으로는 밀집행렬(dense matrix), 조밀행렬이 사용된다.</t>
    <phoneticPr fontId="5" type="noConversion"/>
  </si>
  <si>
    <t>model.add(Dense(12, input_dim=4, activation='relu'))</t>
    <phoneticPr fontId="5" type="noConversion"/>
  </si>
  <si>
    <r>
      <t>x</t>
    </r>
    <r>
      <rPr>
        <vertAlign val="subscript"/>
        <sz val="11"/>
        <color theme="1"/>
        <rFont val="맑은 고딕"/>
        <family val="2"/>
        <scheme val="minor"/>
      </rPr>
      <t>3</t>
    </r>
    <phoneticPr fontId="5" type="noConversion"/>
  </si>
  <si>
    <r>
      <t>x</t>
    </r>
    <r>
      <rPr>
        <vertAlign val="subscript"/>
        <sz val="11"/>
        <color theme="1"/>
        <rFont val="맑은 고딕"/>
        <family val="2"/>
        <scheme val="minor"/>
      </rPr>
      <t>4</t>
    </r>
    <phoneticPr fontId="5" type="noConversion"/>
  </si>
  <si>
    <t>model.add(Dense(8, activation='relu'))</t>
    <phoneticPr fontId="5" type="noConversion"/>
  </si>
  <si>
    <t>model.add(Dense(8, activation='relu'))</t>
    <phoneticPr fontId="5" type="noConversion"/>
  </si>
  <si>
    <t>softmax</t>
    <phoneticPr fontId="5" type="noConversion"/>
  </si>
  <si>
    <t>W2</t>
    <phoneticPr fontId="5" type="noConversion"/>
  </si>
  <si>
    <t>W3</t>
    <phoneticPr fontId="5" type="noConversion"/>
  </si>
  <si>
    <t>세토사일 확률</t>
    <phoneticPr fontId="5" type="noConversion"/>
  </si>
  <si>
    <t>버지칼라일 확률</t>
    <phoneticPr fontId="5" type="noConversion"/>
  </si>
  <si>
    <t>버지니카일 확률</t>
    <phoneticPr fontId="5" type="noConversion"/>
  </si>
  <si>
    <t>소프트 맥스 함수 설계</t>
    <phoneticPr fontId="5" type="noConversion"/>
  </si>
  <si>
    <t>odds</t>
    <phoneticPr fontId="5" type="noConversion"/>
  </si>
  <si>
    <t>실패확률</t>
    <phoneticPr fontId="5" type="noConversion"/>
  </si>
  <si>
    <t>p</t>
    <phoneticPr fontId="5" type="noConversion"/>
  </si>
  <si>
    <t>1-p</t>
    <phoneticPr fontId="5" type="noConversion"/>
  </si>
  <si>
    <t>세토사</t>
    <phoneticPr fontId="5" type="noConversion"/>
  </si>
  <si>
    <t>버지컬러</t>
    <phoneticPr fontId="5" type="noConversion"/>
  </si>
  <si>
    <t>버지니카</t>
    <phoneticPr fontId="5" type="noConversion"/>
  </si>
  <si>
    <t>성공확률</t>
    <phoneticPr fontId="5" type="noConversion"/>
  </si>
  <si>
    <t>odds에 log씌운값을 로짓(logit)이라함</t>
    <phoneticPr fontId="5" type="noConversion"/>
  </si>
  <si>
    <t>로짓 벡터</t>
    <phoneticPr fontId="5" type="noConversion"/>
  </si>
  <si>
    <t>로짓 벡터에 다시 시그모이드 함수를 적용</t>
    <phoneticPr fontId="5" type="noConversion"/>
  </si>
  <si>
    <t>최종 확률로 변환이 됨</t>
    <phoneticPr fontId="5" type="noConversion"/>
  </si>
  <si>
    <t>로짓 벡터는 모델이 각 클래스(카테고리)에 대해 계산한 점수</t>
    <phoneticPr fontId="5" type="noConversion"/>
  </si>
  <si>
    <t>소프트 맥스 함수 정의</t>
    <phoneticPr fontId="5" type="noConversion"/>
  </si>
  <si>
    <t>로짓 벡터에 대해 지수함수 적용</t>
    <phoneticPr fontId="5" type="noConversion"/>
  </si>
  <si>
    <t>지수 값들의 합 계산</t>
    <phoneticPr fontId="5" type="noConversion"/>
  </si>
  <si>
    <t>각 클래스에 대해 소프트맥스 확률 계산</t>
    <phoneticPr fontId="5" type="noConversion"/>
  </si>
  <si>
    <t>로지스틱회귀랑 연결이 됨</t>
    <phoneticPr fontId="5" type="noConversion"/>
  </si>
  <si>
    <t>활성화함수 sheet의 소프트 맥스 함수 참조</t>
    <phoneticPr fontId="5" type="noConversion"/>
  </si>
  <si>
    <t>4 * 12</t>
    <phoneticPr fontId="5" type="noConversion"/>
  </si>
  <si>
    <t>12 * 8</t>
    <phoneticPr fontId="5" type="noConversion"/>
  </si>
  <si>
    <t>bias 1개</t>
    <phoneticPr fontId="5" type="noConversion"/>
  </si>
  <si>
    <t>8 * 3</t>
    <phoneticPr fontId="5" type="noConversion"/>
  </si>
  <si>
    <t>총 파라미터 개수</t>
    <phoneticPr fontId="5" type="noConversion"/>
  </si>
  <si>
    <t>옵티마이저 파라미터 개수</t>
    <phoneticPr fontId="5" type="noConversion"/>
  </si>
  <si>
    <t>y_train</t>
    <phoneticPr fontId="5" type="noConversion"/>
  </si>
  <si>
    <t>y_test</t>
    <phoneticPr fontId="5" type="noConversion"/>
  </si>
  <si>
    <t>은닉층 개수</t>
  </si>
  <si>
    <t>: 하나로 시작해도 뉴런 개수가 충분하면 아주 복잡한 함수도 모델링 할 수 있습니다. 복잡한 문제에서는 심층 신경망이 얕은 신경망보다 파라미터 효율성이 훨씬 좋습니다.</t>
  </si>
  <si>
    <t>하나 또는 두개의 은닉층 만으로도 많은 문제를 해결합니다. 비슷한 작업에서 가장 뛰어난 성능을 낸 미리 훈련된 네트워크 일부를 재사용하는 것이 일반적</t>
  </si>
  <si>
    <t>은닉층 개수</t>
    <phoneticPr fontId="5" type="noConversion"/>
  </si>
  <si>
    <t>은닉층 뉴런 개수</t>
    <phoneticPr fontId="5" type="noConversion"/>
  </si>
  <si>
    <t>신경망 하이퍼파라미터 튜닝</t>
    <phoneticPr fontId="5" type="noConversion"/>
  </si>
  <si>
    <t>MNIST</t>
  </si>
  <si>
    <t>첫번째 300개 두번째 200개, 세번째는 100개의 뉴런으로 구성된 은닉층을 가집니다.</t>
  </si>
  <si>
    <t>요즘에는 대부분 모든 은닉층에 같은 크기를 사용해도 동일하거나 더 나은 성능을 냅니다. 
데이터셋에 따라 다르지만 다른 은닉층보다 첫 번째 은닉층을 크게 하는 것이 도움이 됩니다.</t>
  </si>
  <si>
    <t>model.add(Dense(36, input_dim=4, activation='relu'))</t>
    <phoneticPr fontId="5" type="noConversion"/>
  </si>
  <si>
    <t>model.add(Dense(18, activation='relu'))</t>
    <phoneticPr fontId="5" type="noConversion"/>
  </si>
  <si>
    <t>광석인지여부 판별</t>
    <phoneticPr fontId="5" type="noConversion"/>
  </si>
  <si>
    <t>model.add(Dense(1, activation='sigmoid'))</t>
    <phoneticPr fontId="5" type="noConversion"/>
  </si>
  <si>
    <t>model.fit(X, y, epochs=200)</t>
    <phoneticPr fontId="5" type="noConversion"/>
  </si>
  <si>
    <t>광석</t>
    <phoneticPr fontId="5" type="noConversion"/>
  </si>
  <si>
    <t>암석</t>
    <phoneticPr fontId="5" type="noConversion"/>
  </si>
  <si>
    <t>HDF5</t>
    <phoneticPr fontId="5" type="noConversion"/>
  </si>
  <si>
    <t>테스트데이터로 평가한 모델 정확도</t>
    <phoneticPr fontId="5" type="noConversion"/>
  </si>
  <si>
    <t>검증용 데이터로 검증한 최종 모델 정확도</t>
    <phoneticPr fontId="5" type="noConversion"/>
  </si>
  <si>
    <t>와인종류(레드, 화이트) 판별</t>
    <phoneticPr fontId="5" type="noConversion"/>
  </si>
  <si>
    <t>model.add(Dense(12, activation='relu'))</t>
    <phoneticPr fontId="5" type="noConversion"/>
  </si>
  <si>
    <t>model.add(Dense(8, activation='relu'))</t>
    <phoneticPr fontId="5" type="noConversion"/>
  </si>
  <si>
    <t>model.compile(loss='binary_crossentropy', optimizer='adam', metrics=['accuracy'])</t>
    <phoneticPr fontId="5" type="noConversion"/>
  </si>
  <si>
    <t>아이리스 품종 판별</t>
    <phoneticPr fontId="5" type="noConversion"/>
  </si>
  <si>
    <t>Dense3</t>
    <phoneticPr fontId="5" type="noConversion"/>
  </si>
  <si>
    <t>Dense4</t>
    <phoneticPr fontId="5" type="noConversion"/>
  </si>
  <si>
    <r>
      <t>model.compile(</t>
    </r>
    <r>
      <rPr>
        <b/>
        <sz val="11"/>
        <color rgb="FFFF0000"/>
        <rFont val="맑은 고딕"/>
        <family val="3"/>
        <charset val="129"/>
        <scheme val="minor"/>
      </rPr>
      <t>loss='categorical_crossentropy'</t>
    </r>
    <r>
      <rPr>
        <sz val="11"/>
        <color theme="1"/>
        <rFont val="맑은 고딕"/>
        <family val="2"/>
        <scheme val="minor"/>
      </rPr>
      <t>, optimizer='adam', metrics=['accuracy'])</t>
    </r>
    <phoneticPr fontId="5" type="noConversion"/>
  </si>
  <si>
    <r>
      <t xml:space="preserve">model.add(Dense(3, </t>
    </r>
    <r>
      <rPr>
        <b/>
        <sz val="11"/>
        <color rgb="FFFF0000"/>
        <rFont val="맑은 고딕"/>
        <family val="3"/>
        <charset val="129"/>
        <scheme val="minor"/>
      </rPr>
      <t>activation='softmax'</t>
    </r>
    <r>
      <rPr>
        <sz val="11"/>
        <color theme="1"/>
        <rFont val="맑은 고딕"/>
        <family val="2"/>
        <scheme val="minor"/>
      </rPr>
      <t>))</t>
    </r>
    <phoneticPr fontId="5" type="noConversion"/>
  </si>
  <si>
    <t>레드와인</t>
    <phoneticPr fontId="5" type="noConversion"/>
  </si>
  <si>
    <t>화이트와인</t>
    <phoneticPr fontId="5" type="noConversion"/>
  </si>
  <si>
    <t>model.compile(loss='binary_crossentropy', optimizer='adam', metrics=['accuracy'])</t>
    <phoneticPr fontId="5" type="noConversion"/>
  </si>
  <si>
    <r>
      <t xml:space="preserve">model.fit(X, y, epochs=50, batch_size=500, </t>
    </r>
    <r>
      <rPr>
        <b/>
        <sz val="11"/>
        <color rgb="FFFF0000"/>
        <rFont val="맑은 고딕"/>
        <family val="3"/>
        <charset val="129"/>
        <scheme val="minor"/>
      </rPr>
      <t>validation_split=0.25</t>
    </r>
    <r>
      <rPr>
        <sz val="11"/>
        <color theme="1"/>
        <rFont val="맑은 고딕"/>
        <family val="2"/>
        <scheme val="minor"/>
      </rPr>
      <t>)</t>
    </r>
    <phoneticPr fontId="5" type="noConversion"/>
  </si>
  <si>
    <t>6497 X 12</t>
    <phoneticPr fontId="5" type="noConversion"/>
  </si>
  <si>
    <t>와인</t>
    <phoneticPr fontId="5" type="noConversion"/>
  </si>
  <si>
    <t>5197 X 12</t>
    <phoneticPr fontId="5" type="noConversion"/>
  </si>
  <si>
    <t>모델 테스트용</t>
    <phoneticPr fontId="5" type="noConversion"/>
  </si>
  <si>
    <t>모델 검증용</t>
    <phoneticPr fontId="5" type="noConversion"/>
  </si>
  <si>
    <t>500번 반복하면서</t>
    <phoneticPr fontId="5" type="noConversion"/>
  </si>
  <si>
    <t>validation_loss</t>
    <phoneticPr fontId="5" type="noConversion"/>
  </si>
  <si>
    <t>훈련셋</t>
    <phoneticPr fontId="5" type="noConversion"/>
  </si>
  <si>
    <t xml:space="preserve"> </t>
    <phoneticPr fontId="5" type="noConversion"/>
  </si>
  <si>
    <t>model.add(Dense(36, input_dim=12, activation='relu'))</t>
    <phoneticPr fontId="5" type="noConversion"/>
  </si>
  <si>
    <t>validation_accuracy</t>
    <phoneticPr fontId="5" type="noConversion"/>
  </si>
  <si>
    <t>두 가지 부류(클래스)의 비율이 일정하지 않다면</t>
    <phoneticPr fontId="5" type="noConversion"/>
  </si>
  <si>
    <t>데이터셋을 구분할 경우(train_test_split)</t>
    <phoneticPr fontId="5" type="noConversion"/>
  </si>
  <si>
    <t>텐서플로우(TensorFlow)와 사이킷런(scikit-learn)은 서로 다른 목적과 용도로 설계된 라이브러리입니다. 딥러닝 모델을 구축할 때 텐서플로우를 사용하는 것이 일반적이지만, 사이킷런은 여전히 여러 상황에서 중요한 역할을 할 수 있습니다. 따라서 두 라이브러리를 적절히 비교하고 사용 목적에 따라 선택하는 것이 중요합니다.</t>
  </si>
  <si>
    <r>
      <t>1. 모델의 복잡성</t>
    </r>
    <r>
      <rPr>
        <sz val="11"/>
        <color theme="1"/>
        <rFont val="맑은 고딕"/>
        <family val="2"/>
        <scheme val="minor"/>
      </rPr>
      <t>: 텐서플로우는 복잡하고 깊은 신경망 모델을 설계하고 훈련시키는 데 뛰어납니다. 만약 딥러닝 모델이 높은 성능을 보인다면 사이킷런의 전통적인 머신러닝 알고리즘(예: 랜덤 포레스트, SVM)을 사용하지 않을 이유가 있어 보일 수 있습니다. 그러나 사이킷런의 모델은 딥러닝보다 훨씬 가볍고 해석이 용이한 경우가 많습니다. 단순한 모델이나 작은 데이터셋에서는 사이킷런 모델이 더 적합할 수 있습니다.</t>
    </r>
  </si>
  <si>
    <r>
      <t>2. 훈련 시간 및 자원</t>
    </r>
    <r>
      <rPr>
        <sz val="11"/>
        <color theme="1"/>
        <rFont val="맑은 고딕"/>
        <family val="2"/>
        <scheme val="minor"/>
      </rPr>
      <t>: 텐서플로우 기반의 딥러닝 모델은 훈련하는 데 많은 시간이 걸리고, GPU 등의 강력한 하드웨어 자원이 필요할 수 있습니다. 반면, 사이킷런 모델은 상대적으로 가벼워 더 빠르게 훈련할 수 있으며, CPU만으로도 충분히 실행 가능합니다.</t>
    </r>
  </si>
  <si>
    <r>
      <t>3. 해석 가능성</t>
    </r>
    <r>
      <rPr>
        <sz val="11"/>
        <color theme="1"/>
        <rFont val="맑은 고딕"/>
        <family val="2"/>
        <scheme val="minor"/>
      </rPr>
      <t>: 사이킷런의 모델은 일반적으로 해석하기가 더 쉽습니다. 예를 들어, 로지스틱 회귀나 결정 트리와 같은 모델은 결과를 해석하고 변수의 중요도를 파악하는 데 유리합니다. 텐서플로우의 딥러닝 모델은 대개 "블랙박스" 모델로 간주되며, 그 내부 구조를 이해하기가 어렵습니다.</t>
    </r>
  </si>
  <si>
    <r>
      <t>4. 적용 범위</t>
    </r>
    <r>
      <rPr>
        <sz val="11"/>
        <color theme="1"/>
        <rFont val="맑은 고딕"/>
        <family val="2"/>
        <scheme val="minor"/>
      </rPr>
      <t>: 사이킷런은 회귀, 분류, 군집화, 차원 축소 등 다양한 머신러닝 기법을 포괄적으로 지원하며, 데이터 전처리나 모델 평가 등의 다양한 기능을 제공합니다. 반면, 텐서플로우는 딥러닝 모델을 구축하는 데 중점을 둡니다.</t>
    </r>
  </si>
  <si>
    <t>따라서 딥러닝 모델이 사이킷런 모델보다 성능이 좋다고 해서 항상 텐서플로우만 사용하는 것이 좋은 선택은 아닙니다. 프로젝트의 목적, 데이터의 크기와 복잡성, 모델 해석의 필요성 등을 고려하여 어떤 라이브러리를 사용할지 결정하는 것이 중요합니다.</t>
  </si>
  <si>
    <t>다항 회귀</t>
    <phoneticPr fontId="5" type="noConversion"/>
  </si>
  <si>
    <t>다중회귀</t>
    <phoneticPr fontId="5" type="noConversion"/>
  </si>
  <si>
    <t>변수가 1개일 경우</t>
    <phoneticPr fontId="5" type="noConversion"/>
  </si>
  <si>
    <t>단순선형(직선)-모델이 과소적합일 경우 다항회귀(곡선)를 검토</t>
    <phoneticPr fontId="5" type="noConversion"/>
  </si>
  <si>
    <t>변수의 개수가 늘어남, 변수간의 상호(교호) 작용 포함됨</t>
    <phoneticPr fontId="5" type="noConversion"/>
  </si>
  <si>
    <t>mutiple regression</t>
    <phoneticPr fontId="5" type="noConversion"/>
  </si>
  <si>
    <t>x1</t>
    <phoneticPr fontId="5" type="noConversion"/>
  </si>
  <si>
    <t>x2</t>
    <phoneticPr fontId="5" type="noConversion"/>
  </si>
  <si>
    <t>x3</t>
    <phoneticPr fontId="5" type="noConversion"/>
  </si>
  <si>
    <t>여러 개의 독립 변수를 사용하여 종속 변수를 예측하는 회귀 분석 방법 입니다.</t>
    <phoneticPr fontId="5" type="noConversion"/>
  </si>
  <si>
    <t>length</t>
    <phoneticPr fontId="5" type="noConversion"/>
  </si>
  <si>
    <t>height</t>
    <phoneticPr fontId="5" type="noConversion"/>
  </si>
  <si>
    <t>width</t>
    <phoneticPr fontId="5" type="noConversion"/>
  </si>
  <si>
    <t>변수가 3개일 경우</t>
    <phoneticPr fontId="5" type="noConversion"/>
  </si>
  <si>
    <t>변수^2</t>
    <phoneticPr fontId="5" type="noConversion"/>
  </si>
  <si>
    <t>원래 변수</t>
    <phoneticPr fontId="5" type="noConversion"/>
  </si>
  <si>
    <t>3개</t>
    <phoneticPr fontId="5" type="noConversion"/>
  </si>
  <si>
    <t>변수끼리 곱한항</t>
    <phoneticPr fontId="5" type="noConversion"/>
  </si>
  <si>
    <t>x1 * x2</t>
    <phoneticPr fontId="5" type="noConversion"/>
  </si>
  <si>
    <t>x2 * x3</t>
    <phoneticPr fontId="5" type="noConversion"/>
  </si>
  <si>
    <t>x3 * x1</t>
    <phoneticPr fontId="5" type="noConversion"/>
  </si>
  <si>
    <t>총 9개</t>
    <phoneticPr fontId="5" type="noConversion"/>
  </si>
  <si>
    <t>바이어스(y절편)</t>
    <phoneticPr fontId="5" type="noConversion"/>
  </si>
  <si>
    <t>에 따라 1개가 추가될 수도 있다.</t>
    <phoneticPr fontId="5" type="noConversion"/>
  </si>
  <si>
    <t>9개</t>
    <phoneticPr fontId="5" type="noConversion"/>
  </si>
  <si>
    <t>로지스틱회귀모델</t>
    <phoneticPr fontId="5" type="noConversion"/>
  </si>
  <si>
    <t>이진분류</t>
    <phoneticPr fontId="5" type="noConversion"/>
  </si>
  <si>
    <t>x값은 정규화</t>
    <phoneticPr fontId="5" type="noConversion"/>
  </si>
  <si>
    <r>
      <t>from</t>
    </r>
    <r>
      <rPr>
        <sz val="10"/>
        <color rgb="FF212121"/>
        <rFont val="Arial Unicode MS"/>
        <family val="2"/>
      </rPr>
      <t xml:space="preserve"> sklearn.linear_model </t>
    </r>
    <r>
      <rPr>
        <b/>
        <sz val="10"/>
        <color rgb="FF212121"/>
        <rFont val="Arial Unicode MS"/>
        <family val="2"/>
      </rPr>
      <t>import</t>
    </r>
    <r>
      <rPr>
        <sz val="10"/>
        <color rgb="FF212121"/>
        <rFont val="Arial Unicode MS"/>
        <family val="2"/>
      </rPr>
      <t xml:space="preserve"> LogisticRegression</t>
    </r>
  </si>
  <si>
    <r>
      <t xml:space="preserve">lr </t>
    </r>
    <r>
      <rPr>
        <b/>
        <sz val="10"/>
        <color rgb="FF212121"/>
        <rFont val="Arial Unicode MS"/>
        <family val="2"/>
      </rPr>
      <t>=</t>
    </r>
    <r>
      <rPr>
        <sz val="10"/>
        <color rgb="FF212121"/>
        <rFont val="Arial Unicode MS"/>
        <family val="2"/>
      </rPr>
      <t xml:space="preserve"> LogisticRegression()</t>
    </r>
  </si>
  <si>
    <r>
      <t>lr</t>
    </r>
    <r>
      <rPr>
        <b/>
        <sz val="10"/>
        <color rgb="FF212121"/>
        <rFont val="Arial Unicode MS"/>
        <family val="2"/>
      </rPr>
      <t>.</t>
    </r>
    <r>
      <rPr>
        <sz val="10"/>
        <color rgb="FF212121"/>
        <rFont val="Arial Unicode MS"/>
        <family val="2"/>
      </rPr>
      <t>fit(train_bream_smelt, target_bream_smelt)</t>
    </r>
  </si>
  <si>
    <t>train_bream_smelt</t>
    <phoneticPr fontId="5" type="noConversion"/>
  </si>
  <si>
    <t>target_bream_smelt</t>
    <phoneticPr fontId="5" type="noConversion"/>
  </si>
  <si>
    <t>y값을 찾고 부류는 두가지</t>
    <phoneticPr fontId="5" type="noConversion"/>
  </si>
  <si>
    <t>사이킷런에서는 편리하게 문자열로된 타겟값을 그대로 사용할 수 있다.</t>
    <phoneticPr fontId="5" type="noConversion"/>
  </si>
  <si>
    <t>규제</t>
    <phoneticPr fontId="5" type="noConversion"/>
  </si>
  <si>
    <t>C</t>
    <phoneticPr fontId="5" type="noConversion"/>
  </si>
  <si>
    <t>complexity</t>
    <phoneticPr fontId="5" type="noConversion"/>
  </si>
  <si>
    <t>복잡도</t>
    <phoneticPr fontId="5" type="noConversion"/>
  </si>
  <si>
    <t>매개변수</t>
    <phoneticPr fontId="5" type="noConversion"/>
  </si>
  <si>
    <t>Inverse of regularization strength</t>
    <phoneticPr fontId="5" type="noConversion"/>
  </si>
  <si>
    <t>tree 모델</t>
    <phoneticPr fontId="5" type="noConversion"/>
  </si>
  <si>
    <t>의사결정나무</t>
    <phoneticPr fontId="5" type="noConversion"/>
  </si>
  <si>
    <t>스케일링(정규화)의 영향을 덜 받음</t>
    <phoneticPr fontId="5" type="noConversion"/>
  </si>
  <si>
    <t>지니 지수 구하기</t>
    <phoneticPr fontId="5" type="noConversion"/>
  </si>
  <si>
    <t>엔트로피 지수 구하기</t>
    <phoneticPr fontId="5" type="noConversion"/>
  </si>
  <si>
    <t>가젤 확률</t>
    <phoneticPr fontId="5" type="noConversion"/>
  </si>
  <si>
    <t>코뿔소 확률</t>
    <phoneticPr fontId="5" type="noConversion"/>
  </si>
  <si>
    <t>타조 확률</t>
    <phoneticPr fontId="5" type="noConversion"/>
  </si>
  <si>
    <t>사자 확률</t>
    <phoneticPr fontId="5" type="noConversion"/>
  </si>
  <si>
    <t>밑수가 2인 로그로 변환</t>
    <phoneticPr fontId="5" type="noConversion"/>
  </si>
  <si>
    <t>에 - 곱하기</t>
    <phoneticPr fontId="5" type="noConversion"/>
  </si>
  <si>
    <t>엔트로피는 약 1.81 비트</t>
    <phoneticPr fontId="5" type="noConversion"/>
  </si>
  <si>
    <t>얼룩말 확률</t>
    <phoneticPr fontId="5" type="noConversion"/>
  </si>
  <si>
    <t>하마 확률</t>
    <phoneticPr fontId="5" type="noConversion"/>
  </si>
  <si>
    <t>엔트로피는 약 0.59 비트</t>
    <phoneticPr fontId="5" type="noConversion"/>
  </si>
  <si>
    <t>윷놀이 엔트로피</t>
    <phoneticPr fontId="5" type="noConversion"/>
  </si>
  <si>
    <t>개</t>
    <phoneticPr fontId="5" type="noConversion"/>
  </si>
  <si>
    <t>걸</t>
    <phoneticPr fontId="5" type="noConversion"/>
  </si>
  <si>
    <t>윷</t>
    <phoneticPr fontId="5" type="noConversion"/>
  </si>
  <si>
    <t>모</t>
    <phoneticPr fontId="5" type="noConversion"/>
  </si>
  <si>
    <t>도</t>
    <phoneticPr fontId="5" type="noConversion"/>
  </si>
  <si>
    <t>엔트로피는 약 2.03 비트</t>
    <phoneticPr fontId="5" type="noConversion"/>
  </si>
  <si>
    <t>주사위 엔트로피</t>
    <phoneticPr fontId="5" type="noConversion"/>
  </si>
  <si>
    <t>엔트로피는 약 2.58 비트</t>
    <phoneticPr fontId="5" type="noConversion"/>
  </si>
  <si>
    <t>정보 이득 information Gain</t>
    <phoneticPr fontId="5" type="noConversion"/>
  </si>
  <si>
    <t>남성 : 6명(충성 고객 5명, 이탈 고객 1명)</t>
    <phoneticPr fontId="5" type="noConversion"/>
  </si>
  <si>
    <t>여성 : 4명(충성 고객 0명, 이탈 고객 4명)</t>
    <phoneticPr fontId="5" type="noConversion"/>
  </si>
  <si>
    <t>지니 지수</t>
    <phoneticPr fontId="5" type="noConversion"/>
  </si>
  <si>
    <t>성별로 분류 전</t>
    <phoneticPr fontId="5" type="noConversion"/>
  </si>
  <si>
    <t>성별로 분류 후</t>
    <phoneticPr fontId="5" type="noConversion"/>
  </si>
  <si>
    <t>지니 지수</t>
    <phoneticPr fontId="5" type="noConversion"/>
  </si>
  <si>
    <t>남</t>
    <phoneticPr fontId="5" type="noConversion"/>
  </si>
  <si>
    <t>여</t>
    <phoneticPr fontId="5" type="noConversion"/>
  </si>
  <si>
    <t>총 고객이 10명(충성 고객 5명, 이탈 고객 5명)</t>
    <phoneticPr fontId="5" type="noConversion"/>
  </si>
  <si>
    <t>총 고객이 10명(충성 고객 5명, 이탈 고객 5명)</t>
    <phoneticPr fontId="5" type="noConversion"/>
  </si>
  <si>
    <t>가중치 부여</t>
    <phoneticPr fontId="5" type="noConversion"/>
  </si>
  <si>
    <t>분류된 후의 전체 지니지수</t>
    <phoneticPr fontId="5" type="noConversion"/>
  </si>
  <si>
    <t>남녀로 분류하는 것은 이 데이터를 설명하는데 유의함(significant)</t>
    <phoneticPr fontId="5" type="noConversion"/>
  </si>
  <si>
    <t>최종 정보이득</t>
    <phoneticPr fontId="5" type="noConversion"/>
  </si>
  <si>
    <t>분류 전 지니지수 - 분류 후 지니지수</t>
    <phoneticPr fontId="5" type="noConversion"/>
  </si>
  <si>
    <t>Determines the cross-validation splitting strategy. Possible inputs for cv are:</t>
  </si>
  <si>
    <t>splitter = StratifiedKFold(n_splits=10, shuffle=True, random_state=42)</t>
  </si>
  <si>
    <t>scores = cross_validate(dt, train_input, train_target, cv=splitter)</t>
  </si>
  <si>
    <t>print(np.mean(scores['test_score']))</t>
  </si>
  <si>
    <r>
      <t xml:space="preserve">None, to use the default </t>
    </r>
    <r>
      <rPr>
        <b/>
        <sz val="11"/>
        <color rgb="FFFF0000"/>
        <rFont val="맑은 고딕"/>
        <family val="3"/>
        <charset val="129"/>
        <scheme val="minor"/>
      </rPr>
      <t>5</t>
    </r>
    <r>
      <rPr>
        <b/>
        <sz val="11"/>
        <color theme="1"/>
        <rFont val="맑은 고딕"/>
        <family val="3"/>
        <charset val="129"/>
        <scheme val="minor"/>
      </rPr>
      <t>-fold cross validation,</t>
    </r>
    <phoneticPr fontId="5" type="noConversion"/>
  </si>
  <si>
    <t>Voting</t>
    <phoneticPr fontId="5" type="noConversion"/>
  </si>
  <si>
    <t>설치</t>
    <phoneticPr fontId="5" type="noConversion"/>
  </si>
  <si>
    <t>docker pull 이미지이름</t>
    <phoneticPr fontId="5" type="noConversion"/>
  </si>
  <si>
    <t>docker run -it 이미지이름</t>
    <phoneticPr fontId="5" type="noConversion"/>
  </si>
  <si>
    <t>Hold-out 방법</t>
  </si>
  <si>
    <t>비례 층화 표본추출</t>
    <phoneticPr fontId="5" type="noConversion"/>
  </si>
  <si>
    <t>y(정답)</t>
    <phoneticPr fontId="5" type="noConversion"/>
  </si>
  <si>
    <t>y값이 두가지 부류일 경우(예, 도미와 빙어)</t>
    <phoneticPr fontId="5" type="noConversion"/>
  </si>
  <si>
    <t>모델</t>
    <phoneticPr fontId="5" type="noConversion"/>
  </si>
  <si>
    <t>모델이 일부 샘플을 올바르게 학습할 수 없습니다.</t>
    <phoneticPr fontId="5" type="noConversion"/>
  </si>
  <si>
    <t>훈련 데이터 셋    7</t>
    <phoneticPr fontId="5" type="noConversion"/>
  </si>
  <si>
    <t>X_train</t>
    <phoneticPr fontId="5" type="noConversion"/>
  </si>
  <si>
    <t>stratify 매개변수에 타겟 데이터(y)를 전달하면 클래스 비율에</t>
    <phoneticPr fontId="5" type="noConversion"/>
  </si>
  <si>
    <t>맞게 데이터를 나눔, 특정 클래스의 샘플이 적을 때 유용</t>
    <phoneticPr fontId="5" type="noConversion"/>
  </si>
  <si>
    <t>테스트 데이터 셋 3</t>
    <phoneticPr fontId="5" type="noConversion"/>
  </si>
  <si>
    <t>X_test</t>
    <phoneticPr fontId="5" type="noConversion"/>
  </si>
  <si>
    <t>테스트 데이터셋으로 모델을 테스트했을 때의 정확도가 좋아야(일반화가 잘 됨) 좋은 모델이됨</t>
    <phoneticPr fontId="5" type="noConversion"/>
  </si>
  <si>
    <t>교차 검증 방법</t>
    <phoneticPr fontId="5" type="noConversion"/>
  </si>
  <si>
    <t>k=5</t>
    <phoneticPr fontId="5" type="noConversion"/>
  </si>
  <si>
    <t>행 208개</t>
    <phoneticPr fontId="5" type="noConversion"/>
  </si>
  <si>
    <t>훈련데이터</t>
    <phoneticPr fontId="5" type="noConversion"/>
  </si>
  <si>
    <t>검증(테스트)데이터</t>
    <phoneticPr fontId="5" type="noConversion"/>
  </si>
  <si>
    <t>%</t>
    <phoneticPr fontId="5" type="noConversion"/>
  </si>
  <si>
    <r>
      <t>from</t>
    </r>
    <r>
      <rPr>
        <sz val="11"/>
        <color rgb="FF000000"/>
        <rFont val="Consolas"/>
        <family val="3"/>
      </rPr>
      <t xml:space="preserve"> sklearn.model_selection </t>
    </r>
    <r>
      <rPr>
        <sz val="11"/>
        <color rgb="FF0000FF"/>
        <rFont val="Consolas"/>
        <family val="3"/>
      </rPr>
      <t>import</t>
    </r>
    <r>
      <rPr>
        <sz val="11"/>
        <color rgb="FF000000"/>
        <rFont val="Consolas"/>
        <family val="3"/>
      </rPr>
      <t xml:space="preserve"> cross_validate</t>
    </r>
  </si>
  <si>
    <r>
      <t>cross_validate</t>
    </r>
    <r>
      <rPr>
        <b/>
        <sz val="12"/>
        <color rgb="FF222832"/>
        <rFont val="Consolas"/>
        <family val="3"/>
      </rPr>
      <t>(</t>
    </r>
    <r>
      <rPr>
        <b/>
        <i/>
        <sz val="12"/>
        <color rgb="FF222832"/>
        <rFont val="Consolas"/>
        <family val="3"/>
      </rPr>
      <t>estimator</t>
    </r>
    <r>
      <rPr>
        <b/>
        <sz val="12"/>
        <color rgb="FF222832"/>
        <rFont val="Consolas"/>
        <family val="3"/>
      </rPr>
      <t>, </t>
    </r>
    <r>
      <rPr>
        <b/>
        <i/>
        <sz val="12"/>
        <color rgb="FF222832"/>
        <rFont val="Consolas"/>
        <family val="3"/>
      </rPr>
      <t>X</t>
    </r>
    <r>
      <rPr>
        <b/>
        <sz val="12"/>
        <color rgb="FF222832"/>
        <rFont val="Consolas"/>
        <family val="3"/>
      </rPr>
      <t>, </t>
    </r>
    <r>
      <rPr>
        <b/>
        <i/>
        <sz val="12"/>
        <color rgb="FF222832"/>
        <rFont val="Consolas"/>
        <family val="3"/>
      </rPr>
      <t>y</t>
    </r>
    <r>
      <rPr>
        <i/>
        <sz val="12"/>
        <color rgb="FF222832"/>
        <rFont val="Consolas"/>
        <family val="3"/>
      </rPr>
      <t>=None</t>
    </r>
    <r>
      <rPr>
        <b/>
        <sz val="12"/>
        <color rgb="FF222832"/>
        <rFont val="Consolas"/>
        <family val="3"/>
      </rPr>
      <t>, </t>
    </r>
    <r>
      <rPr>
        <i/>
        <sz val="12"/>
        <color rgb="FF222832"/>
        <rFont val="Consolas"/>
        <family val="3"/>
      </rPr>
      <t>*</t>
    </r>
    <r>
      <rPr>
        <b/>
        <sz val="12"/>
        <color rgb="FF222832"/>
        <rFont val="Consolas"/>
        <family val="3"/>
      </rPr>
      <t>, </t>
    </r>
    <r>
      <rPr>
        <b/>
        <i/>
        <sz val="12"/>
        <color rgb="FF222832"/>
        <rFont val="Consolas"/>
        <family val="3"/>
      </rPr>
      <t>groups</t>
    </r>
    <r>
      <rPr>
        <i/>
        <sz val="12"/>
        <color rgb="FF222832"/>
        <rFont val="Consolas"/>
        <family val="3"/>
      </rPr>
      <t>=None</t>
    </r>
    <r>
      <rPr>
        <b/>
        <sz val="12"/>
        <color rgb="FF222832"/>
        <rFont val="Consolas"/>
        <family val="3"/>
      </rPr>
      <t>, </t>
    </r>
    <r>
      <rPr>
        <b/>
        <i/>
        <sz val="12"/>
        <color rgb="FF222832"/>
        <rFont val="Consolas"/>
        <family val="3"/>
      </rPr>
      <t>scoring</t>
    </r>
    <r>
      <rPr>
        <i/>
        <sz val="12"/>
        <color rgb="FF222832"/>
        <rFont val="Consolas"/>
        <family val="3"/>
      </rPr>
      <t>=None</t>
    </r>
    <r>
      <rPr>
        <b/>
        <sz val="12"/>
        <color rgb="FF222832"/>
        <rFont val="Consolas"/>
        <family val="3"/>
      </rPr>
      <t>, </t>
    </r>
    <r>
      <rPr>
        <b/>
        <i/>
        <sz val="12"/>
        <color rgb="FFFF0000"/>
        <rFont val="Consolas"/>
        <family val="3"/>
      </rPr>
      <t>cv</t>
    </r>
    <r>
      <rPr>
        <i/>
        <sz val="12"/>
        <color rgb="FFFF0000"/>
        <rFont val="Consolas"/>
        <family val="3"/>
      </rPr>
      <t>=None</t>
    </r>
    <r>
      <rPr>
        <b/>
        <sz val="12"/>
        <color rgb="FF222832"/>
        <rFont val="Consolas"/>
        <family val="3"/>
      </rPr>
      <t>, </t>
    </r>
    <r>
      <rPr>
        <b/>
        <i/>
        <sz val="12"/>
        <color rgb="FF222832"/>
        <rFont val="Consolas"/>
        <family val="3"/>
      </rPr>
      <t>n_jobs</t>
    </r>
    <r>
      <rPr>
        <i/>
        <sz val="12"/>
        <color rgb="FF222832"/>
        <rFont val="Consolas"/>
        <family val="3"/>
      </rPr>
      <t>=None</t>
    </r>
    <r>
      <rPr>
        <b/>
        <sz val="12"/>
        <color rgb="FF222832"/>
        <rFont val="Consolas"/>
        <family val="3"/>
      </rPr>
      <t>, </t>
    </r>
    <r>
      <rPr>
        <b/>
        <i/>
        <sz val="12"/>
        <color rgb="FF222832"/>
        <rFont val="Consolas"/>
        <family val="3"/>
      </rPr>
      <t>verbose</t>
    </r>
    <r>
      <rPr>
        <i/>
        <sz val="12"/>
        <color rgb="FF222832"/>
        <rFont val="Consolas"/>
        <family val="3"/>
      </rPr>
      <t>=0</t>
    </r>
    <r>
      <rPr>
        <b/>
        <sz val="12"/>
        <color rgb="FF222832"/>
        <rFont val="Consolas"/>
        <family val="3"/>
      </rPr>
      <t>, </t>
    </r>
    <r>
      <rPr>
        <b/>
        <i/>
        <sz val="12"/>
        <color rgb="FF222832"/>
        <rFont val="Consolas"/>
        <family val="3"/>
      </rPr>
      <t>fit_params</t>
    </r>
    <r>
      <rPr>
        <i/>
        <sz val="12"/>
        <color rgb="FF222832"/>
        <rFont val="Consolas"/>
        <family val="3"/>
      </rPr>
      <t>=None</t>
    </r>
    <r>
      <rPr>
        <b/>
        <sz val="12"/>
        <color rgb="FF222832"/>
        <rFont val="Consolas"/>
        <family val="3"/>
      </rPr>
      <t>, </t>
    </r>
    <r>
      <rPr>
        <b/>
        <i/>
        <sz val="12"/>
        <color rgb="FF222832"/>
        <rFont val="Consolas"/>
        <family val="3"/>
      </rPr>
      <t>params</t>
    </r>
    <r>
      <rPr>
        <i/>
        <sz val="12"/>
        <color rgb="FF222832"/>
        <rFont val="Consolas"/>
        <family val="3"/>
      </rPr>
      <t>=None</t>
    </r>
    <r>
      <rPr>
        <b/>
        <sz val="12"/>
        <color rgb="FF222832"/>
        <rFont val="Consolas"/>
        <family val="3"/>
      </rPr>
      <t>, </t>
    </r>
    <r>
      <rPr>
        <b/>
        <i/>
        <sz val="12"/>
        <color rgb="FF222832"/>
        <rFont val="Consolas"/>
        <family val="3"/>
      </rPr>
      <t>pre_dispatch</t>
    </r>
    <r>
      <rPr>
        <i/>
        <sz val="12"/>
        <color rgb="FF222832"/>
        <rFont val="Consolas"/>
        <family val="3"/>
      </rPr>
      <t>='2*n_jobs'</t>
    </r>
    <r>
      <rPr>
        <b/>
        <sz val="12"/>
        <color rgb="FF222832"/>
        <rFont val="Consolas"/>
        <family val="3"/>
      </rPr>
      <t>, </t>
    </r>
    <r>
      <rPr>
        <b/>
        <i/>
        <sz val="12"/>
        <color rgb="FF222832"/>
        <rFont val="Consolas"/>
        <family val="3"/>
      </rPr>
      <t>return_train_score</t>
    </r>
    <r>
      <rPr>
        <i/>
        <sz val="12"/>
        <color rgb="FF222832"/>
        <rFont val="Consolas"/>
        <family val="3"/>
      </rPr>
      <t>=False</t>
    </r>
    <r>
      <rPr>
        <b/>
        <sz val="12"/>
        <color rgb="FF222832"/>
        <rFont val="Consolas"/>
        <family val="3"/>
      </rPr>
      <t>, </t>
    </r>
    <r>
      <rPr>
        <b/>
        <i/>
        <sz val="12"/>
        <color rgb="FF222832"/>
        <rFont val="Consolas"/>
        <family val="3"/>
      </rPr>
      <t>return_estimator</t>
    </r>
    <r>
      <rPr>
        <i/>
        <sz val="12"/>
        <color rgb="FF222832"/>
        <rFont val="Consolas"/>
        <family val="3"/>
      </rPr>
      <t>=False</t>
    </r>
    <r>
      <rPr>
        <b/>
        <sz val="12"/>
        <color rgb="FF222832"/>
        <rFont val="Consolas"/>
        <family val="3"/>
      </rPr>
      <t>, </t>
    </r>
    <r>
      <rPr>
        <b/>
        <i/>
        <sz val="12"/>
        <color rgb="FF222832"/>
        <rFont val="Consolas"/>
        <family val="3"/>
      </rPr>
      <t>return_indices</t>
    </r>
    <r>
      <rPr>
        <i/>
        <sz val="12"/>
        <color rgb="FF222832"/>
        <rFont val="Consolas"/>
        <family val="3"/>
      </rPr>
      <t>=False</t>
    </r>
    <r>
      <rPr>
        <b/>
        <sz val="12"/>
        <color rgb="FF222832"/>
        <rFont val="Consolas"/>
        <family val="3"/>
      </rPr>
      <t>, </t>
    </r>
    <r>
      <rPr>
        <b/>
        <i/>
        <sz val="12"/>
        <color rgb="FF222832"/>
        <rFont val="Consolas"/>
        <family val="3"/>
      </rPr>
      <t>error_score</t>
    </r>
    <r>
      <rPr>
        <i/>
        <sz val="12"/>
        <color rgb="FF222832"/>
        <rFont val="Consolas"/>
        <family val="3"/>
      </rPr>
      <t>=nan</t>
    </r>
    <r>
      <rPr>
        <b/>
        <sz val="12"/>
        <color rgb="FF222832"/>
        <rFont val="Consolas"/>
        <family val="3"/>
      </rPr>
      <t>)</t>
    </r>
    <phoneticPr fontId="5" type="noConversion"/>
  </si>
  <si>
    <t>int, cross-validation generator or an iterable, default=None</t>
    <phoneticPr fontId="5" type="noConversion"/>
  </si>
  <si>
    <t>비례 층화 표본 추출 반영하고 k를 10으로,  10개의 모델을 만들어 평균낸 것으로 최종 모델 평가</t>
    <phoneticPr fontId="5" type="noConversion"/>
  </si>
  <si>
    <t>텐서플로우 2.x에서는 .kears로 새로운 모젤 저장 포맷 변경</t>
    <phoneticPr fontId="5" type="noConversion"/>
  </si>
  <si>
    <r>
      <t>HDF5</t>
    </r>
    <r>
      <rPr>
        <b/>
        <sz val="14.3"/>
        <color rgb="FF24292F"/>
        <rFont val="돋움"/>
        <family val="3"/>
        <charset val="129"/>
      </rPr>
      <t>의</t>
    </r>
    <r>
      <rPr>
        <b/>
        <sz val="14.3"/>
        <color rgb="FF24292F"/>
        <rFont val="Arial"/>
        <family val="2"/>
      </rPr>
      <t xml:space="preserve"> </t>
    </r>
    <r>
      <rPr>
        <b/>
        <sz val="14.3"/>
        <color rgb="FF24292F"/>
        <rFont val="돋움"/>
        <family val="3"/>
        <charset val="129"/>
      </rPr>
      <t>특징</t>
    </r>
    <phoneticPr fontId="5" type="noConversion"/>
  </si>
  <si>
    <t>HDF5를 이해하는 가장 중요한 개념은 그룹(Group), 데이터셋(Dataset), 속성(attribute)이다. 디렉토리 구조와 비슷한데, 그룹=디렉토리, 데이터셋=파일로 이해하면 쉽다. 속성은 일종의 메타데이터로 그룹이나 데이터셋을 부연 설명하는 것을 의미한다. HDF5 파일을 생성하면 먼저 /라는 루트 그룹이 생성되고 그 하위에 트리 구조로 다른 그룹을 생성할 수 있다. 그룹하위에 다른 그룹이 있을 수도 있고, 데이터셋이 존재할 수도 있다. 즉 완전히 운영체계의 디렉토리-파일 구조와 일치한다. 또 다른 특징은 속성인데 속성은 데이터셋이나 그룹을 설명하는데 사용하는데 이를 사용자가 정의하게 된다. 정리하면 HDF5는 Hierarchical Data Format이며 self-describing이 되는 고성능 데이터포맷 또는 DB 정도로 이해할 수 있다. 운영체계와 무관하게 사용할 수 있으며, 대용량 데이터를 빠르게 읽고 쓸 수 있다.</t>
  </si>
  <si>
    <t>사이킷런 vs 텐서플로우</t>
    <phoneticPr fontId="5" type="noConversion"/>
  </si>
  <si>
    <t>GridSearch CV and RandomSearch CV를 통한 하이퍼파라미터 튜닝</t>
    <phoneticPr fontId="5" type="noConversion"/>
  </si>
  <si>
    <t>1. GridSearchCV</t>
  </si>
  <si>
    <r>
      <t>의미</t>
    </r>
    <r>
      <rPr>
        <sz val="11"/>
        <color theme="1"/>
        <rFont val="맑은 고딕"/>
        <family val="2"/>
        <scheme val="minor"/>
      </rPr>
      <t>:</t>
    </r>
  </si>
  <si>
    <r>
      <t xml:space="preserve">GridSearchCV는 지정된 하이퍼파라미터의 </t>
    </r>
    <r>
      <rPr>
        <b/>
        <sz val="11"/>
        <color theme="1"/>
        <rFont val="맑은 고딕"/>
        <family val="3"/>
        <charset val="129"/>
        <scheme val="minor"/>
      </rPr>
      <t>모든 가능한 조합</t>
    </r>
    <r>
      <rPr>
        <sz val="11"/>
        <color theme="1"/>
        <rFont val="맑은 고딕"/>
        <family val="2"/>
        <scheme val="minor"/>
      </rPr>
      <t>을 탐색하는 방법입니다.</t>
    </r>
  </si>
  <si>
    <t>각 하이퍼파라미터에 대해 사용자가 가능한 값들의 그리드를 정의하고, GridSearchCV는 이 그리드 내의 모든 조합을 시도해 모델의 성능을 측정합니다.</t>
  </si>
  <si>
    <r>
      <t>예시</t>
    </r>
    <r>
      <rPr>
        <sz val="11"/>
        <color theme="1"/>
        <rFont val="맑은 고딕"/>
        <family val="2"/>
        <scheme val="minor"/>
      </rPr>
      <t>:</t>
    </r>
  </si>
  <si>
    <t>만약 두 가지 하이퍼파라미터가 각각 5가지와 4가지 값을 가질 수 있다면, GridSearch는 5 * 4 = 20개의 모델을 학습시켜 성능을 비교합니다.</t>
  </si>
  <si>
    <r>
      <t>장점</t>
    </r>
    <r>
      <rPr>
        <sz val="11"/>
        <color theme="1"/>
        <rFont val="맑은 고딕"/>
        <family val="2"/>
        <scheme val="minor"/>
      </rPr>
      <t>:</t>
    </r>
  </si>
  <si>
    <r>
      <t xml:space="preserve">모든 조합을 시도하므로, 전체 탐색 공간에서 </t>
    </r>
    <r>
      <rPr>
        <b/>
        <sz val="11"/>
        <color theme="1"/>
        <rFont val="맑은 고딕"/>
        <family val="3"/>
        <charset val="129"/>
        <scheme val="minor"/>
      </rPr>
      <t>최적의 하이퍼파라미터를 찾을 수 있습니다</t>
    </r>
    <r>
      <rPr>
        <sz val="11"/>
        <color theme="1"/>
        <rFont val="맑은 고딕"/>
        <family val="2"/>
        <scheme val="minor"/>
      </rPr>
      <t>.</t>
    </r>
  </si>
  <si>
    <r>
      <t>단점</t>
    </r>
    <r>
      <rPr>
        <sz val="11"/>
        <color theme="1"/>
        <rFont val="맑은 고딕"/>
        <family val="2"/>
        <scheme val="minor"/>
      </rPr>
      <t>:</t>
    </r>
  </si>
  <si>
    <r>
      <t>시간과 계산 비용이 매우 높습니다</t>
    </r>
    <r>
      <rPr>
        <sz val="11"/>
        <color theme="1"/>
        <rFont val="맑은 고딕"/>
        <family val="2"/>
        <scheme val="minor"/>
      </rPr>
      <t>. 하이퍼파라미터 값의 조합이 많을수록 탐색 시간이 기하급수적으로 증가합니다.</t>
    </r>
  </si>
  <si>
    <t>2. RandomizedSearchCV</t>
  </si>
  <si>
    <r>
      <t xml:space="preserve">RandomizedSearchCV는 지정된 하이퍼파라미터 범위 내에서 </t>
    </r>
    <r>
      <rPr>
        <b/>
        <sz val="11"/>
        <color theme="1"/>
        <rFont val="맑은 고딕"/>
        <family val="3"/>
        <charset val="129"/>
        <scheme val="minor"/>
      </rPr>
      <t>임의의 조합을 일정한 횟수만큼 샘플링</t>
    </r>
    <r>
      <rPr>
        <sz val="11"/>
        <color theme="1"/>
        <rFont val="맑은 고딕"/>
        <family val="2"/>
        <scheme val="minor"/>
      </rPr>
      <t>하여 탐색하는 방법입니다.</t>
    </r>
  </si>
  <si>
    <t>GridSearch와 달리, 모든 가능한 조합을 시도하지 않고, 하이퍼파라미터 공간에서 일부 조합을 무작위로 선택하여 평가합니다.</t>
  </si>
  <si>
    <t>동일한 두 가지 하이퍼파라미터에 대해, RandomizedSearchCV는 사용자가 설정한 횟수(예: 10번)만큼의 조합을 랜덤으로 선택해 모델을 평가합니다.</t>
  </si>
  <si>
    <r>
      <t>시간과 계산 비용이 훨씬 적습니다</t>
    </r>
    <r>
      <rPr>
        <sz val="11"/>
        <color theme="1"/>
        <rFont val="맑은 고딕"/>
        <family val="2"/>
        <scheme val="minor"/>
      </rPr>
      <t>. 무작위로 샘플링하므로 일부 조합만 평가하게 됩니다.</t>
    </r>
  </si>
  <si>
    <r>
      <t>큰 하이퍼파라미터 공간</t>
    </r>
    <r>
      <rPr>
        <sz val="11"/>
        <color theme="1"/>
        <rFont val="맑은 고딕"/>
        <family val="2"/>
        <scheme val="minor"/>
      </rPr>
      <t>에서 효율적으로 탐색할 수 있습니다.</t>
    </r>
  </si>
  <si>
    <r>
      <t xml:space="preserve">모든 조합을 시도하지 않으므로, </t>
    </r>
    <r>
      <rPr>
        <b/>
        <sz val="11"/>
        <color theme="1"/>
        <rFont val="맑은 고딕"/>
        <family val="3"/>
        <charset val="129"/>
        <scheme val="minor"/>
      </rPr>
      <t>전역 최적점을 놓칠 가능성</t>
    </r>
    <r>
      <rPr>
        <sz val="11"/>
        <color theme="1"/>
        <rFont val="맑은 고딕"/>
        <family val="2"/>
        <scheme val="minor"/>
      </rPr>
      <t>이 있습니다. 하지만 적절히 샘플링을 많이 할수록 최적점을 찾을 확률은 증가합니다.</t>
    </r>
  </si>
  <si>
    <t>언제 어떤 방법을 사용할까?</t>
  </si>
  <si>
    <r>
      <t>1. GridSearchCV를 사용할 때</t>
    </r>
    <r>
      <rPr>
        <sz val="11"/>
        <color theme="1"/>
        <rFont val="맑은 고딕"/>
        <family val="2"/>
        <scheme val="minor"/>
      </rPr>
      <t>:</t>
    </r>
  </si>
  <si>
    <r>
      <t xml:space="preserve">하이퍼파라미터의 범위가 </t>
    </r>
    <r>
      <rPr>
        <b/>
        <sz val="11"/>
        <color theme="1"/>
        <rFont val="맑은 고딕"/>
        <family val="3"/>
        <charset val="129"/>
        <scheme val="minor"/>
      </rPr>
      <t>작거나 제한적일 때</t>
    </r>
    <r>
      <rPr>
        <sz val="11"/>
        <color theme="1"/>
        <rFont val="맑은 고딕"/>
        <family val="2"/>
        <scheme val="minor"/>
      </rPr>
      <t>.</t>
    </r>
  </si>
  <si>
    <r>
      <t xml:space="preserve">계산 자원이 충분하고, </t>
    </r>
    <r>
      <rPr>
        <b/>
        <sz val="11"/>
        <color theme="1"/>
        <rFont val="맑은 고딕"/>
        <family val="3"/>
        <charset val="129"/>
        <scheme val="minor"/>
      </rPr>
      <t>모든 조합을 탐색할 수 있는 상황</t>
    </r>
    <r>
      <rPr>
        <sz val="11"/>
        <color theme="1"/>
        <rFont val="맑은 고딕"/>
        <family val="2"/>
        <scheme val="minor"/>
      </rPr>
      <t>에서.</t>
    </r>
  </si>
  <si>
    <r>
      <t xml:space="preserve">모델의 </t>
    </r>
    <r>
      <rPr>
        <b/>
        <sz val="11"/>
        <color theme="1"/>
        <rFont val="맑은 고딕"/>
        <family val="3"/>
        <charset val="129"/>
        <scheme val="minor"/>
      </rPr>
      <t>하이퍼파라미터가 소수인 경우</t>
    </r>
    <r>
      <rPr>
        <sz val="11"/>
        <color theme="1"/>
        <rFont val="맑은 고딕"/>
        <family val="2"/>
        <scheme val="minor"/>
      </rPr>
      <t>. 예를 들어, 하나나 두 개 정도의 하이퍼파라미터가 있을 때.</t>
    </r>
  </si>
  <si>
    <r>
      <t>2. RandomizedSearchCV를 사용할 때</t>
    </r>
    <r>
      <rPr>
        <sz val="11"/>
        <color theme="1"/>
        <rFont val="맑은 고딕"/>
        <family val="2"/>
        <scheme val="minor"/>
      </rPr>
      <t>:</t>
    </r>
  </si>
  <si>
    <r>
      <t xml:space="preserve">하이퍼파라미터 공간이 </t>
    </r>
    <r>
      <rPr>
        <b/>
        <sz val="11"/>
        <color theme="1"/>
        <rFont val="맑은 고딕"/>
        <family val="3"/>
        <charset val="129"/>
        <scheme val="minor"/>
      </rPr>
      <t>크거나 복잡할 때</t>
    </r>
    <r>
      <rPr>
        <sz val="11"/>
        <color theme="1"/>
        <rFont val="맑은 고딕"/>
        <family val="2"/>
        <scheme val="minor"/>
      </rPr>
      <t>.</t>
    </r>
  </si>
  <si>
    <r>
      <t xml:space="preserve">계산 자원이 제한적이고, </t>
    </r>
    <r>
      <rPr>
        <b/>
        <sz val="11"/>
        <color theme="1"/>
        <rFont val="맑은 고딕"/>
        <family val="3"/>
        <charset val="129"/>
        <scheme val="minor"/>
      </rPr>
      <t>빠르게 최적에 가까운 성능을 원할 때</t>
    </r>
    <r>
      <rPr>
        <sz val="11"/>
        <color theme="1"/>
        <rFont val="맑은 고딕"/>
        <family val="2"/>
        <scheme val="minor"/>
      </rPr>
      <t>.</t>
    </r>
  </si>
  <si>
    <r>
      <t xml:space="preserve">시간이나 계산 비용이 중요한 경우, </t>
    </r>
    <r>
      <rPr>
        <b/>
        <sz val="11"/>
        <color theme="1"/>
        <rFont val="맑은 고딕"/>
        <family val="3"/>
        <charset val="129"/>
        <scheme val="minor"/>
      </rPr>
      <t>탐색 공간의 일부를 효율적으로 샘플링</t>
    </r>
    <r>
      <rPr>
        <sz val="11"/>
        <color theme="1"/>
        <rFont val="맑은 고딕"/>
        <family val="2"/>
        <scheme val="minor"/>
      </rPr>
      <t>할 필요가 있을 때.</t>
    </r>
  </si>
  <si>
    <t>요약</t>
  </si>
  <si>
    <r>
      <t>GridSearchCV</t>
    </r>
    <r>
      <rPr>
        <sz val="11"/>
        <color theme="1"/>
        <rFont val="맑은 고딕"/>
        <family val="2"/>
        <scheme val="minor"/>
      </rPr>
      <t>는 모든 하이퍼파라미터 조합을 시도해 최적의 하이퍼파라미터를 찾지만, 계산 비용이 높습니다.</t>
    </r>
  </si>
  <si>
    <r>
      <t>RandomizedSearchCV</t>
    </r>
    <r>
      <rPr>
        <sz val="11"/>
        <color theme="1"/>
        <rFont val="맑은 고딕"/>
        <family val="2"/>
        <scheme val="minor"/>
      </rPr>
      <t>는 일부 하이퍼파라미터 조합만 시도해 시간을 절약하며, 큰 탐색 공간에서 효율적으로 작동하지만, 최적의 조합을 놓칠 가능성이 있습니다.</t>
    </r>
  </si>
  <si>
    <t>수학 백업 참조</t>
    <phoneticPr fontId="5" type="noConversion"/>
  </si>
  <si>
    <t>Bagging</t>
    <phoneticPr fontId="5" type="noConversion"/>
  </si>
  <si>
    <t>bootstrap</t>
    <phoneticPr fontId="5" type="noConversion"/>
  </si>
  <si>
    <t>aggregating</t>
    <phoneticPr fontId="5" type="noConversion"/>
  </si>
  <si>
    <t>복원샘플표본</t>
    <phoneticPr fontId="5" type="noConversion"/>
  </si>
  <si>
    <r>
      <t xml:space="preserve">약 **37%**의 데이터는 </t>
    </r>
    <r>
      <rPr>
        <b/>
        <sz val="11"/>
        <color theme="1"/>
        <rFont val="맑은 고딕"/>
        <family val="3"/>
        <charset val="129"/>
        <scheme val="minor"/>
      </rPr>
      <t>OOB 샘플</t>
    </r>
    <r>
      <rPr>
        <sz val="11"/>
        <color theme="1"/>
        <rFont val="맑은 고딕"/>
        <family val="2"/>
        <scheme val="minor"/>
      </rPr>
      <t xml:space="preserve">로 사용되며, </t>
    </r>
    <r>
      <rPr>
        <sz val="10"/>
        <color theme="1"/>
        <rFont val="Arial Unicode MS"/>
        <family val="2"/>
      </rPr>
      <t>oob_score=True</t>
    </r>
    <r>
      <rPr>
        <sz val="11"/>
        <color theme="1"/>
        <rFont val="맑은 고딕"/>
        <family val="2"/>
        <scheme val="minor"/>
      </rPr>
      <t xml:space="preserve">로 설정하면 이를 통해 </t>
    </r>
    <r>
      <rPr>
        <b/>
        <sz val="11"/>
        <color theme="1"/>
        <rFont val="맑은 고딕"/>
        <family val="3"/>
        <charset val="129"/>
        <scheme val="minor"/>
      </rPr>
      <t>모델 성능을 평가</t>
    </r>
    <r>
      <rPr>
        <sz val="11"/>
        <color theme="1"/>
        <rFont val="맑은 고딕"/>
        <family val="2"/>
        <scheme val="minor"/>
      </rPr>
      <t>할 수 있습니다.</t>
    </r>
  </si>
  <si>
    <t>Boosting</t>
    <phoneticPr fontId="5" type="noConversion"/>
  </si>
  <si>
    <t>1차원 컨벌루션</t>
  </si>
  <si>
    <t>커널</t>
  </si>
  <si>
    <t>(mask, kernel, filter, window)</t>
  </si>
  <si>
    <t>특징맵</t>
    <phoneticPr fontId="5" type="noConversion"/>
  </si>
  <si>
    <t>-</t>
    <phoneticPr fontId="5" type="noConversion"/>
  </si>
  <si>
    <t>-</t>
    <phoneticPr fontId="5" type="noConversion"/>
  </si>
  <si>
    <t>0 덧대기(패딩), 크기(size)가 같아지므로 same padding이라고도 함</t>
    <phoneticPr fontId="5" type="noConversion"/>
  </si>
  <si>
    <t>특징맵</t>
    <phoneticPr fontId="5" type="noConversion"/>
  </si>
  <si>
    <t>bias</t>
    <phoneticPr fontId="5" type="noConversion"/>
  </si>
  <si>
    <t>1차원 컨벌루션(convolution)</t>
    <phoneticPr fontId="5" type="noConversion"/>
  </si>
  <si>
    <t>2차원 컨벌루션(convolution)</t>
    <phoneticPr fontId="5" type="noConversion"/>
  </si>
  <si>
    <t>커널</t>
    <phoneticPr fontId="5" type="noConversion"/>
  </si>
  <si>
    <t>특징맵</t>
    <phoneticPr fontId="5" type="noConversion"/>
  </si>
  <si>
    <t>same padding 적용 후</t>
    <phoneticPr fontId="5" type="noConversion"/>
  </si>
  <si>
    <t>same padding 적용 전</t>
    <phoneticPr fontId="5" type="noConversion"/>
  </si>
  <si>
    <t>적용</t>
    <phoneticPr fontId="5" type="noConversion"/>
  </si>
  <si>
    <t>3차원 컨벌루션(convolution)</t>
    <phoneticPr fontId="5" type="noConversion"/>
  </si>
  <si>
    <t>R</t>
  </si>
  <si>
    <t>G</t>
  </si>
  <si>
    <t>c1</t>
  </si>
  <si>
    <t>c2</t>
  </si>
  <si>
    <t>c3</t>
  </si>
  <si>
    <t>특징맵</t>
    <phoneticPr fontId="5" type="noConversion"/>
  </si>
  <si>
    <t>커널</t>
    <phoneticPr fontId="5" type="noConversion"/>
  </si>
  <si>
    <t>신경망에 bias를 넣는 이유</t>
  </si>
  <si>
    <t>신경망(Neural Network)에서 bias를 사용하는 것은 매우 중요한 요소</t>
  </si>
  <si>
    <t>1. 비선형성 도입</t>
  </si>
  <si>
    <t>Bias는 활성화 함수(activation function)의 입력 값에 추가되어 신경망의 비선형성을 도입합니다. 
Bias가 없으면 모든 뉴런의 출력은 입력의 선형 결합이 되어 신경망이 선형 모델과 같은 동작을 하게 됩니다.
즉, 깊은 네트워크가 아니라 단일 층의 선형 모델로 변환됩니다.
Bias가 있어야만 활성화 함수가 효과적으로 작동하며, 신경망이 복잡한 비선형 관계를 학습할 수 있게 됩니다.</t>
  </si>
  <si>
    <t>2. 임계값 조정</t>
  </si>
  <si>
    <t>Bias는 뉴런의 활성화 임계값을 조정하는 역할을 합니다. Bias 없이 모든 뉴런의 활성화 임계값이 원점(0)으로 고정되기 때문에, 
입력 데이터가 원점 근처에 위치하지 않는다면 활성화 함수의 출력을 효과적으로 조정할 수 없습니다. 
Bias를 추가함으로써 활성화 함수를 특정 방향으로 이동시키거나 축소시킬 수 있습니다.</t>
  </si>
  <si>
    <t>3. 모델의 유연성 향상</t>
  </si>
  <si>
    <t>Bias는 모델의 유연성을 향상시킵니다. Bias 없이 신경망의 뉴런은 입력이 0일 때 항상 0을 출력하게 됩니다. 
Bias를 추가함으로써 뉴런은 입력이 0이더라도 다른 값을 출력할 수 있게 되어 더 유연하고 표현력이 높은 모델을 만들 수 있습니다.</t>
  </si>
  <si>
    <t>Dense2</t>
    <phoneticPr fontId="5" type="noConversion"/>
  </si>
  <si>
    <r>
      <t>x</t>
    </r>
    <r>
      <rPr>
        <vertAlign val="subscript"/>
        <sz val="11"/>
        <color theme="1"/>
        <rFont val="맑은 고딕"/>
        <family val="3"/>
        <charset val="129"/>
        <scheme val="minor"/>
      </rPr>
      <t>784</t>
    </r>
    <phoneticPr fontId="5" type="noConversion"/>
  </si>
  <si>
    <t>label</t>
    <phoneticPr fontId="5" type="noConversion"/>
  </si>
  <si>
    <t>1개</t>
    <phoneticPr fontId="5" type="noConversion"/>
  </si>
  <si>
    <t>2개</t>
    <phoneticPr fontId="5" type="noConversion"/>
  </si>
  <si>
    <t>60000개</t>
    <phoneticPr fontId="5" type="noConversion"/>
  </si>
  <si>
    <t>array([0., 0., 0., 0., 0., 1., 0., 0., 0., 0.])</t>
  </si>
  <si>
    <t>from tensorflow.keras.utils import to_categorical</t>
  </si>
  <si>
    <t>10000개의 테스트 데이터</t>
    <phoneticPr fontId="5" type="noConversion"/>
  </si>
  <si>
    <t>y</t>
    <phoneticPr fontId="5" type="noConversion"/>
  </si>
  <si>
    <t>bias 1개</t>
    <phoneticPr fontId="5" type="noConversion"/>
  </si>
  <si>
    <t>Conv2D</t>
    <phoneticPr fontId="5" type="noConversion"/>
  </si>
  <si>
    <t>feature map</t>
    <phoneticPr fontId="5" type="noConversion"/>
  </si>
  <si>
    <t>dropout</t>
    <phoneticPr fontId="5" type="noConversion"/>
  </si>
  <si>
    <t>flatten</t>
    <phoneticPr fontId="5" type="noConversion"/>
  </si>
  <si>
    <t>28 * 28</t>
    <phoneticPr fontId="5" type="noConversion"/>
  </si>
  <si>
    <t>채널 1</t>
    <phoneticPr fontId="5" type="noConversion"/>
  </si>
  <si>
    <t>Dense</t>
    <phoneticPr fontId="5" type="noConversion"/>
  </si>
  <si>
    <t>max pooling</t>
    <phoneticPr fontId="5" type="noConversion"/>
  </si>
  <si>
    <t>패딩이 valid가 기본</t>
    <phoneticPr fontId="5" type="noConversion"/>
  </si>
  <si>
    <t>26 * 26 * 32</t>
    <phoneticPr fontId="5" type="noConversion"/>
  </si>
  <si>
    <t>26으로 나온 이유는</t>
    <phoneticPr fontId="5" type="noConversion"/>
  </si>
  <si>
    <t>3 * 3 커널 계산</t>
    <phoneticPr fontId="5" type="noConversion"/>
  </si>
  <si>
    <t>(28-2) * (28-2)</t>
    <phoneticPr fontId="5" type="noConversion"/>
  </si>
  <si>
    <t>24 * 24 * 64</t>
    <phoneticPr fontId="5" type="noConversion"/>
  </si>
  <si>
    <t>24로 나온 이유는</t>
    <phoneticPr fontId="5" type="noConversion"/>
  </si>
  <si>
    <t>3 * 3 커널 계산</t>
    <phoneticPr fontId="5" type="noConversion"/>
  </si>
  <si>
    <t>(26-2) * (26-2)</t>
    <phoneticPr fontId="5" type="noConversion"/>
  </si>
  <si>
    <t>2 * 2</t>
    <phoneticPr fontId="5" type="noConversion"/>
  </si>
  <si>
    <t>12 * 12 * 64</t>
    <phoneticPr fontId="5" type="noConversion"/>
  </si>
  <si>
    <t>필터마다 필요한 가중치 파라미터 수는 필터 크기와 입력 채널 수에 따라 결정됩니다.</t>
    <phoneticPr fontId="5" type="noConversion"/>
  </si>
  <si>
    <t>한 필터당 가중치 파라미터 수: 3 * 3 * 1 = 9</t>
    <phoneticPr fontId="5" type="noConversion"/>
  </si>
  <si>
    <t>총 가중치 파라미터 수: 9 * 32 = 288</t>
    <phoneticPr fontId="5" type="noConversion"/>
  </si>
  <si>
    <t>필터마다 편향 추가</t>
    <phoneticPr fontId="5" type="noConversion"/>
  </si>
  <si>
    <t>288 * 64</t>
    <phoneticPr fontId="5" type="noConversion"/>
  </si>
  <si>
    <t>Kernel</t>
    <phoneticPr fontId="5" type="noConversion"/>
  </si>
  <si>
    <t>Kernel이 32개</t>
    <phoneticPr fontId="5" type="noConversion"/>
  </si>
  <si>
    <t>32 * 9</t>
    <phoneticPr fontId="5" type="noConversion"/>
  </si>
  <si>
    <t>총 파라미터 수</t>
    <phoneticPr fontId="5" type="noConversion"/>
  </si>
  <si>
    <t>tf.keras.layers.MaxPool2D(</t>
  </si>
  <si>
    <t xml:space="preserve">    pool_size=(2, 2),</t>
  </si>
  <si>
    <t xml:space="preserve">    strides=None,</t>
  </si>
  <si>
    <t xml:space="preserve">    padding=&amp;#x27;valid',</t>
  </si>
  <si>
    <t xml:space="preserve">    data_format=None,</t>
  </si>
  <si>
    <t xml:space="preserve">    name=None,</t>
  </si>
  <si>
    <t xml:space="preserve">    **kwargs</t>
  </si>
  <si>
    <t>)</t>
  </si>
  <si>
    <t>tf.keras.layers.Conv2D(</t>
  </si>
  <si>
    <t xml:space="preserve">    filters,</t>
  </si>
  <si>
    <t xml:space="preserve">    kernel_size,</t>
  </si>
  <si>
    <t xml:space="preserve">    strides=(1, 1),</t>
  </si>
  <si>
    <t xml:space="preserve">    dilation_rate=(1, 1),</t>
  </si>
  <si>
    <t xml:space="preserve">    groups=1,</t>
  </si>
  <si>
    <t xml:space="preserve">    activation=None,</t>
  </si>
  <si>
    <t xml:space="preserve">    use_bias=True,</t>
  </si>
  <si>
    <t xml:space="preserve">    kernel_initializer=&amp;#x27;glorot_uniform',</t>
  </si>
  <si>
    <t xml:space="preserve">    bias_initializer=&amp;#x27;zeros',</t>
  </si>
  <si>
    <t xml:space="preserve">    kernel_regularizer=None,</t>
  </si>
  <si>
    <t xml:space="preserve">    bias_regularizer=None,</t>
  </si>
  <si>
    <t xml:space="preserve">    activity_regularizer=None,</t>
  </si>
  <si>
    <t xml:space="preserve">    kernel_constraint=None,</t>
  </si>
  <si>
    <t xml:space="preserve">    bias_constraint=None,</t>
  </si>
  <si>
    <t>28 * 28 * 32</t>
    <phoneticPr fontId="5" type="noConversion"/>
  </si>
  <si>
    <t>14 * 14 * 32</t>
    <phoneticPr fontId="5" type="noConversion"/>
  </si>
  <si>
    <t>7 * 7 * 64</t>
    <phoneticPr fontId="5" type="noConversion"/>
  </si>
  <si>
    <t>14 * 14 * 64</t>
    <phoneticPr fontId="5" type="noConversion"/>
  </si>
  <si>
    <t>keras.utils.plot_model</t>
    <phoneticPr fontId="5" type="noConversion"/>
  </si>
  <si>
    <t>pip install pydot</t>
    <phoneticPr fontId="5" type="noConversion"/>
  </si>
  <si>
    <t>pip install graphviz</t>
    <phoneticPr fontId="5" type="noConversion"/>
  </si>
  <si>
    <t>원도우용 graphviz 설치</t>
    <phoneticPr fontId="5" type="noConversion"/>
  </si>
  <si>
    <t>문장</t>
    <phoneticPr fontId="5" type="noConversion"/>
  </si>
  <si>
    <t>documents</t>
    <phoneticPr fontId="5" type="noConversion"/>
  </si>
  <si>
    <t>문장1</t>
    <phoneticPr fontId="5" type="noConversion"/>
  </si>
  <si>
    <t>문장2</t>
    <phoneticPr fontId="5" type="noConversion"/>
  </si>
  <si>
    <t>문장3</t>
    <phoneticPr fontId="5" type="noConversion"/>
  </si>
  <si>
    <t>텍스트의</t>
    <phoneticPr fontId="5" type="noConversion"/>
  </si>
  <si>
    <t>단어를</t>
    <phoneticPr fontId="5" type="noConversion"/>
  </si>
  <si>
    <t>나누어</t>
    <phoneticPr fontId="5" type="noConversion"/>
  </si>
  <si>
    <t>단어로</t>
    <phoneticPr fontId="5" type="noConversion"/>
  </si>
  <si>
    <t>토큰화해야</t>
    <phoneticPr fontId="5" type="noConversion"/>
  </si>
  <si>
    <t>딥러닝에서</t>
    <phoneticPr fontId="5" type="noConversion"/>
  </si>
  <si>
    <t>인식됩니다</t>
    <phoneticPr fontId="5" type="noConversion"/>
  </si>
  <si>
    <t>토큰화합니다</t>
    <phoneticPr fontId="5" type="noConversion"/>
  </si>
  <si>
    <t>토큰화한</t>
    <phoneticPr fontId="5" type="noConversion"/>
  </si>
  <si>
    <t>결과는</t>
    <phoneticPr fontId="5" type="noConversion"/>
  </si>
  <si>
    <t>사용할</t>
    <phoneticPr fontId="5" type="noConversion"/>
  </si>
  <si>
    <t>있습니다</t>
    <phoneticPr fontId="5" type="noConversion"/>
  </si>
  <si>
    <t>수</t>
    <phoneticPr fontId="5" type="noConversion"/>
  </si>
  <si>
    <t>먼저</t>
    <phoneticPr fontId="5" type="noConversion"/>
  </si>
  <si>
    <t>term</t>
    <phoneticPr fontId="5" type="noConversion"/>
  </si>
  <si>
    <t>단어</t>
    <phoneticPr fontId="5" type="noConversion"/>
  </si>
  <si>
    <t>각</t>
    <phoneticPr fontId="5" type="noConversion"/>
  </si>
  <si>
    <t>텍스트의 원 핫 인코딩 과정</t>
    <phoneticPr fontId="5" type="noConversion"/>
  </si>
  <si>
    <t># 원핫인코딩 시 숫자배열로 만들어 놔야함, 그 숫자 배열은 순서가 있는 토큰으로 만듦</t>
  </si>
  <si>
    <t>text="오랫동안 꿈꾸는 이는 그 꿈을 닮아간다."</t>
  </si>
  <si>
    <t>token = Tokenizer()</t>
  </si>
  <si>
    <t>token.fit_on_texts([text])</t>
  </si>
  <si>
    <t>token.word_index</t>
  </si>
  <si>
    <t>{'오랫동안': 1, '꿈꾸는': 2, '이는': 3, '그': 4, '꿈을': 5, '닮아간다': 6}</t>
  </si>
  <si>
    <t># 그 만든 숫자 배열을 to_categorical을 통해 0과 1로만 이루어진 배열로 바꾸어야함</t>
  </si>
  <si>
    <t>token.texts_to_sequences([text])</t>
  </si>
  <si>
    <t># 이 때 주의할 점은 배열 맨 앞에 0이 추가(시작, start of senteces, SOS)되어야하므로 단어수보다 1이 더 많게 인덱스 숫자를 잡아주셔야 함</t>
  </si>
  <si>
    <t>word_size = len(token.word_index) + 1</t>
  </si>
  <si>
    <t>x = token.texts_to_sequences([text])</t>
  </si>
  <si>
    <t>to_categorical(x, num_classes=word_size)</t>
  </si>
  <si>
    <t>[[1, 2, 3, 4, 5, 6]]</t>
  </si>
  <si>
    <t>원핫인코딩을 사용했을 경우 벡터의 길이가 너무 길어진다는 단점이 있다. 예를 들어 1만개의 단어 토큰으로 이루어진 말뭉치(corpus)를 다룬다고 할 때</t>
    <phoneticPr fontId="5" type="noConversion"/>
  </si>
  <si>
    <t>벡터화하면 9,999개의 0과 하나의 1로 이루어진 희소행렬이 됨, 이러한 공각적 낭비를 해결하기 위해 등장한 것이 단어 임베딩(word embedding)이라는 방법</t>
    <phoneticPr fontId="5" type="noConversion"/>
  </si>
  <si>
    <t>원 핫 인코딩을 사용해 만든 사용해 만든 16차원 벡터가 있다고 할 경우 이것을 4차원 벡터로 바꾸어 보면</t>
    <phoneticPr fontId="5" type="noConversion"/>
  </si>
  <si>
    <t>원 핫 인코딩</t>
    <phoneticPr fontId="5" type="noConversion"/>
  </si>
  <si>
    <t>워딩 임베딩</t>
    <phoneticPr fontId="5" type="noConversion"/>
  </si>
  <si>
    <t>매장은 주로 "embedding"이 아닌 "embedding layer"와 같은 용어에서 나오는데, 이는 신경망에서 사용되는 용어로, 단어나 문장을 밀집 벡터(dense vector)로 변환하는 층을 말합니다.</t>
    <phoneticPr fontId="5" type="noConversion"/>
  </si>
  <si>
    <r>
      <t>"</t>
    </r>
    <r>
      <rPr>
        <sz val="10"/>
        <color rgb="FFFF0000"/>
        <rFont val="돋움"/>
        <family val="3"/>
        <charset val="129"/>
      </rPr>
      <t>임베딩</t>
    </r>
    <r>
      <rPr>
        <sz val="10"/>
        <color rgb="FFFF0000"/>
        <rFont val="Docs-Calibri"/>
        <family val="2"/>
      </rPr>
      <t>"</t>
    </r>
    <r>
      <rPr>
        <sz val="10"/>
        <color rgb="FFFF0000"/>
        <rFont val="돋움"/>
        <family val="3"/>
        <charset val="129"/>
      </rPr>
      <t>은</t>
    </r>
    <r>
      <rPr>
        <sz val="10"/>
        <color rgb="FFFF0000"/>
        <rFont val="Docs-Calibri"/>
        <family val="2"/>
      </rPr>
      <t xml:space="preserve"> </t>
    </r>
    <r>
      <rPr>
        <sz val="10"/>
        <color rgb="FFFF0000"/>
        <rFont val="돋움"/>
        <family val="3"/>
        <charset val="129"/>
      </rPr>
      <t>주어진</t>
    </r>
    <r>
      <rPr>
        <sz val="10"/>
        <color rgb="FFFF0000"/>
        <rFont val="Docs-Calibri"/>
        <family val="2"/>
      </rPr>
      <t xml:space="preserve"> </t>
    </r>
    <r>
      <rPr>
        <sz val="10"/>
        <color rgb="FFFF0000"/>
        <rFont val="돋움"/>
        <family val="3"/>
        <charset val="129"/>
      </rPr>
      <t>데이터를</t>
    </r>
    <r>
      <rPr>
        <sz val="10"/>
        <color rgb="FFFF0000"/>
        <rFont val="Docs-Calibri"/>
        <family val="2"/>
      </rPr>
      <t xml:space="preserve"> </t>
    </r>
    <r>
      <rPr>
        <sz val="10"/>
        <color rgb="FFFF0000"/>
        <rFont val="돋움"/>
        <family val="3"/>
        <charset val="129"/>
      </rPr>
      <t>저차원</t>
    </r>
    <r>
      <rPr>
        <sz val="10"/>
        <color rgb="FFFF0000"/>
        <rFont val="Docs-Calibri"/>
        <family val="2"/>
      </rPr>
      <t xml:space="preserve"> </t>
    </r>
    <r>
      <rPr>
        <sz val="10"/>
        <color rgb="FFFF0000"/>
        <rFont val="돋움"/>
        <family val="3"/>
        <charset val="129"/>
      </rPr>
      <t>공간으로</t>
    </r>
    <r>
      <rPr>
        <sz val="10"/>
        <color rgb="FFFF0000"/>
        <rFont val="Docs-Calibri"/>
        <family val="2"/>
      </rPr>
      <t xml:space="preserve"> </t>
    </r>
    <r>
      <rPr>
        <sz val="10"/>
        <color rgb="FFFF0000"/>
        <rFont val="돋움"/>
        <family val="3"/>
        <charset val="129"/>
      </rPr>
      <t>투영하는</t>
    </r>
    <r>
      <rPr>
        <sz val="10"/>
        <color rgb="FFFF0000"/>
        <rFont val="Docs-Calibri"/>
        <family val="2"/>
      </rPr>
      <t xml:space="preserve"> </t>
    </r>
    <r>
      <rPr>
        <sz val="10"/>
        <color rgb="FFFF0000"/>
        <rFont val="돋움"/>
        <family val="3"/>
        <charset val="129"/>
      </rPr>
      <t>과정을</t>
    </r>
    <r>
      <rPr>
        <sz val="10"/>
        <color rgb="FFFF0000"/>
        <rFont val="Docs-Calibri"/>
        <family val="2"/>
      </rPr>
      <t xml:space="preserve"> </t>
    </r>
    <r>
      <rPr>
        <sz val="10"/>
        <color rgb="FFFF0000"/>
        <rFont val="돋움"/>
        <family val="3"/>
        <charset val="129"/>
      </rPr>
      <t>의미합니다</t>
    </r>
    <r>
      <rPr>
        <sz val="10"/>
        <color rgb="FFFF0000"/>
        <rFont val="Docs-Calibri"/>
        <family val="2"/>
      </rPr>
      <t xml:space="preserve">. </t>
    </r>
    <r>
      <rPr>
        <sz val="10"/>
        <color rgb="FFFF0000"/>
        <rFont val="돋움"/>
        <family val="3"/>
        <charset val="129"/>
      </rPr>
      <t>이</t>
    </r>
    <r>
      <rPr>
        <sz val="10"/>
        <color rgb="FFFF0000"/>
        <rFont val="Docs-Calibri"/>
        <family val="2"/>
      </rPr>
      <t xml:space="preserve"> </t>
    </r>
    <r>
      <rPr>
        <sz val="10"/>
        <color rgb="FFFF0000"/>
        <rFont val="돋움"/>
        <family val="3"/>
        <charset val="129"/>
      </rPr>
      <t>과정에서</t>
    </r>
    <r>
      <rPr>
        <sz val="10"/>
        <color rgb="FFFF0000"/>
        <rFont val="Docs-Calibri"/>
        <family val="2"/>
      </rPr>
      <t xml:space="preserve"> </t>
    </r>
    <r>
      <rPr>
        <sz val="10"/>
        <color rgb="FFFF0000"/>
        <rFont val="돋움"/>
        <family val="3"/>
        <charset val="129"/>
      </rPr>
      <t>데이터의</t>
    </r>
    <r>
      <rPr>
        <sz val="10"/>
        <color rgb="FFFF0000"/>
        <rFont val="Docs-Calibri"/>
        <family val="2"/>
      </rPr>
      <t xml:space="preserve"> </t>
    </r>
    <r>
      <rPr>
        <sz val="10"/>
        <color rgb="FFFF0000"/>
        <rFont val="돋움"/>
        <family val="3"/>
        <charset val="129"/>
      </rPr>
      <t>특성이나</t>
    </r>
    <r>
      <rPr>
        <sz val="10"/>
        <color rgb="FFFF0000"/>
        <rFont val="Docs-Calibri"/>
        <family val="2"/>
      </rPr>
      <t xml:space="preserve"> </t>
    </r>
    <r>
      <rPr>
        <sz val="10"/>
        <color rgb="FFFF0000"/>
        <rFont val="돋움"/>
        <family val="3"/>
        <charset val="129"/>
      </rPr>
      <t>구조를</t>
    </r>
    <r>
      <rPr>
        <sz val="10"/>
        <color rgb="FFFF0000"/>
        <rFont val="Docs-Calibri"/>
        <family val="2"/>
      </rPr>
      <t xml:space="preserve"> </t>
    </r>
    <r>
      <rPr>
        <sz val="10"/>
        <color rgb="FFFF0000"/>
        <rFont val="돋움"/>
        <family val="3"/>
        <charset val="129"/>
      </rPr>
      <t>보존하면서</t>
    </r>
    <r>
      <rPr>
        <sz val="10"/>
        <color rgb="FFFF0000"/>
        <rFont val="Docs-Calibri"/>
        <family val="2"/>
      </rPr>
      <t xml:space="preserve"> </t>
    </r>
    <r>
      <rPr>
        <sz val="10"/>
        <color rgb="FFFF0000"/>
        <rFont val="돋움"/>
        <family val="3"/>
        <charset val="129"/>
      </rPr>
      <t>차원을</t>
    </r>
    <r>
      <rPr>
        <sz val="10"/>
        <color rgb="FFFF0000"/>
        <rFont val="Docs-Calibri"/>
        <family val="2"/>
      </rPr>
      <t xml:space="preserve"> </t>
    </r>
    <r>
      <rPr>
        <sz val="10"/>
        <color rgb="FFFF0000"/>
        <rFont val="돋움"/>
        <family val="3"/>
        <charset val="129"/>
      </rPr>
      <t>축소하거나</t>
    </r>
    <r>
      <rPr>
        <sz val="10"/>
        <color rgb="FFFF0000"/>
        <rFont val="Docs-Calibri"/>
        <family val="2"/>
      </rPr>
      <t xml:space="preserve"> </t>
    </r>
    <r>
      <rPr>
        <sz val="10"/>
        <color rgb="FFFF0000"/>
        <rFont val="돋움"/>
        <family val="3"/>
        <charset val="129"/>
      </rPr>
      <t>변형시킵니다</t>
    </r>
    <r>
      <rPr>
        <sz val="10"/>
        <color rgb="FFFF0000"/>
        <rFont val="Docs-Calibri"/>
        <family val="2"/>
      </rPr>
      <t xml:space="preserve">. </t>
    </r>
    <phoneticPr fontId="5" type="noConversion"/>
  </si>
  <si>
    <t>단어 임베딩</t>
    <phoneticPr fontId="5" type="noConversion"/>
  </si>
  <si>
    <t>그렇다면 이 단어 간 유사도는 어떻게 계산하는 것일까?</t>
  </si>
  <si>
    <t>tf.keras.layers.Embedding(</t>
  </si>
  <si>
    <t xml:space="preserve">    input_dim,</t>
  </si>
  <si>
    <t xml:space="preserve">    output_dim,</t>
  </si>
  <si>
    <t xml:space="preserve">    embeddings_initializer=&amp;#x27;uniform',</t>
  </si>
  <si>
    <t xml:space="preserve">    embeddings_regularizer=None,</t>
  </si>
  <si>
    <t xml:space="preserve">    embeddings_constraint=None,</t>
  </si>
  <si>
    <t xml:space="preserve">    mask_zero=False,</t>
  </si>
  <si>
    <t xml:space="preserve">    weights=None,</t>
  </si>
  <si>
    <t xml:space="preserve">    lora_rank=None,</t>
  </si>
  <si>
    <t>Integer. Size of the vocabulary, i.e. maximum integer index + 1.</t>
  </si>
  <si>
    <t>Integer. Dimension of the dense embedding.</t>
  </si>
  <si>
    <t>from tensorflow.keras.layers import Embedding</t>
  </si>
  <si>
    <t>from tensorflow.keras.models import Sequential</t>
  </si>
  <si>
    <t>여기서 앞서 배운 오차 역전파가 또다시 등장함</t>
  </si>
  <si>
    <t>적절한 크기로 배열을 바꾸어 주기 위해 최적의 유사도를 계산하는 학습 과정을 거치는 것</t>
  </si>
  <si>
    <t>이 과정은 케라스에서 제공하는 Embedding() 함수를 사용하면 간단히 해낼 수 있음</t>
  </si>
  <si>
    <t>예를 들어 다음과 같이 Embedding() 함수를 적용해 딥러닝 모델을 만들 수 있음</t>
  </si>
  <si>
    <t>model.add(Embedding(16, 4))</t>
  </si>
  <si>
    <t>docs = ["너무 재밌네요","최고예요","참 잘 만든 영화예요","추천하고 싶은 영화입니다","한번 더 보고싶네요",</t>
  </si>
  <si>
    <t>        "글쎄요","별로예요","생각보다 지루하네요","연기가 어색해요","재미없어요"]</t>
  </si>
  <si>
    <t>from tensorflow.keras.preprocessing.text import Tokenizer</t>
  </si>
  <si>
    <t>label=np.array([1,1,1,1,1,0,0,0,0,0])</t>
  </si>
  <si>
    <t>import numpy as np</t>
  </si>
  <si>
    <t>token.fit_on_texts(docs)</t>
  </si>
  <si>
    <t>x = token.texts_to_sequences(docs)</t>
  </si>
  <si>
    <t>padded_x = pad_sequences(x, 4)</t>
  </si>
  <si>
    <t>padded_x</t>
  </si>
  <si>
    <t>차원축소</t>
    <phoneticPr fontId="5" type="noConversion"/>
  </si>
  <si>
    <t>워드 임베딩으로 축소해야함, 이 때 축소하는 차원은 8로 정했다.</t>
    <phoneticPr fontId="5" type="noConversion"/>
  </si>
  <si>
    <t>시작</t>
    <phoneticPr fontId="5" type="noConversion"/>
  </si>
  <si>
    <t>너무</t>
    <phoneticPr fontId="5" type="noConversion"/>
  </si>
  <si>
    <t>21차원</t>
    <phoneticPr fontId="5" type="noConversion"/>
  </si>
  <si>
    <t>재밌네요</t>
    <phoneticPr fontId="5" type="noConversion"/>
  </si>
  <si>
    <t>…</t>
    <phoneticPr fontId="5" type="noConversion"/>
  </si>
  <si>
    <t>재미없어요</t>
    <phoneticPr fontId="5" type="noConversion"/>
  </si>
  <si>
    <t>.
.
.</t>
    <phoneticPr fontId="5" type="noConversion"/>
  </si>
  <si>
    <t>Embedding(21, 8, input_length=4)</t>
    <phoneticPr fontId="5" type="noConversion"/>
  </si>
  <si>
    <t>너무</t>
    <phoneticPr fontId="5" type="noConversion"/>
  </si>
  <si>
    <t>재밌네요</t>
    <phoneticPr fontId="5" type="noConversion"/>
  </si>
  <si>
    <t>최고예요</t>
    <phoneticPr fontId="5" type="noConversion"/>
  </si>
  <si>
    <t>참</t>
    <phoneticPr fontId="5" type="noConversion"/>
  </si>
  <si>
    <t>단어 하나하나가 차원이 21차원이므로</t>
    <phoneticPr fontId="5" type="noConversion"/>
  </si>
  <si>
    <t>input_length</t>
    <phoneticPr fontId="5" type="noConversion"/>
  </si>
  <si>
    <t>Flatten</t>
    <phoneticPr fontId="5" type="noConversion"/>
  </si>
  <si>
    <t>Dense</t>
    <phoneticPr fontId="5" type="noConversion"/>
  </si>
  <si>
    <t>로이터 뉴스 카테고리 분류</t>
    <phoneticPr fontId="5" type="noConversion"/>
  </si>
  <si>
    <t># 첫번째 뉴스 기사</t>
    <phoneticPr fontId="5" type="noConversion"/>
  </si>
  <si>
    <t>print(X_train[0], end='')</t>
    <phoneticPr fontId="5" type="noConversion"/>
  </si>
  <si>
    <t>[1, 2, 2, 8, 43, 10, 447, 5, 25, 207, 270, 5, 2, 111, 16, 369, 186, 90, 67, 7, 89, 5, 19, 102, 6, 19, 124, 15, 90, 67, 84, 22, 482, 26, 7, 48, 4, 49, 8, 864, 39, 209, 154, 6, 151, 6, 83, 11, 15, 22, 155, 11, 15, 7, 48, 9, 2, 2, 504, 6, 258, 6, 272, 11, 15, 22, 134, 44, 11, 15, 16, 8, 197, 2, 90, 67, 52, 29, 209, 30, 32, 132, 6, 109, 15, 17, 12]</t>
  </si>
  <si>
    <t>뉴스 기사 건수</t>
    <phoneticPr fontId="5" type="noConversion"/>
  </si>
  <si>
    <t>숫자가 의미하는 것은 해당 단어가 몇 번이나 나타나는지 세어 빈도에 따라 번호를 붙임</t>
    <phoneticPr fontId="5" type="noConversion"/>
  </si>
  <si>
    <t>GPU 모델명</t>
    <phoneticPr fontId="5" type="noConversion"/>
  </si>
  <si>
    <t>NVIDIA GeForce RTX 3060</t>
    <phoneticPr fontId="5" type="noConversion"/>
  </si>
  <si>
    <t>C:\Users\ysj&gt;wsl -l -v</t>
  </si>
  <si>
    <t xml:space="preserve">  NAME              STATE           VERSION</t>
  </si>
  <si>
    <t>* Ubuntu            Stopped         2</t>
  </si>
  <si>
    <t xml:space="preserve">  docker-desktop    Stopped         2</t>
  </si>
  <si>
    <t>nvidia-smi로 기존 버전 확인</t>
    <phoneticPr fontId="5" type="noConversion"/>
  </si>
  <si>
    <t xml:space="preserve">CUDA Version: 12.6 </t>
  </si>
  <si>
    <t>Geforce RTX 3060</t>
  </si>
  <si>
    <t>conda create -n gputest python=3.7</t>
    <phoneticPr fontId="5" type="noConversion"/>
  </si>
  <si>
    <t>conda activate gputest</t>
    <phoneticPr fontId="5" type="noConversion"/>
  </si>
  <si>
    <t>pip install tensorflow-gpu==2.8.0</t>
    <phoneticPr fontId="5" type="noConversion"/>
  </si>
  <si>
    <t>pip uninstall protobuf</t>
    <phoneticPr fontId="5" type="noConversion"/>
  </si>
  <si>
    <t>pip install protobuf==3.20</t>
    <phoneticPr fontId="5" type="noConversion"/>
  </si>
  <si>
    <t>code .</t>
    <phoneticPr fontId="5" type="noConversion"/>
  </si>
  <si>
    <t>import tensorflow as tf</t>
  </si>
  <si>
    <t># GPU 장치 목록 확인</t>
  </si>
  <si>
    <t>gpus = tf.config.list_physical_devices('GPU')</t>
  </si>
  <si>
    <t>if gpus:</t>
  </si>
  <si>
    <t>    print("GPUs found:")</t>
  </si>
  <si>
    <t>    for gpu in gpus:</t>
  </si>
  <si>
    <t>        print(gpu)</t>
  </si>
  <si>
    <t>else:</t>
  </si>
  <si>
    <t>    print("No GPUs found. Check your installation.")</t>
  </si>
  <si>
    <t>cuda</t>
  </si>
  <si>
    <t>cudnn에 있는 폴더 붙여 넣기</t>
  </si>
  <si>
    <t>cudnn</t>
  </si>
  <si>
    <t>정수 인코딩 과정</t>
  </si>
  <si>
    <t>빈도가 가장 높은 단어는 1번, 그다음은 2번 식</t>
  </si>
  <si>
    <t>각 뉴스 기사는 단어들의 순서를 유지한 채로 정수 인덱스 배열로 변환됩니다.</t>
  </si>
  <si>
    <t>예를 들어, 다음과 같은 뉴스 기사가 있다고 가정해 봅시다.</t>
  </si>
  <si>
    <t>"the stock market is booming"</t>
  </si>
  <si>
    <t>[1, 45, 78, 10, 54]</t>
  </si>
  <si>
    <t xml:space="preserve">46가지의 </t>
  </si>
  <si>
    <t>문장 시작</t>
  </si>
  <si>
    <t>패딩</t>
  </si>
  <si>
    <t>카테고리</t>
  </si>
  <si>
    <t>뉴스기사1</t>
  </si>
  <si>
    <t>정치</t>
  </si>
  <si>
    <t>len(np.unique(y_train))</t>
  </si>
  <si>
    <t>뉴스기사2</t>
  </si>
  <si>
    <t>뉴스기사8982</t>
  </si>
  <si>
    <t>LSTM</t>
    <phoneticPr fontId="5" type="noConversion"/>
  </si>
  <si>
    <t>100개 노드</t>
    <phoneticPr fontId="5" type="noConversion"/>
  </si>
  <si>
    <t>tf.keras.layers.LSTM(</t>
  </si>
  <si>
    <t xml:space="preserve">    units,</t>
  </si>
  <si>
    <t xml:space="preserve">    activation=&amp;#x27;tanh',</t>
  </si>
  <si>
    <t xml:space="preserve">    recurrent_activation=&amp;#x27;sigmoid',</t>
  </si>
  <si>
    <t xml:space="preserve">    recurrent_initializer=&amp;#x27;orthogonal',</t>
  </si>
  <si>
    <t xml:space="preserve">    unit_forget_bias=True,</t>
  </si>
  <si>
    <t xml:space="preserve">    recurrent_regularizer=None,</t>
  </si>
  <si>
    <t xml:space="preserve">    recurrent_constraint=None,</t>
  </si>
  <si>
    <t xml:space="preserve">    dropout=0.0,</t>
  </si>
  <si>
    <t xml:space="preserve">    recurrent_dropout=0.0,</t>
  </si>
  <si>
    <t xml:space="preserve">    seed=None,</t>
  </si>
  <si>
    <t xml:space="preserve">    return_sequences=False,</t>
  </si>
  <si>
    <t xml:space="preserve">    return_state=False,</t>
  </si>
  <si>
    <t xml:space="preserve">    go_backwards=False,</t>
  </si>
  <si>
    <t xml:space="preserve">    stateful=False,</t>
  </si>
  <si>
    <t xml:space="preserve">    unroll=False,</t>
  </si>
  <si>
    <t xml:space="preserve">    use_cudnn=&amp;#x27;auto',</t>
  </si>
  <si>
    <t>RNN (Recurrent Neural Network)에서 하이퍼볼릭 탄젠트 함수(tanh)가 활성화 함수로 자주 사용되는 이유</t>
  </si>
  <si>
    <t>비선형성: tanh 함수는 비선형 함수로, 신경망이 복잡한 패턴과 관계를 학습할 수 있게 합니다. 비선형 활성화 함수가 없으면 신경망은 단순한 선형 변환을 할 수밖에 없으므로, 표현력과 모델의 성능이 크게 제한됩니다.</t>
  </si>
  <si>
    <t>출력 범위: tanh 함수는 출력 값을 -1에서 1 사이로 정규화합니다. 이는 시그모이드 함수의 출력 범위인 0에서 1 사이보다 더 넓은 범위를 가지며, 
중앙값이 0이기 때문에 데이터가 더 잘 분포될 수 있습니다. 이는 특히 양수와 음수 값을 균형 있게 표현하는 데 유리합니다.</t>
  </si>
  <si>
    <t>기울기 소실 완화: tanh 함수는 시그모이드 함수와 마찬가지로 미분값이 출력에 의해 조절되지만, -1에서 1 사이의 출력을 가지므로 기울기 소실 문제를 완화하는 데 다소 유리합니다. 
시그모이드 함수에 비해 tanh 함수는 기울기를 더 잘 보존할 수 있습니다. 이는 특히 깊은 네트워크에서 중요한 특성입니다.</t>
  </si>
  <si>
    <t>중심성: tanh 함수의 출력이 0을 중심으로 대칭적입니다. 이는 입력 데이터가 양수와 음수 값을 가질 때 더 자연스럽게 데이터 분포를 처리할 수 있도록 도와줍니다. 
RNN에서는 시계열 데이터나 순차 데이터를 처리하는 경우가 많기 때문에, 데이터의 중심을 0으로 맞추는 것이 학습에 유리할 수 있습니다.</t>
  </si>
  <si>
    <t>수렴 속도: 중심이 0인 활성화 함수(tanh 함수)를 사용하면, 네트워크의 가중치 업데이트가 더 균형 있게 이루어져 수렴 속도가 빨라질 수 있습니다. 
이는 학습 과정에서의 안정성을 높이고, 효율적인 학습을 도와줍니다.</t>
  </si>
  <si>
    <t>이러한 이유들로 인해 RNN에서 하이퍼볼릭 탄젠트 함수(tanh)가 활성화 함수로 자주 사용됩니다. 다만, 최근에는 LSTM(Long Short-Term Memory)이나 GRU(Gated Recurrent Unit)와 같은 구조가 RNN의 기울기 소실 문제를 효과적으로 해결하면서 더 많이 사용되고 있으며, 
이들 구조에서는 ReLU와 같은 다른 활성화 함수도 활용될 수 있습니다.</t>
  </si>
  <si>
    <t>Dense</t>
    <phoneticPr fontId="5" type="noConversion"/>
  </si>
  <si>
    <t>LSTM</t>
    <phoneticPr fontId="5" type="noConversion"/>
  </si>
  <si>
    <t>가중치 구하는 방식</t>
    <phoneticPr fontId="5" type="noConversion"/>
  </si>
  <si>
    <t>four gates: input, forget, cell, output gate)</t>
  </si>
  <si>
    <r>
      <t>Input Weight (W)</t>
    </r>
    <r>
      <rPr>
        <sz val="11"/>
        <color theme="1"/>
        <rFont val="맑은 고딕"/>
        <family val="2"/>
        <scheme val="minor"/>
      </rPr>
      <t>: 입력에서 오는 가중치</t>
    </r>
  </si>
  <si>
    <r>
      <t>Recurrent Weight (U)</t>
    </r>
    <r>
      <rPr>
        <sz val="11"/>
        <color theme="1"/>
        <rFont val="맑은 고딕"/>
        <family val="2"/>
        <scheme val="minor"/>
      </rPr>
      <t>: 이전 타임스텝에서 오는 가중치</t>
    </r>
  </si>
  <si>
    <r>
      <t>Bias (b)</t>
    </r>
    <r>
      <rPr>
        <sz val="11"/>
        <color theme="1"/>
        <rFont val="맑은 고딕"/>
        <family val="2"/>
        <scheme val="minor"/>
      </rPr>
      <t>: 각 게이트에 대해 하나씩 존재하는 바이어스</t>
    </r>
  </si>
  <si>
    <t>LSTM에서는 4개의 게이트가 있으므로, 각 게이트에 대한 가중치가 필요합니다.</t>
  </si>
  <si>
    <t>가중치 계산은 다음과 같이 진행됩니다:</t>
  </si>
  <si>
    <t>Input 가중치 (W)</t>
  </si>
  <si>
    <t xml:space="preserve">W=Input Size×4×Units = </t>
  </si>
  <si>
    <t>Recurrent 가중치 (U)</t>
  </si>
  <si>
    <t xml:space="preserve">U=Units×4×UnitsU = </t>
  </si>
  <si>
    <t>Bias (b)</t>
  </si>
  <si>
    <t>b=4×Units</t>
  </si>
  <si>
    <t>총 가중치 개수</t>
  </si>
  <si>
    <t>임베딩 1000 * 100</t>
  </si>
  <si>
    <t>num_words=1000로 빈도수가 1000개(1000차원)인 단어만 추출한 후 100차원로 차원축소(임베딩층을 이용)</t>
  </si>
  <si>
    <t>영화 리뷰 분류</t>
  </si>
  <si>
    <t>영화 리뷰</t>
  </si>
  <si>
    <t>Embedding</t>
  </si>
  <si>
    <t>5000*100</t>
  </si>
  <si>
    <t>Conv1D</t>
  </si>
  <si>
    <t>필터(커널)</t>
  </si>
  <si>
    <t>개수가</t>
  </si>
  <si>
    <t>64개</t>
  </si>
  <si>
    <t>num_words=5000로 빈도수가 5000개(5000차원)인 단어만 추출한 후 100차원로 차원축소(임베딩층을 이용)</t>
  </si>
  <si>
    <t>영화리뷰1</t>
  </si>
  <si>
    <t>부정</t>
  </si>
  <si>
    <t>영화리뷰2</t>
  </si>
  <si>
    <t>긍정</t>
  </si>
  <si>
    <t>영화리뷰 25000</t>
  </si>
  <si>
    <t>DropOut</t>
  </si>
  <si>
    <t>커널 바이어스</t>
  </si>
  <si>
    <t>즉 50만개의 임베딩, 공간을 학습으로 값을 채워야 함</t>
    <phoneticPr fontId="5" type="noConversion"/>
  </si>
  <si>
    <t>말뭉치를 가지고 사전(표형태)을 만드니까 가전 크기라고도 한다</t>
    <phoneticPr fontId="5" type="noConversion"/>
  </si>
  <si>
    <t>LSTM</t>
    <phoneticPr fontId="5" type="noConversion"/>
  </si>
  <si>
    <t>four gate : input, ouput, forget, cell gate</t>
    <phoneticPr fontId="5" type="noConversion"/>
  </si>
  <si>
    <t>언어 모델은 말뭉치(텍스트 데이터)를 기반으로 단어 또는 문장의 패턴을 학습하는 모델입니다. 이를 위해 LSTM, 트랜스포머와 같은 신경망 구조를 사용하여 많은 가중치를 학습하고, 이를 역전파(backpropagation) 알고리즘으로 최적화</t>
    <phoneticPr fontId="5" type="noConversion"/>
  </si>
  <si>
    <t>Dense</t>
    <phoneticPr fontId="5" type="noConversion"/>
  </si>
  <si>
    <t>최종 가중치 개수</t>
    <phoneticPr fontId="5" type="noConversion"/>
  </si>
  <si>
    <t>MaxPooling1D</t>
    <phoneticPr fontId="5" type="noConversion"/>
  </si>
  <si>
    <t>pool_size=4</t>
    <phoneticPr fontId="5" type="noConversion"/>
  </si>
  <si>
    <t>최종 가중치 개수</t>
    <phoneticPr fontId="5" type="noConversion"/>
  </si>
  <si>
    <t>현재 pool_size 2</t>
    <phoneticPr fontId="5" type="noConversion"/>
  </si>
  <si>
    <t>없음인 경우 기본값은 pool_size입니다.</t>
  </si>
  <si>
    <t xml:space="preserve">    size=(2, 2), data_format=None, interpolation="nearest", **kwargs</t>
  </si>
  <si>
    <t>28*28*16</t>
    <phoneticPr fontId="5" type="noConversion"/>
  </si>
  <si>
    <t>keras.layers.UpSampling2D(</t>
    <phoneticPr fontId="5" type="noConversion"/>
  </si>
  <si>
    <t>7*7*8</t>
    <phoneticPr fontId="5" type="noConversion"/>
  </si>
  <si>
    <t>14*14*16</t>
    <phoneticPr fontId="5" type="noConversion"/>
  </si>
  <si>
    <t>28*28*16</t>
    <phoneticPr fontId="5" type="noConversion"/>
  </si>
  <si>
    <t>UpSampling2D 후</t>
    <phoneticPr fontId="5" type="noConversion"/>
  </si>
  <si>
    <t>8개</t>
    <phoneticPr fontId="5" type="noConversion"/>
  </si>
  <si>
    <t>16개</t>
    <phoneticPr fontId="5" type="noConversion"/>
  </si>
  <si>
    <t>+ 출력 필터 수</t>
    <phoneticPr fontId="5" type="noConversion"/>
  </si>
  <si>
    <t>*출력 필터 수</t>
    <phoneticPr fontId="5" type="noConversion"/>
  </si>
  <si>
    <t>커널의 가로*커널의 세로</t>
    <phoneticPr fontId="5" type="noConversion"/>
  </si>
  <si>
    <t>입력 *</t>
    <phoneticPr fontId="5" type="noConversion"/>
  </si>
  <si>
    <t>*출력 필터 수</t>
    <phoneticPr fontId="5" type="noConversion"/>
  </si>
  <si>
    <t>입력 *</t>
    <phoneticPr fontId="5" type="noConversion"/>
  </si>
  <si>
    <t>sigmoid</t>
    <phoneticPr fontId="5" type="noConversion"/>
  </si>
  <si>
    <t>bias 8</t>
    <phoneticPr fontId="5" type="noConversion"/>
  </si>
  <si>
    <t>bias 16</t>
    <phoneticPr fontId="5" type="noConversion"/>
  </si>
  <si>
    <t>Conv2D</t>
    <phoneticPr fontId="17" type="noConversion"/>
  </si>
  <si>
    <t>8 * 9</t>
    <phoneticPr fontId="5" type="noConversion"/>
  </si>
  <si>
    <t>16 * 9</t>
    <phoneticPr fontId="5" type="noConversion"/>
  </si>
  <si>
    <r>
      <t>autoencoder.add(Conv2D(</t>
    </r>
    <r>
      <rPr>
        <sz val="11"/>
        <color rgb="FF098658"/>
        <rFont val="Consolas"/>
        <family val="3"/>
      </rPr>
      <t>16</t>
    </r>
    <r>
      <rPr>
        <sz val="11"/>
        <color rgb="FF000000"/>
        <rFont val="Consolas"/>
        <family val="3"/>
      </rPr>
      <t>, kernel_size=</t>
    </r>
    <r>
      <rPr>
        <sz val="11"/>
        <color rgb="FF098658"/>
        <rFont val="Consolas"/>
        <family val="3"/>
      </rPr>
      <t>3</t>
    </r>
    <r>
      <rPr>
        <sz val="11"/>
        <color rgb="FF000000"/>
        <rFont val="Consolas"/>
        <family val="3"/>
      </rPr>
      <t>, activation=</t>
    </r>
    <r>
      <rPr>
        <sz val="11"/>
        <color rgb="FFA31515"/>
        <rFont val="Consolas"/>
        <family val="3"/>
      </rPr>
      <t>'relu'</t>
    </r>
    <r>
      <rPr>
        <sz val="11"/>
        <color rgb="FF000000"/>
        <rFont val="Consolas"/>
        <family val="3"/>
      </rPr>
      <t>))</t>
    </r>
  </si>
  <si>
    <t>MaxPooling2D 후</t>
    <phoneticPr fontId="5" type="noConversion"/>
  </si>
  <si>
    <t>valid padding 적용 후</t>
    <phoneticPr fontId="5" type="noConversion"/>
  </si>
  <si>
    <t>GAN 모델(생성자(이 학습해야할  매개변수 수</t>
    <phoneticPr fontId="5" type="noConversion"/>
  </si>
  <si>
    <t>학습안함</t>
    <phoneticPr fontId="5" type="noConversion"/>
  </si>
  <si>
    <t>    tensor=None</t>
  </si>
  <si>
    <t>    name=None,</t>
  </si>
  <si>
    <t>입력</t>
    <phoneticPr fontId="5" type="noConversion"/>
  </si>
  <si>
    <t>    batch_shape=None,</t>
  </si>
  <si>
    <t>    sparse=None,</t>
  </si>
  <si>
    <t>    dtype=None,</t>
  </si>
  <si>
    <t>gan.summary()</t>
  </si>
  <si>
    <t>    batch_size=None,</t>
  </si>
  <si>
    <r>
      <t>gan.compile(loss=</t>
    </r>
    <r>
      <rPr>
        <sz val="11"/>
        <color rgb="FFA31515"/>
        <rFont val="Consolas"/>
        <family val="3"/>
      </rPr>
      <t>'binary_crossentropy'</t>
    </r>
    <r>
      <rPr>
        <sz val="11"/>
        <color rgb="FF000000"/>
        <rFont val="Consolas"/>
        <family val="3"/>
      </rPr>
      <t>, optimizer=</t>
    </r>
    <r>
      <rPr>
        <sz val="11"/>
        <color rgb="FFA31515"/>
        <rFont val="Consolas"/>
        <family val="3"/>
      </rPr>
      <t>'adam'</t>
    </r>
    <r>
      <rPr>
        <sz val="11"/>
        <color rgb="FF000000"/>
        <rFont val="Consolas"/>
        <family val="3"/>
      </rPr>
      <t>)</t>
    </r>
  </si>
  <si>
    <t>    shape=None,</t>
  </si>
  <si>
    <t>gan = Model(ginput, dis_output)</t>
  </si>
  <si>
    <t>tf.keras.Input(</t>
  </si>
  <si>
    <t>dis_output = discriminator(generator(ginput))</t>
  </si>
  <si>
    <r>
      <t>ginput = Input(shape=(</t>
    </r>
    <r>
      <rPr>
        <sz val="11"/>
        <color rgb="FF098658"/>
        <rFont val="Consolas"/>
        <family val="3"/>
      </rPr>
      <t>100</t>
    </r>
    <r>
      <rPr>
        <sz val="11"/>
        <color rgb="FF000000"/>
        <rFont val="Consolas"/>
        <family val="3"/>
      </rPr>
      <t>,))</t>
    </r>
    <phoneticPr fontId="5" type="noConversion"/>
  </si>
  <si>
    <t># 생성자와 판별자 모델을 연결시키는 gan 모델을 만듭니다.</t>
  </si>
  <si>
    <t>GAN 모델</t>
    <phoneticPr fontId="5" type="noConversion"/>
  </si>
  <si>
    <t>128개</t>
    <phoneticPr fontId="5" type="noConversion"/>
  </si>
  <si>
    <t>64개</t>
    <phoneticPr fontId="5" type="noConversion"/>
  </si>
  <si>
    <t>28*28*1</t>
    <phoneticPr fontId="5" type="noConversion"/>
  </si>
  <si>
    <t>스트라이드가 2이므로 14*14</t>
    <phoneticPr fontId="5" type="noConversion"/>
  </si>
  <si>
    <t>14*14*64</t>
    <phoneticPr fontId="5" type="noConversion"/>
  </si>
  <si>
    <t xml:space="preserve"> 출력 </t>
    <phoneticPr fontId="5" type="noConversion"/>
  </si>
  <si>
    <t>출력 결과를 입력으로</t>
    <phoneticPr fontId="5" type="noConversion"/>
  </si>
  <si>
    <t>discriminator.trainable = False</t>
  </si>
  <si>
    <t>오차</t>
    <phoneticPr fontId="5" type="noConversion"/>
  </si>
  <si>
    <r>
      <t>discriminator.compile(loss=</t>
    </r>
    <r>
      <rPr>
        <sz val="11"/>
        <color rgb="FFA31515"/>
        <rFont val="Consolas"/>
        <family val="3"/>
      </rPr>
      <t>'binary_crossentropy'</t>
    </r>
    <r>
      <rPr>
        <sz val="11"/>
        <color rgb="FF000000"/>
        <rFont val="Consolas"/>
        <family val="3"/>
      </rPr>
      <t>, optimizer=</t>
    </r>
    <r>
      <rPr>
        <sz val="11"/>
        <color rgb="FFA31515"/>
        <rFont val="Consolas"/>
        <family val="3"/>
      </rPr>
      <t>'adam'</t>
    </r>
    <r>
      <rPr>
        <sz val="11"/>
        <color rgb="FF000000"/>
        <rFont val="Consolas"/>
        <family val="3"/>
      </rPr>
      <t>)</t>
    </r>
  </si>
  <si>
    <r>
      <t>discriminator.add(Dense(</t>
    </r>
    <r>
      <rPr>
        <sz val="11"/>
        <color rgb="FF098658"/>
        <rFont val="Consolas"/>
        <family val="3"/>
      </rPr>
      <t>1</t>
    </r>
    <r>
      <rPr>
        <sz val="11"/>
        <color rgb="FF000000"/>
        <rFont val="Consolas"/>
        <family val="3"/>
      </rPr>
      <t>, activation=</t>
    </r>
    <r>
      <rPr>
        <sz val="11"/>
        <color rgb="FFA31515"/>
        <rFont val="Consolas"/>
        <family val="3"/>
      </rPr>
      <t>'sigmoid'</t>
    </r>
    <r>
      <rPr>
        <sz val="11"/>
        <color rgb="FF000000"/>
        <rFont val="Consolas"/>
        <family val="3"/>
      </rPr>
      <t>))</t>
    </r>
  </si>
  <si>
    <t>Dense</t>
    <phoneticPr fontId="5" type="noConversion"/>
  </si>
  <si>
    <t>discriminator.add(Flatten())</t>
  </si>
  <si>
    <r>
      <t>discriminator.add(Dropout(</t>
    </r>
    <r>
      <rPr>
        <sz val="11"/>
        <color rgb="FF098658"/>
        <rFont val="Consolas"/>
        <family val="3"/>
      </rPr>
      <t>0.3</t>
    </r>
    <r>
      <rPr>
        <sz val="11"/>
        <color rgb="FF000000"/>
        <rFont val="Consolas"/>
        <family val="3"/>
      </rPr>
      <t>))</t>
    </r>
  </si>
  <si>
    <r>
      <t>discriminator.add(Activation(LeakyReLU(</t>
    </r>
    <r>
      <rPr>
        <sz val="11"/>
        <color rgb="FF098658"/>
        <rFont val="Consolas"/>
        <family val="3"/>
      </rPr>
      <t>0.2</t>
    </r>
    <r>
      <rPr>
        <sz val="11"/>
        <color rgb="FF000000"/>
        <rFont val="Consolas"/>
        <family val="3"/>
      </rPr>
      <t>)))</t>
    </r>
  </si>
  <si>
    <t>Flatten</t>
    <phoneticPr fontId="5" type="noConversion"/>
  </si>
  <si>
    <t>Conv2D</t>
    <phoneticPr fontId="17" type="noConversion"/>
  </si>
  <si>
    <r>
      <t>discriminator.add(Conv2D(</t>
    </r>
    <r>
      <rPr>
        <sz val="11"/>
        <color rgb="FF098658"/>
        <rFont val="Consolas"/>
        <family val="3"/>
      </rPr>
      <t>128</t>
    </r>
    <r>
      <rPr>
        <sz val="11"/>
        <color rgb="FF000000"/>
        <rFont val="Consolas"/>
        <family val="3"/>
      </rPr>
      <t>, kernel_size=</t>
    </r>
    <r>
      <rPr>
        <sz val="11"/>
        <color rgb="FF098658"/>
        <rFont val="Consolas"/>
        <family val="3"/>
      </rPr>
      <t>5</t>
    </r>
    <r>
      <rPr>
        <sz val="11"/>
        <color rgb="FF000000"/>
        <rFont val="Consolas"/>
        <family val="3"/>
      </rPr>
      <t>, strides=</t>
    </r>
    <r>
      <rPr>
        <sz val="11"/>
        <color rgb="FF098658"/>
        <rFont val="Consolas"/>
        <family val="3"/>
      </rPr>
      <t>2</t>
    </r>
    <r>
      <rPr>
        <sz val="11"/>
        <color rgb="FF000000"/>
        <rFont val="Consolas"/>
        <family val="3"/>
      </rPr>
      <t>, padding=</t>
    </r>
    <r>
      <rPr>
        <sz val="11"/>
        <color rgb="FFA31515"/>
        <rFont val="Consolas"/>
        <family val="3"/>
      </rPr>
      <t>"same"</t>
    </r>
    <r>
      <rPr>
        <sz val="11"/>
        <color rgb="FF000000"/>
        <rFont val="Consolas"/>
        <family val="3"/>
      </rPr>
      <t>))</t>
    </r>
  </si>
  <si>
    <t>커널(5*5)이 128개</t>
    <phoneticPr fontId="5" type="noConversion"/>
  </si>
  <si>
    <t>커널(5*5)이 64개</t>
    <phoneticPr fontId="5" type="noConversion"/>
  </si>
  <si>
    <r>
      <t>                  input_shape=(</t>
    </r>
    <r>
      <rPr>
        <sz val="11"/>
        <color rgb="FF098658"/>
        <rFont val="Consolas"/>
        <family val="3"/>
      </rPr>
      <t>28</t>
    </r>
    <r>
      <rPr>
        <sz val="11"/>
        <color rgb="FF000000"/>
        <rFont val="Consolas"/>
        <family val="3"/>
      </rPr>
      <t xml:space="preserve">, </t>
    </r>
    <r>
      <rPr>
        <sz val="11"/>
        <color rgb="FF098658"/>
        <rFont val="Consolas"/>
        <family val="3"/>
      </rPr>
      <t>28</t>
    </r>
    <r>
      <rPr>
        <sz val="11"/>
        <color rgb="FF000000"/>
        <rFont val="Consolas"/>
        <family val="3"/>
      </rPr>
      <t xml:space="preserve">, </t>
    </r>
    <r>
      <rPr>
        <sz val="11"/>
        <color rgb="FF098658"/>
        <rFont val="Consolas"/>
        <family val="3"/>
      </rPr>
      <t>1</t>
    </r>
    <r>
      <rPr>
        <sz val="11"/>
        <color rgb="FF000000"/>
        <rFont val="Consolas"/>
        <family val="3"/>
      </rPr>
      <t>), padding=</t>
    </r>
    <r>
      <rPr>
        <sz val="11"/>
        <color rgb="FFA31515"/>
        <rFont val="Consolas"/>
        <family val="3"/>
      </rPr>
      <t>"same"</t>
    </r>
    <r>
      <rPr>
        <sz val="11"/>
        <color rgb="FF000000"/>
        <rFont val="Consolas"/>
        <family val="3"/>
      </rPr>
      <t>))</t>
    </r>
  </si>
  <si>
    <r>
      <t>discriminator.add(Conv2D(</t>
    </r>
    <r>
      <rPr>
        <sz val="11"/>
        <color rgb="FF098658"/>
        <rFont val="Consolas"/>
        <family val="3"/>
      </rPr>
      <t>64</t>
    </r>
    <r>
      <rPr>
        <sz val="11"/>
        <color rgb="FF000000"/>
        <rFont val="Consolas"/>
        <family val="3"/>
      </rPr>
      <t>, kernel_size=</t>
    </r>
    <r>
      <rPr>
        <sz val="11"/>
        <color rgb="FF098658"/>
        <rFont val="Consolas"/>
        <family val="3"/>
      </rPr>
      <t>5</t>
    </r>
    <r>
      <rPr>
        <sz val="11"/>
        <color rgb="FF000000"/>
        <rFont val="Consolas"/>
        <family val="3"/>
      </rPr>
      <t>, strides=</t>
    </r>
    <r>
      <rPr>
        <sz val="11"/>
        <color rgb="FF098658"/>
        <rFont val="Consolas"/>
        <family val="3"/>
      </rPr>
      <t>2</t>
    </r>
    <r>
      <rPr>
        <sz val="11"/>
        <color rgb="FF000000"/>
        <rFont val="Consolas"/>
        <family val="3"/>
      </rPr>
      <t>,</t>
    </r>
  </si>
  <si>
    <t>discriminator = Sequential()</t>
  </si>
  <si>
    <t>판별자</t>
    <phoneticPr fontId="5" type="noConversion"/>
  </si>
  <si>
    <t>    **kwargs</t>
  </si>
  <si>
    <t>    synchronized=False,</t>
  </si>
  <si>
    <t>    gamma_constraint=None,</t>
  </si>
  <si>
    <t>    beta_constraint=None,</t>
  </si>
  <si>
    <t>    gamma_regularizer=None,</t>
  </si>
  <si>
    <t>    beta_regularizer=None,</t>
  </si>
  <si>
    <t>    moving_variance_initializer='ones',</t>
  </si>
  <si>
    <t>시프트</t>
    <phoneticPr fontId="5" type="noConversion"/>
  </si>
  <si>
    <t>    moving_mean_initializer='zeros',</t>
  </si>
  <si>
    <t>Batch Normalization은 약간의 정규화 효과를 제공하여 과적합을 방지하는 데 도움을 줄 수 있습니다.</t>
  </si>
  <si>
    <t>    gamma_initializer='ones',</t>
  </si>
  <si>
    <t>과적합 방지:</t>
  </si>
  <si>
    <t>    beta_initializer='zeros',</t>
  </si>
  <si>
    <t>깊은 신경망에서 발생할 수 있는 기울기 소실 문제를 줄이는 데 도움이 됩니다. 정규화를 통해 각 레이어의 입력이 더 잘 분포되므로, 기울기가 너무 작아지지 않습니다.</t>
  </si>
  <si>
    <t>    scale=True,</t>
  </si>
  <si>
    <t>기울기 소실 문제 완화:</t>
  </si>
  <si>
    <t>    center=True,</t>
  </si>
  <si>
    <t>입력 데이터의 분포가 일정하게 유지되면, 가중치 업데이트가 더 안정적이고 빠르게 이루어집니다. 이는 학습 속도를 높이는 데 기여합니다.</t>
    <phoneticPr fontId="5" type="noConversion"/>
  </si>
  <si>
    <t>    epsilon=0.001,</t>
  </si>
  <si>
    <t>학습 안정성 향상:</t>
  </si>
  <si>
    <t>    momentum=0.99,</t>
  </si>
  <si>
    <t>    axis=-1,</t>
  </si>
  <si>
    <t>BatchNormalization하는 이유</t>
    <phoneticPr fontId="5" type="noConversion"/>
  </si>
  <si>
    <t>tf.keras.layers.BatchNormalization(</t>
    <phoneticPr fontId="5" type="noConversion"/>
  </si>
  <si>
    <t>스케일은 각 채널의 출력을 조정하기 위함</t>
    <phoneticPr fontId="5" type="noConversion"/>
  </si>
  <si>
    <t>매개변수 수는 보통 2개 (스케일과 시프트)로, 출력 크기와 관련이 없습니다.</t>
    <phoneticPr fontId="5" type="noConversion"/>
  </si>
  <si>
    <t>가중치 수</t>
    <phoneticPr fontId="5" type="noConversion"/>
  </si>
  <si>
    <t>훈련해야할 가중치</t>
    <phoneticPr fontId="5" type="noConversion"/>
  </si>
  <si>
    <t xml:space="preserve">후에 업샘플링 2번을 통해 28*28로 만들어 주므로 </t>
    <phoneticPr fontId="5" type="noConversion"/>
  </si>
  <si>
    <t xml:space="preserve">7*7로 해준 이유는 </t>
    <phoneticPr fontId="5" type="noConversion"/>
  </si>
  <si>
    <t>128*7*7</t>
    <phoneticPr fontId="5" type="noConversion"/>
  </si>
  <si>
    <t>출력 노드 수</t>
    <phoneticPr fontId="5" type="noConversion"/>
  </si>
  <si>
    <t>128은 임의의 노드 수</t>
    <phoneticPr fontId="5" type="noConversion"/>
  </si>
  <si>
    <t>데이터 범위를 -1에서 1사이로 맞추어야 함</t>
    <phoneticPr fontId="5" type="noConversion"/>
  </si>
  <si>
    <t>활성화 함수가 하이퍼볼릭탄젠트이므로</t>
    <phoneticPr fontId="5" type="noConversion"/>
  </si>
  <si>
    <r>
      <t>Activation(LeakyReLU(</t>
    </r>
    <r>
      <rPr>
        <sz val="11"/>
        <color rgb="FF098658"/>
        <rFont val="Consolas"/>
        <family val="3"/>
      </rPr>
      <t>0.2</t>
    </r>
    <r>
      <rPr>
        <sz val="11"/>
        <color rgb="FF000000"/>
        <rFont val="Consolas"/>
        <family val="3"/>
      </rPr>
      <t>))</t>
    </r>
  </si>
  <si>
    <t>1개</t>
    <phoneticPr fontId="5" type="noConversion"/>
  </si>
  <si>
    <t>28*28*128</t>
    <phoneticPr fontId="5" type="noConversion"/>
  </si>
  <si>
    <t>14*14*128</t>
    <phoneticPr fontId="5" type="noConversion"/>
  </si>
  <si>
    <t>7*7*128</t>
    <phoneticPr fontId="5" type="noConversion"/>
  </si>
  <si>
    <t>출력 크기</t>
    <phoneticPr fontId="5" type="noConversion"/>
  </si>
  <si>
    <t>6272*2</t>
    <phoneticPr fontId="5" type="noConversion"/>
  </si>
  <si>
    <t>-0.1555464 , 1.05994763</t>
  </si>
  <si>
    <t>출력 차원</t>
    <phoneticPr fontId="5" type="noConversion"/>
  </si>
  <si>
    <t>출력 결과</t>
    <phoneticPr fontId="5" type="noConversion"/>
  </si>
  <si>
    <t>입력 차원</t>
    <phoneticPr fontId="5" type="noConversion"/>
  </si>
  <si>
    <t>UpSampling2D</t>
  </si>
  <si>
    <t>reshape을 해준 이유는 컨벌루션층이 받아들일수 있도록</t>
    <phoneticPr fontId="5" type="noConversion"/>
  </si>
  <si>
    <r>
      <t>np.random.normal(</t>
    </r>
    <r>
      <rPr>
        <sz val="11"/>
        <color rgb="FF098658"/>
        <rFont val="Consolas"/>
        <family val="3"/>
      </rPr>
      <t>0</t>
    </r>
    <r>
      <rPr>
        <sz val="11"/>
        <color rgb="FF000000"/>
        <rFont val="Consolas"/>
        <family val="3"/>
      </rPr>
      <t xml:space="preserve">, </t>
    </r>
    <r>
      <rPr>
        <sz val="11"/>
        <color rgb="FF098658"/>
        <rFont val="Consolas"/>
        <family val="3"/>
      </rPr>
      <t>1</t>
    </r>
    <r>
      <rPr>
        <sz val="11"/>
        <color rgb="FF000000"/>
        <rFont val="Consolas"/>
        <family val="3"/>
      </rPr>
      <t>, (</t>
    </r>
    <r>
      <rPr>
        <sz val="11"/>
        <color rgb="FF098658"/>
        <rFont val="Consolas"/>
        <family val="3"/>
      </rPr>
      <t>32</t>
    </r>
    <r>
      <rPr>
        <sz val="11"/>
        <color rgb="FF000000"/>
        <rFont val="Consolas"/>
        <family val="3"/>
      </rPr>
      <t xml:space="preserve">, </t>
    </r>
    <r>
      <rPr>
        <sz val="11"/>
        <color rgb="FF098658"/>
        <rFont val="Consolas"/>
        <family val="3"/>
      </rPr>
      <t>100</t>
    </r>
    <r>
      <rPr>
        <sz val="11"/>
        <color rgb="FF000000"/>
        <rFont val="Consolas"/>
        <family val="3"/>
      </rPr>
      <t>))</t>
    </r>
  </si>
  <si>
    <t>배치묶음 들어오면서 입력 데이터의 분포를 정규화 하는 과정 추가</t>
    <phoneticPr fontId="5" type="noConversion"/>
  </si>
  <si>
    <t>100으로 해줌</t>
    <phoneticPr fontId="5" type="noConversion"/>
  </si>
  <si>
    <t>커널 5*5가 1개</t>
    <phoneticPr fontId="5" type="noConversion"/>
  </si>
  <si>
    <r>
      <t>Conv2D(</t>
    </r>
    <r>
      <rPr>
        <sz val="11"/>
        <color rgb="FF098658"/>
        <rFont val="Consolas"/>
        <family val="3"/>
      </rPr>
      <t>64</t>
    </r>
    <r>
      <rPr>
        <sz val="11"/>
        <color rgb="FF000000"/>
        <rFont val="Consolas"/>
        <family val="3"/>
      </rPr>
      <t>, kernel_size=</t>
    </r>
    <r>
      <rPr>
        <sz val="11"/>
        <color rgb="FF098658"/>
        <rFont val="Consolas"/>
        <family val="3"/>
      </rPr>
      <t>5</t>
    </r>
    <r>
      <rPr>
        <sz val="11"/>
        <color rgb="FF000000"/>
        <rFont val="Consolas"/>
        <family val="3"/>
      </rPr>
      <t>, padding=</t>
    </r>
    <r>
      <rPr>
        <sz val="11"/>
        <color rgb="FFA31515"/>
        <rFont val="Consolas"/>
        <family val="3"/>
      </rPr>
      <t>'same'</t>
    </r>
    <r>
      <rPr>
        <sz val="11"/>
        <color rgb="FF000000"/>
        <rFont val="Consolas"/>
        <family val="3"/>
      </rPr>
      <t>))</t>
    </r>
  </si>
  <si>
    <t>입력 차원을 임의로 해주어야 함</t>
    <phoneticPr fontId="5" type="noConversion"/>
  </si>
  <si>
    <t>임의의 잡음을 넣어야 되므로</t>
    <phoneticPr fontId="5" type="noConversion"/>
  </si>
  <si>
    <t>커널 5*5가 64개</t>
    <phoneticPr fontId="5" type="noConversion"/>
  </si>
  <si>
    <t>케라스 함수를 이용해 LeakyReLU(0.2) 형태로 설정하면 0보다 작을 경우 0.2를 곱하라는 의미</t>
  </si>
  <si>
    <t>LeakyReLU() 함수는 ReLU() 함수에서 x 값이 음수이면 무조건 0이 되어 뉴런들이 일찍 소실되는 단점을 보완하기 위해, 0 이하에서도 작은 값을 갖게 만드는 활성화 함수</t>
  </si>
  <si>
    <t>생성자</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</si>
</sst>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mm&quot;월&quot;\ dd&quot;일&quot;"/>
  </numFmts>
  <fonts count="86">
    <font>
      <sz val="11"/>
      <color theme="1"/>
      <name val="맑은 고딕"/>
      <family val="2"/>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8"/>
      <name val="맑은 고딕"/>
      <family val="3"/>
      <charset val="129"/>
      <scheme val="minor"/>
    </font>
    <font>
      <vertAlign val="superscript"/>
      <sz val="11"/>
      <color theme="1"/>
      <name val="맑은 고딕"/>
      <family val="3"/>
      <charset val="129"/>
      <scheme val="minor"/>
    </font>
    <font>
      <sz val="11"/>
      <color theme="1"/>
      <name val="맑은 고딕"/>
      <family val="3"/>
      <charset val="129"/>
      <scheme val="minor"/>
    </font>
    <font>
      <sz val="11"/>
      <color rgb="FFFF0000"/>
      <name val="맑은 고딕"/>
      <family val="2"/>
      <scheme val="minor"/>
    </font>
    <font>
      <u/>
      <sz val="11"/>
      <color theme="10"/>
      <name val="맑은 고딕"/>
      <family val="2"/>
      <scheme val="minor"/>
    </font>
    <font>
      <sz val="11"/>
      <color theme="1"/>
      <name val="Calibri"/>
      <family val="2"/>
    </font>
    <font>
      <sz val="11"/>
      <color theme="1"/>
      <name val="Malgun Gothic"/>
      <family val="3"/>
      <charset val="129"/>
    </font>
    <font>
      <sz val="18"/>
      <color rgb="FF000000"/>
      <name val="맑은 고딕"/>
      <family val="3"/>
      <charset val="129"/>
      <scheme val="minor"/>
    </font>
    <font>
      <sz val="11"/>
      <color theme="1"/>
      <name val="Consolas"/>
      <family val="3"/>
    </font>
    <font>
      <vertAlign val="subscript"/>
      <sz val="11"/>
      <color theme="1"/>
      <name val="맑은 고딕"/>
      <family val="3"/>
      <charset val="129"/>
      <scheme val="minor"/>
    </font>
    <font>
      <sz val="13.95"/>
      <color rgb="FFFFFFFF"/>
      <name val="Arial"/>
      <family val="2"/>
    </font>
    <font>
      <sz val="13"/>
      <color rgb="FF262626"/>
      <name val="Arial"/>
      <family val="2"/>
    </font>
    <font>
      <sz val="8"/>
      <name val="맑은 고딕"/>
      <family val="2"/>
      <charset val="129"/>
      <scheme val="minor"/>
    </font>
    <font>
      <sz val="9.6"/>
      <color rgb="FF000000"/>
      <name val="Var(--pst-font-family-monospace"/>
      <family val="2"/>
    </font>
    <font>
      <b/>
      <sz val="9.6"/>
      <color rgb="FFCE5C00"/>
      <name val="Var(--pst-font-family-monospace"/>
      <family val="2"/>
    </font>
    <font>
      <b/>
      <sz val="9.6"/>
      <color rgb="FF000000"/>
      <name val="Var(--pst-font-family-monospace"/>
      <family val="2"/>
    </font>
    <font>
      <b/>
      <sz val="9.6"/>
      <color rgb="FF0000CF"/>
      <name val="Var(--pst-font-family-monospace"/>
      <family val="2"/>
    </font>
    <font>
      <sz val="9.6"/>
      <color rgb="FF222832"/>
      <name val="Var(--pst-font-family-monospace"/>
      <family val="2"/>
    </font>
    <font>
      <b/>
      <sz val="14"/>
      <color theme="4"/>
      <name val="맑은 고딕"/>
      <family val="3"/>
      <charset val="129"/>
      <scheme val="minor"/>
    </font>
    <font>
      <b/>
      <sz val="14"/>
      <color rgb="FFFF0000"/>
      <name val="맑은 고딕"/>
      <family val="3"/>
      <charset val="129"/>
      <scheme val="minor"/>
    </font>
    <font>
      <b/>
      <sz val="16"/>
      <color rgb="FF0070C0"/>
      <name val="맑은 고딕"/>
      <family val="3"/>
      <charset val="129"/>
      <scheme val="minor"/>
    </font>
    <font>
      <sz val="10"/>
      <color theme="1"/>
      <name val="맑은 고딕"/>
      <family val="2"/>
      <scheme val="minor"/>
    </font>
    <font>
      <sz val="10"/>
      <color theme="1"/>
      <name val="맑은 고딕"/>
      <family val="3"/>
      <charset val="129"/>
      <scheme val="minor"/>
    </font>
    <font>
      <b/>
      <sz val="10"/>
      <color rgb="FFFF0000"/>
      <name val="맑은 고딕"/>
      <family val="3"/>
      <charset val="129"/>
      <scheme val="minor"/>
    </font>
    <font>
      <b/>
      <sz val="11"/>
      <color rgb="FFFF0000"/>
      <name val="맑은 고딕"/>
      <family val="3"/>
      <charset val="129"/>
      <scheme val="minor"/>
    </font>
    <font>
      <b/>
      <sz val="11"/>
      <color rgb="FF0070C0"/>
      <name val="맑은 고딕"/>
      <family val="3"/>
      <charset val="129"/>
      <scheme val="minor"/>
    </font>
    <font>
      <b/>
      <sz val="11"/>
      <color rgb="FFFFC000"/>
      <name val="맑은 고딕"/>
      <family val="3"/>
      <charset val="129"/>
      <scheme val="minor"/>
    </font>
    <font>
      <b/>
      <sz val="11"/>
      <color theme="1"/>
      <name val="맑은 고딕"/>
      <family val="3"/>
      <charset val="129"/>
      <scheme val="minor"/>
    </font>
    <font>
      <sz val="11"/>
      <color rgb="FFFF0000"/>
      <name val="맑은 고딕"/>
      <family val="3"/>
      <charset val="129"/>
      <scheme val="minor"/>
    </font>
    <font>
      <vertAlign val="subscript"/>
      <sz val="11"/>
      <color theme="1"/>
      <name val="맑은 고딕"/>
      <family val="2"/>
      <scheme val="minor"/>
    </font>
    <font>
      <b/>
      <sz val="11"/>
      <color rgb="FFFF0000"/>
      <name val="Calibri"/>
      <family val="2"/>
    </font>
    <font>
      <b/>
      <sz val="10"/>
      <color rgb="FF212121"/>
      <name val="Arial Unicode MS"/>
      <family val="2"/>
    </font>
    <font>
      <sz val="10"/>
      <color rgb="FF212121"/>
      <name val="Arial Unicode MS"/>
      <family val="2"/>
    </font>
    <font>
      <b/>
      <sz val="9"/>
      <color rgb="FFE46C0A"/>
      <name val="맑은 고딕"/>
      <family val="3"/>
      <charset val="129"/>
      <scheme val="minor"/>
    </font>
    <font>
      <sz val="9"/>
      <color theme="1"/>
      <name val="맑은 고딕"/>
      <family val="2"/>
      <scheme val="minor"/>
    </font>
    <font>
      <sz val="11"/>
      <color rgb="FF0000FF"/>
      <name val="Consolas"/>
      <family val="3"/>
    </font>
    <font>
      <sz val="11"/>
      <color rgb="FF000000"/>
      <name val="Consolas"/>
      <family val="3"/>
    </font>
    <font>
      <b/>
      <sz val="12.1"/>
      <color theme="1"/>
      <name val="Consolas"/>
      <family val="3"/>
    </font>
    <font>
      <b/>
      <sz val="12"/>
      <color rgb="FF222832"/>
      <name val="Consolas"/>
      <family val="3"/>
    </font>
    <font>
      <b/>
      <i/>
      <sz val="12"/>
      <color rgb="FF222832"/>
      <name val="Consolas"/>
      <family val="3"/>
    </font>
    <font>
      <i/>
      <sz val="12"/>
      <color rgb="FF222832"/>
      <name val="Consolas"/>
      <family val="3"/>
    </font>
    <font>
      <b/>
      <i/>
      <sz val="12"/>
      <color rgb="FFFF0000"/>
      <name val="Consolas"/>
      <family val="3"/>
    </font>
    <font>
      <i/>
      <sz val="12"/>
      <color rgb="FFFF0000"/>
      <name val="Consolas"/>
      <family val="3"/>
    </font>
    <font>
      <i/>
      <sz val="11"/>
      <color rgb="FFFF0000"/>
      <name val="Consolas"/>
      <family val="3"/>
    </font>
    <font>
      <b/>
      <sz val="14.3"/>
      <color rgb="FF24292F"/>
      <name val="Arial"/>
      <family val="2"/>
    </font>
    <font>
      <b/>
      <sz val="14.3"/>
      <color rgb="FF24292F"/>
      <name val="돋움"/>
      <family val="3"/>
      <charset val="129"/>
    </font>
    <font>
      <sz val="12"/>
      <color rgb="FF24292F"/>
      <name val="Arial"/>
      <family val="2"/>
    </font>
    <font>
      <b/>
      <sz val="20"/>
      <color theme="1"/>
      <name val="맑은 고딕"/>
      <family val="3"/>
      <charset val="129"/>
      <scheme val="minor"/>
    </font>
    <font>
      <b/>
      <sz val="17"/>
      <color rgb="FF5D5D5D"/>
      <name val="Arial"/>
      <family val="2"/>
    </font>
    <font>
      <b/>
      <sz val="13.5"/>
      <color theme="1"/>
      <name val="맑은 고딕"/>
      <family val="3"/>
      <charset val="129"/>
      <scheme val="minor"/>
    </font>
    <font>
      <sz val="10"/>
      <color theme="1"/>
      <name val="Arial Unicode MS"/>
      <family val="2"/>
    </font>
    <font>
      <sz val="11"/>
      <color rgb="FFFF0000"/>
      <name val="Malgun Gothic"/>
      <family val="3"/>
      <charset val="129"/>
    </font>
    <font>
      <sz val="8"/>
      <color theme="1"/>
      <name val="Malgun Gothic"/>
      <family val="3"/>
      <charset val="129"/>
    </font>
    <font>
      <sz val="11"/>
      <color rgb="FF000000"/>
      <name val="Calibri"/>
      <family val="2"/>
    </font>
    <font>
      <b/>
      <sz val="11"/>
      <color theme="1"/>
      <name val="Malgun Gothic"/>
      <family val="3"/>
      <charset val="129"/>
    </font>
    <font>
      <b/>
      <sz val="14"/>
      <color rgb="FFFF0000"/>
      <name val="Malgun Gothic"/>
      <family val="3"/>
      <charset val="129"/>
    </font>
    <font>
      <b/>
      <sz val="14"/>
      <color theme="1"/>
      <name val="Calibri"/>
      <family val="2"/>
    </font>
    <font>
      <sz val="12"/>
      <color theme="1"/>
      <name val="Calibri"/>
      <family val="2"/>
    </font>
    <font>
      <sz val="14"/>
      <color theme="1"/>
      <name val="Calibri"/>
      <family val="2"/>
    </font>
    <font>
      <sz val="11"/>
      <color theme="1"/>
      <name val="Arial Unicode MS"/>
      <family val="2"/>
    </font>
    <font>
      <sz val="11"/>
      <color rgb="FF6A9955"/>
      <name val="Consolas"/>
      <family val="3"/>
    </font>
    <font>
      <sz val="11"/>
      <color rgb="FFFFFF00"/>
      <name val="맑은 고딕"/>
      <family val="2"/>
      <scheme val="minor"/>
    </font>
    <font>
      <sz val="10"/>
      <color rgb="FFFF0000"/>
      <name val="Docs-Calibri"/>
      <family val="2"/>
    </font>
    <font>
      <sz val="10"/>
      <color rgb="FFFF0000"/>
      <name val="돋움"/>
      <family val="3"/>
      <charset val="129"/>
    </font>
    <font>
      <sz val="10"/>
      <color rgb="FFFF0000"/>
      <name val="맑은 고딕"/>
      <family val="2"/>
      <scheme val="minor"/>
    </font>
    <font>
      <sz val="11"/>
      <color rgb="FFFF0000"/>
      <name val="Arial Unicode MS"/>
      <family val="2"/>
    </font>
    <font>
      <sz val="11"/>
      <color rgb="FFFF0000"/>
      <name val="Arial"/>
      <family val="2"/>
    </font>
    <font>
      <sz val="9"/>
      <color rgb="FF000000"/>
      <name val="맑은 고딕"/>
      <family val="3"/>
      <charset val="129"/>
    </font>
    <font>
      <sz val="12"/>
      <color rgb="FF212529"/>
      <name val="Arial"/>
      <family val="2"/>
    </font>
    <font>
      <sz val="11"/>
      <color theme="1"/>
      <name val="Segoe UI"/>
      <family val="2"/>
    </font>
    <font>
      <sz val="11"/>
      <color rgb="FF008000"/>
      <name val="Consolas"/>
      <family val="3"/>
    </font>
    <font>
      <sz val="11"/>
      <color rgb="FFFF0000"/>
      <name val="Calibri"/>
      <family val="2"/>
    </font>
    <font>
      <b/>
      <sz val="12"/>
      <color theme="1"/>
      <name val="맑은 고딕"/>
      <family val="3"/>
      <charset val="129"/>
      <scheme val="minor"/>
    </font>
    <font>
      <sz val="11"/>
      <color rgb="FFFF0000"/>
      <name val="Consolas"/>
      <family val="3"/>
    </font>
    <font>
      <sz val="21"/>
      <color rgb="FF1F1F1F"/>
      <name val="Inherit"/>
      <family val="2"/>
    </font>
    <font>
      <sz val="10"/>
      <name val="Consolas"/>
      <family val="3"/>
    </font>
    <font>
      <sz val="11"/>
      <color rgb="FF098658"/>
      <name val="Consolas"/>
      <family val="3"/>
    </font>
    <font>
      <sz val="11"/>
      <color rgb="FFA31515"/>
      <name val="Consolas"/>
      <family val="3"/>
    </font>
    <font>
      <b/>
      <sz val="28"/>
      <color theme="1"/>
      <name val="맑은 고딕"/>
      <family val="3"/>
      <charset val="129"/>
      <scheme val="minor"/>
    </font>
    <font>
      <sz val="11"/>
      <name val="맑은 고딕"/>
      <family val="2"/>
      <scheme val="minor"/>
    </font>
    <font>
      <sz val="16"/>
      <color rgb="FFFF0000"/>
      <name val="Arial"/>
      <family val="2"/>
    </font>
  </fonts>
  <fills count="30">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1" tint="0.499984740745262"/>
        <bgColor indexed="64"/>
      </patternFill>
    </fill>
    <fill>
      <patternFill patternType="solid">
        <fgColor rgb="FFFFFFFF"/>
        <bgColor indexed="64"/>
      </patternFill>
    </fill>
    <fill>
      <patternFill patternType="solid">
        <fgColor rgb="FF193EB0"/>
        <bgColor indexed="64"/>
      </patternFill>
    </fill>
    <fill>
      <patternFill patternType="solid">
        <fgColor rgb="FFF2F2F2"/>
        <bgColor indexed="64"/>
      </patternFill>
    </fill>
    <fill>
      <patternFill patternType="solid">
        <fgColor rgb="FF00B050"/>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rgb="FF92D050"/>
        <bgColor indexed="64"/>
      </patternFill>
    </fill>
    <fill>
      <patternFill patternType="solid">
        <fgColor theme="9" tint="0.79998168889431442"/>
        <bgColor indexed="64"/>
      </patternFill>
    </fill>
    <fill>
      <patternFill patternType="solid">
        <fgColor rgb="FF00B0F0"/>
        <bgColor indexed="64"/>
      </patternFill>
    </fill>
    <fill>
      <patternFill patternType="solid">
        <fgColor rgb="FFD8D8D8"/>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rgb="FF5B9BD5"/>
        <bgColor indexed="64"/>
      </patternFill>
    </fill>
    <fill>
      <patternFill patternType="solid">
        <fgColor rgb="FF0070C0"/>
        <bgColor indexed="64"/>
      </patternFill>
    </fill>
    <fill>
      <patternFill patternType="solid">
        <fgColor theme="5"/>
        <bgColor indexed="64"/>
      </patternFill>
    </fill>
    <fill>
      <patternFill patternType="solid">
        <fgColor theme="0" tint="-4.9989318521683403E-2"/>
        <bgColor indexed="64"/>
      </patternFill>
    </fill>
    <fill>
      <patternFill patternType="solid">
        <fgColor theme="1" tint="0.249977111117893"/>
        <bgColor indexed="64"/>
      </patternFill>
    </fill>
    <fill>
      <patternFill patternType="solid">
        <fgColor theme="0"/>
        <bgColor indexed="64"/>
      </patternFill>
    </fill>
    <fill>
      <patternFill patternType="solid">
        <fgColor theme="3" tint="0.79998168889431442"/>
        <bgColor indexed="64"/>
      </patternFill>
    </fill>
  </fills>
  <borders count="19">
    <border>
      <left/>
      <right/>
      <top/>
      <bottom/>
      <diagonal/>
    </border>
    <border>
      <left style="medium">
        <color rgb="FFCCCCCC"/>
      </left>
      <right style="medium">
        <color rgb="FFCCCCCC"/>
      </right>
      <top style="medium">
        <color rgb="FFCCCCCC"/>
      </top>
      <bottom style="medium">
        <color rgb="FFCCCCCC"/>
      </bottom>
      <diagonal/>
    </border>
    <border>
      <left/>
      <right style="thick">
        <color indexed="64"/>
      </right>
      <top/>
      <bottom/>
      <diagonal/>
    </border>
    <border>
      <left/>
      <right/>
      <top/>
      <bottom style="thick">
        <color indexed="64"/>
      </bottom>
      <diagonal/>
    </border>
    <border>
      <left/>
      <right style="thick">
        <color indexed="64"/>
      </right>
      <top/>
      <bottom style="thick">
        <color indexed="64"/>
      </bottom>
      <diagonal/>
    </border>
    <border>
      <left/>
      <right/>
      <top/>
      <bottom style="medium">
        <color rgb="FF000000"/>
      </bottom>
      <diagonal/>
    </border>
    <border>
      <left/>
      <right/>
      <top style="medium">
        <color rgb="FF000000"/>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rgb="FF000000"/>
      </left>
      <right style="medium">
        <color rgb="FFBFBFBF"/>
      </right>
      <top style="medium">
        <color rgb="FFBFBFBF"/>
      </top>
      <bottom style="medium">
        <color rgb="FFBFBFBF"/>
      </bottom>
      <diagonal/>
    </border>
    <border>
      <left style="medium">
        <color rgb="FFBFBFBF"/>
      </left>
      <right style="medium">
        <color rgb="FFBFBFBF"/>
      </right>
      <top style="medium">
        <color rgb="FFBFBFBF"/>
      </top>
      <bottom style="medium">
        <color rgb="FFBFBFBF"/>
      </bottom>
      <diagonal/>
    </border>
    <border>
      <left style="medium">
        <color rgb="FFBFBFBF"/>
      </left>
      <right style="medium">
        <color rgb="FF000000"/>
      </right>
      <top style="medium">
        <color rgb="FFBFBFBF"/>
      </top>
      <bottom style="medium">
        <color rgb="FFBFBFBF"/>
      </bottom>
      <diagonal/>
    </border>
    <border>
      <left/>
      <right/>
      <top/>
      <bottom style="medium">
        <color rgb="FFBFBFBF"/>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right/>
      <top style="thin">
        <color indexed="64"/>
      </top>
      <bottom/>
      <diagonal/>
    </border>
    <border>
      <left/>
      <right style="thin">
        <color indexed="64"/>
      </right>
      <top/>
      <bottom/>
      <diagonal/>
    </border>
    <border>
      <left/>
      <right/>
      <top style="medium">
        <color rgb="FFDDDDDD"/>
      </top>
      <bottom style="medium">
        <color rgb="FF000000"/>
      </bottom>
      <diagonal/>
    </border>
  </borders>
  <cellStyleXfs count="6">
    <xf numFmtId="0" fontId="0" fillId="0" borderId="0"/>
    <xf numFmtId="0" fontId="9" fillId="0" borderId="0" applyNumberFormat="0" applyFill="0" applyBorder="0" applyAlignment="0" applyProtection="0"/>
    <xf numFmtId="0" fontId="4" fillId="0" borderId="0">
      <alignment vertical="center"/>
    </xf>
    <xf numFmtId="0" fontId="3" fillId="0" borderId="0">
      <alignment vertical="center"/>
    </xf>
    <xf numFmtId="0" fontId="2" fillId="0" borderId="0">
      <alignment vertical="center"/>
    </xf>
    <xf numFmtId="0" fontId="1" fillId="0" borderId="0">
      <alignment vertical="center"/>
    </xf>
  </cellStyleXfs>
  <cellXfs count="297">
    <xf numFmtId="0" fontId="0" fillId="0" borderId="0" xfId="0"/>
    <xf numFmtId="0" fontId="0" fillId="2" borderId="0" xfId="0" applyFill="1"/>
    <xf numFmtId="0" fontId="0" fillId="0" borderId="0" xfId="0" quotePrefix="1"/>
    <xf numFmtId="0" fontId="8" fillId="0" borderId="0" xfId="0" applyFont="1"/>
    <xf numFmtId="0" fontId="9" fillId="0" borderId="0" xfId="1"/>
    <xf numFmtId="0" fontId="10" fillId="2" borderId="1" xfId="0" applyFont="1" applyFill="1" applyBorder="1" applyAlignment="1">
      <alignment vertical="center" wrapText="1"/>
    </xf>
    <xf numFmtId="0" fontId="10" fillId="2" borderId="1" xfId="0" applyFont="1" applyFill="1" applyBorder="1" applyAlignment="1">
      <alignment vertical="center"/>
    </xf>
    <xf numFmtId="0" fontId="10" fillId="0" borderId="1" xfId="0" applyFont="1" applyBorder="1" applyAlignment="1">
      <alignment vertical="center" wrapText="1"/>
    </xf>
    <xf numFmtId="0" fontId="10" fillId="0" borderId="1" xfId="0" applyFont="1" applyBorder="1" applyAlignment="1">
      <alignment vertical="center"/>
    </xf>
    <xf numFmtId="0" fontId="10" fillId="0" borderId="1" xfId="0" applyFont="1" applyBorder="1" applyAlignment="1">
      <alignment horizontal="right" vertical="center" wrapText="1"/>
    </xf>
    <xf numFmtId="0" fontId="0" fillId="0" borderId="0" xfId="0" applyBorder="1"/>
    <xf numFmtId="0" fontId="0" fillId="0" borderId="2" xfId="0" applyBorder="1"/>
    <xf numFmtId="0" fontId="0" fillId="0" borderId="3" xfId="0" applyBorder="1"/>
    <xf numFmtId="0" fontId="0" fillId="0" borderId="4" xfId="0" applyBorder="1"/>
    <xf numFmtId="0" fontId="0" fillId="0" borderId="0" xfId="0" applyAlignment="1">
      <alignment horizontal="center"/>
    </xf>
    <xf numFmtId="0" fontId="0" fillId="0" borderId="0" xfId="0" quotePrefix="1" applyAlignment="1">
      <alignment horizontal="center"/>
    </xf>
    <xf numFmtId="0" fontId="0" fillId="0" borderId="0" xfId="0" applyAlignment="1">
      <alignment horizontal="center" vertical="center" wrapText="1"/>
    </xf>
    <xf numFmtId="0" fontId="11" fillId="0" borderId="0" xfId="0" applyFont="1" applyBorder="1" applyAlignment="1">
      <alignment horizontal="center" vertical="center" wrapText="1"/>
    </xf>
    <xf numFmtId="0" fontId="0" fillId="0" borderId="0" xfId="0" applyAlignment="1">
      <alignment horizontal="center" vertical="center"/>
    </xf>
    <xf numFmtId="0" fontId="7" fillId="0" borderId="0" xfId="0" applyFont="1" applyAlignment="1">
      <alignment horizontal="center"/>
    </xf>
    <xf numFmtId="0" fontId="12" fillId="0" borderId="0" xfId="0" applyFont="1" applyAlignment="1">
      <alignment horizontal="left" vertical="center" indent="2" readingOrder="1"/>
    </xf>
    <xf numFmtId="0" fontId="0" fillId="2" borderId="0" xfId="0" applyFill="1" applyAlignment="1">
      <alignment vertical="center"/>
    </xf>
    <xf numFmtId="0" fontId="12" fillId="2" borderId="0" xfId="0" applyFont="1" applyFill="1" applyAlignment="1">
      <alignment horizontal="left" vertical="center"/>
    </xf>
    <xf numFmtId="0" fontId="0" fillId="3" borderId="7" xfId="0" applyFill="1" applyBorder="1"/>
    <xf numFmtId="0" fontId="0" fillId="0" borderId="0" xfId="0" applyFill="1"/>
    <xf numFmtId="0" fontId="0" fillId="4" borderId="7" xfId="0" applyFill="1" applyBorder="1"/>
    <xf numFmtId="0" fontId="0" fillId="0" borderId="0" xfId="0" applyAlignment="1">
      <alignment horizontal="center"/>
    </xf>
    <xf numFmtId="0" fontId="0" fillId="0" borderId="0" xfId="0" applyAlignment="1">
      <alignment horizontal="left" vertical="center"/>
    </xf>
    <xf numFmtId="0" fontId="13" fillId="0" borderId="0" xfId="0" applyFont="1"/>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0" borderId="8" xfId="0" applyBorder="1" applyAlignment="1">
      <alignment horizontal="center" vertical="center"/>
    </xf>
    <xf numFmtId="0" fontId="7" fillId="0" borderId="0" xfId="0" applyFont="1"/>
    <xf numFmtId="0" fontId="15" fillId="6" borderId="9" xfId="0" applyFont="1" applyFill="1" applyBorder="1" applyAlignment="1">
      <alignment horizontal="center" vertical="center" wrapText="1"/>
    </xf>
    <xf numFmtId="0" fontId="15" fillId="6" borderId="10" xfId="0" applyFont="1" applyFill="1" applyBorder="1" applyAlignment="1">
      <alignment horizontal="center" vertical="center" wrapText="1"/>
    </xf>
    <xf numFmtId="0" fontId="15" fillId="6" borderId="11" xfId="0" applyFont="1" applyFill="1" applyBorder="1" applyAlignment="1">
      <alignment horizontal="center" vertical="center" wrapText="1"/>
    </xf>
    <xf numFmtId="0" fontId="16" fillId="5" borderId="9" xfId="0" applyFont="1" applyFill="1" applyBorder="1" applyAlignment="1">
      <alignment horizontal="center" vertical="center" wrapText="1"/>
    </xf>
    <xf numFmtId="0" fontId="16" fillId="5" borderId="10" xfId="0" applyFont="1" applyFill="1" applyBorder="1" applyAlignment="1">
      <alignment horizontal="center" vertical="center" wrapText="1"/>
    </xf>
    <xf numFmtId="0" fontId="16" fillId="5" borderId="11" xfId="0" applyFont="1" applyFill="1" applyBorder="1" applyAlignment="1">
      <alignment horizontal="center" vertical="center" wrapText="1"/>
    </xf>
    <xf numFmtId="0" fontId="16" fillId="7" borderId="9" xfId="0" applyFont="1" applyFill="1" applyBorder="1" applyAlignment="1">
      <alignment horizontal="center" vertical="center" wrapText="1"/>
    </xf>
    <xf numFmtId="0" fontId="16" fillId="7" borderId="10" xfId="0" applyFont="1" applyFill="1" applyBorder="1" applyAlignment="1">
      <alignment horizontal="center" vertical="center" wrapText="1"/>
    </xf>
    <xf numFmtId="0" fontId="16" fillId="7" borderId="11" xfId="0" applyFont="1" applyFill="1" applyBorder="1" applyAlignment="1">
      <alignment horizontal="center" vertical="center" wrapText="1"/>
    </xf>
    <xf numFmtId="0" fontId="0" fillId="9" borderId="0" xfId="0" applyFill="1" applyAlignment="1">
      <alignment horizontal="center"/>
    </xf>
    <xf numFmtId="0" fontId="0" fillId="9" borderId="0" xfId="0" applyFill="1"/>
    <xf numFmtId="0" fontId="0" fillId="10" borderId="0" xfId="0" applyFill="1" applyAlignment="1">
      <alignment horizontal="center"/>
    </xf>
    <xf numFmtId="0" fontId="0" fillId="10" borderId="0" xfId="0" applyFill="1"/>
    <xf numFmtId="0" fontId="0" fillId="11" borderId="0" xfId="0" applyFill="1" applyAlignment="1">
      <alignment horizontal="center"/>
    </xf>
    <xf numFmtId="0" fontId="0" fillId="11" borderId="0" xfId="0" applyFill="1"/>
    <xf numFmtId="0" fontId="0" fillId="11" borderId="0" xfId="0" applyFill="1" applyAlignment="1">
      <alignment horizontal="center" vertical="center"/>
    </xf>
    <xf numFmtId="0" fontId="0" fillId="10" borderId="0" xfId="0" applyFill="1" applyAlignment="1">
      <alignment horizontal="center" vertical="center"/>
    </xf>
    <xf numFmtId="0" fontId="15" fillId="8" borderId="9" xfId="0" applyFont="1" applyFill="1" applyBorder="1" applyAlignment="1">
      <alignment horizontal="center" vertical="center" wrapText="1"/>
    </xf>
    <xf numFmtId="0" fontId="15" fillId="8" borderId="10" xfId="0" applyFont="1" applyFill="1" applyBorder="1" applyAlignment="1">
      <alignment horizontal="center" vertical="center" wrapText="1"/>
    </xf>
    <xf numFmtId="0" fontId="15" fillId="8" borderId="11" xfId="0" applyFont="1" applyFill="1" applyBorder="1" applyAlignment="1">
      <alignment horizontal="center" vertical="center" wrapText="1"/>
    </xf>
    <xf numFmtId="0" fontId="15" fillId="0" borderId="0" xfId="0" quotePrefix="1" applyFont="1" applyFill="1" applyBorder="1" applyAlignment="1">
      <alignment horizontal="center" vertical="center" wrapText="1"/>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vertical="center"/>
    </xf>
    <xf numFmtId="0" fontId="0" fillId="0" borderId="0" xfId="0" applyAlignment="1">
      <alignment horizontal="center"/>
    </xf>
    <xf numFmtId="0" fontId="18" fillId="0" borderId="0" xfId="0" applyFont="1" applyAlignment="1">
      <alignment vertical="center"/>
    </xf>
    <xf numFmtId="0" fontId="0" fillId="0" borderId="8" xfId="0" applyBorder="1" applyAlignment="1">
      <alignment horizontal="center"/>
    </xf>
    <xf numFmtId="0" fontId="0" fillId="12" borderId="7" xfId="0" applyFill="1" applyBorder="1" applyAlignment="1">
      <alignment horizontal="center" vertical="center"/>
    </xf>
    <xf numFmtId="0" fontId="0" fillId="0" borderId="0" xfId="0" applyAlignment="1">
      <alignment vertical="center"/>
    </xf>
    <xf numFmtId="0" fontId="0" fillId="0" borderId="7" xfId="0" applyBorder="1" applyAlignment="1">
      <alignment horizontal="center" vertical="center"/>
    </xf>
    <xf numFmtId="0" fontId="0" fillId="0" borderId="7" xfId="0" applyBorder="1" applyAlignment="1">
      <alignment horizontal="right" vertical="center"/>
    </xf>
    <xf numFmtId="0" fontId="0" fillId="2" borderId="7" xfId="0" applyFill="1" applyBorder="1" applyAlignment="1">
      <alignment horizontal="center" vertical="center"/>
    </xf>
    <xf numFmtId="0" fontId="0" fillId="2" borderId="7" xfId="0" applyFill="1" applyBorder="1" applyAlignment="1">
      <alignment horizontal="right" vertical="center"/>
    </xf>
    <xf numFmtId="0" fontId="0" fillId="0" borderId="0" xfId="0" applyAlignment="1">
      <alignment horizontal="center" vertical="center"/>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center"/>
    </xf>
    <xf numFmtId="0" fontId="23" fillId="0" borderId="0" xfId="0" applyFont="1"/>
    <xf numFmtId="0" fontId="24" fillId="0" borderId="0" xfId="0" applyFont="1"/>
    <xf numFmtId="0" fontId="25" fillId="0" borderId="0" xfId="0" applyFont="1" applyAlignment="1">
      <alignment horizontal="center"/>
    </xf>
    <xf numFmtId="0" fontId="26" fillId="0" borderId="0" xfId="0" applyFont="1" applyAlignment="1">
      <alignment horizontal="center" vertical="center"/>
    </xf>
    <xf numFmtId="0" fontId="27" fillId="0" borderId="0" xfId="0" applyFont="1" applyAlignment="1">
      <alignment horizontal="center" vertical="center"/>
    </xf>
    <xf numFmtId="0" fontId="27" fillId="0" borderId="0" xfId="0" applyFont="1" applyAlignment="1">
      <alignment horizontal="center" vertical="center" wrapText="1"/>
    </xf>
    <xf numFmtId="0" fontId="27" fillId="0" borderId="0" xfId="0" applyFont="1" applyFill="1" applyAlignment="1">
      <alignment horizontal="center" vertical="center" wrapText="1"/>
    </xf>
    <xf numFmtId="0" fontId="28" fillId="13" borderId="0" xfId="0" applyFont="1" applyFill="1" applyAlignment="1">
      <alignment horizontal="center" vertical="center" wrapText="1"/>
    </xf>
    <xf numFmtId="0" fontId="0" fillId="0" borderId="0" xfId="0" applyFill="1" applyAlignment="1">
      <alignment horizontal="center"/>
    </xf>
    <xf numFmtId="0" fontId="29" fillId="0" borderId="0" xfId="0" applyFont="1" applyAlignment="1">
      <alignment horizontal="center" vertical="center" wrapText="1"/>
    </xf>
    <xf numFmtId="0" fontId="29"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2" borderId="0" xfId="0" applyFill="1" applyAlignment="1">
      <alignment horizontal="center"/>
    </xf>
    <xf numFmtId="0" fontId="0" fillId="0" borderId="7" xfId="0" applyBorder="1" applyAlignment="1">
      <alignment horizontal="center"/>
    </xf>
    <xf numFmtId="0" fontId="26" fillId="0" borderId="0" xfId="0" applyFont="1" applyAlignment="1">
      <alignment horizontal="left" vertical="center"/>
    </xf>
    <xf numFmtId="0" fontId="0" fillId="0" borderId="0" xfId="0" applyBorder="1" applyAlignment="1">
      <alignment horizontal="center" vertical="center"/>
    </xf>
    <xf numFmtId="0" fontId="30" fillId="0" borderId="7" xfId="0" applyFont="1" applyBorder="1" applyAlignment="1">
      <alignment horizontal="center"/>
    </xf>
    <xf numFmtId="0" fontId="31" fillId="0" borderId="7" xfId="0" applyFont="1" applyBorder="1" applyAlignment="1">
      <alignment horizontal="center"/>
    </xf>
    <xf numFmtId="0" fontId="32" fillId="0" borderId="7" xfId="0" applyFont="1" applyBorder="1" applyAlignment="1">
      <alignment horizontal="center"/>
    </xf>
    <xf numFmtId="0" fontId="0" fillId="13" borderId="0" xfId="0" applyFill="1" applyAlignment="1">
      <alignment horizontal="center"/>
    </xf>
    <xf numFmtId="0" fontId="0" fillId="0" borderId="0" xfId="0" applyAlignment="1">
      <alignment horizontal="center" vertical="center"/>
    </xf>
    <xf numFmtId="0" fontId="0" fillId="0" borderId="0" xfId="0" applyAlignment="1">
      <alignment horizontal="center"/>
    </xf>
    <xf numFmtId="0" fontId="29" fillId="0" borderId="0" xfId="0" applyFont="1"/>
    <xf numFmtId="0" fontId="32" fillId="0" borderId="0" xfId="0" applyFont="1"/>
    <xf numFmtId="0" fontId="33" fillId="0" borderId="0" xfId="0" applyFont="1"/>
    <xf numFmtId="0" fontId="0" fillId="0" borderId="0" xfId="0" applyAlignment="1">
      <alignment horizontal="right"/>
    </xf>
    <xf numFmtId="0" fontId="29" fillId="0" borderId="0" xfId="0" applyFont="1" applyAlignment="1">
      <alignment horizontal="center"/>
    </xf>
    <xf numFmtId="0" fontId="29" fillId="0" borderId="0" xfId="0" applyFont="1" applyAlignment="1">
      <alignment horizontal="right"/>
    </xf>
    <xf numFmtId="0" fontId="0" fillId="0" borderId="0" xfId="0" applyAlignment="1">
      <alignment horizontal="left" vertical="center"/>
    </xf>
    <xf numFmtId="0" fontId="0" fillId="0" borderId="0" xfId="0" applyAlignment="1">
      <alignment horizontal="right" vertical="center"/>
    </xf>
    <xf numFmtId="0" fontId="0" fillId="0" borderId="8" xfId="0" applyBorder="1"/>
    <xf numFmtId="0" fontId="0" fillId="2" borderId="7" xfId="0" applyFill="1" applyBorder="1"/>
    <xf numFmtId="0" fontId="0" fillId="14" borderId="7" xfId="0" applyFill="1" applyBorder="1"/>
    <xf numFmtId="0" fontId="0" fillId="0" borderId="0" xfId="0" applyBorder="1" applyAlignment="1">
      <alignment horizontal="center"/>
    </xf>
    <xf numFmtId="0" fontId="0" fillId="14" borderId="13" xfId="0" applyFill="1" applyBorder="1"/>
    <xf numFmtId="0" fontId="29" fillId="2" borderId="0" xfId="0" applyFont="1" applyFill="1" applyAlignment="1">
      <alignment horizontal="center"/>
    </xf>
    <xf numFmtId="0" fontId="0" fillId="2" borderId="7" xfId="0" applyFill="1" applyBorder="1" applyAlignment="1">
      <alignment horizontal="center"/>
    </xf>
    <xf numFmtId="0" fontId="0" fillId="14" borderId="13" xfId="0" applyFill="1" applyBorder="1" applyAlignment="1">
      <alignment horizontal="center"/>
    </xf>
    <xf numFmtId="0" fontId="0" fillId="14" borderId="7" xfId="0" applyFill="1" applyBorder="1" applyAlignment="1">
      <alignment horizontal="center"/>
    </xf>
    <xf numFmtId="0" fontId="10" fillId="0" borderId="0" xfId="0" applyFont="1" applyAlignment="1">
      <alignment vertical="center" wrapText="1"/>
    </xf>
    <xf numFmtId="0" fontId="10" fillId="0" borderId="0" xfId="0" applyFont="1" applyAlignment="1">
      <alignment vertical="center"/>
    </xf>
    <xf numFmtId="0" fontId="35" fillId="0" borderId="0" xfId="0" applyFont="1" applyAlignment="1">
      <alignment vertical="center"/>
    </xf>
    <xf numFmtId="0" fontId="0" fillId="15" borderId="7" xfId="0" applyFill="1" applyBorder="1"/>
    <xf numFmtId="0" fontId="0" fillId="15" borderId="7" xfId="0" applyFill="1" applyBorder="1" applyAlignment="1">
      <alignment horizontal="center"/>
    </xf>
    <xf numFmtId="9" fontId="0" fillId="0" borderId="0" xfId="0" applyNumberFormat="1" applyAlignment="1">
      <alignment horizontal="center"/>
    </xf>
    <xf numFmtId="9" fontId="0" fillId="0" borderId="0" xfId="0" applyNumberFormat="1"/>
    <xf numFmtId="0" fontId="0" fillId="2" borderId="15" xfId="0" applyFill="1" applyBorder="1"/>
    <xf numFmtId="0" fontId="0" fillId="2" borderId="15" xfId="0" applyFill="1" applyBorder="1" applyAlignment="1">
      <alignment horizontal="center"/>
    </xf>
    <xf numFmtId="0" fontId="0" fillId="0" borderId="16" xfId="0" applyFill="1" applyBorder="1"/>
    <xf numFmtId="0" fontId="0" fillId="0" borderId="16" xfId="0" applyFill="1" applyBorder="1" applyAlignment="1">
      <alignment horizontal="center"/>
    </xf>
    <xf numFmtId="0" fontId="0" fillId="0" borderId="14" xfId="0" applyFill="1" applyBorder="1"/>
    <xf numFmtId="0" fontId="0" fillId="0" borderId="14" xfId="0" applyFill="1" applyBorder="1" applyAlignment="1">
      <alignment horizontal="center"/>
    </xf>
    <xf numFmtId="0" fontId="29" fillId="0" borderId="0" xfId="0" applyFont="1" applyBorder="1" applyAlignment="1">
      <alignment horizontal="right"/>
    </xf>
    <xf numFmtId="0" fontId="0" fillId="11" borderId="7" xfId="0" applyFill="1" applyBorder="1"/>
    <xf numFmtId="0" fontId="0" fillId="11" borderId="7" xfId="0" applyFill="1" applyBorder="1" applyAlignment="1">
      <alignment horizontal="center"/>
    </xf>
    <xf numFmtId="0" fontId="0" fillId="11" borderId="15" xfId="0" applyFill="1" applyBorder="1"/>
    <xf numFmtId="0" fontId="0" fillId="11" borderId="15" xfId="0" applyFill="1" applyBorder="1" applyAlignment="1">
      <alignment horizontal="center"/>
    </xf>
    <xf numFmtId="0" fontId="0" fillId="0" borderId="0" xfId="0"/>
    <xf numFmtId="0" fontId="0" fillId="2" borderId="0" xfId="0" applyFill="1"/>
    <xf numFmtId="0" fontId="0" fillId="2" borderId="0" xfId="0" applyFill="1" applyAlignment="1">
      <alignment horizontal="center"/>
    </xf>
    <xf numFmtId="0" fontId="0" fillId="0" borderId="0" xfId="0" applyAlignment="1">
      <alignment horizontal="left" vertical="center" indent="1"/>
    </xf>
    <xf numFmtId="0" fontId="32" fillId="0" borderId="0" xfId="0" applyFont="1" applyAlignment="1">
      <alignment horizontal="left" vertical="center" indent="1"/>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36" fillId="0" borderId="0" xfId="0" applyFont="1" applyAlignment="1">
      <alignment vertical="center"/>
    </xf>
    <xf numFmtId="0" fontId="37" fillId="0" borderId="0" xfId="0" applyFont="1" applyAlignment="1">
      <alignment vertical="center"/>
    </xf>
    <xf numFmtId="0" fontId="0" fillId="14" borderId="0" xfId="0" applyFill="1"/>
    <xf numFmtId="0" fontId="0" fillId="9" borderId="7" xfId="0" applyFill="1" applyBorder="1"/>
    <xf numFmtId="0" fontId="0" fillId="16" borderId="0" xfId="0" applyFill="1"/>
    <xf numFmtId="0" fontId="33" fillId="0" borderId="0" xfId="0" applyFont="1" applyAlignment="1">
      <alignment horizontal="left"/>
    </xf>
    <xf numFmtId="0" fontId="32" fillId="0" borderId="0" xfId="0" applyFont="1" applyAlignment="1">
      <alignment horizontal="left"/>
    </xf>
    <xf numFmtId="0" fontId="0" fillId="0" borderId="0" xfId="0" applyAlignment="1">
      <alignment horizontal="center"/>
    </xf>
    <xf numFmtId="0" fontId="11" fillId="0" borderId="0" xfId="0" applyFont="1" applyAlignment="1">
      <alignment horizontal="center" vertical="center" wrapText="1"/>
    </xf>
    <xf numFmtId="0" fontId="38" fillId="0" borderId="0" xfId="0" applyFont="1" applyAlignment="1">
      <alignment horizontal="left" vertical="center" indent="1" readingOrder="1"/>
    </xf>
    <xf numFmtId="0" fontId="0" fillId="17" borderId="7" xfId="0" applyFill="1" applyBorder="1" applyAlignment="1">
      <alignment horizontal="center"/>
    </xf>
    <xf numFmtId="0" fontId="0" fillId="18" borderId="7" xfId="0" applyFill="1" applyBorder="1" applyAlignment="1">
      <alignment horizontal="center"/>
    </xf>
    <xf numFmtId="0" fontId="39" fillId="0" borderId="0" xfId="0" applyFont="1"/>
    <xf numFmtId="0" fontId="40" fillId="0" borderId="0" xfId="0" applyFont="1" applyAlignment="1">
      <alignment vertical="center"/>
    </xf>
    <xf numFmtId="0" fontId="42" fillId="0" borderId="0" xfId="0" applyFont="1"/>
    <xf numFmtId="0" fontId="48" fillId="0" borderId="0" xfId="0" applyFont="1" applyAlignment="1">
      <alignment vertical="center"/>
    </xf>
    <xf numFmtId="0" fontId="9" fillId="0" borderId="0" xfId="1" applyAlignment="1">
      <alignment horizontal="left" vertical="center" wrapText="1" indent="1"/>
    </xf>
    <xf numFmtId="0" fontId="49" fillId="0" borderId="0" xfId="0" applyFont="1" applyAlignment="1">
      <alignment vertical="center" wrapText="1"/>
    </xf>
    <xf numFmtId="0" fontId="51" fillId="0" borderId="0" xfId="0" applyFont="1" applyAlignment="1">
      <alignment vertical="center" wrapText="1"/>
    </xf>
    <xf numFmtId="0" fontId="52" fillId="2" borderId="0" xfId="0" applyFont="1" applyFill="1"/>
    <xf numFmtId="0" fontId="52" fillId="2" borderId="0" xfId="0" applyFont="1" applyFill="1" applyAlignment="1">
      <alignment horizontal="center"/>
    </xf>
    <xf numFmtId="0" fontId="53" fillId="0" borderId="0" xfId="0" applyFont="1" applyAlignment="1">
      <alignment horizontal="left" vertical="center" wrapText="1"/>
    </xf>
    <xf numFmtId="0" fontId="54" fillId="0" borderId="0" xfId="0" applyFont="1" applyAlignment="1">
      <alignment vertical="center"/>
    </xf>
    <xf numFmtId="0" fontId="0" fillId="0" borderId="0" xfId="0" applyAlignment="1">
      <alignment horizontal="left" vertical="center" indent="2"/>
    </xf>
    <xf numFmtId="0" fontId="0" fillId="0" borderId="0" xfId="0" applyAlignment="1">
      <alignment horizontal="center"/>
    </xf>
    <xf numFmtId="0" fontId="10" fillId="0" borderId="0" xfId="0" applyFont="1" applyAlignment="1">
      <alignment horizontal="right" vertical="center" wrapText="1"/>
    </xf>
    <xf numFmtId="0" fontId="56" fillId="0" borderId="0" xfId="0" applyFont="1" applyAlignment="1">
      <alignment horizontal="center" vertical="center" wrapText="1"/>
    </xf>
    <xf numFmtId="0" fontId="56" fillId="19" borderId="0" xfId="0" applyFont="1" applyFill="1" applyAlignment="1">
      <alignment horizontal="center" vertical="center" wrapText="1"/>
    </xf>
    <xf numFmtId="0" fontId="57" fillId="0" borderId="0" xfId="0" applyFont="1" applyAlignment="1">
      <alignment horizontal="center" vertical="center" wrapText="1"/>
    </xf>
    <xf numFmtId="0" fontId="10" fillId="0" borderId="0" xfId="0" applyFont="1" applyAlignment="1">
      <alignment horizontal="center" vertical="center" wrapText="1"/>
    </xf>
    <xf numFmtId="0" fontId="58" fillId="0" borderId="0" xfId="0" applyFont="1" applyAlignment="1">
      <alignment horizontal="center"/>
    </xf>
    <xf numFmtId="0" fontId="11" fillId="20" borderId="0" xfId="0" applyFont="1" applyFill="1" applyAlignment="1">
      <alignment horizontal="right" vertical="center" wrapText="1"/>
    </xf>
    <xf numFmtId="0" fontId="0" fillId="0" borderId="0" xfId="0" applyFont="1" applyAlignment="1">
      <alignment horizontal="center"/>
    </xf>
    <xf numFmtId="0" fontId="0" fillId="19" borderId="0" xfId="0" applyFont="1" applyFill="1" applyAlignment="1">
      <alignment horizontal="center"/>
    </xf>
    <xf numFmtId="0" fontId="0" fillId="19" borderId="0" xfId="0" applyFill="1"/>
    <xf numFmtId="0" fontId="0" fillId="19" borderId="0" xfId="0" applyFill="1" applyAlignment="1">
      <alignment horizontal="center"/>
    </xf>
    <xf numFmtId="0" fontId="0" fillId="2" borderId="0" xfId="0" applyFill="1" applyAlignment="1">
      <alignment horizontal="left"/>
    </xf>
    <xf numFmtId="0" fontId="11" fillId="23" borderId="0" xfId="0" applyFont="1" applyFill="1" applyAlignment="1">
      <alignment horizontal="center" vertical="center" wrapText="1"/>
    </xf>
    <xf numFmtId="0" fontId="0" fillId="0" borderId="0" xfId="0" applyAlignment="1"/>
    <xf numFmtId="0" fontId="11" fillId="2" borderId="0" xfId="0" applyFont="1" applyFill="1" applyAlignment="1">
      <alignment horizontal="center" vertical="center" wrapText="1"/>
    </xf>
    <xf numFmtId="0" fontId="59" fillId="0" borderId="0" xfId="0" applyFont="1" applyAlignment="1">
      <alignment horizontal="center" vertical="center" wrapText="1"/>
    </xf>
    <xf numFmtId="0" fontId="60" fillId="2" borderId="0" xfId="0" applyFont="1" applyFill="1" applyBorder="1" applyAlignment="1">
      <alignment vertical="center"/>
    </xf>
    <xf numFmtId="0" fontId="10" fillId="2" borderId="0" xfId="0" applyFont="1" applyFill="1" applyBorder="1" applyAlignment="1">
      <alignment wrapText="1"/>
    </xf>
    <xf numFmtId="0" fontId="10" fillId="0" borderId="0" xfId="0" applyFont="1" applyBorder="1" applyAlignment="1">
      <alignment wrapText="1"/>
    </xf>
    <xf numFmtId="0" fontId="10" fillId="0" borderId="0" xfId="0" applyFont="1" applyBorder="1" applyAlignment="1">
      <alignment vertical="center"/>
    </xf>
    <xf numFmtId="0" fontId="61" fillId="0" borderId="0" xfId="0" applyFont="1" applyBorder="1" applyAlignment="1">
      <alignment vertical="center"/>
    </xf>
    <xf numFmtId="0" fontId="10" fillId="0" borderId="0" xfId="0" applyFont="1" applyBorder="1" applyAlignment="1">
      <alignment vertical="center" wrapText="1"/>
    </xf>
    <xf numFmtId="0" fontId="62" fillId="0" borderId="0" xfId="0" applyFont="1" applyBorder="1" applyAlignment="1">
      <alignment vertical="center"/>
    </xf>
    <xf numFmtId="0" fontId="63" fillId="0" borderId="0" xfId="0" applyFont="1" applyBorder="1" applyAlignment="1">
      <alignment vertical="center"/>
    </xf>
    <xf numFmtId="0" fontId="11" fillId="0" borderId="1" xfId="0" applyFont="1" applyBorder="1" applyAlignment="1">
      <alignment horizontal="center" vertical="center" wrapText="1"/>
    </xf>
    <xf numFmtId="0" fontId="56" fillId="2" borderId="1" xfId="0" applyFont="1" applyFill="1" applyBorder="1" applyAlignment="1">
      <alignment horizontal="center" vertical="center" wrapText="1"/>
    </xf>
    <xf numFmtId="0" fontId="10" fillId="21" borderId="1" xfId="0" applyFont="1" applyFill="1" applyBorder="1" applyAlignment="1">
      <alignment horizontal="right" vertical="center" wrapText="1"/>
    </xf>
    <xf numFmtId="0" fontId="11" fillId="21" borderId="1" xfId="0" applyFont="1" applyFill="1" applyBorder="1" applyAlignment="1">
      <alignment horizontal="center" vertical="center" wrapText="1"/>
    </xf>
    <xf numFmtId="0" fontId="10" fillId="13" borderId="1" xfId="0" applyFont="1" applyFill="1" applyBorder="1" applyAlignment="1">
      <alignment horizontal="right" vertical="center" wrapText="1"/>
    </xf>
    <xf numFmtId="0" fontId="11" fillId="13" borderId="1" xfId="0" applyFont="1" applyFill="1" applyBorder="1" applyAlignment="1">
      <alignment horizontal="center" vertical="center" wrapText="1"/>
    </xf>
    <xf numFmtId="0" fontId="0" fillId="13" borderId="0" xfId="0" applyFill="1"/>
    <xf numFmtId="0" fontId="13" fillId="0" borderId="0" xfId="0" applyFont="1" applyAlignment="1">
      <alignment vertical="center"/>
    </xf>
    <xf numFmtId="0" fontId="0" fillId="22" borderId="0" xfId="0" applyFill="1"/>
    <xf numFmtId="0" fontId="0" fillId="0" borderId="7" xfId="0" applyBorder="1"/>
    <xf numFmtId="0" fontId="0" fillId="0" borderId="7" xfId="0" applyBorder="1" applyAlignment="1">
      <alignment horizontal="center"/>
    </xf>
    <xf numFmtId="0" fontId="0" fillId="24" borderId="0" xfId="0" applyFill="1"/>
    <xf numFmtId="0" fontId="0" fillId="17" borderId="0" xfId="0" applyFill="1"/>
    <xf numFmtId="0" fontId="11" fillId="19" borderId="0" xfId="0" applyFont="1" applyFill="1" applyAlignment="1">
      <alignment horizontal="center" vertical="center" wrapText="1"/>
    </xf>
    <xf numFmtId="176" fontId="33" fillId="0" borderId="0" xfId="0" applyNumberFormat="1" applyFont="1"/>
    <xf numFmtId="0" fontId="64" fillId="0" borderId="0" xfId="0" applyFont="1" applyAlignment="1">
      <alignment horizontal="left" vertical="center" indent="1" readingOrder="1"/>
    </xf>
    <xf numFmtId="0" fontId="0" fillId="0" borderId="7" xfId="0" applyBorder="1" applyAlignment="1"/>
    <xf numFmtId="0" fontId="0" fillId="0" borderId="7" xfId="0" applyFill="1" applyBorder="1" applyAlignment="1">
      <alignment horizontal="center"/>
    </xf>
    <xf numFmtId="0" fontId="65" fillId="0" borderId="0" xfId="0" applyFont="1" applyAlignment="1">
      <alignment vertical="center"/>
    </xf>
    <xf numFmtId="0" fontId="0" fillId="17" borderId="7" xfId="0" applyFill="1" applyBorder="1"/>
    <xf numFmtId="0" fontId="66" fillId="2" borderId="7" xfId="0" applyFont="1" applyFill="1" applyBorder="1"/>
    <xf numFmtId="0" fontId="0" fillId="18" borderId="7" xfId="0" applyFill="1" applyBorder="1"/>
    <xf numFmtId="0" fontId="67" fillId="0" borderId="0" xfId="0" applyFont="1"/>
    <xf numFmtId="0" fontId="69" fillId="0" borderId="0" xfId="0" applyFont="1"/>
    <xf numFmtId="0" fontId="70" fillId="0" borderId="0" xfId="0" applyFont="1" applyAlignment="1">
      <alignment horizontal="left" vertical="center" indent="1" readingOrder="1"/>
    </xf>
    <xf numFmtId="0" fontId="71" fillId="0" borderId="0" xfId="0" applyFont="1"/>
    <xf numFmtId="0" fontId="0" fillId="0" borderId="0" xfId="0"/>
    <xf numFmtId="0" fontId="0" fillId="2" borderId="0" xfId="0" applyFill="1"/>
    <xf numFmtId="0" fontId="0" fillId="0" borderId="0" xfId="0" applyAlignment="1">
      <alignment horizontal="center"/>
    </xf>
    <xf numFmtId="0" fontId="0" fillId="0" borderId="0" xfId="0" applyAlignment="1">
      <alignment horizontal="center" vertical="center"/>
    </xf>
    <xf numFmtId="0" fontId="0" fillId="0" borderId="7" xfId="0" applyBorder="1" applyAlignment="1">
      <alignment horizontal="center"/>
    </xf>
    <xf numFmtId="0" fontId="0" fillId="15" borderId="0" xfId="0" applyFill="1"/>
    <xf numFmtId="0" fontId="72" fillId="0" borderId="0" xfId="0" applyFont="1" applyAlignment="1">
      <alignment horizontal="left" vertical="center" indent="1"/>
    </xf>
    <xf numFmtId="0" fontId="73" fillId="5" borderId="18" xfId="0" applyFont="1" applyFill="1" applyBorder="1" applyAlignment="1">
      <alignment vertical="top" wrapText="1"/>
    </xf>
    <xf numFmtId="0" fontId="9" fillId="5" borderId="18" xfId="1" applyFill="1" applyBorder="1" applyAlignment="1">
      <alignment vertical="top" wrapText="1"/>
    </xf>
    <xf numFmtId="0" fontId="74" fillId="0" borderId="0" xfId="0" applyFont="1"/>
    <xf numFmtId="0" fontId="0" fillId="0" borderId="0" xfId="0"/>
    <xf numFmtId="0" fontId="0" fillId="0" borderId="0" xfId="0"/>
    <xf numFmtId="0" fontId="10" fillId="0" borderId="1" xfId="0" applyFont="1" applyBorder="1" applyAlignment="1">
      <alignment vertical="center" wrapText="1"/>
    </xf>
    <xf numFmtId="0" fontId="10" fillId="0" borderId="1" xfId="0" applyFont="1" applyBorder="1" applyAlignment="1">
      <alignment vertical="center"/>
    </xf>
    <xf numFmtId="0" fontId="0" fillId="0" borderId="0" xfId="0" applyAlignment="1">
      <alignment horizontal="center"/>
    </xf>
    <xf numFmtId="0" fontId="29" fillId="0" borderId="0" xfId="0" applyFont="1"/>
    <xf numFmtId="0" fontId="0" fillId="2" borderId="7" xfId="0" applyFill="1" applyBorder="1"/>
    <xf numFmtId="0" fontId="0" fillId="15" borderId="0" xfId="0" applyFill="1"/>
    <xf numFmtId="0" fontId="0" fillId="13" borderId="0" xfId="0" applyFill="1"/>
    <xf numFmtId="0" fontId="64" fillId="0" borderId="0" xfId="0" applyFont="1" applyAlignment="1">
      <alignment horizontal="left" vertical="center" indent="1" readingOrder="1"/>
    </xf>
    <xf numFmtId="0" fontId="76" fillId="0" borderId="1" xfId="0" applyFont="1" applyBorder="1" applyAlignment="1">
      <alignment vertical="center"/>
    </xf>
    <xf numFmtId="0" fontId="0" fillId="0" borderId="0" xfId="0"/>
    <xf numFmtId="0" fontId="32" fillId="0" borderId="0" xfId="0" applyFont="1"/>
    <xf numFmtId="0" fontId="29" fillId="0" borderId="0" xfId="0" applyFont="1"/>
    <xf numFmtId="0" fontId="77" fillId="0" borderId="0" xfId="0" applyFont="1" applyAlignment="1">
      <alignment vertical="center"/>
    </xf>
    <xf numFmtId="0" fontId="0" fillId="0" borderId="0" xfId="0"/>
    <xf numFmtId="0" fontId="0" fillId="0" borderId="0" xfId="0"/>
    <xf numFmtId="0" fontId="0" fillId="0" borderId="0" xfId="0"/>
    <xf numFmtId="0" fontId="0" fillId="22" borderId="0" xfId="0" applyFill="1"/>
    <xf numFmtId="0" fontId="29" fillId="0" borderId="0" xfId="0" applyFont="1"/>
    <xf numFmtId="0" fontId="0" fillId="2" borderId="7" xfId="0" applyFill="1" applyBorder="1"/>
    <xf numFmtId="0" fontId="41" fillId="0" borderId="0" xfId="0" applyFont="1"/>
    <xf numFmtId="0" fontId="0" fillId="15" borderId="0" xfId="0" applyFill="1"/>
    <xf numFmtId="0" fontId="0" fillId="13" borderId="0" xfId="0" applyFill="1"/>
    <xf numFmtId="0" fontId="0" fillId="0" borderId="7" xfId="0" applyBorder="1"/>
    <xf numFmtId="0" fontId="0" fillId="9" borderId="0" xfId="0" applyFill="1"/>
    <xf numFmtId="0" fontId="75" fillId="0" borderId="0" xfId="0" applyFont="1" applyAlignment="1">
      <alignment vertical="center"/>
    </xf>
    <xf numFmtId="0" fontId="0" fillId="25" borderId="0" xfId="0" applyFill="1"/>
    <xf numFmtId="0" fontId="78" fillId="0" borderId="0" xfId="0" applyFont="1" applyFill="1" applyAlignment="1">
      <alignment vertical="center"/>
    </xf>
    <xf numFmtId="0" fontId="0" fillId="0" borderId="0" xfId="0" applyAlignment="1">
      <alignment horizontal="center" vertical="center"/>
    </xf>
    <xf numFmtId="0" fontId="0" fillId="0" borderId="0" xfId="0" applyAlignment="1">
      <alignment horizontal="center"/>
    </xf>
    <xf numFmtId="0" fontId="11" fillId="0" borderId="0" xfId="0" applyFont="1" applyAlignment="1">
      <alignment horizontal="center" vertical="center" wrapText="1"/>
    </xf>
    <xf numFmtId="0" fontId="11" fillId="0" borderId="5"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0" xfId="0" applyFont="1" applyBorder="1" applyAlignment="1">
      <alignment horizontal="center" vertical="center" wrapText="1"/>
    </xf>
    <xf numFmtId="0" fontId="7" fillId="0" borderId="12" xfId="0" applyFont="1" applyBorder="1"/>
    <xf numFmtId="0" fontId="0" fillId="0" borderId="12" xfId="0" applyBorder="1"/>
    <xf numFmtId="0" fontId="0" fillId="0" borderId="0" xfId="0" applyAlignment="1">
      <alignment horizontal="left" vertical="center"/>
    </xf>
    <xf numFmtId="0" fontId="0" fillId="0" borderId="0" xfId="0" applyAlignment="1">
      <alignment horizontal="right" vertical="center"/>
    </xf>
    <xf numFmtId="0" fontId="0" fillId="0" borderId="7" xfId="0" applyBorder="1" applyAlignment="1">
      <alignment horizontal="center"/>
    </xf>
    <xf numFmtId="0" fontId="0" fillId="0" borderId="17" xfId="0" applyBorder="1" applyAlignment="1">
      <alignment horizontal="center" vertical="center" wrapText="1"/>
    </xf>
    <xf numFmtId="0" fontId="8" fillId="0" borderId="0" xfId="0" applyFont="1" applyAlignment="1">
      <alignment horizontal="center"/>
    </xf>
    <xf numFmtId="0" fontId="0" fillId="0" borderId="8" xfId="0" applyBorder="1" applyAlignment="1">
      <alignment horizontal="center"/>
    </xf>
    <xf numFmtId="0" fontId="1" fillId="0" borderId="0" xfId="5">
      <alignment vertical="center"/>
    </xf>
    <xf numFmtId="0" fontId="32" fillId="0" borderId="0" xfId="5" applyFont="1">
      <alignment vertical="center"/>
    </xf>
    <xf numFmtId="0" fontId="79" fillId="0" borderId="0" xfId="0" applyFont="1" applyAlignment="1">
      <alignment horizontal="left" vertical="center"/>
    </xf>
    <xf numFmtId="0" fontId="80" fillId="0" borderId="0" xfId="0" applyFont="1" applyAlignment="1">
      <alignment horizontal="left" vertical="center"/>
    </xf>
    <xf numFmtId="0" fontId="1" fillId="0" borderId="0" xfId="5" applyFill="1">
      <alignment vertical="center"/>
    </xf>
    <xf numFmtId="0" fontId="1" fillId="0" borderId="0" xfId="5" applyAlignment="1">
      <alignment horizontal="center" vertical="center"/>
    </xf>
    <xf numFmtId="0" fontId="1" fillId="0" borderId="0" xfId="5" applyAlignment="1">
      <alignment horizontal="center" vertical="center"/>
    </xf>
    <xf numFmtId="0" fontId="1" fillId="14" borderId="0" xfId="5" applyFill="1">
      <alignment vertical="center"/>
    </xf>
    <xf numFmtId="0" fontId="1" fillId="26" borderId="0" xfId="5" applyFill="1">
      <alignment vertical="center"/>
    </xf>
    <xf numFmtId="0" fontId="1" fillId="2" borderId="0" xfId="5" applyFill="1">
      <alignment vertical="center"/>
    </xf>
    <xf numFmtId="0" fontId="1" fillId="27" borderId="0" xfId="5" applyFill="1">
      <alignment vertical="center"/>
    </xf>
    <xf numFmtId="0" fontId="1" fillId="26" borderId="7" xfId="5" applyFill="1" applyBorder="1" applyAlignment="1">
      <alignment horizontal="center" vertical="center"/>
    </xf>
    <xf numFmtId="0" fontId="1" fillId="15" borderId="0" xfId="5" applyFill="1">
      <alignment vertical="center"/>
    </xf>
    <xf numFmtId="0" fontId="1" fillId="0" borderId="0" xfId="5" applyFill="1" applyAlignment="1">
      <alignment horizontal="center" vertical="center"/>
    </xf>
    <xf numFmtId="0" fontId="1" fillId="0" borderId="0" xfId="5" applyFill="1" applyAlignment="1">
      <alignment horizontal="center" vertical="center"/>
    </xf>
    <xf numFmtId="0" fontId="1" fillId="0" borderId="0" xfId="5" quotePrefix="1" applyAlignment="1">
      <alignment horizontal="center" vertical="center"/>
    </xf>
    <xf numFmtId="0" fontId="1" fillId="0" borderId="0" xfId="5" applyFill="1" applyAlignment="1">
      <alignment vertical="center"/>
    </xf>
    <xf numFmtId="0" fontId="1" fillId="28" borderId="0" xfId="5" applyFill="1" applyAlignment="1">
      <alignment horizontal="center" vertical="center"/>
    </xf>
    <xf numFmtId="0" fontId="1" fillId="0" borderId="7" xfId="5" applyBorder="1">
      <alignment vertical="center"/>
    </xf>
    <xf numFmtId="0" fontId="1" fillId="28" borderId="0" xfId="5" applyFill="1">
      <alignment vertical="center"/>
    </xf>
    <xf numFmtId="0" fontId="41" fillId="0" borderId="0" xfId="0" applyFont="1" applyAlignment="1">
      <alignment vertical="center"/>
    </xf>
    <xf numFmtId="0" fontId="0" fillId="29" borderId="0" xfId="0" applyFill="1"/>
    <xf numFmtId="0" fontId="83" fillId="2" borderId="0" xfId="0" applyFont="1" applyFill="1"/>
    <xf numFmtId="0" fontId="83" fillId="2" borderId="0" xfId="0" applyFont="1" applyFill="1" applyAlignment="1">
      <alignment horizontal="center"/>
    </xf>
    <xf numFmtId="0" fontId="78" fillId="0" borderId="0" xfId="0" applyFont="1" applyAlignment="1">
      <alignment vertical="center"/>
    </xf>
    <xf numFmtId="0" fontId="84" fillId="0" borderId="0" xfId="0" applyFont="1"/>
    <xf numFmtId="0" fontId="77" fillId="0" borderId="0" xfId="0" applyFont="1"/>
    <xf numFmtId="0" fontId="0" fillId="0" borderId="17" xfId="0" applyBorder="1" applyAlignment="1">
      <alignment horizontal="center" vertical="center"/>
    </xf>
    <xf numFmtId="0" fontId="41" fillId="2" borderId="0" xfId="0" applyFont="1" applyFill="1"/>
    <xf numFmtId="0" fontId="0" fillId="0" borderId="0" xfId="0" applyAlignment="1">
      <alignment horizontal="center" vertical="center" wrapText="1"/>
    </xf>
    <xf numFmtId="0" fontId="85" fillId="0" borderId="0" xfId="0" applyFont="1" applyAlignment="1">
      <alignment horizontal="left" vertical="center" indent="1"/>
    </xf>
  </cellXfs>
  <cellStyles count="6">
    <cellStyle name="표준" xfId="0" builtinId="0"/>
    <cellStyle name="표준 2" xfId="2"/>
    <cellStyle name="표준 2 2" xfId="3"/>
    <cellStyle name="표준 2 3" xfId="4"/>
    <cellStyle name="표준 3" xfId="5"/>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pivotCacheDefinition" Target="pivotCache/pivotCacheDefinition1.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pivotCacheDefinition" Target="pivotCache/pivotCacheDefinition2.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2.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a</a:t>
            </a:r>
            <a:r>
              <a:rPr lang="ko-KR" altLang="en-US" baseline="0"/>
              <a:t> </a:t>
            </a:r>
            <a:r>
              <a:rPr lang="en-US" altLang="ko-KR" baseline="0"/>
              <a:t>&gt; </a:t>
            </a:r>
            <a:r>
              <a:rPr lang="en-US" altLang="ko-KR"/>
              <a:t>1</a:t>
            </a:r>
            <a:r>
              <a:rPr lang="ko-KR" altLang="en-US"/>
              <a:t> 경우</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지수함수!$A$3:$A$23</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지수함수!$B$3:$B$23</c:f>
              <c:numCache>
                <c:formatCode>General</c:formatCode>
                <c:ptCount val="21"/>
                <c:pt idx="0">
                  <c:v>0.5</c:v>
                </c:pt>
                <c:pt idx="1">
                  <c:v>0.53588673126814657</c:v>
                </c:pt>
                <c:pt idx="2">
                  <c:v>0.57434917749851755</c:v>
                </c:pt>
                <c:pt idx="3">
                  <c:v>0.61557220667245816</c:v>
                </c:pt>
                <c:pt idx="4">
                  <c:v>0.65975395538644721</c:v>
                </c:pt>
                <c:pt idx="5">
                  <c:v>0.70710678118654746</c:v>
                </c:pt>
                <c:pt idx="6">
                  <c:v>0.75785828325519911</c:v>
                </c:pt>
                <c:pt idx="7">
                  <c:v>0.81225239635623547</c:v>
                </c:pt>
                <c:pt idx="8">
                  <c:v>0.87055056329612412</c:v>
                </c:pt>
                <c:pt idx="9">
                  <c:v>0.93303299153680741</c:v>
                </c:pt>
                <c:pt idx="10">
                  <c:v>1</c:v>
                </c:pt>
                <c:pt idx="11">
                  <c:v>1.0717734625362931</c:v>
                </c:pt>
                <c:pt idx="12">
                  <c:v>1.1486983549970351</c:v>
                </c:pt>
                <c:pt idx="13">
                  <c:v>1.2311444133449163</c:v>
                </c:pt>
                <c:pt idx="14">
                  <c:v>1.3195079107728942</c:v>
                </c:pt>
                <c:pt idx="15">
                  <c:v>1.4142135623730951</c:v>
                </c:pt>
                <c:pt idx="16">
                  <c:v>1.515716566510398</c:v>
                </c:pt>
                <c:pt idx="17">
                  <c:v>1.6245047927124709</c:v>
                </c:pt>
                <c:pt idx="18">
                  <c:v>1.7411011265922482</c:v>
                </c:pt>
                <c:pt idx="19">
                  <c:v>1.8660659830736148</c:v>
                </c:pt>
                <c:pt idx="20">
                  <c:v>2</c:v>
                </c:pt>
              </c:numCache>
            </c:numRef>
          </c:yVal>
          <c:smooth val="0"/>
          <c:extLst>
            <c:ext xmlns:c16="http://schemas.microsoft.com/office/drawing/2014/chart" uri="{C3380CC4-5D6E-409C-BE32-E72D297353CC}">
              <c16:uniqueId val="{00000000-A49A-4650-A1CB-9489CFF6D16A}"/>
            </c:ext>
          </c:extLst>
        </c:ser>
        <c:dLbls>
          <c:showLegendKey val="0"/>
          <c:showVal val="0"/>
          <c:showCatName val="0"/>
          <c:showSerName val="0"/>
          <c:showPercent val="0"/>
          <c:showBubbleSize val="0"/>
        </c:dLbls>
        <c:axId val="252847520"/>
        <c:axId val="252849184"/>
      </c:scatterChart>
      <c:valAx>
        <c:axId val="2528475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2849184"/>
        <c:crosses val="autoZero"/>
        <c:crossBetween val="midCat"/>
      </c:valAx>
      <c:valAx>
        <c:axId val="252849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284752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지수함수!$A$34:$A$54</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지수함수!$C$34:$C$54</c:f>
              <c:numCache>
                <c:formatCode>General</c:formatCode>
                <c:ptCount val="21"/>
                <c:pt idx="0">
                  <c:v>0.5</c:v>
                </c:pt>
                <c:pt idx="1">
                  <c:v>0.53588673126814657</c:v>
                </c:pt>
                <c:pt idx="2">
                  <c:v>0.57434917749851755</c:v>
                </c:pt>
                <c:pt idx="3">
                  <c:v>0.61557220667245816</c:v>
                </c:pt>
                <c:pt idx="4">
                  <c:v>0.65975395538644721</c:v>
                </c:pt>
                <c:pt idx="5">
                  <c:v>0.70710678118654746</c:v>
                </c:pt>
                <c:pt idx="6">
                  <c:v>0.75785828325519911</c:v>
                </c:pt>
                <c:pt idx="7">
                  <c:v>0.81225239635623547</c:v>
                </c:pt>
                <c:pt idx="8">
                  <c:v>0.87055056329612412</c:v>
                </c:pt>
                <c:pt idx="9">
                  <c:v>0.93303299153680741</c:v>
                </c:pt>
                <c:pt idx="10">
                  <c:v>1</c:v>
                </c:pt>
                <c:pt idx="11">
                  <c:v>1.0717734625362931</c:v>
                </c:pt>
                <c:pt idx="12">
                  <c:v>1.1486983549970351</c:v>
                </c:pt>
                <c:pt idx="13">
                  <c:v>1.2311444133449163</c:v>
                </c:pt>
                <c:pt idx="14">
                  <c:v>1.3195079107728942</c:v>
                </c:pt>
                <c:pt idx="15">
                  <c:v>1.4142135623730951</c:v>
                </c:pt>
                <c:pt idx="16">
                  <c:v>1.515716566510398</c:v>
                </c:pt>
                <c:pt idx="17">
                  <c:v>1.6245047927124709</c:v>
                </c:pt>
                <c:pt idx="18">
                  <c:v>1.7411011265922482</c:v>
                </c:pt>
                <c:pt idx="19">
                  <c:v>1.8660659830736148</c:v>
                </c:pt>
                <c:pt idx="20">
                  <c:v>2</c:v>
                </c:pt>
              </c:numCache>
            </c:numRef>
          </c:yVal>
          <c:smooth val="0"/>
          <c:extLst>
            <c:ext xmlns:c16="http://schemas.microsoft.com/office/drawing/2014/chart" uri="{C3380CC4-5D6E-409C-BE32-E72D297353CC}">
              <c16:uniqueId val="{00000000-BEE1-4B62-A7A6-B8F0442B8C43}"/>
            </c:ext>
          </c:extLst>
        </c:ser>
        <c:dLbls>
          <c:showLegendKey val="0"/>
          <c:showVal val="0"/>
          <c:showCatName val="0"/>
          <c:showSerName val="0"/>
          <c:showPercent val="0"/>
          <c:showBubbleSize val="0"/>
        </c:dLbls>
        <c:axId val="2134457904"/>
        <c:axId val="138871968"/>
      </c:scatterChart>
      <c:valAx>
        <c:axId val="21344579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38871968"/>
        <c:crosses val="autoZero"/>
        <c:crossBetween val="midCat"/>
      </c:valAx>
      <c:valAx>
        <c:axId val="13887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344579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y = 2</a:t>
            </a:r>
            <a:r>
              <a:rPr lang="en-US" altLang="ko-KR" baseline="30000"/>
              <a:t>x-3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지수함수!$A$97:$A$117</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지수함수!$D$97:$D$117</c:f>
              <c:numCache>
                <c:formatCode>General</c:formatCode>
                <c:ptCount val="21"/>
                <c:pt idx="0">
                  <c:v>6.25E-2</c:v>
                </c:pt>
                <c:pt idx="1">
                  <c:v>6.6985841408518335E-2</c:v>
                </c:pt>
                <c:pt idx="2">
                  <c:v>7.1793647187314694E-2</c:v>
                </c:pt>
                <c:pt idx="3">
                  <c:v>7.6946525834057269E-2</c:v>
                </c:pt>
                <c:pt idx="4">
                  <c:v>8.2469244423305901E-2</c:v>
                </c:pt>
                <c:pt idx="5">
                  <c:v>8.8388347648318447E-2</c:v>
                </c:pt>
                <c:pt idx="6">
                  <c:v>9.4732285406899902E-2</c:v>
                </c:pt>
                <c:pt idx="7">
                  <c:v>0.10153154954452946</c:v>
                </c:pt>
                <c:pt idx="8">
                  <c:v>0.10881882041201553</c:v>
                </c:pt>
                <c:pt idx="9">
                  <c:v>0.11662912394210095</c:v>
                </c:pt>
                <c:pt idx="10">
                  <c:v>0.125</c:v>
                </c:pt>
                <c:pt idx="11">
                  <c:v>0.13397168281703667</c:v>
                </c:pt>
                <c:pt idx="12">
                  <c:v>0.14358729437462939</c:v>
                </c:pt>
                <c:pt idx="13">
                  <c:v>0.15389305166811451</c:v>
                </c:pt>
                <c:pt idx="14">
                  <c:v>0.1649384888466118</c:v>
                </c:pt>
                <c:pt idx="15">
                  <c:v>0.17677669529663687</c:v>
                </c:pt>
                <c:pt idx="16">
                  <c:v>0.18946457081379978</c:v>
                </c:pt>
                <c:pt idx="17">
                  <c:v>0.20306309908905892</c:v>
                </c:pt>
                <c:pt idx="18">
                  <c:v>0.21763764082403106</c:v>
                </c:pt>
                <c:pt idx="19">
                  <c:v>0.23325824788420185</c:v>
                </c:pt>
                <c:pt idx="20">
                  <c:v>0.25</c:v>
                </c:pt>
              </c:numCache>
            </c:numRef>
          </c:yVal>
          <c:smooth val="0"/>
          <c:extLst>
            <c:ext xmlns:c16="http://schemas.microsoft.com/office/drawing/2014/chart" uri="{C3380CC4-5D6E-409C-BE32-E72D297353CC}">
              <c16:uniqueId val="{00000000-23CB-4563-B876-CB7FFA03A405}"/>
            </c:ext>
          </c:extLst>
        </c:ser>
        <c:dLbls>
          <c:showLegendKey val="0"/>
          <c:showVal val="0"/>
          <c:showCatName val="0"/>
          <c:showSerName val="0"/>
          <c:showPercent val="0"/>
          <c:showBubbleSize val="0"/>
        </c:dLbls>
        <c:axId val="254600256"/>
        <c:axId val="254585696"/>
      </c:scatterChart>
      <c:valAx>
        <c:axId val="2546002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4585696"/>
        <c:crosses val="autoZero"/>
        <c:crossBetween val="midCat"/>
      </c:valAx>
      <c:valAx>
        <c:axId val="254585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46002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sz="1800" b="0" i="0" baseline="0">
                <a:effectLst/>
              </a:rPr>
              <a:t>y = -2</a:t>
            </a:r>
            <a:r>
              <a:rPr lang="en-US" altLang="ko-KR" sz="1800" b="0" i="0" baseline="30000">
                <a:effectLst/>
              </a:rPr>
              <a:t>x-3</a:t>
            </a:r>
            <a:endParaRPr lang="ko-KR" altLang="ko-KR">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지수함수!$A$97:$A$117</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지수함수!$E$97:$E$117</c:f>
              <c:numCache>
                <c:formatCode>General</c:formatCode>
                <c:ptCount val="21"/>
                <c:pt idx="0">
                  <c:v>-6.25E-2</c:v>
                </c:pt>
                <c:pt idx="1">
                  <c:v>-6.6985841408518335E-2</c:v>
                </c:pt>
                <c:pt idx="2">
                  <c:v>-7.1793647187314694E-2</c:v>
                </c:pt>
                <c:pt idx="3">
                  <c:v>-7.6946525834057269E-2</c:v>
                </c:pt>
                <c:pt idx="4">
                  <c:v>-8.2469244423305901E-2</c:v>
                </c:pt>
                <c:pt idx="5">
                  <c:v>-8.8388347648318447E-2</c:v>
                </c:pt>
                <c:pt idx="6">
                  <c:v>-9.4732285406899902E-2</c:v>
                </c:pt>
                <c:pt idx="7">
                  <c:v>-0.10153154954452946</c:v>
                </c:pt>
                <c:pt idx="8">
                  <c:v>-0.10881882041201553</c:v>
                </c:pt>
                <c:pt idx="9">
                  <c:v>-0.11662912394210095</c:v>
                </c:pt>
                <c:pt idx="10">
                  <c:v>-0.125</c:v>
                </c:pt>
                <c:pt idx="11">
                  <c:v>-0.13397168281703667</c:v>
                </c:pt>
                <c:pt idx="12">
                  <c:v>-0.14358729437462939</c:v>
                </c:pt>
                <c:pt idx="13">
                  <c:v>-0.15389305166811451</c:v>
                </c:pt>
                <c:pt idx="14">
                  <c:v>-0.1649384888466118</c:v>
                </c:pt>
                <c:pt idx="15">
                  <c:v>-0.17677669529663687</c:v>
                </c:pt>
                <c:pt idx="16">
                  <c:v>-0.18946457081379978</c:v>
                </c:pt>
                <c:pt idx="17">
                  <c:v>-0.20306309908905892</c:v>
                </c:pt>
                <c:pt idx="18">
                  <c:v>-0.21763764082403106</c:v>
                </c:pt>
                <c:pt idx="19">
                  <c:v>-0.23325824788420185</c:v>
                </c:pt>
                <c:pt idx="20">
                  <c:v>-0.25</c:v>
                </c:pt>
              </c:numCache>
            </c:numRef>
          </c:yVal>
          <c:smooth val="0"/>
          <c:extLst>
            <c:ext xmlns:c16="http://schemas.microsoft.com/office/drawing/2014/chart" uri="{C3380CC4-5D6E-409C-BE32-E72D297353CC}">
              <c16:uniqueId val="{00000000-215C-4759-AFC6-B9141BCA85C4}"/>
            </c:ext>
          </c:extLst>
        </c:ser>
        <c:dLbls>
          <c:showLegendKey val="0"/>
          <c:showVal val="0"/>
          <c:showCatName val="0"/>
          <c:showSerName val="0"/>
          <c:showPercent val="0"/>
          <c:showBubbleSize val="0"/>
        </c:dLbls>
        <c:axId val="254593600"/>
        <c:axId val="254603584"/>
      </c:scatterChart>
      <c:valAx>
        <c:axId val="2545936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4603584"/>
        <c:crosses val="autoZero"/>
        <c:crossBetween val="midCat"/>
      </c:valAx>
      <c:valAx>
        <c:axId val="254603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45936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지수함수!$M$128:$M$148</c:f>
              <c:numCache>
                <c:formatCode>General</c:formatCode>
                <c:ptCount val="21"/>
                <c:pt idx="0">
                  <c:v>-100</c:v>
                </c:pt>
                <c:pt idx="1">
                  <c:v>-90</c:v>
                </c:pt>
                <c:pt idx="2">
                  <c:v>-80</c:v>
                </c:pt>
                <c:pt idx="3">
                  <c:v>-70</c:v>
                </c:pt>
                <c:pt idx="4">
                  <c:v>-60</c:v>
                </c:pt>
                <c:pt idx="5">
                  <c:v>-50</c:v>
                </c:pt>
                <c:pt idx="6">
                  <c:v>-40</c:v>
                </c:pt>
                <c:pt idx="7">
                  <c:v>-30</c:v>
                </c:pt>
                <c:pt idx="8">
                  <c:v>-20</c:v>
                </c:pt>
                <c:pt idx="9">
                  <c:v>-10</c:v>
                </c:pt>
                <c:pt idx="10">
                  <c:v>0</c:v>
                </c:pt>
                <c:pt idx="11">
                  <c:v>10</c:v>
                </c:pt>
                <c:pt idx="12">
                  <c:v>20</c:v>
                </c:pt>
                <c:pt idx="13">
                  <c:v>30</c:v>
                </c:pt>
                <c:pt idx="14">
                  <c:v>40</c:v>
                </c:pt>
                <c:pt idx="15">
                  <c:v>50</c:v>
                </c:pt>
                <c:pt idx="16">
                  <c:v>60</c:v>
                </c:pt>
                <c:pt idx="17">
                  <c:v>70</c:v>
                </c:pt>
                <c:pt idx="18">
                  <c:v>80</c:v>
                </c:pt>
                <c:pt idx="19">
                  <c:v>90</c:v>
                </c:pt>
                <c:pt idx="20">
                  <c:v>100</c:v>
                </c:pt>
              </c:numCache>
            </c:numRef>
          </c:xVal>
          <c:yVal>
            <c:numRef>
              <c:f>지수함수!$N$128:$N$148</c:f>
              <c:numCache>
                <c:formatCode>General</c:formatCode>
                <c:ptCount val="21"/>
                <c:pt idx="0">
                  <c:v>3.7200759760215157E-44</c:v>
                </c:pt>
                <c:pt idx="1">
                  <c:v>8.1940126239918622E-40</c:v>
                </c:pt>
                <c:pt idx="2">
                  <c:v>1.8048513878456791E-35</c:v>
                </c:pt>
                <c:pt idx="3">
                  <c:v>3.9754497359091557E-31</c:v>
                </c:pt>
                <c:pt idx="4">
                  <c:v>8.7565107626974814E-27</c:v>
                </c:pt>
                <c:pt idx="5">
                  <c:v>1.9287498479640941E-22</c:v>
                </c:pt>
                <c:pt idx="6">
                  <c:v>4.2483542552918993E-18</c:v>
                </c:pt>
                <c:pt idx="7">
                  <c:v>9.3576229688398126E-14</c:v>
                </c:pt>
                <c:pt idx="8">
                  <c:v>2.0611536181902786E-9</c:v>
                </c:pt>
                <c:pt idx="9">
                  <c:v>4.5397868702435221E-5</c:v>
                </c:pt>
                <c:pt idx="10">
                  <c:v>0.5</c:v>
                </c:pt>
                <c:pt idx="11">
                  <c:v>0.99995460213129761</c:v>
                </c:pt>
                <c:pt idx="12">
                  <c:v>0.99999999793884631</c:v>
                </c:pt>
                <c:pt idx="13">
                  <c:v>0.99999999999990652</c:v>
                </c:pt>
                <c:pt idx="14">
                  <c:v>1</c:v>
                </c:pt>
                <c:pt idx="15">
                  <c:v>1</c:v>
                </c:pt>
                <c:pt idx="16">
                  <c:v>1</c:v>
                </c:pt>
                <c:pt idx="17">
                  <c:v>1</c:v>
                </c:pt>
                <c:pt idx="18">
                  <c:v>1</c:v>
                </c:pt>
                <c:pt idx="19">
                  <c:v>1</c:v>
                </c:pt>
                <c:pt idx="20">
                  <c:v>1</c:v>
                </c:pt>
              </c:numCache>
            </c:numRef>
          </c:yVal>
          <c:smooth val="0"/>
          <c:extLst>
            <c:ext xmlns:c16="http://schemas.microsoft.com/office/drawing/2014/chart" uri="{C3380CC4-5D6E-409C-BE32-E72D297353CC}">
              <c16:uniqueId val="{00000000-26F1-40E8-811B-84BD6EB313F7}"/>
            </c:ext>
          </c:extLst>
        </c:ser>
        <c:dLbls>
          <c:showLegendKey val="0"/>
          <c:showVal val="0"/>
          <c:showCatName val="0"/>
          <c:showSerName val="0"/>
          <c:showPercent val="0"/>
          <c:showBubbleSize val="0"/>
        </c:dLbls>
        <c:axId val="2131815888"/>
        <c:axId val="2131816304"/>
      </c:scatterChart>
      <c:valAx>
        <c:axId val="21318158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31816304"/>
        <c:crosses val="autoZero"/>
        <c:crossBetween val="midCat"/>
      </c:valAx>
      <c:valAx>
        <c:axId val="2131816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318158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지수함수!$X$128:$X$168</c:f>
              <c:numCache>
                <c:formatCode>General</c:formatCode>
                <c:ptCount val="41"/>
                <c:pt idx="0">
                  <c:v>-2</c:v>
                </c:pt>
                <c:pt idx="1">
                  <c:v>-1.9</c:v>
                </c:pt>
                <c:pt idx="2">
                  <c:v>-1.8</c:v>
                </c:pt>
                <c:pt idx="3">
                  <c:v>-1.7</c:v>
                </c:pt>
                <c:pt idx="4">
                  <c:v>-1.6</c:v>
                </c:pt>
                <c:pt idx="5">
                  <c:v>-1.5</c:v>
                </c:pt>
                <c:pt idx="6">
                  <c:v>-1.4</c:v>
                </c:pt>
                <c:pt idx="7">
                  <c:v>-1.3</c:v>
                </c:pt>
                <c:pt idx="8">
                  <c:v>-1.2</c:v>
                </c:pt>
                <c:pt idx="9">
                  <c:v>-1.1000000000000001</c:v>
                </c:pt>
                <c:pt idx="10">
                  <c:v>-1</c:v>
                </c:pt>
                <c:pt idx="11">
                  <c:v>-0.9</c:v>
                </c:pt>
                <c:pt idx="12">
                  <c:v>-0.8</c:v>
                </c:pt>
                <c:pt idx="13">
                  <c:v>-0.7</c:v>
                </c:pt>
                <c:pt idx="14">
                  <c:v>-0.6</c:v>
                </c:pt>
                <c:pt idx="15">
                  <c:v>-0.5</c:v>
                </c:pt>
                <c:pt idx="16">
                  <c:v>-0.4</c:v>
                </c:pt>
                <c:pt idx="17">
                  <c:v>-0.3</c:v>
                </c:pt>
                <c:pt idx="18">
                  <c:v>-0.2</c:v>
                </c:pt>
                <c:pt idx="19">
                  <c:v>-0.1</c:v>
                </c:pt>
                <c:pt idx="20">
                  <c:v>0</c:v>
                </c:pt>
                <c:pt idx="21">
                  <c:v>0.1</c:v>
                </c:pt>
                <c:pt idx="22">
                  <c:v>0.2</c:v>
                </c:pt>
                <c:pt idx="23">
                  <c:v>0.3</c:v>
                </c:pt>
                <c:pt idx="24">
                  <c:v>0.4</c:v>
                </c:pt>
                <c:pt idx="25">
                  <c:v>0.5</c:v>
                </c:pt>
                <c:pt idx="26">
                  <c:v>0.6</c:v>
                </c:pt>
                <c:pt idx="27">
                  <c:v>0.7</c:v>
                </c:pt>
                <c:pt idx="28">
                  <c:v>0.8</c:v>
                </c:pt>
                <c:pt idx="29">
                  <c:v>0.9</c:v>
                </c:pt>
                <c:pt idx="30">
                  <c:v>1</c:v>
                </c:pt>
                <c:pt idx="31">
                  <c:v>1.1000000000000001</c:v>
                </c:pt>
                <c:pt idx="32">
                  <c:v>1.2</c:v>
                </c:pt>
                <c:pt idx="33">
                  <c:v>1.3</c:v>
                </c:pt>
                <c:pt idx="34">
                  <c:v>1.4</c:v>
                </c:pt>
                <c:pt idx="35">
                  <c:v>1.5</c:v>
                </c:pt>
                <c:pt idx="36">
                  <c:v>1.6</c:v>
                </c:pt>
                <c:pt idx="37">
                  <c:v>1.7</c:v>
                </c:pt>
                <c:pt idx="38">
                  <c:v>1.8</c:v>
                </c:pt>
                <c:pt idx="39">
                  <c:v>1.9</c:v>
                </c:pt>
                <c:pt idx="40">
                  <c:v>2</c:v>
                </c:pt>
              </c:numCache>
            </c:numRef>
          </c:xVal>
          <c:yVal>
            <c:numRef>
              <c:f>지수함수!$Y$128:$Y$168</c:f>
              <c:numCache>
                <c:formatCode>General</c:formatCode>
                <c:ptCount val="41"/>
                <c:pt idx="0">
                  <c:v>0.11920292202211794</c:v>
                </c:pt>
                <c:pt idx="1">
                  <c:v>0.13010847436299824</c:v>
                </c:pt>
                <c:pt idx="2">
                  <c:v>0.14185106490048818</c:v>
                </c:pt>
                <c:pt idx="3">
                  <c:v>0.15446526508353511</c:v>
                </c:pt>
                <c:pt idx="4">
                  <c:v>0.16798161486607593</c:v>
                </c:pt>
                <c:pt idx="5">
                  <c:v>0.18242552380635677</c:v>
                </c:pt>
                <c:pt idx="6">
                  <c:v>0.1978161114414187</c:v>
                </c:pt>
                <c:pt idx="7">
                  <c:v>0.21416501695744178</c:v>
                </c:pt>
                <c:pt idx="8">
                  <c:v>0.23147521650098274</c:v>
                </c:pt>
                <c:pt idx="9">
                  <c:v>0.24973989440488278</c:v>
                </c:pt>
                <c:pt idx="10">
                  <c:v>0.26894142136999549</c:v>
                </c:pt>
                <c:pt idx="11">
                  <c:v>0.28905049737499638</c:v>
                </c:pt>
                <c:pt idx="12">
                  <c:v>0.31002551887238788</c:v>
                </c:pt>
                <c:pt idx="13">
                  <c:v>0.33181222783183417</c:v>
                </c:pt>
                <c:pt idx="14">
                  <c:v>0.35434369377420483</c:v>
                </c:pt>
                <c:pt idx="15">
                  <c:v>0.37754066879814568</c:v>
                </c:pt>
                <c:pt idx="16">
                  <c:v>0.40131233988754816</c:v>
                </c:pt>
                <c:pt idx="17">
                  <c:v>0.42555748318834113</c:v>
                </c:pt>
                <c:pt idx="18">
                  <c:v>0.45016600268752216</c:v>
                </c:pt>
                <c:pt idx="19">
                  <c:v>0.47502081252105999</c:v>
                </c:pt>
                <c:pt idx="20">
                  <c:v>0.5</c:v>
                </c:pt>
                <c:pt idx="21">
                  <c:v>0.5249791874789399</c:v>
                </c:pt>
                <c:pt idx="22">
                  <c:v>0.54983399731247784</c:v>
                </c:pt>
                <c:pt idx="23">
                  <c:v>0.57444251681165892</c:v>
                </c:pt>
                <c:pt idx="24">
                  <c:v>0.59868766011245178</c:v>
                </c:pt>
                <c:pt idx="25">
                  <c:v>0.62245933120185426</c:v>
                </c:pt>
                <c:pt idx="26">
                  <c:v>0.64565630622579528</c:v>
                </c:pt>
                <c:pt idx="27">
                  <c:v>0.66818777216816583</c:v>
                </c:pt>
                <c:pt idx="28">
                  <c:v>0.68997448112761217</c:v>
                </c:pt>
                <c:pt idx="29">
                  <c:v>0.71094950262500356</c:v>
                </c:pt>
                <c:pt idx="30">
                  <c:v>0.73105857863000456</c:v>
                </c:pt>
                <c:pt idx="31">
                  <c:v>0.75026010559511724</c:v>
                </c:pt>
                <c:pt idx="32">
                  <c:v>0.76852478349901732</c:v>
                </c:pt>
                <c:pt idx="33">
                  <c:v>0.78583498304255828</c:v>
                </c:pt>
                <c:pt idx="34">
                  <c:v>0.80218388855858125</c:v>
                </c:pt>
                <c:pt idx="35">
                  <c:v>0.81757447619364332</c:v>
                </c:pt>
                <c:pt idx="36">
                  <c:v>0.83201838513392401</c:v>
                </c:pt>
                <c:pt idx="37">
                  <c:v>0.8455347349164648</c:v>
                </c:pt>
                <c:pt idx="38">
                  <c:v>0.85814893509951173</c:v>
                </c:pt>
                <c:pt idx="39">
                  <c:v>0.86989152563700178</c:v>
                </c:pt>
                <c:pt idx="40">
                  <c:v>0.88079707797788198</c:v>
                </c:pt>
              </c:numCache>
            </c:numRef>
          </c:yVal>
          <c:smooth val="0"/>
          <c:extLst>
            <c:ext xmlns:c16="http://schemas.microsoft.com/office/drawing/2014/chart" uri="{C3380CC4-5D6E-409C-BE32-E72D297353CC}">
              <c16:uniqueId val="{00000000-F7EC-49EE-B8C1-3E2372B8C3CA}"/>
            </c:ext>
          </c:extLst>
        </c:ser>
        <c:dLbls>
          <c:showLegendKey val="0"/>
          <c:showVal val="0"/>
          <c:showCatName val="0"/>
          <c:showSerName val="0"/>
          <c:showPercent val="0"/>
          <c:showBubbleSize val="0"/>
        </c:dLbls>
        <c:axId val="252843360"/>
        <c:axId val="252853344"/>
      </c:scatterChart>
      <c:valAx>
        <c:axId val="2528433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2853344"/>
        <c:crosses val="autoZero"/>
        <c:crossBetween val="midCat"/>
      </c:valAx>
      <c:valAx>
        <c:axId val="252853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28433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지수함수!$AH$128:$AH$170</c:f>
              <c:numCache>
                <c:formatCode>General</c:formatCode>
                <c:ptCount val="43"/>
                <c:pt idx="0">
                  <c:v>-100</c:v>
                </c:pt>
                <c:pt idx="1">
                  <c:v>-2</c:v>
                </c:pt>
                <c:pt idx="2">
                  <c:v>-1.9</c:v>
                </c:pt>
                <c:pt idx="3">
                  <c:v>-1.8</c:v>
                </c:pt>
                <c:pt idx="4">
                  <c:v>-1.7</c:v>
                </c:pt>
                <c:pt idx="5">
                  <c:v>-1.6</c:v>
                </c:pt>
                <c:pt idx="6">
                  <c:v>-1.5</c:v>
                </c:pt>
                <c:pt idx="7">
                  <c:v>-1.4</c:v>
                </c:pt>
                <c:pt idx="8">
                  <c:v>-1.3</c:v>
                </c:pt>
                <c:pt idx="9">
                  <c:v>-1.2</c:v>
                </c:pt>
                <c:pt idx="10">
                  <c:v>-1.1000000000000001</c:v>
                </c:pt>
                <c:pt idx="11">
                  <c:v>-1</c:v>
                </c:pt>
                <c:pt idx="12">
                  <c:v>-0.9</c:v>
                </c:pt>
                <c:pt idx="13">
                  <c:v>-0.8</c:v>
                </c:pt>
                <c:pt idx="14">
                  <c:v>-0.7</c:v>
                </c:pt>
                <c:pt idx="15">
                  <c:v>-0.6</c:v>
                </c:pt>
                <c:pt idx="16">
                  <c:v>-0.5</c:v>
                </c:pt>
                <c:pt idx="17">
                  <c:v>-0.4</c:v>
                </c:pt>
                <c:pt idx="18">
                  <c:v>-0.3</c:v>
                </c:pt>
                <c:pt idx="19">
                  <c:v>-0.2</c:v>
                </c:pt>
                <c:pt idx="20">
                  <c:v>-0.1</c:v>
                </c:pt>
                <c:pt idx="21">
                  <c:v>0</c:v>
                </c:pt>
                <c:pt idx="22">
                  <c:v>0.1</c:v>
                </c:pt>
                <c:pt idx="23">
                  <c:v>0.2</c:v>
                </c:pt>
                <c:pt idx="24">
                  <c:v>0.3</c:v>
                </c:pt>
                <c:pt idx="25">
                  <c:v>0.4</c:v>
                </c:pt>
                <c:pt idx="26">
                  <c:v>0.5</c:v>
                </c:pt>
                <c:pt idx="27">
                  <c:v>0.6</c:v>
                </c:pt>
                <c:pt idx="28">
                  <c:v>0.7</c:v>
                </c:pt>
                <c:pt idx="29">
                  <c:v>0.8</c:v>
                </c:pt>
                <c:pt idx="30">
                  <c:v>0.9</c:v>
                </c:pt>
                <c:pt idx="31">
                  <c:v>1</c:v>
                </c:pt>
                <c:pt idx="32">
                  <c:v>1.1000000000000001</c:v>
                </c:pt>
                <c:pt idx="33">
                  <c:v>1.2</c:v>
                </c:pt>
                <c:pt idx="34">
                  <c:v>1.3</c:v>
                </c:pt>
                <c:pt idx="35">
                  <c:v>1.4</c:v>
                </c:pt>
                <c:pt idx="36">
                  <c:v>1.5</c:v>
                </c:pt>
                <c:pt idx="37">
                  <c:v>1.6</c:v>
                </c:pt>
                <c:pt idx="38">
                  <c:v>1.7</c:v>
                </c:pt>
                <c:pt idx="39">
                  <c:v>1.8</c:v>
                </c:pt>
                <c:pt idx="40">
                  <c:v>1.9</c:v>
                </c:pt>
                <c:pt idx="41">
                  <c:v>2</c:v>
                </c:pt>
                <c:pt idx="42">
                  <c:v>100</c:v>
                </c:pt>
              </c:numCache>
            </c:numRef>
          </c:xVal>
          <c:yVal>
            <c:numRef>
              <c:f>지수함수!$AI$128:$AI$170</c:f>
              <c:numCache>
                <c:formatCode>General</c:formatCode>
                <c:ptCount val="43"/>
                <c:pt idx="0">
                  <c:v>3.7200759760215157E-44</c:v>
                </c:pt>
                <c:pt idx="1">
                  <c:v>0.11920292202211794</c:v>
                </c:pt>
                <c:pt idx="2">
                  <c:v>0.13010847436299824</c:v>
                </c:pt>
                <c:pt idx="3">
                  <c:v>0.14185106490048818</c:v>
                </c:pt>
                <c:pt idx="4">
                  <c:v>0.15446526508353511</c:v>
                </c:pt>
                <c:pt idx="5">
                  <c:v>0.16798161486607593</c:v>
                </c:pt>
                <c:pt idx="6">
                  <c:v>0.18242552380635677</c:v>
                </c:pt>
                <c:pt idx="7">
                  <c:v>0.1978161114414187</c:v>
                </c:pt>
                <c:pt idx="8">
                  <c:v>0.21416501695744178</c:v>
                </c:pt>
                <c:pt idx="9">
                  <c:v>0.23147521650098274</c:v>
                </c:pt>
                <c:pt idx="10">
                  <c:v>0.24973989440488278</c:v>
                </c:pt>
                <c:pt idx="11">
                  <c:v>0.26894142136999549</c:v>
                </c:pt>
                <c:pt idx="12">
                  <c:v>0.28905049737499638</c:v>
                </c:pt>
                <c:pt idx="13">
                  <c:v>0.31002551887238788</c:v>
                </c:pt>
                <c:pt idx="14">
                  <c:v>0.33181222783183417</c:v>
                </c:pt>
                <c:pt idx="15">
                  <c:v>0.35434369377420483</c:v>
                </c:pt>
                <c:pt idx="16">
                  <c:v>0.37754066879814568</c:v>
                </c:pt>
                <c:pt idx="17">
                  <c:v>0.40131233988754816</c:v>
                </c:pt>
                <c:pt idx="18">
                  <c:v>0.42555748318834113</c:v>
                </c:pt>
                <c:pt idx="19">
                  <c:v>0.45016600268752216</c:v>
                </c:pt>
                <c:pt idx="20">
                  <c:v>0.47502081252105999</c:v>
                </c:pt>
                <c:pt idx="21">
                  <c:v>0.5</c:v>
                </c:pt>
                <c:pt idx="22">
                  <c:v>0.5249791874789399</c:v>
                </c:pt>
                <c:pt idx="23">
                  <c:v>0.54983399731247784</c:v>
                </c:pt>
                <c:pt idx="24">
                  <c:v>0.57444251681165892</c:v>
                </c:pt>
                <c:pt idx="25">
                  <c:v>0.59868766011245178</c:v>
                </c:pt>
                <c:pt idx="26">
                  <c:v>0.62245933120185426</c:v>
                </c:pt>
                <c:pt idx="27">
                  <c:v>0.64565630622579528</c:v>
                </c:pt>
                <c:pt idx="28">
                  <c:v>0.66818777216816583</c:v>
                </c:pt>
                <c:pt idx="29">
                  <c:v>0.68997448112761217</c:v>
                </c:pt>
                <c:pt idx="30">
                  <c:v>0.71094950262500356</c:v>
                </c:pt>
                <c:pt idx="31">
                  <c:v>0.73105857863000456</c:v>
                </c:pt>
                <c:pt idx="32">
                  <c:v>0.75026010559511724</c:v>
                </c:pt>
                <c:pt idx="33">
                  <c:v>0.76852478349901732</c:v>
                </c:pt>
                <c:pt idx="34">
                  <c:v>0.78583498304255828</c:v>
                </c:pt>
                <c:pt idx="35">
                  <c:v>0.80218388855858125</c:v>
                </c:pt>
                <c:pt idx="36">
                  <c:v>0.81757447619364332</c:v>
                </c:pt>
                <c:pt idx="37">
                  <c:v>0.83201838513392401</c:v>
                </c:pt>
                <c:pt idx="38">
                  <c:v>0.8455347349164648</c:v>
                </c:pt>
                <c:pt idx="39">
                  <c:v>0.85814893509951173</c:v>
                </c:pt>
                <c:pt idx="40">
                  <c:v>0.86989152563700178</c:v>
                </c:pt>
                <c:pt idx="41">
                  <c:v>0.88079707797788198</c:v>
                </c:pt>
                <c:pt idx="42">
                  <c:v>1</c:v>
                </c:pt>
              </c:numCache>
            </c:numRef>
          </c:yVal>
          <c:smooth val="0"/>
          <c:extLst>
            <c:ext xmlns:c16="http://schemas.microsoft.com/office/drawing/2014/chart" uri="{C3380CC4-5D6E-409C-BE32-E72D297353CC}">
              <c16:uniqueId val="{00000000-F5AB-4536-9DF6-30E0793C7CB6}"/>
            </c:ext>
          </c:extLst>
        </c:ser>
        <c:dLbls>
          <c:showLegendKey val="0"/>
          <c:showVal val="0"/>
          <c:showCatName val="0"/>
          <c:showSerName val="0"/>
          <c:showPercent val="0"/>
          <c:showBubbleSize val="0"/>
        </c:dLbls>
        <c:axId val="254601920"/>
        <c:axId val="253637664"/>
      </c:scatterChart>
      <c:valAx>
        <c:axId val="2546019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3637664"/>
        <c:crosses val="autoZero"/>
        <c:crossBetween val="midCat"/>
      </c:valAx>
      <c:valAx>
        <c:axId val="253637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460192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로그함수2!$A$14:$A$23</c:f>
              <c:numCache>
                <c:formatCode>General</c:formatCode>
                <c:ptCount val="10"/>
                <c:pt idx="0">
                  <c:v>0.1</c:v>
                </c:pt>
                <c:pt idx="1">
                  <c:v>0.2</c:v>
                </c:pt>
                <c:pt idx="2">
                  <c:v>0.3</c:v>
                </c:pt>
                <c:pt idx="3">
                  <c:v>0.4</c:v>
                </c:pt>
                <c:pt idx="4">
                  <c:v>0.5</c:v>
                </c:pt>
                <c:pt idx="5">
                  <c:v>0.6</c:v>
                </c:pt>
                <c:pt idx="6">
                  <c:v>0.7</c:v>
                </c:pt>
                <c:pt idx="7">
                  <c:v>0.8</c:v>
                </c:pt>
                <c:pt idx="8">
                  <c:v>0.9</c:v>
                </c:pt>
                <c:pt idx="9">
                  <c:v>1</c:v>
                </c:pt>
              </c:numCache>
            </c:numRef>
          </c:xVal>
          <c:yVal>
            <c:numRef>
              <c:f>로그함수2!$B$14:$B$23</c:f>
              <c:numCache>
                <c:formatCode>General</c:formatCode>
                <c:ptCount val="10"/>
                <c:pt idx="0">
                  <c:v>-3.3219280948873622</c:v>
                </c:pt>
                <c:pt idx="1">
                  <c:v>-2.3219280948873622</c:v>
                </c:pt>
                <c:pt idx="2">
                  <c:v>-1.7369655941662063</c:v>
                </c:pt>
                <c:pt idx="3">
                  <c:v>-1.3219280948873622</c:v>
                </c:pt>
                <c:pt idx="4">
                  <c:v>-1</c:v>
                </c:pt>
                <c:pt idx="5">
                  <c:v>-0.73696559416620622</c:v>
                </c:pt>
                <c:pt idx="6">
                  <c:v>-0.51457317282975834</c:v>
                </c:pt>
                <c:pt idx="7">
                  <c:v>-0.32192809488736229</c:v>
                </c:pt>
                <c:pt idx="8">
                  <c:v>-0.15200309344504997</c:v>
                </c:pt>
                <c:pt idx="9">
                  <c:v>0</c:v>
                </c:pt>
              </c:numCache>
            </c:numRef>
          </c:yVal>
          <c:smooth val="0"/>
          <c:extLst>
            <c:ext xmlns:c16="http://schemas.microsoft.com/office/drawing/2014/chart" uri="{C3380CC4-5D6E-409C-BE32-E72D297353CC}">
              <c16:uniqueId val="{00000000-A555-4905-8377-3C80B3D0DAD5}"/>
            </c:ext>
          </c:extLst>
        </c:ser>
        <c:dLbls>
          <c:showLegendKey val="0"/>
          <c:showVal val="0"/>
          <c:showCatName val="0"/>
          <c:showSerName val="0"/>
          <c:showPercent val="0"/>
          <c:showBubbleSize val="0"/>
        </c:dLbls>
        <c:axId val="254606912"/>
        <c:axId val="254607328"/>
      </c:scatterChart>
      <c:valAx>
        <c:axId val="2546069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4607328"/>
        <c:crosses val="autoZero"/>
        <c:crossBetween val="midCat"/>
      </c:valAx>
      <c:valAx>
        <c:axId val="254607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46069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로그함수2!$A$14:$A$43</c:f>
              <c:numCache>
                <c:formatCode>General</c:formatCode>
                <c:ptCount val="30"/>
                <c:pt idx="0">
                  <c:v>0.1</c:v>
                </c:pt>
                <c:pt idx="1">
                  <c:v>0.2</c:v>
                </c:pt>
                <c:pt idx="2">
                  <c:v>0.3</c:v>
                </c:pt>
                <c:pt idx="3">
                  <c:v>0.4</c:v>
                </c:pt>
                <c:pt idx="4">
                  <c:v>0.5</c:v>
                </c:pt>
                <c:pt idx="5">
                  <c:v>0.6</c:v>
                </c:pt>
                <c:pt idx="6">
                  <c:v>0.7</c:v>
                </c:pt>
                <c:pt idx="7">
                  <c:v>0.8</c:v>
                </c:pt>
                <c:pt idx="8">
                  <c:v>0.9</c:v>
                </c:pt>
                <c:pt idx="9">
                  <c:v>1</c:v>
                </c:pt>
                <c:pt idx="10">
                  <c:v>1.1000000000000001</c:v>
                </c:pt>
                <c:pt idx="11">
                  <c:v>1.2</c:v>
                </c:pt>
                <c:pt idx="12">
                  <c:v>1.3</c:v>
                </c:pt>
                <c:pt idx="13">
                  <c:v>1.4</c:v>
                </c:pt>
                <c:pt idx="14">
                  <c:v>1.5</c:v>
                </c:pt>
                <c:pt idx="15">
                  <c:v>1.6</c:v>
                </c:pt>
                <c:pt idx="16">
                  <c:v>1.7</c:v>
                </c:pt>
                <c:pt idx="17">
                  <c:v>1.8</c:v>
                </c:pt>
                <c:pt idx="18">
                  <c:v>1.9</c:v>
                </c:pt>
                <c:pt idx="19">
                  <c:v>2</c:v>
                </c:pt>
                <c:pt idx="20">
                  <c:v>2.1</c:v>
                </c:pt>
                <c:pt idx="21">
                  <c:v>2.2000000000000002</c:v>
                </c:pt>
                <c:pt idx="22">
                  <c:v>2.2999999999999998</c:v>
                </c:pt>
                <c:pt idx="23">
                  <c:v>2.4</c:v>
                </c:pt>
                <c:pt idx="24">
                  <c:v>2.5</c:v>
                </c:pt>
                <c:pt idx="25">
                  <c:v>2.6</c:v>
                </c:pt>
                <c:pt idx="26">
                  <c:v>2.7</c:v>
                </c:pt>
                <c:pt idx="27">
                  <c:v>2.8</c:v>
                </c:pt>
                <c:pt idx="28">
                  <c:v>2.9</c:v>
                </c:pt>
                <c:pt idx="29">
                  <c:v>3</c:v>
                </c:pt>
              </c:numCache>
            </c:numRef>
          </c:xVal>
          <c:yVal>
            <c:numRef>
              <c:f>로그함수2!$B$14:$B$43</c:f>
              <c:numCache>
                <c:formatCode>General</c:formatCode>
                <c:ptCount val="30"/>
                <c:pt idx="0">
                  <c:v>-3.3219280948873622</c:v>
                </c:pt>
                <c:pt idx="1">
                  <c:v>-2.3219280948873622</c:v>
                </c:pt>
                <c:pt idx="2">
                  <c:v>-1.7369655941662063</c:v>
                </c:pt>
                <c:pt idx="3">
                  <c:v>-1.3219280948873622</c:v>
                </c:pt>
                <c:pt idx="4">
                  <c:v>-1</c:v>
                </c:pt>
                <c:pt idx="5">
                  <c:v>-0.73696559416620622</c:v>
                </c:pt>
                <c:pt idx="6">
                  <c:v>-0.51457317282975834</c:v>
                </c:pt>
                <c:pt idx="7">
                  <c:v>-0.32192809488736229</c:v>
                </c:pt>
                <c:pt idx="8">
                  <c:v>-0.15200309344504997</c:v>
                </c:pt>
                <c:pt idx="9">
                  <c:v>0</c:v>
                </c:pt>
                <c:pt idx="10">
                  <c:v>0.13750352374993502</c:v>
                </c:pt>
                <c:pt idx="11">
                  <c:v>0.26303440583379378</c:v>
                </c:pt>
                <c:pt idx="12">
                  <c:v>0.37851162325372983</c:v>
                </c:pt>
                <c:pt idx="13">
                  <c:v>0.48542682717024171</c:v>
                </c:pt>
                <c:pt idx="14">
                  <c:v>0.58496250072115619</c:v>
                </c:pt>
                <c:pt idx="15">
                  <c:v>0.67807190511263782</c:v>
                </c:pt>
                <c:pt idx="16">
                  <c:v>0.76553474636297703</c:v>
                </c:pt>
                <c:pt idx="17">
                  <c:v>0.84799690655495008</c:v>
                </c:pt>
                <c:pt idx="18">
                  <c:v>0.92599941855622303</c:v>
                </c:pt>
                <c:pt idx="19">
                  <c:v>1</c:v>
                </c:pt>
                <c:pt idx="20">
                  <c:v>1.0703893278913981</c:v>
                </c:pt>
                <c:pt idx="21">
                  <c:v>1.1375035237499351</c:v>
                </c:pt>
                <c:pt idx="22">
                  <c:v>1.2016338611696504</c:v>
                </c:pt>
                <c:pt idx="23">
                  <c:v>1.2630344058337937</c:v>
                </c:pt>
                <c:pt idx="24">
                  <c:v>1.3219280948873624</c:v>
                </c:pt>
                <c:pt idx="25">
                  <c:v>1.3785116232537298</c:v>
                </c:pt>
                <c:pt idx="26">
                  <c:v>1.4329594072761063</c:v>
                </c:pt>
                <c:pt idx="27">
                  <c:v>1.4854268271702415</c:v>
                </c:pt>
                <c:pt idx="28">
                  <c:v>1.5360529002402097</c:v>
                </c:pt>
                <c:pt idx="29">
                  <c:v>1.5849625007211563</c:v>
                </c:pt>
              </c:numCache>
            </c:numRef>
          </c:yVal>
          <c:smooth val="0"/>
          <c:extLst>
            <c:ext xmlns:c16="http://schemas.microsoft.com/office/drawing/2014/chart" uri="{C3380CC4-5D6E-409C-BE32-E72D297353CC}">
              <c16:uniqueId val="{00000000-B959-4EA8-A09C-DBD64061E85F}"/>
            </c:ext>
          </c:extLst>
        </c:ser>
        <c:dLbls>
          <c:showLegendKey val="0"/>
          <c:showVal val="0"/>
          <c:showCatName val="0"/>
          <c:showSerName val="0"/>
          <c:showPercent val="0"/>
          <c:showBubbleSize val="0"/>
        </c:dLbls>
        <c:axId val="212323584"/>
        <c:axId val="212327744"/>
      </c:scatterChart>
      <c:valAx>
        <c:axId val="212323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2327744"/>
        <c:crosses val="autoZero"/>
        <c:crossBetween val="midCat"/>
      </c:valAx>
      <c:valAx>
        <c:axId val="212327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23235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2"/>
              </a:solidFill>
              <a:round/>
            </a:ln>
            <a:effectLst/>
          </c:spPr>
          <c:marker>
            <c:symbol val="none"/>
          </c:marker>
          <c:dPt>
            <c:idx val="16"/>
            <c:marker>
              <c:symbol val="none"/>
            </c:marker>
            <c:bubble3D val="0"/>
            <c:spPr>
              <a:ln w="19050" cap="rnd">
                <a:solidFill>
                  <a:srgbClr val="FF0000"/>
                </a:solidFill>
                <a:round/>
              </a:ln>
              <a:effectLst/>
            </c:spPr>
            <c:extLst>
              <c:ext xmlns:c16="http://schemas.microsoft.com/office/drawing/2014/chart" uri="{C3380CC4-5D6E-409C-BE32-E72D297353CC}">
                <c16:uniqueId val="{00000001-5FE4-4609-ACEC-80EB5F2ED21F}"/>
              </c:ext>
            </c:extLst>
          </c:dPt>
          <c:xVal>
            <c:numRef>
              <c:f>[2]로그함수2!$O$109:$O$131</c:f>
              <c:numCache>
                <c:formatCode>General</c:formatCode>
                <c:ptCount val="23"/>
                <c:pt idx="5">
                  <c:v>-0.2</c:v>
                </c:pt>
                <c:pt idx="6">
                  <c:v>-0.1</c:v>
                </c:pt>
                <c:pt idx="7">
                  <c:v>0</c:v>
                </c:pt>
                <c:pt idx="8">
                  <c:v>0.1</c:v>
                </c:pt>
                <c:pt idx="9">
                  <c:v>0.2</c:v>
                </c:pt>
                <c:pt idx="10">
                  <c:v>0.3</c:v>
                </c:pt>
                <c:pt idx="11">
                  <c:v>0.4</c:v>
                </c:pt>
                <c:pt idx="12">
                  <c:v>0.5</c:v>
                </c:pt>
                <c:pt idx="13">
                  <c:v>0.6</c:v>
                </c:pt>
                <c:pt idx="14">
                  <c:v>0.7</c:v>
                </c:pt>
                <c:pt idx="15">
                  <c:v>0.8</c:v>
                </c:pt>
                <c:pt idx="16">
                  <c:v>0.9</c:v>
                </c:pt>
                <c:pt idx="17">
                  <c:v>1</c:v>
                </c:pt>
                <c:pt idx="18">
                  <c:v>1.1000000000000001</c:v>
                </c:pt>
                <c:pt idx="19">
                  <c:v>1.2</c:v>
                </c:pt>
                <c:pt idx="20">
                  <c:v>1.3</c:v>
                </c:pt>
              </c:numCache>
            </c:numRef>
          </c:xVal>
          <c:yVal>
            <c:numRef>
              <c:f>[2]로그함수2!$Q$109:$Q$131</c:f>
              <c:numCache>
                <c:formatCode>General</c:formatCode>
                <c:ptCount val="23"/>
                <c:pt idx="5">
                  <c:v>-7.9181246047624818E-2</c:v>
                </c:pt>
                <c:pt idx="6">
                  <c:v>-4.1392685158225077E-2</c:v>
                </c:pt>
                <c:pt idx="7">
                  <c:v>0</c:v>
                </c:pt>
                <c:pt idx="8">
                  <c:v>4.5757490560675115E-2</c:v>
                </c:pt>
                <c:pt idx="9">
                  <c:v>9.6910013008056392E-2</c:v>
                </c:pt>
                <c:pt idx="10">
                  <c:v>0.15490195998574319</c:v>
                </c:pt>
                <c:pt idx="11">
                  <c:v>0.22184874961635639</c:v>
                </c:pt>
                <c:pt idx="12">
                  <c:v>0.3010299956639812</c:v>
                </c:pt>
                <c:pt idx="13">
                  <c:v>0.3979400086720376</c:v>
                </c:pt>
                <c:pt idx="14">
                  <c:v>0.52287874528033751</c:v>
                </c:pt>
                <c:pt idx="15">
                  <c:v>0.69897000433601886</c:v>
                </c:pt>
                <c:pt idx="16">
                  <c:v>1</c:v>
                </c:pt>
              </c:numCache>
            </c:numRef>
          </c:yVal>
          <c:smooth val="0"/>
          <c:extLst>
            <c:ext xmlns:c16="http://schemas.microsoft.com/office/drawing/2014/chart" uri="{C3380CC4-5D6E-409C-BE32-E72D297353CC}">
              <c16:uniqueId val="{00000002-5FE4-4609-ACEC-80EB5F2ED21F}"/>
            </c:ext>
          </c:extLst>
        </c:ser>
        <c:ser>
          <c:idx val="1"/>
          <c:order val="1"/>
          <c:spPr>
            <a:ln w="19050" cap="rnd">
              <a:solidFill>
                <a:schemeClr val="accent1"/>
              </a:solidFill>
              <a:round/>
            </a:ln>
            <a:effectLst/>
          </c:spPr>
          <c:marker>
            <c:symbol val="none"/>
          </c:marker>
          <c:dPt>
            <c:idx val="11"/>
            <c:marker>
              <c:symbol val="none"/>
            </c:marker>
            <c:bubble3D val="0"/>
            <c:spPr>
              <a:ln w="19050" cap="rnd">
                <a:solidFill>
                  <a:schemeClr val="accent1">
                    <a:lumMod val="75000"/>
                  </a:schemeClr>
                </a:solidFill>
                <a:round/>
              </a:ln>
              <a:effectLst/>
            </c:spPr>
            <c:extLst>
              <c:ext xmlns:c16="http://schemas.microsoft.com/office/drawing/2014/chart" uri="{C3380CC4-5D6E-409C-BE32-E72D297353CC}">
                <c16:uniqueId val="{00000004-5FE4-4609-ACEC-80EB5F2ED21F}"/>
              </c:ext>
            </c:extLst>
          </c:dPt>
          <c:xVal>
            <c:numRef>
              <c:f>[2]로그함수2!$O$109:$O$131</c:f>
              <c:numCache>
                <c:formatCode>General</c:formatCode>
                <c:ptCount val="23"/>
                <c:pt idx="5">
                  <c:v>-0.2</c:v>
                </c:pt>
                <c:pt idx="6">
                  <c:v>-0.1</c:v>
                </c:pt>
                <c:pt idx="7">
                  <c:v>0</c:v>
                </c:pt>
                <c:pt idx="8">
                  <c:v>0.1</c:v>
                </c:pt>
                <c:pt idx="9">
                  <c:v>0.2</c:v>
                </c:pt>
                <c:pt idx="10">
                  <c:v>0.3</c:v>
                </c:pt>
                <c:pt idx="11">
                  <c:v>0.4</c:v>
                </c:pt>
                <c:pt idx="12">
                  <c:v>0.5</c:v>
                </c:pt>
                <c:pt idx="13">
                  <c:v>0.6</c:v>
                </c:pt>
                <c:pt idx="14">
                  <c:v>0.7</c:v>
                </c:pt>
                <c:pt idx="15">
                  <c:v>0.8</c:v>
                </c:pt>
                <c:pt idx="16">
                  <c:v>0.9</c:v>
                </c:pt>
                <c:pt idx="17">
                  <c:v>1</c:v>
                </c:pt>
                <c:pt idx="18">
                  <c:v>1.1000000000000001</c:v>
                </c:pt>
                <c:pt idx="19">
                  <c:v>1.2</c:v>
                </c:pt>
                <c:pt idx="20">
                  <c:v>1.3</c:v>
                </c:pt>
              </c:numCache>
            </c:numRef>
          </c:xVal>
          <c:yVal>
            <c:numRef>
              <c:f>[2]로그함수2!$R$109:$R$131</c:f>
              <c:numCache>
                <c:formatCode>General</c:formatCode>
                <c:ptCount val="23"/>
                <c:pt idx="8">
                  <c:v>1</c:v>
                </c:pt>
                <c:pt idx="9">
                  <c:v>0.69897000433601875</c:v>
                </c:pt>
                <c:pt idx="10">
                  <c:v>0.52287874528033762</c:v>
                </c:pt>
                <c:pt idx="11">
                  <c:v>0.3979400086720376</c:v>
                </c:pt>
                <c:pt idx="12">
                  <c:v>0.3010299956639812</c:v>
                </c:pt>
                <c:pt idx="13">
                  <c:v>0.22184874961635639</c:v>
                </c:pt>
                <c:pt idx="14">
                  <c:v>0.15490195998574319</c:v>
                </c:pt>
                <c:pt idx="15">
                  <c:v>9.6910013008056392E-2</c:v>
                </c:pt>
                <c:pt idx="16">
                  <c:v>4.5757490560675115E-2</c:v>
                </c:pt>
                <c:pt idx="17">
                  <c:v>0</c:v>
                </c:pt>
                <c:pt idx="18">
                  <c:v>-4.1392685158225077E-2</c:v>
                </c:pt>
                <c:pt idx="19">
                  <c:v>-7.9181246047624818E-2</c:v>
                </c:pt>
                <c:pt idx="20">
                  <c:v>-0.11394335230683679</c:v>
                </c:pt>
              </c:numCache>
            </c:numRef>
          </c:yVal>
          <c:smooth val="0"/>
          <c:extLst>
            <c:ext xmlns:c16="http://schemas.microsoft.com/office/drawing/2014/chart" uri="{C3380CC4-5D6E-409C-BE32-E72D297353CC}">
              <c16:uniqueId val="{00000005-5FE4-4609-ACEC-80EB5F2ED21F}"/>
            </c:ext>
          </c:extLst>
        </c:ser>
        <c:dLbls>
          <c:showLegendKey val="0"/>
          <c:showVal val="0"/>
          <c:showCatName val="0"/>
          <c:showSerName val="0"/>
          <c:showPercent val="0"/>
          <c:showBubbleSize val="0"/>
        </c:dLbls>
        <c:axId val="1174979519"/>
        <c:axId val="1174979935"/>
      </c:scatterChart>
      <c:valAx>
        <c:axId val="1174979519"/>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174979935"/>
        <c:crosses val="autoZero"/>
        <c:crossBetween val="midCat"/>
      </c:valAx>
      <c:valAx>
        <c:axId val="1174979935"/>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17497951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머신러닝기초!$C$5</c:f>
              <c:strCache>
                <c:ptCount val="1"/>
                <c:pt idx="0">
                  <c:v>몸무게</c:v>
                </c:pt>
              </c:strCache>
            </c:strRef>
          </c:tx>
          <c:spPr>
            <a:ln w="19050" cap="rnd">
              <a:noFill/>
              <a:round/>
            </a:ln>
            <a:effectLst/>
          </c:spPr>
          <c:marker>
            <c:symbol val="circle"/>
            <c:size val="5"/>
            <c:spPr>
              <a:solidFill>
                <a:schemeClr val="accent1"/>
              </a:solidFill>
              <a:ln w="9525">
                <a:solidFill>
                  <a:schemeClr val="accent1"/>
                </a:solidFill>
              </a:ln>
              <a:effectLst/>
            </c:spPr>
          </c:marker>
          <c:xVal>
            <c:numRef>
              <c:f>머신러닝기초!$B$6:$B$10</c:f>
              <c:numCache>
                <c:formatCode>General</c:formatCode>
                <c:ptCount val="5"/>
                <c:pt idx="0">
                  <c:v>170</c:v>
                </c:pt>
                <c:pt idx="1">
                  <c:v>155</c:v>
                </c:pt>
                <c:pt idx="2">
                  <c:v>150</c:v>
                </c:pt>
                <c:pt idx="3">
                  <c:v>175</c:v>
                </c:pt>
                <c:pt idx="4">
                  <c:v>165</c:v>
                </c:pt>
              </c:numCache>
            </c:numRef>
          </c:xVal>
          <c:yVal>
            <c:numRef>
              <c:f>머신러닝기초!$C$6:$C$10</c:f>
              <c:numCache>
                <c:formatCode>General</c:formatCode>
                <c:ptCount val="5"/>
                <c:pt idx="0">
                  <c:v>65</c:v>
                </c:pt>
                <c:pt idx="1">
                  <c:v>50</c:v>
                </c:pt>
                <c:pt idx="2">
                  <c:v>45</c:v>
                </c:pt>
                <c:pt idx="3">
                  <c:v>70</c:v>
                </c:pt>
                <c:pt idx="4">
                  <c:v>55</c:v>
                </c:pt>
              </c:numCache>
            </c:numRef>
          </c:yVal>
          <c:smooth val="0"/>
          <c:extLst>
            <c:ext xmlns:c16="http://schemas.microsoft.com/office/drawing/2014/chart" uri="{C3380CC4-5D6E-409C-BE32-E72D297353CC}">
              <c16:uniqueId val="{00000000-C45F-4E7A-9471-82A6F6203519}"/>
            </c:ext>
          </c:extLst>
        </c:ser>
        <c:dLbls>
          <c:showLegendKey val="0"/>
          <c:showVal val="0"/>
          <c:showCatName val="0"/>
          <c:showSerName val="0"/>
          <c:showPercent val="0"/>
          <c:showBubbleSize val="0"/>
        </c:dLbls>
        <c:axId val="211539632"/>
        <c:axId val="211534224"/>
      </c:scatterChart>
      <c:valAx>
        <c:axId val="2115396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1534224"/>
        <c:crosses val="autoZero"/>
        <c:crossBetween val="midCat"/>
      </c:valAx>
      <c:valAx>
        <c:axId val="21153422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15396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0</a:t>
            </a:r>
            <a:r>
              <a:rPr lang="en-US" altLang="ko-KR" baseline="0"/>
              <a:t> &lt; a &lt; 1 </a:t>
            </a:r>
            <a:r>
              <a:rPr lang="ko-KR" altLang="en-US" baseline="0"/>
              <a:t>경우</a:t>
            </a:r>
            <a:endParaRPr lang="en-US" altLang="ko-KR"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지수함수!$A$3:$A$23</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지수함수!$D$3:$D$23</c:f>
              <c:numCache>
                <c:formatCode>General</c:formatCode>
                <c:ptCount val="21"/>
                <c:pt idx="0">
                  <c:v>2</c:v>
                </c:pt>
                <c:pt idx="1">
                  <c:v>1.8660659830736148</c:v>
                </c:pt>
                <c:pt idx="2">
                  <c:v>1.7411011265922482</c:v>
                </c:pt>
                <c:pt idx="3">
                  <c:v>1.6245047927124709</c:v>
                </c:pt>
                <c:pt idx="4">
                  <c:v>1.5157165665103982</c:v>
                </c:pt>
                <c:pt idx="5">
                  <c:v>1.4142135623730949</c:v>
                </c:pt>
                <c:pt idx="6">
                  <c:v>1.3195079107728942</c:v>
                </c:pt>
                <c:pt idx="7">
                  <c:v>1.2311444133449163</c:v>
                </c:pt>
                <c:pt idx="8">
                  <c:v>1.1486983549970351</c:v>
                </c:pt>
                <c:pt idx="9">
                  <c:v>1.0717734625362931</c:v>
                </c:pt>
                <c:pt idx="10">
                  <c:v>1</c:v>
                </c:pt>
                <c:pt idx="11">
                  <c:v>0.93303299153680741</c:v>
                </c:pt>
                <c:pt idx="12">
                  <c:v>0.87055056329612412</c:v>
                </c:pt>
                <c:pt idx="13">
                  <c:v>0.81225239635623547</c:v>
                </c:pt>
                <c:pt idx="14">
                  <c:v>0.75785828325519911</c:v>
                </c:pt>
                <c:pt idx="15">
                  <c:v>0.70710678118654757</c:v>
                </c:pt>
                <c:pt idx="16">
                  <c:v>0.6597539553864471</c:v>
                </c:pt>
                <c:pt idx="17">
                  <c:v>0.61557220667245816</c:v>
                </c:pt>
                <c:pt idx="18">
                  <c:v>0.57434917749851755</c:v>
                </c:pt>
                <c:pt idx="19">
                  <c:v>0.53588673126814657</c:v>
                </c:pt>
                <c:pt idx="20">
                  <c:v>0.5</c:v>
                </c:pt>
              </c:numCache>
            </c:numRef>
          </c:yVal>
          <c:smooth val="0"/>
          <c:extLst>
            <c:ext xmlns:c16="http://schemas.microsoft.com/office/drawing/2014/chart" uri="{C3380CC4-5D6E-409C-BE32-E72D297353CC}">
              <c16:uniqueId val="{00000000-5878-4149-BA2D-93E419750232}"/>
            </c:ext>
          </c:extLst>
        </c:ser>
        <c:dLbls>
          <c:showLegendKey val="0"/>
          <c:showVal val="0"/>
          <c:showCatName val="0"/>
          <c:showSerName val="0"/>
          <c:showPercent val="0"/>
          <c:showBubbleSize val="0"/>
        </c:dLbls>
        <c:axId val="252837952"/>
        <c:axId val="252851264"/>
      </c:scatterChart>
      <c:valAx>
        <c:axId val="2528379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2851264"/>
        <c:crosses val="autoZero"/>
        <c:crossBetween val="midCat"/>
      </c:valAx>
      <c:valAx>
        <c:axId val="252851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28379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tx>
            <c:strRef>
              <c:f>머신러닝기초!$O$36</c:f>
              <c:strCache>
                <c:ptCount val="1"/>
                <c:pt idx="0">
                  <c:v>y</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머신러닝기초!$N$37:$N$57</c:f>
              <c:numCache>
                <c:formatCode>General</c:formatCode>
                <c:ptCount val="21"/>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numCache>
            </c:numRef>
          </c:xVal>
          <c:yVal>
            <c:numRef>
              <c:f>머신러닝기초!$O$37:$O$57</c:f>
              <c:numCache>
                <c:formatCode>General</c:formatCode>
                <c:ptCount val="21"/>
                <c:pt idx="0">
                  <c:v>100</c:v>
                </c:pt>
                <c:pt idx="1">
                  <c:v>81</c:v>
                </c:pt>
                <c:pt idx="2">
                  <c:v>64</c:v>
                </c:pt>
                <c:pt idx="3">
                  <c:v>49</c:v>
                </c:pt>
                <c:pt idx="4">
                  <c:v>36</c:v>
                </c:pt>
                <c:pt idx="5">
                  <c:v>25</c:v>
                </c:pt>
                <c:pt idx="6">
                  <c:v>16</c:v>
                </c:pt>
                <c:pt idx="7">
                  <c:v>9</c:v>
                </c:pt>
                <c:pt idx="8">
                  <c:v>4</c:v>
                </c:pt>
                <c:pt idx="9">
                  <c:v>1</c:v>
                </c:pt>
                <c:pt idx="10">
                  <c:v>0</c:v>
                </c:pt>
                <c:pt idx="11">
                  <c:v>1</c:v>
                </c:pt>
                <c:pt idx="12">
                  <c:v>4</c:v>
                </c:pt>
                <c:pt idx="13">
                  <c:v>9</c:v>
                </c:pt>
                <c:pt idx="14">
                  <c:v>16</c:v>
                </c:pt>
                <c:pt idx="15">
                  <c:v>25</c:v>
                </c:pt>
                <c:pt idx="16">
                  <c:v>36</c:v>
                </c:pt>
                <c:pt idx="17">
                  <c:v>49</c:v>
                </c:pt>
                <c:pt idx="18">
                  <c:v>64</c:v>
                </c:pt>
                <c:pt idx="19">
                  <c:v>81</c:v>
                </c:pt>
                <c:pt idx="20">
                  <c:v>100</c:v>
                </c:pt>
              </c:numCache>
            </c:numRef>
          </c:yVal>
          <c:smooth val="0"/>
          <c:extLst>
            <c:ext xmlns:c16="http://schemas.microsoft.com/office/drawing/2014/chart" uri="{C3380CC4-5D6E-409C-BE32-E72D297353CC}">
              <c16:uniqueId val="{00000000-BE77-4791-9F95-3ECC0F39784E}"/>
            </c:ext>
          </c:extLst>
        </c:ser>
        <c:dLbls>
          <c:showLegendKey val="0"/>
          <c:showVal val="0"/>
          <c:showCatName val="0"/>
          <c:showSerName val="0"/>
          <c:showPercent val="0"/>
          <c:showBubbleSize val="0"/>
        </c:dLbls>
        <c:axId val="331540032"/>
        <c:axId val="331540448"/>
      </c:scatterChart>
      <c:valAx>
        <c:axId val="3315400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331540448"/>
        <c:crosses val="autoZero"/>
        <c:crossBetween val="midCat"/>
      </c:valAx>
      <c:valAx>
        <c:axId val="331540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3315400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tx>
            <c:strRef>
              <c:f>머신러닝기초!$O$60</c:f>
              <c:strCache>
                <c:ptCount val="1"/>
                <c:pt idx="0">
                  <c:v>y</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머신러닝기초!$N$61:$N$81</c:f>
              <c:numCache>
                <c:formatCode>General</c:formatCode>
                <c:ptCount val="21"/>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numCache>
            </c:numRef>
          </c:xVal>
          <c:yVal>
            <c:numRef>
              <c:f>머신러닝기초!$O$61:$O$81</c:f>
              <c:numCache>
                <c:formatCode>General</c:formatCode>
                <c:ptCount val="21"/>
                <c:pt idx="0">
                  <c:v>-100</c:v>
                </c:pt>
                <c:pt idx="1">
                  <c:v>-81</c:v>
                </c:pt>
                <c:pt idx="2">
                  <c:v>-64</c:v>
                </c:pt>
                <c:pt idx="3">
                  <c:v>-49</c:v>
                </c:pt>
                <c:pt idx="4">
                  <c:v>-36</c:v>
                </c:pt>
                <c:pt idx="5">
                  <c:v>-25</c:v>
                </c:pt>
                <c:pt idx="6">
                  <c:v>-16</c:v>
                </c:pt>
                <c:pt idx="7">
                  <c:v>-9</c:v>
                </c:pt>
                <c:pt idx="8">
                  <c:v>-4</c:v>
                </c:pt>
                <c:pt idx="9">
                  <c:v>-1</c:v>
                </c:pt>
                <c:pt idx="10">
                  <c:v>0</c:v>
                </c:pt>
                <c:pt idx="11">
                  <c:v>-1</c:v>
                </c:pt>
                <c:pt idx="12">
                  <c:v>-4</c:v>
                </c:pt>
                <c:pt idx="13">
                  <c:v>-9</c:v>
                </c:pt>
                <c:pt idx="14">
                  <c:v>-16</c:v>
                </c:pt>
                <c:pt idx="15">
                  <c:v>-25</c:v>
                </c:pt>
                <c:pt idx="16">
                  <c:v>-36</c:v>
                </c:pt>
                <c:pt idx="17">
                  <c:v>-49</c:v>
                </c:pt>
                <c:pt idx="18">
                  <c:v>-64</c:v>
                </c:pt>
                <c:pt idx="19">
                  <c:v>-81</c:v>
                </c:pt>
                <c:pt idx="20">
                  <c:v>-100</c:v>
                </c:pt>
              </c:numCache>
            </c:numRef>
          </c:yVal>
          <c:smooth val="0"/>
          <c:extLst>
            <c:ext xmlns:c16="http://schemas.microsoft.com/office/drawing/2014/chart" uri="{C3380CC4-5D6E-409C-BE32-E72D297353CC}">
              <c16:uniqueId val="{00000000-CDF9-47FB-A3C7-53F11165D741}"/>
            </c:ext>
          </c:extLst>
        </c:ser>
        <c:dLbls>
          <c:showLegendKey val="0"/>
          <c:showVal val="0"/>
          <c:showCatName val="0"/>
          <c:showSerName val="0"/>
          <c:showPercent val="0"/>
          <c:showBubbleSize val="0"/>
        </c:dLbls>
        <c:axId val="207944224"/>
        <c:axId val="207945056"/>
      </c:scatterChart>
      <c:valAx>
        <c:axId val="2079442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07945056"/>
        <c:crosses val="autoZero"/>
        <c:crossBetween val="midCat"/>
      </c:valAx>
      <c:valAx>
        <c:axId val="207945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079442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cat>
            <c:numRef>
              <c:f>머신러닝기초!$V$38:$V$58</c:f>
              <c:numCache>
                <c:formatCode>General</c:formatCode>
                <c:ptCount val="21"/>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numCache>
            </c:numRef>
          </c:cat>
          <c:val>
            <c:numRef>
              <c:f>머신러닝기초!$W$38:$W$58</c:f>
              <c:numCache>
                <c:formatCode>General</c:formatCode>
                <c:ptCount val="21"/>
                <c:pt idx="0">
                  <c:v>100</c:v>
                </c:pt>
                <c:pt idx="1">
                  <c:v>81</c:v>
                </c:pt>
                <c:pt idx="2">
                  <c:v>64</c:v>
                </c:pt>
                <c:pt idx="3">
                  <c:v>49</c:v>
                </c:pt>
                <c:pt idx="4">
                  <c:v>36</c:v>
                </c:pt>
                <c:pt idx="5">
                  <c:v>25</c:v>
                </c:pt>
                <c:pt idx="6">
                  <c:v>16</c:v>
                </c:pt>
                <c:pt idx="7">
                  <c:v>9</c:v>
                </c:pt>
                <c:pt idx="8">
                  <c:v>4</c:v>
                </c:pt>
                <c:pt idx="9">
                  <c:v>1</c:v>
                </c:pt>
                <c:pt idx="10">
                  <c:v>0</c:v>
                </c:pt>
                <c:pt idx="11">
                  <c:v>1</c:v>
                </c:pt>
                <c:pt idx="12">
                  <c:v>4</c:v>
                </c:pt>
                <c:pt idx="13">
                  <c:v>9</c:v>
                </c:pt>
                <c:pt idx="14">
                  <c:v>16</c:v>
                </c:pt>
                <c:pt idx="15">
                  <c:v>25</c:v>
                </c:pt>
                <c:pt idx="16">
                  <c:v>36</c:v>
                </c:pt>
                <c:pt idx="17">
                  <c:v>49</c:v>
                </c:pt>
                <c:pt idx="18">
                  <c:v>64</c:v>
                </c:pt>
                <c:pt idx="19">
                  <c:v>81</c:v>
                </c:pt>
                <c:pt idx="20">
                  <c:v>100</c:v>
                </c:pt>
              </c:numCache>
            </c:numRef>
          </c:val>
          <c:smooth val="0"/>
          <c:extLst>
            <c:ext xmlns:c16="http://schemas.microsoft.com/office/drawing/2014/chart" uri="{C3380CC4-5D6E-409C-BE32-E72D297353CC}">
              <c16:uniqueId val="{00000000-D89B-4168-8B1D-1FF35D4815E2}"/>
            </c:ext>
          </c:extLst>
        </c:ser>
        <c:ser>
          <c:idx val="1"/>
          <c:order val="1"/>
          <c:spPr>
            <a:ln w="28575" cap="rnd">
              <a:solidFill>
                <a:schemeClr val="accent2"/>
              </a:solidFill>
              <a:round/>
            </a:ln>
            <a:effectLst/>
          </c:spPr>
          <c:marker>
            <c:symbol val="none"/>
          </c:marker>
          <c:cat>
            <c:numRef>
              <c:f>머신러닝기초!$V$38:$V$58</c:f>
              <c:numCache>
                <c:formatCode>General</c:formatCode>
                <c:ptCount val="21"/>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numCache>
            </c:numRef>
          </c:cat>
          <c:val>
            <c:numRef>
              <c:f>머신러닝기초!$X$38:$X$58</c:f>
              <c:numCache>
                <c:formatCode>General</c:formatCode>
                <c:ptCount val="21"/>
                <c:pt idx="0">
                  <c:v>200</c:v>
                </c:pt>
                <c:pt idx="1">
                  <c:v>162</c:v>
                </c:pt>
                <c:pt idx="2">
                  <c:v>128</c:v>
                </c:pt>
                <c:pt idx="3">
                  <c:v>98</c:v>
                </c:pt>
                <c:pt idx="4">
                  <c:v>72</c:v>
                </c:pt>
                <c:pt idx="5">
                  <c:v>50</c:v>
                </c:pt>
                <c:pt idx="6">
                  <c:v>32</c:v>
                </c:pt>
                <c:pt idx="7">
                  <c:v>18</c:v>
                </c:pt>
                <c:pt idx="8">
                  <c:v>8</c:v>
                </c:pt>
                <c:pt idx="9">
                  <c:v>2</c:v>
                </c:pt>
                <c:pt idx="10">
                  <c:v>0</c:v>
                </c:pt>
                <c:pt idx="11">
                  <c:v>2</c:v>
                </c:pt>
                <c:pt idx="12">
                  <c:v>8</c:v>
                </c:pt>
                <c:pt idx="13">
                  <c:v>18</c:v>
                </c:pt>
                <c:pt idx="14">
                  <c:v>32</c:v>
                </c:pt>
                <c:pt idx="15">
                  <c:v>50</c:v>
                </c:pt>
                <c:pt idx="16">
                  <c:v>72</c:v>
                </c:pt>
                <c:pt idx="17">
                  <c:v>98</c:v>
                </c:pt>
                <c:pt idx="18">
                  <c:v>128</c:v>
                </c:pt>
                <c:pt idx="19">
                  <c:v>162</c:v>
                </c:pt>
                <c:pt idx="20">
                  <c:v>200</c:v>
                </c:pt>
              </c:numCache>
            </c:numRef>
          </c:val>
          <c:smooth val="0"/>
          <c:extLst>
            <c:ext xmlns:c16="http://schemas.microsoft.com/office/drawing/2014/chart" uri="{C3380CC4-5D6E-409C-BE32-E72D297353CC}">
              <c16:uniqueId val="{00000001-D89B-4168-8B1D-1FF35D4815E2}"/>
            </c:ext>
          </c:extLst>
        </c:ser>
        <c:ser>
          <c:idx val="2"/>
          <c:order val="2"/>
          <c:spPr>
            <a:ln w="28575" cap="rnd">
              <a:solidFill>
                <a:schemeClr val="accent3"/>
              </a:solidFill>
              <a:round/>
            </a:ln>
            <a:effectLst/>
          </c:spPr>
          <c:marker>
            <c:symbol val="none"/>
          </c:marker>
          <c:cat>
            <c:numRef>
              <c:f>머신러닝기초!$V$38:$V$58</c:f>
              <c:numCache>
                <c:formatCode>General</c:formatCode>
                <c:ptCount val="21"/>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numCache>
            </c:numRef>
          </c:cat>
          <c:val>
            <c:numRef>
              <c:f>머신러닝기초!$Y$38:$Y$58</c:f>
              <c:numCache>
                <c:formatCode>General</c:formatCode>
                <c:ptCount val="21"/>
                <c:pt idx="0">
                  <c:v>300</c:v>
                </c:pt>
                <c:pt idx="1">
                  <c:v>243</c:v>
                </c:pt>
                <c:pt idx="2">
                  <c:v>192</c:v>
                </c:pt>
                <c:pt idx="3">
                  <c:v>147</c:v>
                </c:pt>
                <c:pt idx="4">
                  <c:v>108</c:v>
                </c:pt>
                <c:pt idx="5">
                  <c:v>75</c:v>
                </c:pt>
                <c:pt idx="6">
                  <c:v>48</c:v>
                </c:pt>
                <c:pt idx="7">
                  <c:v>27</c:v>
                </c:pt>
                <c:pt idx="8">
                  <c:v>12</c:v>
                </c:pt>
                <c:pt idx="9">
                  <c:v>3</c:v>
                </c:pt>
                <c:pt idx="10">
                  <c:v>0</c:v>
                </c:pt>
                <c:pt idx="11">
                  <c:v>3</c:v>
                </c:pt>
                <c:pt idx="12">
                  <c:v>12</c:v>
                </c:pt>
                <c:pt idx="13">
                  <c:v>27</c:v>
                </c:pt>
                <c:pt idx="14">
                  <c:v>48</c:v>
                </c:pt>
                <c:pt idx="15">
                  <c:v>75</c:v>
                </c:pt>
                <c:pt idx="16">
                  <c:v>108</c:v>
                </c:pt>
                <c:pt idx="17">
                  <c:v>147</c:v>
                </c:pt>
                <c:pt idx="18">
                  <c:v>192</c:v>
                </c:pt>
                <c:pt idx="19">
                  <c:v>243</c:v>
                </c:pt>
                <c:pt idx="20">
                  <c:v>300</c:v>
                </c:pt>
              </c:numCache>
            </c:numRef>
          </c:val>
          <c:smooth val="0"/>
          <c:extLst>
            <c:ext xmlns:c16="http://schemas.microsoft.com/office/drawing/2014/chart" uri="{C3380CC4-5D6E-409C-BE32-E72D297353CC}">
              <c16:uniqueId val="{00000002-D89B-4168-8B1D-1FF35D4815E2}"/>
            </c:ext>
          </c:extLst>
        </c:ser>
        <c:dLbls>
          <c:showLegendKey val="0"/>
          <c:showVal val="0"/>
          <c:showCatName val="0"/>
          <c:showSerName val="0"/>
          <c:showPercent val="0"/>
          <c:showBubbleSize val="0"/>
        </c:dLbls>
        <c:smooth val="0"/>
        <c:axId val="211537968"/>
        <c:axId val="87290640"/>
      </c:lineChart>
      <c:catAx>
        <c:axId val="211537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87290640"/>
        <c:crosses val="autoZero"/>
        <c:auto val="1"/>
        <c:lblAlgn val="ctr"/>
        <c:lblOffset val="100"/>
        <c:noMultiLvlLbl val="0"/>
      </c:catAx>
      <c:valAx>
        <c:axId val="87290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15379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tx>
            <c:strRef>
              <c:f>머신러닝기초!$X$62</c:f>
              <c:strCache>
                <c:ptCount val="1"/>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머신러닝기초!$W$63:$W$83</c:f>
              <c:numCache>
                <c:formatCode>General</c:formatCode>
                <c:ptCount val="21"/>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numCache>
            </c:numRef>
          </c:xVal>
          <c:yVal>
            <c:numRef>
              <c:f>머신러닝기초!$X$63:$X$83</c:f>
              <c:numCache>
                <c:formatCode>General</c:formatCode>
                <c:ptCount val="21"/>
                <c:pt idx="0">
                  <c:v>343</c:v>
                </c:pt>
                <c:pt idx="1">
                  <c:v>293</c:v>
                </c:pt>
                <c:pt idx="2">
                  <c:v>247</c:v>
                </c:pt>
                <c:pt idx="3">
                  <c:v>205</c:v>
                </c:pt>
                <c:pt idx="4">
                  <c:v>167</c:v>
                </c:pt>
                <c:pt idx="5">
                  <c:v>133</c:v>
                </c:pt>
                <c:pt idx="6">
                  <c:v>103</c:v>
                </c:pt>
                <c:pt idx="7">
                  <c:v>77</c:v>
                </c:pt>
                <c:pt idx="8">
                  <c:v>55</c:v>
                </c:pt>
                <c:pt idx="9">
                  <c:v>37</c:v>
                </c:pt>
                <c:pt idx="10">
                  <c:v>23</c:v>
                </c:pt>
                <c:pt idx="11">
                  <c:v>13</c:v>
                </c:pt>
                <c:pt idx="12">
                  <c:v>7</c:v>
                </c:pt>
                <c:pt idx="13">
                  <c:v>5</c:v>
                </c:pt>
                <c:pt idx="14">
                  <c:v>7</c:v>
                </c:pt>
                <c:pt idx="15">
                  <c:v>13</c:v>
                </c:pt>
                <c:pt idx="16">
                  <c:v>23</c:v>
                </c:pt>
                <c:pt idx="17">
                  <c:v>37</c:v>
                </c:pt>
                <c:pt idx="18">
                  <c:v>55</c:v>
                </c:pt>
                <c:pt idx="19">
                  <c:v>77</c:v>
                </c:pt>
                <c:pt idx="20">
                  <c:v>103</c:v>
                </c:pt>
              </c:numCache>
            </c:numRef>
          </c:yVal>
          <c:smooth val="0"/>
          <c:extLst>
            <c:ext xmlns:c16="http://schemas.microsoft.com/office/drawing/2014/chart" uri="{C3380CC4-5D6E-409C-BE32-E72D297353CC}">
              <c16:uniqueId val="{00000000-39F5-4D1C-9CFD-BB166747F12B}"/>
            </c:ext>
          </c:extLst>
        </c:ser>
        <c:dLbls>
          <c:showLegendKey val="0"/>
          <c:showVal val="0"/>
          <c:showCatName val="0"/>
          <c:showSerName val="0"/>
          <c:showPercent val="0"/>
          <c:showBubbleSize val="0"/>
        </c:dLbls>
        <c:axId val="343555392"/>
        <c:axId val="343548736"/>
      </c:scatterChart>
      <c:valAx>
        <c:axId val="3435553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343548736"/>
        <c:crosses val="autoZero"/>
        <c:crossBetween val="midCat"/>
      </c:valAx>
      <c:valAx>
        <c:axId val="343548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3435553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4.xml><?xml version="1.0" encoding="utf-8"?>
<cx:chartSpace xmlns:a="http://schemas.openxmlformats.org/drawingml/2006/main" xmlns:r="http://schemas.openxmlformats.org/officeDocument/2006/relationships" xmlns:cx="http://schemas.microsoft.com/office/drawing/2014/chartex">
  <cx:chartData>
    <cx:data id="0">
      <cx:numDim type="val">
        <cx:f>_xlchart.0</cx:f>
      </cx:numDim>
    </cx:data>
  </cx:chartData>
  <cx:chart>
    <cx:title pos="t" align="ctr" overlay="0">
      <cx:tx>
        <cx:rich>
          <a:bodyPr rot="0" spcFirstLastPara="1" vertOverflow="ellipsis" vert="horz" wrap="square" lIns="0" tIns="0" rIns="0" bIns="0" anchor="ctr" anchorCtr="1"/>
          <a:lstStyle/>
          <a:p>
            <a:pPr algn="ctr">
              <a:defRPr/>
            </a:pPr>
            <a:r>
              <a:rPr lang="ko-KR" altLang="en-US"/>
              <a:t>상자수염그림</a:t>
            </a:r>
            <a:r>
              <a:rPr lang="en-US" altLang="ko-KR"/>
              <a:t>(box plot)</a:t>
            </a:r>
            <a:endParaRPr lang="ko-KR"/>
          </a:p>
        </cx:rich>
      </cx:tx>
    </cx:title>
    <cx:plotArea>
      <cx:plotAreaRegion>
        <cx:series layoutId="boxWhisker" uniqueId="{1BFB30B1-44A8-4131-81A9-82E36C4DDEC6}">
          <cx:dataId val="0"/>
          <cx:layoutPr>
            <cx:visibility meanLine="0" meanMarker="1" nonoutliers="0" outliers="1"/>
            <cx:statistics quartileMethod="exclusive"/>
          </cx:layoutPr>
        </cx:series>
      </cx:plotAreaRegion>
      <cx:axis id="0">
        <cx:catScaling gapWidth="1"/>
        <cx:tickLabels/>
      </cx:axis>
      <cx:axis id="1">
        <cx:valScaling max="185" min="140"/>
        <cx:majorGridlines/>
        <cx:tickLabels/>
      </cx:axis>
    </cx:plotArea>
  </cx:chart>
</cx:chartSpace>
</file>

<file path=xl/charts/chart25.xml><?xml version="1.0" encoding="utf-8"?>
<cx:chartSpace xmlns:a="http://schemas.openxmlformats.org/drawingml/2006/main" xmlns:r="http://schemas.openxmlformats.org/officeDocument/2006/relationships" xmlns:cx="http://schemas.microsoft.com/office/drawing/2014/chartex">
  <cx:chartData>
    <cx:data id="0">
      <cx:numDim type="val">
        <cx:f>_xlchart.1</cx:f>
      </cx:numDim>
    </cx:data>
  </cx:chartData>
  <cx:chart>
    <cx:plotArea>
      <cx:plotAreaRegion>
        <cx:series layoutId="boxWhisker" uniqueId="{AC978CD3-BA90-4E4D-85AD-EC592B6CA9E7}">
          <cx:dataId val="0"/>
          <cx:layoutPr>
            <cx:visibility meanLine="0" meanMarker="1" nonoutliers="0" outliers="1"/>
            <cx:statistics quartileMethod="exclusive"/>
          </cx:layoutPr>
        </cx:series>
      </cx:plotAreaRegion>
      <cx:axis id="0">
        <cx:catScaling gapWidth="1"/>
        <cx:tickLabels/>
      </cx:axis>
      <cx:axis id="1">
        <cx:valScaling max="600" min="140"/>
        <cx:majorGridlines/>
        <cx:tickLabels/>
      </cx:axis>
    </cx:plotArea>
  </cx:chart>
</cx: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상관_회귀!$E$1</c:f>
              <c:strCache>
                <c:ptCount val="1"/>
                <c:pt idx="0">
                  <c:v>매출액</c:v>
                </c:pt>
              </c:strCache>
            </c:strRef>
          </c:tx>
          <c:spPr>
            <a:ln w="19050" cap="rnd">
              <a:noFill/>
              <a:round/>
            </a:ln>
            <a:effectLst/>
          </c:spPr>
          <c:marker>
            <c:symbol val="circle"/>
            <c:size val="5"/>
            <c:spPr>
              <a:solidFill>
                <a:schemeClr val="accent1"/>
              </a:solidFill>
              <a:ln w="9525">
                <a:solidFill>
                  <a:schemeClr val="accent1"/>
                </a:solidFill>
              </a:ln>
              <a:effectLst/>
            </c:spPr>
          </c:marker>
          <c:xVal>
            <c:numRef>
              <c:f>상관_회귀!$B$2:$B$16</c:f>
              <c:numCache>
                <c:formatCode>General</c:formatCode>
                <c:ptCount val="15"/>
                <c:pt idx="0">
                  <c:v>13</c:v>
                </c:pt>
                <c:pt idx="1">
                  <c:v>8</c:v>
                </c:pt>
                <c:pt idx="2">
                  <c:v>10</c:v>
                </c:pt>
                <c:pt idx="3">
                  <c:v>15</c:v>
                </c:pt>
                <c:pt idx="4">
                  <c:v>12</c:v>
                </c:pt>
                <c:pt idx="5">
                  <c:v>15</c:v>
                </c:pt>
                <c:pt idx="6">
                  <c:v>14</c:v>
                </c:pt>
                <c:pt idx="7">
                  <c:v>15</c:v>
                </c:pt>
                <c:pt idx="8">
                  <c:v>17</c:v>
                </c:pt>
                <c:pt idx="9">
                  <c:v>19</c:v>
                </c:pt>
                <c:pt idx="10">
                  <c:v>20</c:v>
                </c:pt>
                <c:pt idx="11">
                  <c:v>21</c:v>
                </c:pt>
                <c:pt idx="12">
                  <c:v>22</c:v>
                </c:pt>
                <c:pt idx="13">
                  <c:v>21</c:v>
                </c:pt>
                <c:pt idx="14">
                  <c:v>25</c:v>
                </c:pt>
              </c:numCache>
            </c:numRef>
          </c:xVal>
          <c:yVal>
            <c:numRef>
              <c:f>상관_회귀!$E$2:$E$16</c:f>
              <c:numCache>
                <c:formatCode>General</c:formatCode>
                <c:ptCount val="15"/>
                <c:pt idx="0">
                  <c:v>94</c:v>
                </c:pt>
                <c:pt idx="1">
                  <c:v>70</c:v>
                </c:pt>
                <c:pt idx="2">
                  <c:v>90</c:v>
                </c:pt>
                <c:pt idx="3">
                  <c:v>100</c:v>
                </c:pt>
                <c:pt idx="4">
                  <c:v>95</c:v>
                </c:pt>
                <c:pt idx="5">
                  <c:v>100</c:v>
                </c:pt>
                <c:pt idx="6">
                  <c:v>85</c:v>
                </c:pt>
                <c:pt idx="7">
                  <c:v>95</c:v>
                </c:pt>
                <c:pt idx="8">
                  <c:v>105</c:v>
                </c:pt>
                <c:pt idx="9">
                  <c:v>105</c:v>
                </c:pt>
                <c:pt idx="10">
                  <c:v>110</c:v>
                </c:pt>
                <c:pt idx="11">
                  <c:v>105</c:v>
                </c:pt>
                <c:pt idx="12">
                  <c:v>104</c:v>
                </c:pt>
                <c:pt idx="13">
                  <c:v>105</c:v>
                </c:pt>
                <c:pt idx="14">
                  <c:v>121</c:v>
                </c:pt>
              </c:numCache>
            </c:numRef>
          </c:yVal>
          <c:smooth val="0"/>
          <c:extLst>
            <c:ext xmlns:c16="http://schemas.microsoft.com/office/drawing/2014/chart" uri="{C3380CC4-5D6E-409C-BE32-E72D297353CC}">
              <c16:uniqueId val="{00000000-4A70-4CAB-BFED-D2437AF542CD}"/>
            </c:ext>
          </c:extLst>
        </c:ser>
        <c:dLbls>
          <c:showLegendKey val="0"/>
          <c:showVal val="0"/>
          <c:showCatName val="0"/>
          <c:showSerName val="0"/>
          <c:showPercent val="0"/>
          <c:showBubbleSize val="0"/>
        </c:dLbls>
        <c:axId val="1003846592"/>
        <c:axId val="1003848672"/>
      </c:scatterChart>
      <c:valAx>
        <c:axId val="10038465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03848672"/>
        <c:crosses val="autoZero"/>
        <c:crossBetween val="midCat"/>
      </c:valAx>
      <c:valAx>
        <c:axId val="1003848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038465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예측모델!$D$10</c:f>
              <c:strCache>
                <c:ptCount val="1"/>
                <c:pt idx="0">
                  <c:v>y(실제성적, 
실제값)</c:v>
                </c:pt>
              </c:strCache>
            </c:strRef>
          </c:tx>
          <c:spPr>
            <a:ln w="19050" cap="rnd">
              <a:noFill/>
              <a:round/>
            </a:ln>
            <a:effectLst/>
          </c:spPr>
          <c:marker>
            <c:symbol val="circle"/>
            <c:size val="5"/>
            <c:spPr>
              <a:solidFill>
                <a:schemeClr val="accent1"/>
              </a:solidFill>
              <a:ln w="9525">
                <a:solidFill>
                  <a:schemeClr val="accent1"/>
                </a:solidFill>
              </a:ln>
              <a:effectLst/>
            </c:spPr>
          </c:marker>
          <c:xVal>
            <c:numRef>
              <c:f>예측모델!$B$11:$B$14</c:f>
              <c:numCache>
                <c:formatCode>General</c:formatCode>
                <c:ptCount val="4"/>
                <c:pt idx="0">
                  <c:v>2</c:v>
                </c:pt>
                <c:pt idx="1">
                  <c:v>4</c:v>
                </c:pt>
                <c:pt idx="2">
                  <c:v>6</c:v>
                </c:pt>
                <c:pt idx="3">
                  <c:v>8</c:v>
                </c:pt>
              </c:numCache>
            </c:numRef>
          </c:xVal>
          <c:yVal>
            <c:numRef>
              <c:f>예측모델!$D$11:$D$14</c:f>
              <c:numCache>
                <c:formatCode>General</c:formatCode>
                <c:ptCount val="4"/>
                <c:pt idx="0">
                  <c:v>81</c:v>
                </c:pt>
                <c:pt idx="1">
                  <c:v>93</c:v>
                </c:pt>
                <c:pt idx="2">
                  <c:v>91</c:v>
                </c:pt>
                <c:pt idx="3">
                  <c:v>97</c:v>
                </c:pt>
              </c:numCache>
            </c:numRef>
          </c:yVal>
          <c:smooth val="0"/>
          <c:extLst>
            <c:ext xmlns:c16="http://schemas.microsoft.com/office/drawing/2014/chart" uri="{C3380CC4-5D6E-409C-BE32-E72D297353CC}">
              <c16:uniqueId val="{00000000-24D7-46C5-9C5B-A02D97B850AC}"/>
            </c:ext>
          </c:extLst>
        </c:ser>
        <c:dLbls>
          <c:showLegendKey val="0"/>
          <c:showVal val="0"/>
          <c:showCatName val="0"/>
          <c:showSerName val="0"/>
          <c:showPercent val="0"/>
          <c:showBubbleSize val="0"/>
        </c:dLbls>
        <c:axId val="387034464"/>
        <c:axId val="387035296"/>
      </c:scatterChart>
      <c:valAx>
        <c:axId val="3870344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387035296"/>
        <c:crosses val="autoZero"/>
        <c:crossBetween val="midCat"/>
      </c:valAx>
      <c:valAx>
        <c:axId val="387035296"/>
        <c:scaling>
          <c:orientation val="minMax"/>
          <c:min val="7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38703446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계단함수</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퍼셉트론!$S$4:$S$14</c:f>
              <c:numCache>
                <c:formatCode>General</c:formatCode>
                <c:ptCount val="11"/>
                <c:pt idx="0">
                  <c:v>-5</c:v>
                </c:pt>
                <c:pt idx="1">
                  <c:v>-4</c:v>
                </c:pt>
                <c:pt idx="2">
                  <c:v>-3</c:v>
                </c:pt>
                <c:pt idx="3">
                  <c:v>-2</c:v>
                </c:pt>
                <c:pt idx="4">
                  <c:v>-1</c:v>
                </c:pt>
                <c:pt idx="5">
                  <c:v>0</c:v>
                </c:pt>
                <c:pt idx="6">
                  <c:v>1</c:v>
                </c:pt>
                <c:pt idx="7">
                  <c:v>2</c:v>
                </c:pt>
                <c:pt idx="8">
                  <c:v>3</c:v>
                </c:pt>
                <c:pt idx="9">
                  <c:v>4</c:v>
                </c:pt>
                <c:pt idx="10">
                  <c:v>5</c:v>
                </c:pt>
              </c:numCache>
            </c:numRef>
          </c:xVal>
          <c:yVal>
            <c:numRef>
              <c:f>퍼셉트론!$T$4:$T$14</c:f>
              <c:numCache>
                <c:formatCode>General</c:formatCode>
                <c:ptCount val="11"/>
                <c:pt idx="0">
                  <c:v>-1</c:v>
                </c:pt>
                <c:pt idx="1">
                  <c:v>-1</c:v>
                </c:pt>
                <c:pt idx="2">
                  <c:v>-1</c:v>
                </c:pt>
                <c:pt idx="3">
                  <c:v>-1</c:v>
                </c:pt>
                <c:pt idx="4">
                  <c:v>-1</c:v>
                </c:pt>
                <c:pt idx="5">
                  <c:v>1</c:v>
                </c:pt>
                <c:pt idx="6">
                  <c:v>1</c:v>
                </c:pt>
                <c:pt idx="7">
                  <c:v>1</c:v>
                </c:pt>
                <c:pt idx="8">
                  <c:v>1</c:v>
                </c:pt>
                <c:pt idx="9">
                  <c:v>1</c:v>
                </c:pt>
                <c:pt idx="10">
                  <c:v>1</c:v>
                </c:pt>
              </c:numCache>
            </c:numRef>
          </c:yVal>
          <c:smooth val="0"/>
          <c:extLst>
            <c:ext xmlns:c16="http://schemas.microsoft.com/office/drawing/2014/chart" uri="{C3380CC4-5D6E-409C-BE32-E72D297353CC}">
              <c16:uniqueId val="{00000000-4A7F-40E3-AA90-F64F1B514803}"/>
            </c:ext>
          </c:extLst>
        </c:ser>
        <c:dLbls>
          <c:showLegendKey val="0"/>
          <c:showVal val="0"/>
          <c:showCatName val="0"/>
          <c:showSerName val="0"/>
          <c:showPercent val="0"/>
          <c:showBubbleSize val="0"/>
        </c:dLbls>
        <c:axId val="1266425216"/>
        <c:axId val="1266420224"/>
      </c:scatterChart>
      <c:valAx>
        <c:axId val="12664252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66420224"/>
        <c:crosses val="autoZero"/>
        <c:crossBetween val="midCat"/>
      </c:valAx>
      <c:valAx>
        <c:axId val="1266420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664252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퍼셉트론!$N$3:$N$6</c:f>
              <c:numCache>
                <c:formatCode>General</c:formatCode>
                <c:ptCount val="4"/>
                <c:pt idx="0">
                  <c:v>0</c:v>
                </c:pt>
                <c:pt idx="1">
                  <c:v>1</c:v>
                </c:pt>
                <c:pt idx="2">
                  <c:v>0</c:v>
                </c:pt>
                <c:pt idx="3">
                  <c:v>1</c:v>
                </c:pt>
              </c:numCache>
            </c:numRef>
          </c:xVal>
          <c:yVal>
            <c:numRef>
              <c:f>퍼셉트론!$O$3:$O$6</c:f>
              <c:numCache>
                <c:formatCode>General</c:formatCode>
                <c:ptCount val="4"/>
                <c:pt idx="0">
                  <c:v>0</c:v>
                </c:pt>
                <c:pt idx="1">
                  <c:v>0</c:v>
                </c:pt>
                <c:pt idx="2">
                  <c:v>1</c:v>
                </c:pt>
                <c:pt idx="3">
                  <c:v>1</c:v>
                </c:pt>
              </c:numCache>
            </c:numRef>
          </c:yVal>
          <c:smooth val="0"/>
          <c:extLst>
            <c:ext xmlns:c16="http://schemas.microsoft.com/office/drawing/2014/chart" uri="{C3380CC4-5D6E-409C-BE32-E72D297353CC}">
              <c16:uniqueId val="{00000000-580C-4923-AF62-0868519F6424}"/>
            </c:ext>
          </c:extLst>
        </c:ser>
        <c:dLbls>
          <c:showLegendKey val="0"/>
          <c:showVal val="0"/>
          <c:showCatName val="0"/>
          <c:showSerName val="0"/>
          <c:showPercent val="0"/>
          <c:showBubbleSize val="0"/>
        </c:dLbls>
        <c:axId val="1266432288"/>
        <c:axId val="1266426048"/>
      </c:scatterChart>
      <c:valAx>
        <c:axId val="12664322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66426048"/>
        <c:crosses val="autoZero"/>
        <c:crossBetween val="midCat"/>
      </c:valAx>
      <c:valAx>
        <c:axId val="1266426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664322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지수함수!$A$34:$A$54</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지수함수!$C$34:$C$54</c:f>
              <c:numCache>
                <c:formatCode>General</c:formatCode>
                <c:ptCount val="21"/>
                <c:pt idx="0">
                  <c:v>0.5</c:v>
                </c:pt>
                <c:pt idx="1">
                  <c:v>0.53588673126814657</c:v>
                </c:pt>
                <c:pt idx="2">
                  <c:v>0.57434917749851755</c:v>
                </c:pt>
                <c:pt idx="3">
                  <c:v>0.61557220667245816</c:v>
                </c:pt>
                <c:pt idx="4">
                  <c:v>0.65975395538644721</c:v>
                </c:pt>
                <c:pt idx="5">
                  <c:v>0.70710678118654746</c:v>
                </c:pt>
                <c:pt idx="6">
                  <c:v>0.75785828325519911</c:v>
                </c:pt>
                <c:pt idx="7">
                  <c:v>0.81225239635623547</c:v>
                </c:pt>
                <c:pt idx="8">
                  <c:v>0.87055056329612412</c:v>
                </c:pt>
                <c:pt idx="9">
                  <c:v>0.93303299153680741</c:v>
                </c:pt>
                <c:pt idx="10">
                  <c:v>1</c:v>
                </c:pt>
                <c:pt idx="11">
                  <c:v>1.0717734625362931</c:v>
                </c:pt>
                <c:pt idx="12">
                  <c:v>1.1486983549970351</c:v>
                </c:pt>
                <c:pt idx="13">
                  <c:v>1.2311444133449163</c:v>
                </c:pt>
                <c:pt idx="14">
                  <c:v>1.3195079107728942</c:v>
                </c:pt>
                <c:pt idx="15">
                  <c:v>1.4142135623730951</c:v>
                </c:pt>
                <c:pt idx="16">
                  <c:v>1.515716566510398</c:v>
                </c:pt>
                <c:pt idx="17">
                  <c:v>1.6245047927124709</c:v>
                </c:pt>
                <c:pt idx="18">
                  <c:v>1.7411011265922482</c:v>
                </c:pt>
                <c:pt idx="19">
                  <c:v>1.8660659830736148</c:v>
                </c:pt>
                <c:pt idx="20">
                  <c:v>2</c:v>
                </c:pt>
              </c:numCache>
            </c:numRef>
          </c:yVal>
          <c:smooth val="0"/>
          <c:extLst>
            <c:ext xmlns:c16="http://schemas.microsoft.com/office/drawing/2014/chart" uri="{C3380CC4-5D6E-409C-BE32-E72D297353CC}">
              <c16:uniqueId val="{00000000-4FE1-464C-820A-A28D7FD4982D}"/>
            </c:ext>
          </c:extLst>
        </c:ser>
        <c:dLbls>
          <c:showLegendKey val="0"/>
          <c:showVal val="0"/>
          <c:showCatName val="0"/>
          <c:showSerName val="0"/>
          <c:showPercent val="0"/>
          <c:showBubbleSize val="0"/>
        </c:dLbls>
        <c:axId val="2134457904"/>
        <c:axId val="138871968"/>
      </c:scatterChart>
      <c:valAx>
        <c:axId val="21344579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38871968"/>
        <c:crosses val="autoZero"/>
        <c:crossBetween val="midCat"/>
      </c:valAx>
      <c:valAx>
        <c:axId val="13887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344579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퍼셉트론!$N$3:$N$6</c:f>
              <c:numCache>
                <c:formatCode>General</c:formatCode>
                <c:ptCount val="4"/>
                <c:pt idx="0">
                  <c:v>0</c:v>
                </c:pt>
                <c:pt idx="1">
                  <c:v>1</c:v>
                </c:pt>
                <c:pt idx="2">
                  <c:v>0</c:v>
                </c:pt>
                <c:pt idx="3">
                  <c:v>1</c:v>
                </c:pt>
              </c:numCache>
            </c:numRef>
          </c:xVal>
          <c:yVal>
            <c:numRef>
              <c:f>퍼셉트론!$O$3:$O$6</c:f>
              <c:numCache>
                <c:formatCode>General</c:formatCode>
                <c:ptCount val="4"/>
                <c:pt idx="0">
                  <c:v>0</c:v>
                </c:pt>
                <c:pt idx="1">
                  <c:v>0</c:v>
                </c:pt>
                <c:pt idx="2">
                  <c:v>1</c:v>
                </c:pt>
                <c:pt idx="3">
                  <c:v>1</c:v>
                </c:pt>
              </c:numCache>
            </c:numRef>
          </c:yVal>
          <c:smooth val="0"/>
          <c:extLst>
            <c:ext xmlns:c16="http://schemas.microsoft.com/office/drawing/2014/chart" uri="{C3380CC4-5D6E-409C-BE32-E72D297353CC}">
              <c16:uniqueId val="{00000000-580C-4923-AF62-0868519F6424}"/>
            </c:ext>
          </c:extLst>
        </c:ser>
        <c:dLbls>
          <c:showLegendKey val="0"/>
          <c:showVal val="0"/>
          <c:showCatName val="0"/>
          <c:showSerName val="0"/>
          <c:showPercent val="0"/>
          <c:showBubbleSize val="0"/>
        </c:dLbls>
        <c:axId val="1266432288"/>
        <c:axId val="1266426048"/>
      </c:scatterChart>
      <c:valAx>
        <c:axId val="12664322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66426048"/>
        <c:crosses val="autoZero"/>
        <c:crossBetween val="midCat"/>
      </c:valAx>
      <c:valAx>
        <c:axId val="1266426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664322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활성화함수!$B$5:$B$17</c:f>
              <c:numCache>
                <c:formatCode>General</c:formatCode>
                <c:ptCount val="13"/>
                <c:pt idx="0">
                  <c:v>-3</c:v>
                </c:pt>
                <c:pt idx="1">
                  <c:v>-2.5</c:v>
                </c:pt>
                <c:pt idx="2">
                  <c:v>-2</c:v>
                </c:pt>
                <c:pt idx="3">
                  <c:v>-1.5</c:v>
                </c:pt>
                <c:pt idx="4">
                  <c:v>-1</c:v>
                </c:pt>
                <c:pt idx="5">
                  <c:v>-0.5</c:v>
                </c:pt>
                <c:pt idx="6">
                  <c:v>0</c:v>
                </c:pt>
                <c:pt idx="7">
                  <c:v>0.5</c:v>
                </c:pt>
                <c:pt idx="8">
                  <c:v>1</c:v>
                </c:pt>
                <c:pt idx="9">
                  <c:v>1.5</c:v>
                </c:pt>
                <c:pt idx="10">
                  <c:v>2</c:v>
                </c:pt>
                <c:pt idx="11">
                  <c:v>2.5</c:v>
                </c:pt>
                <c:pt idx="12">
                  <c:v>3</c:v>
                </c:pt>
              </c:numCache>
            </c:numRef>
          </c:xVal>
          <c:yVal>
            <c:numRef>
              <c:f>활성화함수!$C$5:$C$17</c:f>
              <c:numCache>
                <c:formatCode>General</c:formatCode>
                <c:ptCount val="13"/>
                <c:pt idx="0">
                  <c:v>0</c:v>
                </c:pt>
                <c:pt idx="1">
                  <c:v>0</c:v>
                </c:pt>
                <c:pt idx="2">
                  <c:v>0</c:v>
                </c:pt>
                <c:pt idx="3">
                  <c:v>0</c:v>
                </c:pt>
                <c:pt idx="4">
                  <c:v>0</c:v>
                </c:pt>
                <c:pt idx="5">
                  <c:v>0</c:v>
                </c:pt>
                <c:pt idx="6">
                  <c:v>0</c:v>
                </c:pt>
                <c:pt idx="7">
                  <c:v>0.5</c:v>
                </c:pt>
                <c:pt idx="8">
                  <c:v>1</c:v>
                </c:pt>
                <c:pt idx="9">
                  <c:v>1.5</c:v>
                </c:pt>
                <c:pt idx="10">
                  <c:v>2</c:v>
                </c:pt>
                <c:pt idx="11">
                  <c:v>2.5</c:v>
                </c:pt>
                <c:pt idx="12">
                  <c:v>3</c:v>
                </c:pt>
              </c:numCache>
            </c:numRef>
          </c:yVal>
          <c:smooth val="0"/>
          <c:extLst>
            <c:ext xmlns:c16="http://schemas.microsoft.com/office/drawing/2014/chart" uri="{C3380CC4-5D6E-409C-BE32-E72D297353CC}">
              <c16:uniqueId val="{00000000-0288-44A3-AB93-620A171057BF}"/>
            </c:ext>
          </c:extLst>
        </c:ser>
        <c:dLbls>
          <c:showLegendKey val="0"/>
          <c:showVal val="0"/>
          <c:showCatName val="0"/>
          <c:showSerName val="0"/>
          <c:showPercent val="0"/>
          <c:showBubbleSize val="0"/>
        </c:dLbls>
        <c:axId val="1266444768"/>
        <c:axId val="1266441856"/>
      </c:scatterChart>
      <c:valAx>
        <c:axId val="12664447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66441856"/>
        <c:crosses val="autoZero"/>
        <c:crossBetween val="midCat"/>
      </c:valAx>
      <c:valAx>
        <c:axId val="1266441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664447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활성화함수!$B$30:$B$42</c:f>
              <c:numCache>
                <c:formatCode>General</c:formatCode>
                <c:ptCount val="13"/>
                <c:pt idx="0">
                  <c:v>-3</c:v>
                </c:pt>
                <c:pt idx="1">
                  <c:v>-2.5</c:v>
                </c:pt>
                <c:pt idx="2">
                  <c:v>-2</c:v>
                </c:pt>
                <c:pt idx="3">
                  <c:v>-1.5</c:v>
                </c:pt>
                <c:pt idx="4">
                  <c:v>-1</c:v>
                </c:pt>
                <c:pt idx="5">
                  <c:v>-0.5</c:v>
                </c:pt>
                <c:pt idx="6">
                  <c:v>0</c:v>
                </c:pt>
                <c:pt idx="7">
                  <c:v>0.5</c:v>
                </c:pt>
                <c:pt idx="8">
                  <c:v>1</c:v>
                </c:pt>
                <c:pt idx="9">
                  <c:v>1.5</c:v>
                </c:pt>
                <c:pt idx="10">
                  <c:v>2</c:v>
                </c:pt>
                <c:pt idx="11">
                  <c:v>2.5</c:v>
                </c:pt>
                <c:pt idx="12">
                  <c:v>3</c:v>
                </c:pt>
              </c:numCache>
            </c:numRef>
          </c:xVal>
          <c:yVal>
            <c:numRef>
              <c:f>활성화함수!$C$30:$C$42</c:f>
              <c:numCache>
                <c:formatCode>General</c:formatCode>
                <c:ptCount val="13"/>
                <c:pt idx="0">
                  <c:v>-0.99505475368673058</c:v>
                </c:pt>
                <c:pt idx="1">
                  <c:v>-0.98661429815143042</c:v>
                </c:pt>
                <c:pt idx="2">
                  <c:v>-0.96402758007581701</c:v>
                </c:pt>
                <c:pt idx="3">
                  <c:v>-0.9051482536448664</c:v>
                </c:pt>
                <c:pt idx="4">
                  <c:v>-0.76159415595576485</c:v>
                </c:pt>
                <c:pt idx="5">
                  <c:v>-0.46211715726000979</c:v>
                </c:pt>
                <c:pt idx="6">
                  <c:v>0</c:v>
                </c:pt>
                <c:pt idx="7">
                  <c:v>0.46211715726000979</c:v>
                </c:pt>
                <c:pt idx="8">
                  <c:v>0.76159415595576485</c:v>
                </c:pt>
                <c:pt idx="9">
                  <c:v>0.9051482536448664</c:v>
                </c:pt>
                <c:pt idx="10">
                  <c:v>0.96402758007581701</c:v>
                </c:pt>
                <c:pt idx="11">
                  <c:v>0.98661429815143042</c:v>
                </c:pt>
                <c:pt idx="12">
                  <c:v>0.99505475368673058</c:v>
                </c:pt>
              </c:numCache>
            </c:numRef>
          </c:yVal>
          <c:smooth val="0"/>
          <c:extLst>
            <c:ext xmlns:c16="http://schemas.microsoft.com/office/drawing/2014/chart" uri="{C3380CC4-5D6E-409C-BE32-E72D297353CC}">
              <c16:uniqueId val="{00000000-3ADB-414B-817C-CF22BF8B6BCC}"/>
            </c:ext>
          </c:extLst>
        </c:ser>
        <c:dLbls>
          <c:showLegendKey val="0"/>
          <c:showVal val="0"/>
          <c:showCatName val="0"/>
          <c:showSerName val="0"/>
          <c:showPercent val="0"/>
          <c:showBubbleSize val="0"/>
        </c:dLbls>
        <c:axId val="1116680816"/>
        <c:axId val="1116682064"/>
      </c:scatterChart>
      <c:valAx>
        <c:axId val="11166808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116682064"/>
        <c:crosses val="autoZero"/>
        <c:crossBetween val="midCat"/>
      </c:valAx>
      <c:valAx>
        <c:axId val="1116682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1166808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활성화함수!$B$47:$B$67</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활성화함수!$C$47:$C$67</c:f>
              <c:numCache>
                <c:formatCode>General</c:formatCode>
                <c:ptCount val="21"/>
                <c:pt idx="0">
                  <c:v>0.31326168751822286</c:v>
                </c:pt>
                <c:pt idx="1">
                  <c:v>0.34115387473208791</c:v>
                </c:pt>
                <c:pt idx="2">
                  <c:v>0.37110066594777769</c:v>
                </c:pt>
                <c:pt idx="3">
                  <c:v>0.40318604888545784</c:v>
                </c:pt>
                <c:pt idx="4">
                  <c:v>0.43748795048588568</c:v>
                </c:pt>
                <c:pt idx="5">
                  <c:v>0.47407698418010669</c:v>
                </c:pt>
                <c:pt idx="6">
                  <c:v>0.5130152523999526</c:v>
                </c:pt>
                <c:pt idx="7">
                  <c:v>0.55435524446852702</c:v>
                </c:pt>
                <c:pt idx="8">
                  <c:v>0.59813886938159178</c:v>
                </c:pt>
                <c:pt idx="9">
                  <c:v>0.64439666007357088</c:v>
                </c:pt>
                <c:pt idx="10">
                  <c:v>0.69314718055994529</c:v>
                </c:pt>
                <c:pt idx="11">
                  <c:v>0.74439666007357097</c:v>
                </c:pt>
                <c:pt idx="12">
                  <c:v>0.79813886938159173</c:v>
                </c:pt>
                <c:pt idx="13">
                  <c:v>0.85435524446852718</c:v>
                </c:pt>
                <c:pt idx="14">
                  <c:v>0.91301525239995263</c:v>
                </c:pt>
                <c:pt idx="15">
                  <c:v>0.97407698418010669</c:v>
                </c:pt>
                <c:pt idx="16">
                  <c:v>1.0374879504858856</c:v>
                </c:pt>
                <c:pt idx="17">
                  <c:v>1.1031860488854579</c:v>
                </c:pt>
                <c:pt idx="18">
                  <c:v>1.1711006659477778</c:v>
                </c:pt>
                <c:pt idx="19">
                  <c:v>1.2411538747320878</c:v>
                </c:pt>
                <c:pt idx="20">
                  <c:v>1.3132616875182228</c:v>
                </c:pt>
              </c:numCache>
            </c:numRef>
          </c:yVal>
          <c:smooth val="0"/>
          <c:extLst>
            <c:ext xmlns:c16="http://schemas.microsoft.com/office/drawing/2014/chart" uri="{C3380CC4-5D6E-409C-BE32-E72D297353CC}">
              <c16:uniqueId val="{00000000-5A2D-4156-A081-3FE0745A2F95}"/>
            </c:ext>
          </c:extLst>
        </c:ser>
        <c:dLbls>
          <c:showLegendKey val="0"/>
          <c:showVal val="0"/>
          <c:showCatName val="0"/>
          <c:showSerName val="0"/>
          <c:showPercent val="0"/>
          <c:showBubbleSize val="0"/>
        </c:dLbls>
        <c:axId val="900838848"/>
        <c:axId val="900842176"/>
      </c:scatterChart>
      <c:valAx>
        <c:axId val="9008388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900842176"/>
        <c:crosses val="autoZero"/>
        <c:crossBetween val="midCat"/>
      </c:valAx>
      <c:valAx>
        <c:axId val="900842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9008388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활성화함수!$K$47:$K$67</c:f>
              <c:numCache>
                <c:formatCode>General</c:formatCode>
                <c:ptCount val="21"/>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numCache>
            </c:numRef>
          </c:xVal>
          <c:yVal>
            <c:numRef>
              <c:f>활성화함수!$L$47:$L$67</c:f>
              <c:numCache>
                <c:formatCode>General</c:formatCode>
                <c:ptCount val="21"/>
                <c:pt idx="0">
                  <c:v>4.5398899216870535E-5</c:v>
                </c:pt>
                <c:pt idx="1">
                  <c:v>1.2340218972333965E-4</c:v>
                </c:pt>
                <c:pt idx="2">
                  <c:v>3.3540637289566238E-4</c:v>
                </c:pt>
                <c:pt idx="3">
                  <c:v>9.1146645377420147E-4</c:v>
                </c:pt>
                <c:pt idx="4">
                  <c:v>2.4756851377303571E-3</c:v>
                </c:pt>
                <c:pt idx="5">
                  <c:v>6.7153484891179669E-3</c:v>
                </c:pt>
                <c:pt idx="6">
                  <c:v>1.8149927917809779E-2</c:v>
                </c:pt>
                <c:pt idx="7">
                  <c:v>4.8587351573741958E-2</c:v>
                </c:pt>
                <c:pt idx="8">
                  <c:v>0.1269280110429726</c:v>
                </c:pt>
                <c:pt idx="9">
                  <c:v>0.31326168751822286</c:v>
                </c:pt>
                <c:pt idx="10">
                  <c:v>0.69314718055994529</c:v>
                </c:pt>
                <c:pt idx="11">
                  <c:v>1.3132616875182228</c:v>
                </c:pt>
                <c:pt idx="12">
                  <c:v>2.1269280110429727</c:v>
                </c:pt>
                <c:pt idx="13">
                  <c:v>3.0485873515737421</c:v>
                </c:pt>
                <c:pt idx="14">
                  <c:v>4.0181499279178094</c:v>
                </c:pt>
                <c:pt idx="15">
                  <c:v>5.0067153484891183</c:v>
                </c:pt>
                <c:pt idx="16">
                  <c:v>6.0024756851377301</c:v>
                </c:pt>
                <c:pt idx="17">
                  <c:v>7.0009114664537737</c:v>
                </c:pt>
                <c:pt idx="18">
                  <c:v>8.000335406372896</c:v>
                </c:pt>
                <c:pt idx="19">
                  <c:v>9.0001234021897236</c:v>
                </c:pt>
                <c:pt idx="20">
                  <c:v>10.000045398899218</c:v>
                </c:pt>
              </c:numCache>
            </c:numRef>
          </c:yVal>
          <c:smooth val="0"/>
          <c:extLst>
            <c:ext xmlns:c16="http://schemas.microsoft.com/office/drawing/2014/chart" uri="{C3380CC4-5D6E-409C-BE32-E72D297353CC}">
              <c16:uniqueId val="{00000000-A807-4699-B9E7-4377AC15EEE6}"/>
            </c:ext>
          </c:extLst>
        </c:ser>
        <c:dLbls>
          <c:showLegendKey val="0"/>
          <c:showVal val="0"/>
          <c:showCatName val="0"/>
          <c:showSerName val="0"/>
          <c:showPercent val="0"/>
          <c:showBubbleSize val="0"/>
        </c:dLbls>
        <c:axId val="1326380480"/>
        <c:axId val="1326380896"/>
      </c:scatterChart>
      <c:valAx>
        <c:axId val="13263804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326380896"/>
        <c:crosses val="autoZero"/>
        <c:crossBetween val="midCat"/>
      </c:valAx>
      <c:valAx>
        <c:axId val="1326380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3263804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지수함수!$A$34:$A$54</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지수함수!$D$34:$D$54</c:f>
              <c:numCache>
                <c:formatCode>General</c:formatCode>
                <c:ptCount val="21"/>
                <c:pt idx="0">
                  <c:v>-2.5</c:v>
                </c:pt>
                <c:pt idx="1">
                  <c:v>-2.4641132687318534</c:v>
                </c:pt>
                <c:pt idx="2">
                  <c:v>-2.4256508225014826</c:v>
                </c:pt>
                <c:pt idx="3">
                  <c:v>-2.384427793327542</c:v>
                </c:pt>
                <c:pt idx="4">
                  <c:v>-2.3402460446135529</c:v>
                </c:pt>
                <c:pt idx="5">
                  <c:v>-2.2928932188134525</c:v>
                </c:pt>
                <c:pt idx="6">
                  <c:v>-2.242141716744801</c:v>
                </c:pt>
                <c:pt idx="7">
                  <c:v>-2.1877476036437646</c:v>
                </c:pt>
                <c:pt idx="8">
                  <c:v>-2.1294494367038759</c:v>
                </c:pt>
                <c:pt idx="9">
                  <c:v>-2.0669670084631928</c:v>
                </c:pt>
                <c:pt idx="10">
                  <c:v>-2</c:v>
                </c:pt>
                <c:pt idx="11">
                  <c:v>-1.9282265374637069</c:v>
                </c:pt>
                <c:pt idx="12">
                  <c:v>-1.8513016450029649</c:v>
                </c:pt>
                <c:pt idx="13">
                  <c:v>-1.7688555866550837</c:v>
                </c:pt>
                <c:pt idx="14">
                  <c:v>-1.6804920892271058</c:v>
                </c:pt>
                <c:pt idx="15">
                  <c:v>-1.5857864376269049</c:v>
                </c:pt>
                <c:pt idx="16">
                  <c:v>-1.484283433489602</c:v>
                </c:pt>
                <c:pt idx="17">
                  <c:v>-1.3754952072875291</c:v>
                </c:pt>
                <c:pt idx="18">
                  <c:v>-1.2588988734077518</c:v>
                </c:pt>
                <c:pt idx="19">
                  <c:v>-1.1339340169263852</c:v>
                </c:pt>
                <c:pt idx="20">
                  <c:v>-1</c:v>
                </c:pt>
              </c:numCache>
            </c:numRef>
          </c:yVal>
          <c:smooth val="0"/>
          <c:extLst>
            <c:ext xmlns:c16="http://schemas.microsoft.com/office/drawing/2014/chart" uri="{C3380CC4-5D6E-409C-BE32-E72D297353CC}">
              <c16:uniqueId val="{00000000-7AD2-4D6A-9EE4-EE74BEAD17D7}"/>
            </c:ext>
          </c:extLst>
        </c:ser>
        <c:dLbls>
          <c:showLegendKey val="0"/>
          <c:showVal val="0"/>
          <c:showCatName val="0"/>
          <c:showSerName val="0"/>
          <c:showPercent val="0"/>
          <c:showBubbleSize val="0"/>
        </c:dLbls>
        <c:axId val="2134457072"/>
        <c:axId val="2129628960"/>
      </c:scatterChart>
      <c:valAx>
        <c:axId val="21344570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29628960"/>
        <c:crosses val="autoZero"/>
        <c:crossBetween val="midCat"/>
      </c:valAx>
      <c:valAx>
        <c:axId val="212962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344570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지수함수!$A$34:$A$54</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지수함수!$E$34:$E$54</c:f>
              <c:numCache>
                <c:formatCode>General</c:formatCode>
                <c:ptCount val="21"/>
                <c:pt idx="0">
                  <c:v>3.5</c:v>
                </c:pt>
                <c:pt idx="1">
                  <c:v>3.5358867312681466</c:v>
                </c:pt>
                <c:pt idx="2">
                  <c:v>3.5743491774985174</c:v>
                </c:pt>
                <c:pt idx="3">
                  <c:v>3.615572206672458</c:v>
                </c:pt>
                <c:pt idx="4">
                  <c:v>3.6597539553864471</c:v>
                </c:pt>
                <c:pt idx="5">
                  <c:v>3.7071067811865475</c:v>
                </c:pt>
                <c:pt idx="6">
                  <c:v>3.757858283255199</c:v>
                </c:pt>
                <c:pt idx="7">
                  <c:v>3.8122523963562354</c:v>
                </c:pt>
                <c:pt idx="8">
                  <c:v>3.8705505632961241</c:v>
                </c:pt>
                <c:pt idx="9">
                  <c:v>3.9330329915368072</c:v>
                </c:pt>
                <c:pt idx="10">
                  <c:v>4</c:v>
                </c:pt>
                <c:pt idx="11">
                  <c:v>4.0717734625362931</c:v>
                </c:pt>
                <c:pt idx="12">
                  <c:v>4.1486983549970349</c:v>
                </c:pt>
                <c:pt idx="13">
                  <c:v>4.2311444133449161</c:v>
                </c:pt>
                <c:pt idx="14">
                  <c:v>4.3195079107728942</c:v>
                </c:pt>
                <c:pt idx="15">
                  <c:v>4.4142135623730949</c:v>
                </c:pt>
                <c:pt idx="16">
                  <c:v>4.515716566510398</c:v>
                </c:pt>
                <c:pt idx="17">
                  <c:v>4.6245047927124707</c:v>
                </c:pt>
                <c:pt idx="18">
                  <c:v>4.7411011265922482</c:v>
                </c:pt>
                <c:pt idx="19">
                  <c:v>4.8660659830736144</c:v>
                </c:pt>
                <c:pt idx="20">
                  <c:v>5</c:v>
                </c:pt>
              </c:numCache>
            </c:numRef>
          </c:yVal>
          <c:smooth val="0"/>
          <c:extLst>
            <c:ext xmlns:c16="http://schemas.microsoft.com/office/drawing/2014/chart" uri="{C3380CC4-5D6E-409C-BE32-E72D297353CC}">
              <c16:uniqueId val="{00000000-3777-4615-B445-4A85D5D8311B}"/>
            </c:ext>
          </c:extLst>
        </c:ser>
        <c:dLbls>
          <c:showLegendKey val="0"/>
          <c:showVal val="0"/>
          <c:showCatName val="0"/>
          <c:showSerName val="0"/>
          <c:showPercent val="0"/>
          <c:showBubbleSize val="0"/>
        </c:dLbls>
        <c:axId val="2134456656"/>
        <c:axId val="253648896"/>
      </c:scatterChart>
      <c:valAx>
        <c:axId val="21344566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3648896"/>
        <c:crosses val="autoZero"/>
        <c:crossBetween val="midCat"/>
      </c:valAx>
      <c:valAx>
        <c:axId val="253648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344566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y</a:t>
            </a:r>
            <a:r>
              <a:rPr lang="ko-KR" altLang="en-US"/>
              <a:t>축에 대해 대칭이동</a:t>
            </a:r>
            <a:endParaRPr lang="en-US" altLang="ko-K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지수함수!$A$64:$A$84</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지수함수!$D$64:$D$84</c:f>
              <c:numCache>
                <c:formatCode>General</c:formatCode>
                <c:ptCount val="21"/>
                <c:pt idx="0">
                  <c:v>2</c:v>
                </c:pt>
                <c:pt idx="1">
                  <c:v>1.8660659830736148</c:v>
                </c:pt>
                <c:pt idx="2">
                  <c:v>1.7411011265922482</c:v>
                </c:pt>
                <c:pt idx="3">
                  <c:v>1.6245047927124709</c:v>
                </c:pt>
                <c:pt idx="4">
                  <c:v>1.515716566510398</c:v>
                </c:pt>
                <c:pt idx="5">
                  <c:v>1.4142135623730951</c:v>
                </c:pt>
                <c:pt idx="6">
                  <c:v>1.3195079107728942</c:v>
                </c:pt>
                <c:pt idx="7">
                  <c:v>1.2311444133449163</c:v>
                </c:pt>
                <c:pt idx="8">
                  <c:v>1.1486983549970351</c:v>
                </c:pt>
                <c:pt idx="9">
                  <c:v>1.0717734625362931</c:v>
                </c:pt>
                <c:pt idx="10">
                  <c:v>1</c:v>
                </c:pt>
                <c:pt idx="11">
                  <c:v>0.93303299153680741</c:v>
                </c:pt>
                <c:pt idx="12">
                  <c:v>0.87055056329612412</c:v>
                </c:pt>
                <c:pt idx="13">
                  <c:v>0.81225239635623547</c:v>
                </c:pt>
                <c:pt idx="14">
                  <c:v>0.75785828325519911</c:v>
                </c:pt>
                <c:pt idx="15">
                  <c:v>0.70710678118654746</c:v>
                </c:pt>
                <c:pt idx="16">
                  <c:v>0.65975395538644721</c:v>
                </c:pt>
                <c:pt idx="17">
                  <c:v>0.61557220667245816</c:v>
                </c:pt>
                <c:pt idx="18">
                  <c:v>0.57434917749851755</c:v>
                </c:pt>
                <c:pt idx="19">
                  <c:v>0.53588673126814657</c:v>
                </c:pt>
                <c:pt idx="20">
                  <c:v>0.5</c:v>
                </c:pt>
              </c:numCache>
            </c:numRef>
          </c:yVal>
          <c:smooth val="0"/>
          <c:extLst>
            <c:ext xmlns:c16="http://schemas.microsoft.com/office/drawing/2014/chart" uri="{C3380CC4-5D6E-409C-BE32-E72D297353CC}">
              <c16:uniqueId val="{00000000-765C-4BE1-BA8A-C32F65C4AB7E}"/>
            </c:ext>
          </c:extLst>
        </c:ser>
        <c:dLbls>
          <c:showLegendKey val="0"/>
          <c:showVal val="0"/>
          <c:showCatName val="0"/>
          <c:showSerName val="0"/>
          <c:showPercent val="0"/>
          <c:showBubbleSize val="0"/>
        </c:dLbls>
        <c:axId val="138870304"/>
        <c:axId val="138871552"/>
      </c:scatterChart>
      <c:valAx>
        <c:axId val="1388703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38871552"/>
        <c:crosses val="autoZero"/>
        <c:crossBetween val="midCat"/>
      </c:valAx>
      <c:valAx>
        <c:axId val="138871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388703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x</a:t>
            </a:r>
            <a:r>
              <a:rPr lang="ko-KR" altLang="en-US"/>
              <a:t>축에 대해 대칭이동</a:t>
            </a:r>
            <a:endParaRPr lang="en-US" altLang="ko-K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지수함수!$A$64:$A$84</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지수함수!$F$64:$F$84</c:f>
              <c:numCache>
                <c:formatCode>General</c:formatCode>
                <c:ptCount val="21"/>
                <c:pt idx="0">
                  <c:v>-0.5</c:v>
                </c:pt>
                <c:pt idx="1">
                  <c:v>-0.53588673126814657</c:v>
                </c:pt>
                <c:pt idx="2">
                  <c:v>-0.57434917749851755</c:v>
                </c:pt>
                <c:pt idx="3">
                  <c:v>-0.61557220667245816</c:v>
                </c:pt>
                <c:pt idx="4">
                  <c:v>-0.65975395538644721</c:v>
                </c:pt>
                <c:pt idx="5">
                  <c:v>-0.70710678118654746</c:v>
                </c:pt>
                <c:pt idx="6">
                  <c:v>-0.75785828325519911</c:v>
                </c:pt>
                <c:pt idx="7">
                  <c:v>-0.81225239635623547</c:v>
                </c:pt>
                <c:pt idx="8">
                  <c:v>-0.87055056329612412</c:v>
                </c:pt>
                <c:pt idx="9">
                  <c:v>-0.93303299153680741</c:v>
                </c:pt>
                <c:pt idx="10">
                  <c:v>-1</c:v>
                </c:pt>
                <c:pt idx="11">
                  <c:v>-1.0717734625362931</c:v>
                </c:pt>
                <c:pt idx="12">
                  <c:v>-1.1486983549970351</c:v>
                </c:pt>
                <c:pt idx="13">
                  <c:v>-1.2311444133449163</c:v>
                </c:pt>
                <c:pt idx="14">
                  <c:v>-1.3195079107728942</c:v>
                </c:pt>
                <c:pt idx="15">
                  <c:v>-1.4142135623730951</c:v>
                </c:pt>
                <c:pt idx="16">
                  <c:v>-1.515716566510398</c:v>
                </c:pt>
                <c:pt idx="17">
                  <c:v>-1.6245047927124709</c:v>
                </c:pt>
                <c:pt idx="18">
                  <c:v>-1.7411011265922482</c:v>
                </c:pt>
                <c:pt idx="19">
                  <c:v>-1.8660659830736148</c:v>
                </c:pt>
                <c:pt idx="20">
                  <c:v>-2</c:v>
                </c:pt>
              </c:numCache>
            </c:numRef>
          </c:yVal>
          <c:smooth val="0"/>
          <c:extLst>
            <c:ext xmlns:c16="http://schemas.microsoft.com/office/drawing/2014/chart" uri="{C3380CC4-5D6E-409C-BE32-E72D297353CC}">
              <c16:uniqueId val="{00000000-51FB-4935-A8ED-F6D3473BFC2A}"/>
            </c:ext>
          </c:extLst>
        </c:ser>
        <c:dLbls>
          <c:showLegendKey val="0"/>
          <c:showVal val="0"/>
          <c:showCatName val="0"/>
          <c:showSerName val="0"/>
          <c:showPercent val="0"/>
          <c:showBubbleSize val="0"/>
        </c:dLbls>
        <c:axId val="2133898240"/>
        <c:axId val="2133891584"/>
      </c:scatterChart>
      <c:valAx>
        <c:axId val="21338982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33891584"/>
        <c:crosses val="autoZero"/>
        <c:crossBetween val="midCat"/>
      </c:valAx>
      <c:valAx>
        <c:axId val="2133891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338982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지수함수!$A$34:$A$54</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지수함수!$C$34:$C$54</c:f>
              <c:numCache>
                <c:formatCode>General</c:formatCode>
                <c:ptCount val="21"/>
                <c:pt idx="0">
                  <c:v>0.5</c:v>
                </c:pt>
                <c:pt idx="1">
                  <c:v>0.53588673126814657</c:v>
                </c:pt>
                <c:pt idx="2">
                  <c:v>0.57434917749851755</c:v>
                </c:pt>
                <c:pt idx="3">
                  <c:v>0.61557220667245816</c:v>
                </c:pt>
                <c:pt idx="4">
                  <c:v>0.65975395538644721</c:v>
                </c:pt>
                <c:pt idx="5">
                  <c:v>0.70710678118654746</c:v>
                </c:pt>
                <c:pt idx="6">
                  <c:v>0.75785828325519911</c:v>
                </c:pt>
                <c:pt idx="7">
                  <c:v>0.81225239635623547</c:v>
                </c:pt>
                <c:pt idx="8">
                  <c:v>0.87055056329612412</c:v>
                </c:pt>
                <c:pt idx="9">
                  <c:v>0.93303299153680741</c:v>
                </c:pt>
                <c:pt idx="10">
                  <c:v>1</c:v>
                </c:pt>
                <c:pt idx="11">
                  <c:v>1.0717734625362931</c:v>
                </c:pt>
                <c:pt idx="12">
                  <c:v>1.1486983549970351</c:v>
                </c:pt>
                <c:pt idx="13">
                  <c:v>1.2311444133449163</c:v>
                </c:pt>
                <c:pt idx="14">
                  <c:v>1.3195079107728942</c:v>
                </c:pt>
                <c:pt idx="15">
                  <c:v>1.4142135623730951</c:v>
                </c:pt>
                <c:pt idx="16">
                  <c:v>1.515716566510398</c:v>
                </c:pt>
                <c:pt idx="17">
                  <c:v>1.6245047927124709</c:v>
                </c:pt>
                <c:pt idx="18">
                  <c:v>1.7411011265922482</c:v>
                </c:pt>
                <c:pt idx="19">
                  <c:v>1.8660659830736148</c:v>
                </c:pt>
                <c:pt idx="20">
                  <c:v>2</c:v>
                </c:pt>
              </c:numCache>
            </c:numRef>
          </c:yVal>
          <c:smooth val="0"/>
          <c:extLst>
            <c:ext xmlns:c16="http://schemas.microsoft.com/office/drawing/2014/chart" uri="{C3380CC4-5D6E-409C-BE32-E72D297353CC}">
              <c16:uniqueId val="{00000000-8A13-4297-AA0E-90D3739A59EB}"/>
            </c:ext>
          </c:extLst>
        </c:ser>
        <c:dLbls>
          <c:showLegendKey val="0"/>
          <c:showVal val="0"/>
          <c:showCatName val="0"/>
          <c:showSerName val="0"/>
          <c:showPercent val="0"/>
          <c:showBubbleSize val="0"/>
        </c:dLbls>
        <c:axId val="2134457904"/>
        <c:axId val="138871968"/>
      </c:scatterChart>
      <c:valAx>
        <c:axId val="21344579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38871968"/>
        <c:crosses val="autoZero"/>
        <c:crossBetween val="midCat"/>
      </c:valAx>
      <c:valAx>
        <c:axId val="13887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344579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원점에 대해 대칭이동</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지수함수!$A$64:$A$84</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지수함수!$H$64:$H$84</c:f>
              <c:numCache>
                <c:formatCode>General</c:formatCode>
                <c:ptCount val="21"/>
                <c:pt idx="0">
                  <c:v>-2</c:v>
                </c:pt>
                <c:pt idx="1">
                  <c:v>-1.8660659830736148</c:v>
                </c:pt>
                <c:pt idx="2">
                  <c:v>-1.7411011265922482</c:v>
                </c:pt>
                <c:pt idx="3">
                  <c:v>-1.6245047927124709</c:v>
                </c:pt>
                <c:pt idx="4">
                  <c:v>-1.515716566510398</c:v>
                </c:pt>
                <c:pt idx="5">
                  <c:v>-1.4142135623730951</c:v>
                </c:pt>
                <c:pt idx="6">
                  <c:v>-1.3195079107728942</c:v>
                </c:pt>
                <c:pt idx="7">
                  <c:v>-1.2311444133449163</c:v>
                </c:pt>
                <c:pt idx="8">
                  <c:v>-1.1486983549970351</c:v>
                </c:pt>
                <c:pt idx="9">
                  <c:v>-1.0717734625362931</c:v>
                </c:pt>
                <c:pt idx="10">
                  <c:v>-1</c:v>
                </c:pt>
                <c:pt idx="11">
                  <c:v>-0.93303299153680741</c:v>
                </c:pt>
                <c:pt idx="12">
                  <c:v>-0.87055056329612412</c:v>
                </c:pt>
                <c:pt idx="13">
                  <c:v>-0.81225239635623547</c:v>
                </c:pt>
                <c:pt idx="14">
                  <c:v>-0.75785828325519911</c:v>
                </c:pt>
                <c:pt idx="15">
                  <c:v>-0.70710678118654746</c:v>
                </c:pt>
                <c:pt idx="16">
                  <c:v>-0.65975395538644721</c:v>
                </c:pt>
                <c:pt idx="17">
                  <c:v>-0.61557220667245816</c:v>
                </c:pt>
                <c:pt idx="18">
                  <c:v>-0.57434917749851755</c:v>
                </c:pt>
                <c:pt idx="19">
                  <c:v>-0.53588673126814657</c:v>
                </c:pt>
                <c:pt idx="20">
                  <c:v>-0.5</c:v>
                </c:pt>
              </c:numCache>
            </c:numRef>
          </c:yVal>
          <c:smooth val="0"/>
          <c:extLst>
            <c:ext xmlns:c16="http://schemas.microsoft.com/office/drawing/2014/chart" uri="{C3380CC4-5D6E-409C-BE32-E72D297353CC}">
              <c16:uniqueId val="{00000000-BBE5-48CB-B775-F847BFAD07BA}"/>
            </c:ext>
          </c:extLst>
        </c:ser>
        <c:dLbls>
          <c:showLegendKey val="0"/>
          <c:showVal val="0"/>
          <c:showCatName val="0"/>
          <c:showSerName val="0"/>
          <c:showPercent val="0"/>
          <c:showBubbleSize val="0"/>
        </c:dLbls>
        <c:axId val="254585696"/>
        <c:axId val="254592768"/>
      </c:scatterChart>
      <c:valAx>
        <c:axId val="2545856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4592768"/>
        <c:crosses val="autoZero"/>
        <c:crossBetween val="midCat"/>
      </c:valAx>
      <c:valAx>
        <c:axId val="254592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45856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2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3" Type="http://schemas.openxmlformats.org/officeDocument/2006/relationships/image" Target="../media/image23.png"/><Relationship Id="rId2" Type="http://schemas.openxmlformats.org/officeDocument/2006/relationships/image" Target="../media/image22.png"/><Relationship Id="rId1" Type="http://schemas.openxmlformats.org/officeDocument/2006/relationships/image" Target="../media/image21.png"/></Relationships>
</file>

<file path=xl/drawings/_rels/drawing11.xml.rels><?xml version="1.0" encoding="UTF-8" standalone="yes"?>
<Relationships xmlns="http://schemas.openxmlformats.org/package/2006/relationships"><Relationship Id="rId3" Type="http://schemas.openxmlformats.org/officeDocument/2006/relationships/image" Target="../media/image25.png"/><Relationship Id="rId2" Type="http://schemas.openxmlformats.org/officeDocument/2006/relationships/chart" Target="../charts/chart27.xml"/><Relationship Id="rId1" Type="http://schemas.openxmlformats.org/officeDocument/2006/relationships/image" Target="../media/image24.png"/><Relationship Id="rId6" Type="http://schemas.openxmlformats.org/officeDocument/2006/relationships/image" Target="../media/image28.png"/><Relationship Id="rId5" Type="http://schemas.openxmlformats.org/officeDocument/2006/relationships/image" Target="../media/image27.png"/><Relationship Id="rId4" Type="http://schemas.openxmlformats.org/officeDocument/2006/relationships/image" Target="../media/image26.png"/></Relationships>
</file>

<file path=xl/drawings/_rels/drawing12.xml.rels><?xml version="1.0" encoding="UTF-8" standalone="yes"?>
<Relationships xmlns="http://schemas.openxmlformats.org/package/2006/relationships"><Relationship Id="rId3" Type="http://schemas.openxmlformats.org/officeDocument/2006/relationships/image" Target="../media/image31.png"/><Relationship Id="rId2" Type="http://schemas.openxmlformats.org/officeDocument/2006/relationships/image" Target="../media/image30.png"/><Relationship Id="rId1" Type="http://schemas.openxmlformats.org/officeDocument/2006/relationships/image" Target="../media/image29.png"/></Relationships>
</file>

<file path=xl/drawings/_rels/drawing13.xml.rels><?xml version="1.0" encoding="UTF-8" standalone="yes"?>
<Relationships xmlns="http://schemas.openxmlformats.org/package/2006/relationships"><Relationship Id="rId3" Type="http://schemas.openxmlformats.org/officeDocument/2006/relationships/image" Target="../media/image34.png"/><Relationship Id="rId2" Type="http://schemas.openxmlformats.org/officeDocument/2006/relationships/image" Target="../media/image33.png"/><Relationship Id="rId1" Type="http://schemas.openxmlformats.org/officeDocument/2006/relationships/image" Target="../media/image32.png"/></Relationships>
</file>

<file path=xl/drawings/_rels/drawing14.xml.rels><?xml version="1.0" encoding="UTF-8" standalone="yes"?>
<Relationships xmlns="http://schemas.openxmlformats.org/package/2006/relationships"><Relationship Id="rId3" Type="http://schemas.openxmlformats.org/officeDocument/2006/relationships/image" Target="../media/image37.png"/><Relationship Id="rId2" Type="http://schemas.openxmlformats.org/officeDocument/2006/relationships/image" Target="../media/image36.png"/><Relationship Id="rId1" Type="http://schemas.openxmlformats.org/officeDocument/2006/relationships/image" Target="../media/image35.png"/></Relationships>
</file>

<file path=xl/drawings/_rels/drawing15.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image" Target="../media/image38.png"/><Relationship Id="rId1" Type="http://schemas.openxmlformats.org/officeDocument/2006/relationships/chart" Target="../charts/chart28.xml"/><Relationship Id="rId4" Type="http://schemas.openxmlformats.org/officeDocument/2006/relationships/chart" Target="../charts/chart30.xml"/></Relationships>
</file>

<file path=xl/drawings/_rels/drawing17.xml.rels><?xml version="1.0" encoding="UTF-8" standalone="yes"?>
<Relationships xmlns="http://schemas.openxmlformats.org/package/2006/relationships"><Relationship Id="rId8" Type="http://schemas.openxmlformats.org/officeDocument/2006/relationships/image" Target="../media/image42.png"/><Relationship Id="rId3" Type="http://schemas.openxmlformats.org/officeDocument/2006/relationships/chart" Target="../charts/chart32.xml"/><Relationship Id="rId7" Type="http://schemas.openxmlformats.org/officeDocument/2006/relationships/image" Target="../media/image41.png"/><Relationship Id="rId2" Type="http://schemas.openxmlformats.org/officeDocument/2006/relationships/image" Target="../media/image39.png"/><Relationship Id="rId1" Type="http://schemas.openxmlformats.org/officeDocument/2006/relationships/chart" Target="../charts/chart31.xml"/><Relationship Id="rId6" Type="http://schemas.openxmlformats.org/officeDocument/2006/relationships/image" Target="../media/image40.jpg"/><Relationship Id="rId5" Type="http://schemas.openxmlformats.org/officeDocument/2006/relationships/chart" Target="../charts/chart34.xml"/><Relationship Id="rId4" Type="http://schemas.openxmlformats.org/officeDocument/2006/relationships/chart" Target="../charts/chart33.xml"/></Relationships>
</file>

<file path=xl/drawings/_rels/drawing18.xml.rels><?xml version="1.0" encoding="UTF-8" standalone="yes"?>
<Relationships xmlns="http://schemas.openxmlformats.org/package/2006/relationships"><Relationship Id="rId2" Type="http://schemas.openxmlformats.org/officeDocument/2006/relationships/image" Target="../media/image44.png"/><Relationship Id="rId1" Type="http://schemas.openxmlformats.org/officeDocument/2006/relationships/image" Target="../media/image43.png"/></Relationships>
</file>

<file path=xl/drawings/_rels/drawing19.xml.rels><?xml version="1.0" encoding="UTF-8" standalone="yes"?>
<Relationships xmlns="http://schemas.openxmlformats.org/package/2006/relationships"><Relationship Id="rId3" Type="http://schemas.openxmlformats.org/officeDocument/2006/relationships/image" Target="../media/image47.png"/><Relationship Id="rId2" Type="http://schemas.openxmlformats.org/officeDocument/2006/relationships/image" Target="../media/image46.png"/><Relationship Id="rId1" Type="http://schemas.openxmlformats.org/officeDocument/2006/relationships/image" Target="../media/image45.png"/><Relationship Id="rId4" Type="http://schemas.openxmlformats.org/officeDocument/2006/relationships/image" Target="../media/image48.png"/></Relationships>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5" Type="http://schemas.openxmlformats.org/officeDocument/2006/relationships/image" Target="../media/image10.png"/><Relationship Id="rId4" Type="http://schemas.openxmlformats.org/officeDocument/2006/relationships/image" Target="../media/image9.png"/></Relationships>
</file>

<file path=xl/drawings/_rels/drawing20.xml.rels><?xml version="1.0" encoding="UTF-8" standalone="yes"?>
<Relationships xmlns="http://schemas.openxmlformats.org/package/2006/relationships"><Relationship Id="rId2" Type="http://schemas.openxmlformats.org/officeDocument/2006/relationships/image" Target="../media/image49.png"/><Relationship Id="rId1" Type="http://schemas.openxmlformats.org/officeDocument/2006/relationships/image" Target="../media/image46.png"/></Relationships>
</file>

<file path=xl/drawings/_rels/drawing21.xml.rels><?xml version="1.0" encoding="UTF-8" standalone="yes"?>
<Relationships xmlns="http://schemas.openxmlformats.org/package/2006/relationships"><Relationship Id="rId1" Type="http://schemas.openxmlformats.org/officeDocument/2006/relationships/image" Target="../media/image46.png"/></Relationships>
</file>

<file path=xl/drawings/_rels/drawing22.xml.rels><?xml version="1.0" encoding="UTF-8" standalone="yes"?>
<Relationships xmlns="http://schemas.openxmlformats.org/package/2006/relationships"><Relationship Id="rId1" Type="http://schemas.openxmlformats.org/officeDocument/2006/relationships/image" Target="../media/image46.png"/></Relationships>
</file>

<file path=xl/drawings/_rels/drawing23.xml.rels><?xml version="1.0" encoding="UTF-8" standalone="yes"?>
<Relationships xmlns="http://schemas.openxmlformats.org/package/2006/relationships"><Relationship Id="rId2" Type="http://schemas.openxmlformats.org/officeDocument/2006/relationships/image" Target="../media/image50.png"/><Relationship Id="rId1" Type="http://schemas.openxmlformats.org/officeDocument/2006/relationships/image" Target="../media/image46.png"/></Relationships>
</file>

<file path=xl/drawings/_rels/drawing24.xml.rels><?xml version="1.0" encoding="UTF-8" standalone="yes"?>
<Relationships xmlns="http://schemas.openxmlformats.org/package/2006/relationships"><Relationship Id="rId1" Type="http://schemas.openxmlformats.org/officeDocument/2006/relationships/image" Target="../media/image51.png"/></Relationships>
</file>

<file path=xl/drawings/_rels/drawing26.xml.rels><?xml version="1.0" encoding="UTF-8" standalone="yes"?>
<Relationships xmlns="http://schemas.openxmlformats.org/package/2006/relationships"><Relationship Id="rId1" Type="http://schemas.openxmlformats.org/officeDocument/2006/relationships/image" Target="../media/image52.png"/></Relationships>
</file>

<file path=xl/drawings/_rels/drawing27.xml.rels><?xml version="1.0" encoding="UTF-8" standalone="yes"?>
<Relationships xmlns="http://schemas.openxmlformats.org/package/2006/relationships"><Relationship Id="rId2" Type="http://schemas.openxmlformats.org/officeDocument/2006/relationships/image" Target="../media/image53.jpg"/><Relationship Id="rId1" Type="http://schemas.openxmlformats.org/officeDocument/2006/relationships/image" Target="../media/image52.png"/></Relationships>
</file>

<file path=xl/drawings/_rels/drawing28.xml.rels><?xml version="1.0" encoding="UTF-8" standalone="yes"?>
<Relationships xmlns="http://schemas.openxmlformats.org/package/2006/relationships"><Relationship Id="rId2" Type="http://schemas.openxmlformats.org/officeDocument/2006/relationships/image" Target="../media/image54.png"/><Relationship Id="rId1" Type="http://schemas.openxmlformats.org/officeDocument/2006/relationships/image" Target="../media/image53.jpg"/></Relationships>
</file>

<file path=xl/drawings/_rels/drawing29.xml.rels><?xml version="1.0" encoding="UTF-8" standalone="yes"?>
<Relationships xmlns="http://schemas.openxmlformats.org/package/2006/relationships"><Relationship Id="rId2" Type="http://schemas.openxmlformats.org/officeDocument/2006/relationships/image" Target="../media/image56.jpeg"/><Relationship Id="rId1" Type="http://schemas.openxmlformats.org/officeDocument/2006/relationships/image" Target="../media/image55.png"/></Relationships>
</file>

<file path=xl/drawings/_rels/drawing30.xml.rels><?xml version="1.0" encoding="UTF-8" standalone="yes"?>
<Relationships xmlns="http://schemas.openxmlformats.org/package/2006/relationships"><Relationship Id="rId2" Type="http://schemas.openxmlformats.org/officeDocument/2006/relationships/image" Target="../media/image58.png"/><Relationship Id="rId1" Type="http://schemas.openxmlformats.org/officeDocument/2006/relationships/image" Target="../media/image57.png"/></Relationships>
</file>

<file path=xl/drawings/_rels/drawing32.xml.rels><?xml version="1.0" encoding="UTF-8" standalone="yes"?>
<Relationships xmlns="http://schemas.openxmlformats.org/package/2006/relationships"><Relationship Id="rId1" Type="http://schemas.openxmlformats.org/officeDocument/2006/relationships/image" Target="../media/image59.png"/></Relationships>
</file>

<file path=xl/drawings/_rels/drawing33.xml.rels><?xml version="1.0" encoding="UTF-8" standalone="yes"?>
<Relationships xmlns="http://schemas.openxmlformats.org/package/2006/relationships"><Relationship Id="rId2" Type="http://schemas.openxmlformats.org/officeDocument/2006/relationships/image" Target="../media/image61.png"/><Relationship Id="rId1" Type="http://schemas.openxmlformats.org/officeDocument/2006/relationships/image" Target="../media/image60.png"/></Relationships>
</file>

<file path=xl/drawings/_rels/drawing34.xml.rels><?xml version="1.0" encoding="UTF-8" standalone="yes"?>
<Relationships xmlns="http://schemas.openxmlformats.org/package/2006/relationships"><Relationship Id="rId8" Type="http://schemas.openxmlformats.org/officeDocument/2006/relationships/image" Target="../media/image69.png"/><Relationship Id="rId3" Type="http://schemas.openxmlformats.org/officeDocument/2006/relationships/image" Target="../media/image64.jpeg"/><Relationship Id="rId7" Type="http://schemas.openxmlformats.org/officeDocument/2006/relationships/image" Target="../media/image68.png"/><Relationship Id="rId2" Type="http://schemas.openxmlformats.org/officeDocument/2006/relationships/image" Target="../media/image63.jpeg"/><Relationship Id="rId1" Type="http://schemas.openxmlformats.org/officeDocument/2006/relationships/image" Target="../media/image62.jpeg"/><Relationship Id="rId6" Type="http://schemas.openxmlformats.org/officeDocument/2006/relationships/image" Target="../media/image67.png"/><Relationship Id="rId5" Type="http://schemas.openxmlformats.org/officeDocument/2006/relationships/image" Target="../media/image66.png"/><Relationship Id="rId4" Type="http://schemas.openxmlformats.org/officeDocument/2006/relationships/image" Target="../media/image65.png"/><Relationship Id="rId9" Type="http://schemas.openxmlformats.org/officeDocument/2006/relationships/image" Target="../media/image70.png"/></Relationships>
</file>

<file path=xl/drawings/_rels/drawing4.xml.rels><?xml version="1.0" encoding="UTF-8" standalone="yes"?>
<Relationships xmlns="http://schemas.openxmlformats.org/package/2006/relationships"><Relationship Id="rId8" Type="http://schemas.openxmlformats.org/officeDocument/2006/relationships/chart" Target="../charts/chart6.xml"/><Relationship Id="rId13" Type="http://schemas.openxmlformats.org/officeDocument/2006/relationships/chart" Target="../charts/chart10.xml"/><Relationship Id="rId18" Type="http://schemas.openxmlformats.org/officeDocument/2006/relationships/chart" Target="../charts/chart14.xml"/><Relationship Id="rId3" Type="http://schemas.openxmlformats.org/officeDocument/2006/relationships/chart" Target="../charts/chart2.xml"/><Relationship Id="rId7" Type="http://schemas.openxmlformats.org/officeDocument/2006/relationships/image" Target="../media/image12.png"/><Relationship Id="rId12" Type="http://schemas.openxmlformats.org/officeDocument/2006/relationships/image" Target="../media/image13.png"/><Relationship Id="rId17" Type="http://schemas.openxmlformats.org/officeDocument/2006/relationships/chart" Target="../charts/chart13.xml"/><Relationship Id="rId2" Type="http://schemas.openxmlformats.org/officeDocument/2006/relationships/chart" Target="../charts/chart1.xml"/><Relationship Id="rId16" Type="http://schemas.openxmlformats.org/officeDocument/2006/relationships/image" Target="../media/image14.png"/><Relationship Id="rId1" Type="http://schemas.openxmlformats.org/officeDocument/2006/relationships/image" Target="../media/image11.png"/><Relationship Id="rId6" Type="http://schemas.openxmlformats.org/officeDocument/2006/relationships/chart" Target="../charts/chart5.xml"/><Relationship Id="rId11" Type="http://schemas.openxmlformats.org/officeDocument/2006/relationships/chart" Target="../charts/chart9.xml"/><Relationship Id="rId5" Type="http://schemas.openxmlformats.org/officeDocument/2006/relationships/chart" Target="../charts/chart4.xml"/><Relationship Id="rId15" Type="http://schemas.openxmlformats.org/officeDocument/2006/relationships/chart" Target="../charts/chart12.xml"/><Relationship Id="rId10" Type="http://schemas.openxmlformats.org/officeDocument/2006/relationships/chart" Target="../charts/chart8.xml"/><Relationship Id="rId19" Type="http://schemas.openxmlformats.org/officeDocument/2006/relationships/chart" Target="../charts/chart15.xml"/><Relationship Id="rId4" Type="http://schemas.openxmlformats.org/officeDocument/2006/relationships/chart" Target="../charts/chart3.xml"/><Relationship Id="rId9" Type="http://schemas.openxmlformats.org/officeDocument/2006/relationships/chart" Target="../charts/chart7.xml"/><Relationship Id="rId14"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1" Type="http://schemas.openxmlformats.org/officeDocument/2006/relationships/image" Target="../media/image15.png"/></Relationships>
</file>

<file path=xl/drawings/_rels/drawing6.xml.rels><?xml version="1.0" encoding="UTF-8" standalone="yes"?>
<Relationships xmlns="http://schemas.openxmlformats.org/package/2006/relationships"><Relationship Id="rId3" Type="http://schemas.openxmlformats.org/officeDocument/2006/relationships/image" Target="../media/image17.png"/><Relationship Id="rId7" Type="http://schemas.openxmlformats.org/officeDocument/2006/relationships/chart" Target="../charts/chart18.xml"/><Relationship Id="rId2" Type="http://schemas.openxmlformats.org/officeDocument/2006/relationships/chart" Target="../charts/chart16.xml"/><Relationship Id="rId1" Type="http://schemas.openxmlformats.org/officeDocument/2006/relationships/image" Target="../media/image16.png"/><Relationship Id="rId6" Type="http://schemas.openxmlformats.org/officeDocument/2006/relationships/image" Target="../media/image19.png"/><Relationship Id="rId5" Type="http://schemas.openxmlformats.org/officeDocument/2006/relationships/image" Target="../media/image18.png"/><Relationship Id="rId4" Type="http://schemas.openxmlformats.org/officeDocument/2006/relationships/chart" Target="../charts/chart17.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image" Target="../media/image20.png"/><Relationship Id="rId1" Type="http://schemas.openxmlformats.org/officeDocument/2006/relationships/chart" Target="../charts/chart19.xml"/><Relationship Id="rId6" Type="http://schemas.openxmlformats.org/officeDocument/2006/relationships/chart" Target="../charts/chart23.xml"/><Relationship Id="rId5" Type="http://schemas.openxmlformats.org/officeDocument/2006/relationships/chart" Target="../charts/chart22.xml"/><Relationship Id="rId4" Type="http://schemas.openxmlformats.org/officeDocument/2006/relationships/chart" Target="../charts/chart21.xml"/></Relationships>
</file>

<file path=xl/drawings/_rels/drawing8.xml.rels><?xml version="1.0" encoding="UTF-8" standalone="yes"?>
<Relationships xmlns="http://schemas.openxmlformats.org/package/2006/relationships"><Relationship Id="rId2" Type="http://schemas.openxmlformats.org/officeDocument/2006/relationships/chart" Target="../charts/chart25.xml"/><Relationship Id="rId1" Type="http://schemas.openxmlformats.org/officeDocument/2006/relationships/chart" Target="../charts/chart2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6.xml"/></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18</xdr:row>
      <xdr:rowOff>39290</xdr:rowOff>
    </xdr:from>
    <xdr:to>
      <xdr:col>8</xdr:col>
      <xdr:colOff>626010</xdr:colOff>
      <xdr:row>31</xdr:row>
      <xdr:rowOff>132640</xdr:rowOff>
    </xdr:to>
    <xdr:pic>
      <xdr:nvPicPr>
        <xdr:cNvPr id="4" name="그림 3"/>
        <xdr:cNvPicPr>
          <a:picLocks noChangeAspect="1"/>
        </xdr:cNvPicPr>
      </xdr:nvPicPr>
      <xdr:blipFill>
        <a:blip xmlns:r="http://schemas.openxmlformats.org/officeDocument/2006/relationships" r:embed="rId1"/>
        <a:stretch>
          <a:fillRect/>
        </a:stretch>
      </xdr:blipFill>
      <xdr:spPr>
        <a:xfrm>
          <a:off x="684610" y="3789759"/>
          <a:ext cx="5418275" cy="2802022"/>
        </a:xfrm>
        <a:prstGeom prst="rect">
          <a:avLst/>
        </a:prstGeom>
      </xdr:spPr>
    </xdr:pic>
    <xdr:clientData/>
  </xdr:twoCellAnchor>
  <xdr:twoCellAnchor editAs="oneCell">
    <xdr:from>
      <xdr:col>0</xdr:col>
      <xdr:colOff>683172</xdr:colOff>
      <xdr:row>42</xdr:row>
      <xdr:rowOff>0</xdr:rowOff>
    </xdr:from>
    <xdr:to>
      <xdr:col>8</xdr:col>
      <xdr:colOff>447748</xdr:colOff>
      <xdr:row>45</xdr:row>
      <xdr:rowOff>121960</xdr:rowOff>
    </xdr:to>
    <xdr:pic>
      <xdr:nvPicPr>
        <xdr:cNvPr id="5" name="그림 4"/>
        <xdr:cNvPicPr>
          <a:picLocks noChangeAspect="1"/>
        </xdr:cNvPicPr>
      </xdr:nvPicPr>
      <xdr:blipFill>
        <a:blip xmlns:r="http://schemas.openxmlformats.org/officeDocument/2006/relationships" r:embed="rId2"/>
        <a:stretch>
          <a:fillRect/>
        </a:stretch>
      </xdr:blipFill>
      <xdr:spPr>
        <a:xfrm>
          <a:off x="683172" y="8828690"/>
          <a:ext cx="5229955" cy="752580"/>
        </a:xfrm>
        <a:prstGeom prst="rect">
          <a:avLst/>
        </a:prstGeom>
      </xdr:spPr>
    </xdr:pic>
    <xdr:clientData/>
  </xdr:twoCellAnchor>
  <xdr:twoCellAnchor editAs="oneCell">
    <xdr:from>
      <xdr:col>0</xdr:col>
      <xdr:colOff>683172</xdr:colOff>
      <xdr:row>56</xdr:row>
      <xdr:rowOff>0</xdr:rowOff>
    </xdr:from>
    <xdr:to>
      <xdr:col>4</xdr:col>
      <xdr:colOff>160590</xdr:colOff>
      <xdr:row>61</xdr:row>
      <xdr:rowOff>196914</xdr:rowOff>
    </xdr:to>
    <xdr:pic>
      <xdr:nvPicPr>
        <xdr:cNvPr id="6" name="그림 5"/>
        <xdr:cNvPicPr>
          <a:picLocks noChangeAspect="1"/>
        </xdr:cNvPicPr>
      </xdr:nvPicPr>
      <xdr:blipFill>
        <a:blip xmlns:r="http://schemas.openxmlformats.org/officeDocument/2006/relationships" r:embed="rId3"/>
        <a:stretch>
          <a:fillRect/>
        </a:stretch>
      </xdr:blipFill>
      <xdr:spPr>
        <a:xfrm>
          <a:off x="683172" y="11771586"/>
          <a:ext cx="2210108" cy="1247949"/>
        </a:xfrm>
        <a:prstGeom prst="rect">
          <a:avLst/>
        </a:prstGeom>
      </xdr:spPr>
    </xdr:pic>
    <xdr:clientData/>
  </xdr:twoCellAnchor>
  <xdr:twoCellAnchor editAs="oneCell">
    <xdr:from>
      <xdr:col>1</xdr:col>
      <xdr:colOff>52552</xdr:colOff>
      <xdr:row>70</xdr:row>
      <xdr:rowOff>111673</xdr:rowOff>
    </xdr:from>
    <xdr:to>
      <xdr:col>13</xdr:col>
      <xdr:colOff>580601</xdr:colOff>
      <xdr:row>77</xdr:row>
      <xdr:rowOff>126332</xdr:rowOff>
    </xdr:to>
    <xdr:pic>
      <xdr:nvPicPr>
        <xdr:cNvPr id="7" name="그림 6"/>
        <xdr:cNvPicPr>
          <a:picLocks noChangeAspect="1"/>
        </xdr:cNvPicPr>
      </xdr:nvPicPr>
      <xdr:blipFill>
        <a:blip xmlns:r="http://schemas.openxmlformats.org/officeDocument/2006/relationships" r:embed="rId4"/>
        <a:stretch>
          <a:fillRect/>
        </a:stretch>
      </xdr:blipFill>
      <xdr:spPr>
        <a:xfrm>
          <a:off x="735724" y="14826156"/>
          <a:ext cx="8726118" cy="1486107"/>
        </a:xfrm>
        <a:prstGeom prst="rect">
          <a:avLst/>
        </a:prstGeom>
      </xdr:spPr>
    </xdr:pic>
    <xdr:clientData/>
  </xdr:twoCellAnchor>
  <xdr:twoCellAnchor editAs="oneCell">
    <xdr:from>
      <xdr:col>12</xdr:col>
      <xdr:colOff>0</xdr:colOff>
      <xdr:row>116</xdr:row>
      <xdr:rowOff>0</xdr:rowOff>
    </xdr:from>
    <xdr:to>
      <xdr:col>12</xdr:col>
      <xdr:colOff>304800</xdr:colOff>
      <xdr:row>117</xdr:row>
      <xdr:rowOff>85724</xdr:rowOff>
    </xdr:to>
    <xdr:sp macro="" textlink="">
      <xdr:nvSpPr>
        <xdr:cNvPr id="1025" name="AutoShape 1" descr="data:image/png;base64,iVBORw0KGgoAAAANSUhEUgAAAVoAAAAdCAYAAADre6QWAAAAAXNSR0IArs4c6QAABYBJREFUeF7tnc/rD10Ux9/fQjYWIilR/AksRJQeyUqSFAvKj1J+LCiFevQ8krKgsJAFiY2VLBQb5VcpYiPJysYOSxYWMqfm1DTdmblz7j0zd+73fDbq+7lz557XOfc995575mMG9jECRsAIGAFVAjOqvVvnRsAIGAEjABNaCwIjYASMgDIBE1plwNa9ETACRsCE1mLACBgBI6BMwIRWGbB1bwSMgBEwobUYMAJGwAgoEzChVQZs3RuBkQnMAXAIwE4A2wH8Gnk8U719EEcT2qm63cZtBLoJ/APgXwCbALwHsNGEthuao0UwRxNaEXe7yAgkTWA5gFMAtgB4DWC/Ca3IX9E4mtCK+Cd90XwAF4pVzDMAj5IeqQ1Oi8BFAD8AXAZA8fAZwHdb0fbGHY1jk9BWl8o0ug8AzgM4CuAmgPu9h5z2BTnZuxLAOwDXCuT/CbHnxMMXQa42Dym0uTKkGAri6BLaAwBuAbhdPBWPlzkd/tvv8qn4xjd6PdttAPDSs2212f8BYsL9jGGvwFTvS0KFNjcePuCGtHnoWA8SCB94ZZshGdItJ8WxLrQ8+IcAdlQg8+T9ktn2I0d7Q4Q2Rx5dWpG7zUMIbe4Mo65o2SGLANBk/eYQ2uc1Ae4K4pS/z8VezskuKGHPLQ8/KN1DByH8eQXgXotDcuHRJ+Zmg83aQjsbGEYV2qanUnWZHmOr3mciaLbNxV5ewS7sgFXfpdSb58KjT8zMBpu1hXY2MIwqtHRCebI4odzjOOyi744p5WfHyLfQPce0t0sMtgK4UxaY982HS1MHqfHgAnEqtl9TAqNVOsXnxy6Ant+H2Cz10aRyix4cJQxj+HZSHDlHS4Y/KLaaFDxU1Fyd3G1bAw8/JNkkVXurp7Y/HSkcH5gSoU2RB0/gfWXKg+2aJ+RSZye1OYaPfPwYq43milbKUNu3sdhV+wni6CO0fJrYtfXUME6rz7YAGcteekJTYTlVeuwuy7PquXIfHrGFdiweNBlX1c4EYu6sJDEQy0c+fozVJkggOgYhYci7SU3fxmI3mNDSpD1dbNV2NdRl7gVwtXiX+mtRnrW5rDW7O4FX/poCJBV7SdyoDnZsoU2FBwc8Ce1hB5e2PGHTpJPGAPcX4iMNIWjqs6tiiIV4qSA1GMqwOuYm3w7Jqu1eXRxbx1kt7+KVCx940RbpDIATAF6UE5/eOKIXFz6VvS4pUw5UIH8FwGIAZwGsLpz2VOC4IaGmbO8YkzhlHhQXLAj0zn619JC+kwgtXdfX5mrVxhg+kswPSgc+KeZlUw18iNCGMmR72nwrsVnjmi6O3kJLTycSS9q6klPOAbhe/PsHwONylUqHEfR3SiPwxxXkFIQ3EhdabXs5D9XmgKY87BiTOGUevHJa1lDHzTHYtypGajMLjHTXoSEE1T5p9UXzj8Sh/qG5TWV/tEulEs7Q1EIIQxpbl2+1WXWtYn05egut1CCXqKa+DZDayhOs/hCJbe8YQitlou1/noi0w2pKpYzxYJ+Sj9p8y6t6V7WRNCZ8r/PxrW9fSbcL/VEZ19NoCtsAqVOGsncqk1ibB/V/qczLrm0o6+IxUEpB+tsOkniYio/abBtzrvr4VuKXJK8JFVqXoySn3knCcQxqKHunMom1efhUGXAlwMGBg2gqPmrDQuwofys5dA3F7ePb0Hskc32o0LKoHqm85EDO44Mweltp3cArDU24Q9hbPcmlYv2212Y1bfXpW5MH513rW1qaoG9H/gW5KfnIx49Dt0nZtyosQoXWlRujVQ4dnq2vHKjl8t9naNrLq8MVDk/3PeRRCRZHp1o8WMi2Oe6p9QtyPsym6CMfu4Zsk6pvVRmECq3q4KxzI2AEjEAOBExoc/Ci2WAEjEDSBP4CuDt5PHAzWNsAAAAASUVORK5CYII="/>
        <xdr:cNvSpPr>
          <a:spLocks noChangeAspect="1" noChangeArrowheads="1"/>
        </xdr:cNvSpPr>
      </xdr:nvSpPr>
      <xdr:spPr bwMode="auto">
        <a:xfrm>
          <a:off x="8229600" y="17002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109412</xdr:colOff>
      <xdr:row>81</xdr:row>
      <xdr:rowOff>26276</xdr:rowOff>
    </xdr:from>
    <xdr:to>
      <xdr:col>11</xdr:col>
      <xdr:colOff>425220</xdr:colOff>
      <xdr:row>107</xdr:row>
      <xdr:rowOff>62669</xdr:rowOff>
    </xdr:to>
    <xdr:pic>
      <xdr:nvPicPr>
        <xdr:cNvPr id="8" name="그림 7"/>
        <xdr:cNvPicPr>
          <a:picLocks noChangeAspect="1"/>
        </xdr:cNvPicPr>
      </xdr:nvPicPr>
      <xdr:blipFill>
        <a:blip xmlns:r="http://schemas.openxmlformats.org/officeDocument/2006/relationships" r:embed="rId5"/>
        <a:stretch>
          <a:fillRect/>
        </a:stretch>
      </xdr:blipFill>
      <xdr:spPr>
        <a:xfrm>
          <a:off x="792584" y="17053035"/>
          <a:ext cx="7147533" cy="5501772"/>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38101</xdr:colOff>
      <xdr:row>1</xdr:row>
      <xdr:rowOff>19050</xdr:rowOff>
    </xdr:from>
    <xdr:to>
      <xdr:col>14</xdr:col>
      <xdr:colOff>247651</xdr:colOff>
      <xdr:row>13</xdr:row>
      <xdr:rowOff>125533</xdr:rowOff>
    </xdr:to>
    <xdr:pic>
      <xdr:nvPicPr>
        <xdr:cNvPr id="2" name="그림 1"/>
        <xdr:cNvPicPr>
          <a:picLocks noChangeAspect="1"/>
        </xdr:cNvPicPr>
      </xdr:nvPicPr>
      <xdr:blipFill>
        <a:blip xmlns:r="http://schemas.openxmlformats.org/officeDocument/2006/relationships" r:embed="rId1"/>
        <a:stretch>
          <a:fillRect/>
        </a:stretch>
      </xdr:blipFill>
      <xdr:spPr>
        <a:xfrm>
          <a:off x="723901" y="228600"/>
          <a:ext cx="9124950" cy="2621083"/>
        </a:xfrm>
        <a:prstGeom prst="rect">
          <a:avLst/>
        </a:prstGeom>
      </xdr:spPr>
    </xdr:pic>
    <xdr:clientData/>
  </xdr:twoCellAnchor>
  <xdr:twoCellAnchor editAs="oneCell">
    <xdr:from>
      <xdr:col>0</xdr:col>
      <xdr:colOff>647700</xdr:colOff>
      <xdr:row>21</xdr:row>
      <xdr:rowOff>200025</xdr:rowOff>
    </xdr:from>
    <xdr:to>
      <xdr:col>9</xdr:col>
      <xdr:colOff>200824</xdr:colOff>
      <xdr:row>45</xdr:row>
      <xdr:rowOff>114990</xdr:rowOff>
    </xdr:to>
    <xdr:pic>
      <xdr:nvPicPr>
        <xdr:cNvPr id="3" name="그림 2"/>
        <xdr:cNvPicPr>
          <a:picLocks noChangeAspect="1"/>
        </xdr:cNvPicPr>
      </xdr:nvPicPr>
      <xdr:blipFill>
        <a:blip xmlns:r="http://schemas.openxmlformats.org/officeDocument/2006/relationships" r:embed="rId2"/>
        <a:stretch>
          <a:fillRect/>
        </a:stretch>
      </xdr:blipFill>
      <xdr:spPr>
        <a:xfrm>
          <a:off x="647700" y="4600575"/>
          <a:ext cx="5725324" cy="4944165"/>
        </a:xfrm>
        <a:prstGeom prst="rect">
          <a:avLst/>
        </a:prstGeom>
      </xdr:spPr>
    </xdr:pic>
    <xdr:clientData/>
  </xdr:twoCellAnchor>
  <xdr:twoCellAnchor editAs="oneCell">
    <xdr:from>
      <xdr:col>10</xdr:col>
      <xdr:colOff>200025</xdr:colOff>
      <xdr:row>21</xdr:row>
      <xdr:rowOff>180975</xdr:rowOff>
    </xdr:from>
    <xdr:to>
      <xdr:col>18</xdr:col>
      <xdr:colOff>181738</xdr:colOff>
      <xdr:row>38</xdr:row>
      <xdr:rowOff>105262</xdr:rowOff>
    </xdr:to>
    <xdr:pic>
      <xdr:nvPicPr>
        <xdr:cNvPr id="4" name="그림 3"/>
        <xdr:cNvPicPr>
          <a:picLocks noChangeAspect="1"/>
        </xdr:cNvPicPr>
      </xdr:nvPicPr>
      <xdr:blipFill>
        <a:blip xmlns:r="http://schemas.openxmlformats.org/officeDocument/2006/relationships" r:embed="rId3"/>
        <a:stretch>
          <a:fillRect/>
        </a:stretch>
      </xdr:blipFill>
      <xdr:spPr>
        <a:xfrm>
          <a:off x="7058025" y="4581525"/>
          <a:ext cx="5468113" cy="3486637"/>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666750</xdr:colOff>
      <xdr:row>1</xdr:row>
      <xdr:rowOff>38100</xdr:rowOff>
    </xdr:from>
    <xdr:to>
      <xdr:col>6</xdr:col>
      <xdr:colOff>315084</xdr:colOff>
      <xdr:row>7</xdr:row>
      <xdr:rowOff>114486</xdr:rowOff>
    </xdr:to>
    <xdr:pic>
      <xdr:nvPicPr>
        <xdr:cNvPr id="2" name="그림 1"/>
        <xdr:cNvPicPr>
          <a:picLocks noChangeAspect="1"/>
        </xdr:cNvPicPr>
      </xdr:nvPicPr>
      <xdr:blipFill>
        <a:blip xmlns:r="http://schemas.openxmlformats.org/officeDocument/2006/relationships" r:embed="rId1"/>
        <a:stretch>
          <a:fillRect/>
        </a:stretch>
      </xdr:blipFill>
      <xdr:spPr>
        <a:xfrm>
          <a:off x="666750" y="247650"/>
          <a:ext cx="5439534" cy="1333686"/>
        </a:xfrm>
        <a:prstGeom prst="rect">
          <a:avLst/>
        </a:prstGeom>
      </xdr:spPr>
    </xdr:pic>
    <xdr:clientData/>
  </xdr:twoCellAnchor>
  <xdr:twoCellAnchor>
    <xdr:from>
      <xdr:col>16</xdr:col>
      <xdr:colOff>581025</xdr:colOff>
      <xdr:row>1</xdr:row>
      <xdr:rowOff>38100</xdr:rowOff>
    </xdr:from>
    <xdr:to>
      <xdr:col>22</xdr:col>
      <xdr:colOff>190500</xdr:colOff>
      <xdr:row>34</xdr:row>
      <xdr:rowOff>9525</xdr:rowOff>
    </xdr:to>
    <xdr:graphicFrame macro="">
      <xdr:nvGraphicFramePr>
        <xdr:cNvPr id="3" name="차트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542925</xdr:colOff>
      <xdr:row>10</xdr:row>
      <xdr:rowOff>114300</xdr:rowOff>
    </xdr:from>
    <xdr:to>
      <xdr:col>16</xdr:col>
      <xdr:colOff>114772</xdr:colOff>
      <xdr:row>13</xdr:row>
      <xdr:rowOff>171546</xdr:rowOff>
    </xdr:to>
    <xdr:pic>
      <xdr:nvPicPr>
        <xdr:cNvPr id="4" name="그림 3"/>
        <xdr:cNvPicPr>
          <a:picLocks noChangeAspect="1"/>
        </xdr:cNvPicPr>
      </xdr:nvPicPr>
      <xdr:blipFill>
        <a:blip xmlns:r="http://schemas.openxmlformats.org/officeDocument/2006/relationships" r:embed="rId3"/>
        <a:stretch>
          <a:fillRect/>
        </a:stretch>
      </xdr:blipFill>
      <xdr:spPr>
        <a:xfrm>
          <a:off x="5857875" y="2209800"/>
          <a:ext cx="3381847" cy="685896"/>
        </a:xfrm>
        <a:prstGeom prst="rect">
          <a:avLst/>
        </a:prstGeom>
      </xdr:spPr>
    </xdr:pic>
    <xdr:clientData/>
  </xdr:twoCellAnchor>
  <xdr:twoCellAnchor editAs="oneCell">
    <xdr:from>
      <xdr:col>11</xdr:col>
      <xdr:colOff>476250</xdr:colOff>
      <xdr:row>15</xdr:row>
      <xdr:rowOff>95250</xdr:rowOff>
    </xdr:from>
    <xdr:to>
      <xdr:col>16</xdr:col>
      <xdr:colOff>305308</xdr:colOff>
      <xdr:row>18</xdr:row>
      <xdr:rowOff>314443</xdr:rowOff>
    </xdr:to>
    <xdr:pic>
      <xdr:nvPicPr>
        <xdr:cNvPr id="5" name="그림 4"/>
        <xdr:cNvPicPr>
          <a:picLocks noChangeAspect="1"/>
        </xdr:cNvPicPr>
      </xdr:nvPicPr>
      <xdr:blipFill>
        <a:blip xmlns:r="http://schemas.openxmlformats.org/officeDocument/2006/relationships" r:embed="rId4"/>
        <a:stretch>
          <a:fillRect/>
        </a:stretch>
      </xdr:blipFill>
      <xdr:spPr>
        <a:xfrm>
          <a:off x="5791200" y="3238500"/>
          <a:ext cx="3639058" cy="847843"/>
        </a:xfrm>
        <a:prstGeom prst="rect">
          <a:avLst/>
        </a:prstGeom>
      </xdr:spPr>
    </xdr:pic>
    <xdr:clientData/>
  </xdr:twoCellAnchor>
  <xdr:twoCellAnchor>
    <xdr:from>
      <xdr:col>16</xdr:col>
      <xdr:colOff>447675</xdr:colOff>
      <xdr:row>0</xdr:row>
      <xdr:rowOff>200025</xdr:rowOff>
    </xdr:from>
    <xdr:to>
      <xdr:col>21</xdr:col>
      <xdr:colOff>600075</xdr:colOff>
      <xdr:row>28</xdr:row>
      <xdr:rowOff>104776</xdr:rowOff>
    </xdr:to>
    <xdr:cxnSp macro="">
      <xdr:nvCxnSpPr>
        <xdr:cNvPr id="7" name="직선 연결선 6"/>
        <xdr:cNvCxnSpPr/>
      </xdr:nvCxnSpPr>
      <xdr:spPr>
        <a:xfrm flipV="1">
          <a:off x="9572625" y="200025"/>
          <a:ext cx="3581400" cy="451485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466725</xdr:colOff>
      <xdr:row>37</xdr:row>
      <xdr:rowOff>66675</xdr:rowOff>
    </xdr:from>
    <xdr:to>
      <xdr:col>9</xdr:col>
      <xdr:colOff>219075</xdr:colOff>
      <xdr:row>41</xdr:row>
      <xdr:rowOff>104775</xdr:rowOff>
    </xdr:to>
    <xdr:cxnSp macro="">
      <xdr:nvCxnSpPr>
        <xdr:cNvPr id="12" name="직선 연결선 11"/>
        <xdr:cNvCxnSpPr/>
      </xdr:nvCxnSpPr>
      <xdr:spPr>
        <a:xfrm flipH="1">
          <a:off x="8096250" y="8667750"/>
          <a:ext cx="438150" cy="87630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85725</xdr:colOff>
      <xdr:row>0</xdr:row>
      <xdr:rowOff>0</xdr:rowOff>
    </xdr:from>
    <xdr:to>
      <xdr:col>20</xdr:col>
      <xdr:colOff>314325</xdr:colOff>
      <xdr:row>29</xdr:row>
      <xdr:rowOff>85725</xdr:rowOff>
    </xdr:to>
    <xdr:cxnSp macro="">
      <xdr:nvCxnSpPr>
        <xdr:cNvPr id="13" name="직선 연결선 12"/>
        <xdr:cNvCxnSpPr/>
      </xdr:nvCxnSpPr>
      <xdr:spPr>
        <a:xfrm flipH="1">
          <a:off x="9896475" y="0"/>
          <a:ext cx="2286000" cy="490537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28575</xdr:colOff>
      <xdr:row>69</xdr:row>
      <xdr:rowOff>9525</xdr:rowOff>
    </xdr:from>
    <xdr:to>
      <xdr:col>6</xdr:col>
      <xdr:colOff>619824</xdr:colOff>
      <xdr:row>90</xdr:row>
      <xdr:rowOff>162560</xdr:rowOff>
    </xdr:to>
    <xdr:pic>
      <xdr:nvPicPr>
        <xdr:cNvPr id="15" name="그림 14"/>
        <xdr:cNvPicPr>
          <a:picLocks noChangeAspect="1"/>
        </xdr:cNvPicPr>
      </xdr:nvPicPr>
      <xdr:blipFill>
        <a:blip xmlns:r="http://schemas.openxmlformats.org/officeDocument/2006/relationships" r:embed="rId5"/>
        <a:stretch>
          <a:fillRect/>
        </a:stretch>
      </xdr:blipFill>
      <xdr:spPr>
        <a:xfrm>
          <a:off x="1400175" y="16421100"/>
          <a:ext cx="5010849" cy="4553585"/>
        </a:xfrm>
        <a:prstGeom prst="rect">
          <a:avLst/>
        </a:prstGeom>
      </xdr:spPr>
    </xdr:pic>
    <xdr:clientData/>
  </xdr:twoCellAnchor>
  <xdr:twoCellAnchor>
    <xdr:from>
      <xdr:col>6</xdr:col>
      <xdr:colOff>914400</xdr:colOff>
      <xdr:row>69</xdr:row>
      <xdr:rowOff>190500</xdr:rowOff>
    </xdr:from>
    <xdr:to>
      <xdr:col>13</xdr:col>
      <xdr:colOff>485775</xdr:colOff>
      <xdr:row>93</xdr:row>
      <xdr:rowOff>125929</xdr:rowOff>
    </xdr:to>
    <xdr:sp macro="" textlink="">
      <xdr:nvSpPr>
        <xdr:cNvPr id="16" name="내용 개체 틀 4"/>
        <xdr:cNvSpPr>
          <a:spLocks noGrp="1"/>
        </xdr:cNvSpPr>
      </xdr:nvSpPr>
      <xdr:spPr>
        <a:xfrm>
          <a:off x="6705600" y="16602075"/>
          <a:ext cx="5991225" cy="4964629"/>
        </a:xfrm>
        <a:prstGeom prst="rect">
          <a:avLst/>
        </a:prstGeom>
      </xdr:spPr>
      <xdr:txBody>
        <a:bodyPr vert="horz" wrap="square" lIns="91440" tIns="45720" rIns="91440" bIns="45720" rtlCol="0">
          <a:normAutofit/>
        </a:bodyPr>
        <a:lstStyle>
          <a:lvl1pPr marL="225425" indent="-225425" algn="l" defTabSz="457200" rtl="0" eaLnBrk="1" latinLnBrk="0" hangingPunct="1">
            <a:lnSpc>
              <a:spcPct val="110000"/>
            </a:lnSpc>
            <a:spcBef>
              <a:spcPts val="600"/>
            </a:spcBef>
            <a:buClr>
              <a:srgbClr val="E0AC00"/>
            </a:buClr>
            <a:buFont typeface="Wingdings" panose="05000000000000000000" pitchFamily="2" charset="2"/>
            <a:buChar char="l"/>
            <a:defRPr sz="1800" kern="1200">
              <a:solidFill>
                <a:srgbClr val="504B4B"/>
              </a:solidFill>
              <a:latin typeface="+mn-ea"/>
              <a:ea typeface="+mn-ea"/>
              <a:cs typeface="+mn-cs"/>
            </a:defRPr>
          </a:lvl1pPr>
          <a:lvl2pPr marL="573088" indent="-238125" algn="l" defTabSz="457200" rtl="0" eaLnBrk="1" latinLnBrk="0" hangingPunct="1">
            <a:lnSpc>
              <a:spcPct val="110000"/>
            </a:lnSpc>
            <a:spcBef>
              <a:spcPts val="500"/>
            </a:spcBef>
            <a:buClr>
              <a:srgbClr val="E0AC00"/>
            </a:buClr>
            <a:buFont typeface="Wingdings" panose="05000000000000000000" pitchFamily="2" charset="2"/>
            <a:buChar char="l"/>
            <a:defRPr sz="1600" kern="1200">
              <a:solidFill>
                <a:srgbClr val="504B4B"/>
              </a:solidFill>
              <a:latin typeface="+mn-ea"/>
              <a:ea typeface="+mn-ea"/>
              <a:cs typeface="+mn-cs"/>
            </a:defRPr>
          </a:lvl2pPr>
          <a:lvl3pPr marL="860425" indent="-182563" algn="l" defTabSz="457200" rtl="0" eaLnBrk="1" latinLnBrk="0" hangingPunct="1">
            <a:lnSpc>
              <a:spcPct val="110000"/>
            </a:lnSpc>
            <a:spcBef>
              <a:spcPts val="300"/>
            </a:spcBef>
            <a:buClr>
              <a:srgbClr val="E0AC00"/>
            </a:buClr>
            <a:buFont typeface="Wingdings" panose="05000000000000000000" pitchFamily="2" charset="2"/>
            <a:buChar char="l"/>
            <a:defRPr sz="1400" kern="1200">
              <a:solidFill>
                <a:srgbClr val="504B4B"/>
              </a:solidFill>
              <a:latin typeface="+mn-ea"/>
              <a:ea typeface="+mn-ea"/>
              <a:cs typeface="+mn-cs"/>
            </a:defRPr>
          </a:lvl3pPr>
          <a:lvl4pPr marL="1198563" indent="-225425" algn="l" defTabSz="457200" rtl="0" eaLnBrk="1" latinLnBrk="0" hangingPunct="1">
            <a:lnSpc>
              <a:spcPct val="110000"/>
            </a:lnSpc>
            <a:spcBef>
              <a:spcPts val="100"/>
            </a:spcBef>
            <a:buClr>
              <a:srgbClr val="E0AC00"/>
            </a:buClr>
            <a:buFont typeface="Wingdings" panose="05000000000000000000" pitchFamily="2" charset="2"/>
            <a:buChar char="l"/>
            <a:defRPr sz="1200" kern="1200">
              <a:solidFill>
                <a:srgbClr val="504B4B"/>
              </a:solidFill>
              <a:latin typeface="+mn-ea"/>
              <a:ea typeface="+mn-ea"/>
              <a:cs typeface="+mn-cs"/>
            </a:defRPr>
          </a:lvl4pPr>
          <a:lvl5pPr marL="1544638" indent="-228600" algn="l" defTabSz="457200" rtl="0" eaLnBrk="1" latinLnBrk="0" hangingPunct="1">
            <a:lnSpc>
              <a:spcPct val="110000"/>
            </a:lnSpc>
            <a:spcBef>
              <a:spcPts val="0"/>
            </a:spcBef>
            <a:buClr>
              <a:srgbClr val="E0AC00"/>
            </a:buClr>
            <a:buFont typeface="Wingdings" panose="05000000000000000000" pitchFamily="2" charset="2"/>
            <a:buChar char="l"/>
            <a:defRPr sz="1200" kern="1200">
              <a:solidFill>
                <a:srgbClr val="504B4B"/>
              </a:solidFill>
              <a:latin typeface="+mn-ea"/>
              <a:ea typeface="+mn-ea"/>
              <a:cs typeface="+mn-cs"/>
            </a:defRPr>
          </a:lvl5pPr>
          <a:lvl6pPr marL="2514600" indent="-228600" algn="l" defTabSz="457200" rtl="0" eaLnBrk="1" latinLnBrk="0" hangingPunct="1">
            <a:spcBef>
              <a:spcPct val="20000"/>
            </a:spcBef>
            <a:buFont typeface="Arial"/>
            <a:buChar char="•"/>
            <a:defRPr sz="2000" kern="1200">
              <a:solidFill>
                <a:schemeClr val="tx1"/>
              </a:solidFill>
              <a:latin typeface="+mn-lt"/>
              <a:ea typeface="+mn-ea"/>
              <a:cs typeface="+mn-cs"/>
            </a:defRPr>
          </a:lvl6pPr>
          <a:lvl7pPr marL="2971800" indent="-228600" algn="l" defTabSz="457200" rtl="0" eaLnBrk="1" latinLnBrk="0" hangingPunct="1">
            <a:spcBef>
              <a:spcPct val="20000"/>
            </a:spcBef>
            <a:buFont typeface="Arial"/>
            <a:buChar char="•"/>
            <a:defRPr sz="2000" kern="1200">
              <a:solidFill>
                <a:schemeClr val="tx1"/>
              </a:solidFill>
              <a:latin typeface="+mn-lt"/>
              <a:ea typeface="+mn-ea"/>
              <a:cs typeface="+mn-cs"/>
            </a:defRPr>
          </a:lvl7pPr>
          <a:lvl8pPr marL="3429000" indent="-228600" algn="l" defTabSz="457200" rtl="0" eaLnBrk="1" latinLnBrk="0" hangingPunct="1">
            <a:spcBef>
              <a:spcPct val="20000"/>
            </a:spcBef>
            <a:buFont typeface="Arial"/>
            <a:buChar char="•"/>
            <a:defRPr sz="2000" kern="1200">
              <a:solidFill>
                <a:schemeClr val="tx1"/>
              </a:solidFill>
              <a:latin typeface="+mn-lt"/>
              <a:ea typeface="+mn-ea"/>
              <a:cs typeface="+mn-cs"/>
            </a:defRPr>
          </a:lvl8pPr>
          <a:lvl9pPr marL="3886200" indent="-228600" algn="l" defTabSz="457200" rtl="0" eaLnBrk="1" latinLnBrk="0" hangingPunct="1">
            <a:spcBef>
              <a:spcPct val="20000"/>
            </a:spcBef>
            <a:buFont typeface="Arial"/>
            <a:buChar char="•"/>
            <a:defRPr sz="2000" kern="1200">
              <a:solidFill>
                <a:schemeClr val="tx1"/>
              </a:solidFill>
              <a:latin typeface="+mn-lt"/>
              <a:ea typeface="+mn-ea"/>
              <a:cs typeface="+mn-cs"/>
            </a:defRPr>
          </a:lvl9pPr>
        </a:lstStyle>
        <a:p>
          <a:r>
            <a:rPr lang="ko-KR" altLang="en-US" b="1">
              <a:latin typeface="KoPub돋움체_Pro Bold" pitchFamily="18" charset="-127"/>
              <a:ea typeface="KoPub돋움체_Pro Bold" pitchFamily="18" charset="-127"/>
            </a:rPr>
            <a:t>경사 하강법의 개요</a:t>
          </a:r>
          <a:endParaRPr lang="ko-KR" altLang="en-US">
            <a:latin typeface="KoPub돋움체_Pro Light" pitchFamily="18" charset="-127"/>
            <a:ea typeface="KoPub돋움체_Pro Light" pitchFamily="18" charset="-127"/>
          </a:endParaRPr>
        </a:p>
        <a:p>
          <a:pPr lvl="1"/>
          <a:r>
            <a:rPr lang="ko-KR" altLang="en-US">
              <a:latin typeface="KoPub돋움체_Pro Light" pitchFamily="18" charset="-127"/>
              <a:ea typeface="KoPub돋움체_Pro Light" pitchFamily="18" charset="-127"/>
            </a:rPr>
            <a:t>경사 하강법은 이렇게 반복적으로 기울기 </a:t>
          </a:r>
          <a:r>
            <a:rPr lang="en-US" altLang="ko-KR">
              <a:latin typeface="KoPub돋움체_Pro Light" pitchFamily="18" charset="-127"/>
              <a:ea typeface="KoPub돋움체_Pro Light" pitchFamily="18" charset="-127"/>
            </a:rPr>
            <a:t>a</a:t>
          </a:r>
          <a:r>
            <a:rPr lang="ko-KR" altLang="en-US">
              <a:latin typeface="KoPub돋움체_Pro Light" pitchFamily="18" charset="-127"/>
              <a:ea typeface="KoPub돋움체_Pro Light" pitchFamily="18" charset="-127"/>
            </a:rPr>
            <a:t>를 변화시켜서 </a:t>
          </a:r>
          <a:r>
            <a:rPr lang="en-US" altLang="ko-KR">
              <a:latin typeface="KoPub돋움체_Pro Light" pitchFamily="18" charset="-127"/>
              <a:ea typeface="KoPub돋움체_Pro Light" pitchFamily="18" charset="-127"/>
            </a:rPr>
            <a:t>m </a:t>
          </a:r>
          <a:r>
            <a:rPr lang="ko-KR" altLang="en-US">
              <a:latin typeface="KoPub돋움체_Pro Light" pitchFamily="18" charset="-127"/>
              <a:ea typeface="KoPub돋움체_Pro Light" pitchFamily="18" charset="-127"/>
            </a:rPr>
            <a:t>값을 찾아내는 방법</a:t>
          </a:r>
          <a:endParaRPr lang="en-US" altLang="ko-KR">
            <a:latin typeface="KoPub돋움체_Pro Light" pitchFamily="18" charset="-127"/>
            <a:ea typeface="KoPub돋움체_Pro Light" pitchFamily="18" charset="-127"/>
          </a:endParaRPr>
        </a:p>
        <a:p>
          <a:pPr lvl="1"/>
          <a:r>
            <a:rPr lang="ko-KR" altLang="en-US">
              <a:latin typeface="KoPub돋움체_Pro Light" pitchFamily="18" charset="-127"/>
              <a:ea typeface="KoPub돋움체_Pro Light" pitchFamily="18" charset="-127"/>
            </a:rPr>
            <a:t>여기서 우리는 </a:t>
          </a:r>
          <a:r>
            <a:rPr lang="ko-KR" altLang="en-US" b="1">
              <a:latin typeface="KoPub돋움체_Pro Light" pitchFamily="18" charset="-127"/>
              <a:ea typeface="KoPub돋움체_Pro Light" pitchFamily="18" charset="-127"/>
            </a:rPr>
            <a:t>학습률</a:t>
          </a:r>
          <a:r>
            <a:rPr lang="en-US" altLang="ko-KR">
              <a:solidFill>
                <a:schemeClr val="bg1">
                  <a:lumMod val="65000"/>
                </a:schemeClr>
              </a:solidFill>
              <a:latin typeface="KoPub돋움체_Pro Light" pitchFamily="18" charset="-127"/>
              <a:ea typeface="KoPub돋움체_Pro Light" pitchFamily="18" charset="-127"/>
            </a:rPr>
            <a:t>(learning rate)</a:t>
          </a:r>
          <a:r>
            <a:rPr lang="ko-KR" altLang="en-US">
              <a:latin typeface="KoPub돋움체_Pro Light" pitchFamily="18" charset="-127"/>
              <a:ea typeface="KoPub돋움체_Pro Light" pitchFamily="18" charset="-127"/>
            </a:rPr>
            <a:t>이라는 개념을 알 수 있음</a:t>
          </a:r>
          <a:endParaRPr lang="en-US" altLang="ko-KR">
            <a:latin typeface="KoPub돋움체_Pro Light" pitchFamily="18" charset="-127"/>
            <a:ea typeface="KoPub돋움체_Pro Light" pitchFamily="18" charset="-127"/>
          </a:endParaRPr>
        </a:p>
        <a:p>
          <a:pPr lvl="1"/>
          <a:r>
            <a:rPr lang="ko-KR" altLang="en-US">
              <a:latin typeface="KoPub돋움체_Pro Light" pitchFamily="18" charset="-127"/>
              <a:ea typeface="KoPub돋움체_Pro Light" pitchFamily="18" charset="-127"/>
            </a:rPr>
            <a:t>기울기의 부호를 바꾸어 이동시킬 때 적절한 거리를 찾지 못해 너무 멀리 이동시키면 </a:t>
          </a:r>
          <a:r>
            <a:rPr lang="en-US" altLang="ko-KR">
              <a:latin typeface="KoPub돋움체_Pro Light" pitchFamily="18" charset="-127"/>
              <a:ea typeface="KoPub돋움체_Pro Light" pitchFamily="18" charset="-127"/>
            </a:rPr>
            <a:t>a </a:t>
          </a:r>
          <a:r>
            <a:rPr lang="ko-KR" altLang="en-US">
              <a:latin typeface="KoPub돋움체_Pro Light" pitchFamily="18" charset="-127"/>
              <a:ea typeface="KoPub돋움체_Pro Light" pitchFamily="18" charset="-127"/>
            </a:rPr>
            <a:t>값이 한 점으로 모이지 않고 그림 </a:t>
          </a:r>
          <a:r>
            <a:rPr lang="en-US" altLang="ko-KR">
              <a:latin typeface="KoPub돋움체_Pro Light" pitchFamily="18" charset="-127"/>
              <a:ea typeface="KoPub돋움체_Pro Light" pitchFamily="18" charset="-127"/>
            </a:rPr>
            <a:t>5-4</a:t>
          </a:r>
          <a:r>
            <a:rPr lang="ko-KR" altLang="en-US">
              <a:latin typeface="KoPub돋움체_Pro Light" pitchFamily="18" charset="-127"/>
              <a:ea typeface="KoPub돋움체_Pro Light" pitchFamily="18" charset="-127"/>
            </a:rPr>
            <a:t>와 같이 위로 치솟아 버림</a:t>
          </a:r>
          <a:endParaRPr lang="en-US" altLang="ko-KR" b="1">
            <a:solidFill>
              <a:schemeClr val="bg1">
                <a:lumMod val="65000"/>
              </a:schemeClr>
            </a:solidFill>
            <a:latin typeface="KoPub돋움체_Pro Light" pitchFamily="18" charset="-127"/>
            <a:ea typeface="KoPub돋움체_Pro Light" pitchFamily="18" charset="-127"/>
          </a:endParaRPr>
        </a:p>
      </xdr:txBody>
    </xdr:sp>
    <xdr:clientData/>
  </xdr:twoCellAnchor>
  <xdr:twoCellAnchor editAs="oneCell">
    <xdr:from>
      <xdr:col>7</xdr:col>
      <xdr:colOff>57150</xdr:colOff>
      <xdr:row>83</xdr:row>
      <xdr:rowOff>28575</xdr:rowOff>
    </xdr:from>
    <xdr:to>
      <xdr:col>14</xdr:col>
      <xdr:colOff>248507</xdr:colOff>
      <xdr:row>102</xdr:row>
      <xdr:rowOff>95815</xdr:rowOff>
    </xdr:to>
    <xdr:pic>
      <xdr:nvPicPr>
        <xdr:cNvPr id="17" name="그림 16"/>
        <xdr:cNvPicPr>
          <a:picLocks noChangeAspect="1"/>
        </xdr:cNvPicPr>
      </xdr:nvPicPr>
      <xdr:blipFill>
        <a:blip xmlns:r="http://schemas.openxmlformats.org/officeDocument/2006/relationships" r:embed="rId6"/>
        <a:stretch>
          <a:fillRect/>
        </a:stretch>
      </xdr:blipFill>
      <xdr:spPr>
        <a:xfrm>
          <a:off x="7000875" y="19373850"/>
          <a:ext cx="6144482" cy="404869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0</xdr:colOff>
      <xdr:row>21</xdr:row>
      <xdr:rowOff>0</xdr:rowOff>
    </xdr:from>
    <xdr:to>
      <xdr:col>11</xdr:col>
      <xdr:colOff>304800</xdr:colOff>
      <xdr:row>44</xdr:row>
      <xdr:rowOff>18723</xdr:rowOff>
    </xdr:to>
    <xdr:pic>
      <xdr:nvPicPr>
        <xdr:cNvPr id="2" name="그림 1"/>
        <xdr:cNvPicPr>
          <a:picLocks noChangeAspect="1"/>
        </xdr:cNvPicPr>
      </xdr:nvPicPr>
      <xdr:blipFill>
        <a:blip xmlns:r="http://schemas.openxmlformats.org/officeDocument/2006/relationships" r:embed="rId1"/>
        <a:stretch>
          <a:fillRect/>
        </a:stretch>
      </xdr:blipFill>
      <xdr:spPr>
        <a:xfrm>
          <a:off x="685800" y="4400550"/>
          <a:ext cx="7515225" cy="4838373"/>
        </a:xfrm>
        <a:prstGeom prst="rect">
          <a:avLst/>
        </a:prstGeom>
      </xdr:spPr>
    </xdr:pic>
    <xdr:clientData/>
  </xdr:twoCellAnchor>
  <xdr:twoCellAnchor editAs="oneCell">
    <xdr:from>
      <xdr:col>1</xdr:col>
      <xdr:colOff>28575</xdr:colOff>
      <xdr:row>61</xdr:row>
      <xdr:rowOff>57150</xdr:rowOff>
    </xdr:from>
    <xdr:to>
      <xdr:col>11</xdr:col>
      <xdr:colOff>382056</xdr:colOff>
      <xdr:row>71</xdr:row>
      <xdr:rowOff>19337</xdr:rowOff>
    </xdr:to>
    <xdr:pic>
      <xdr:nvPicPr>
        <xdr:cNvPr id="3" name="그림 2"/>
        <xdr:cNvPicPr>
          <a:picLocks noChangeAspect="1"/>
        </xdr:cNvPicPr>
      </xdr:nvPicPr>
      <xdr:blipFill>
        <a:blip xmlns:r="http://schemas.openxmlformats.org/officeDocument/2006/relationships" r:embed="rId2"/>
        <a:stretch>
          <a:fillRect/>
        </a:stretch>
      </xdr:blipFill>
      <xdr:spPr>
        <a:xfrm>
          <a:off x="714375" y="12839700"/>
          <a:ext cx="7563906" cy="2057687"/>
        </a:xfrm>
        <a:prstGeom prst="rect">
          <a:avLst/>
        </a:prstGeom>
      </xdr:spPr>
    </xdr:pic>
    <xdr:clientData/>
  </xdr:twoCellAnchor>
  <xdr:twoCellAnchor editAs="oneCell">
    <xdr:from>
      <xdr:col>1</xdr:col>
      <xdr:colOff>57150</xdr:colOff>
      <xdr:row>49</xdr:row>
      <xdr:rowOff>38100</xdr:rowOff>
    </xdr:from>
    <xdr:to>
      <xdr:col>11</xdr:col>
      <xdr:colOff>305841</xdr:colOff>
      <xdr:row>60</xdr:row>
      <xdr:rowOff>57474</xdr:rowOff>
    </xdr:to>
    <xdr:pic>
      <xdr:nvPicPr>
        <xdr:cNvPr id="4" name="그림 3"/>
        <xdr:cNvPicPr>
          <a:picLocks noChangeAspect="1"/>
        </xdr:cNvPicPr>
      </xdr:nvPicPr>
      <xdr:blipFill>
        <a:blip xmlns:r="http://schemas.openxmlformats.org/officeDocument/2006/relationships" r:embed="rId3"/>
        <a:stretch>
          <a:fillRect/>
        </a:stretch>
      </xdr:blipFill>
      <xdr:spPr>
        <a:xfrm>
          <a:off x="742950" y="10306050"/>
          <a:ext cx="7459116" cy="2324424"/>
        </a:xfrm>
        <a:prstGeom prst="rect">
          <a:avLst/>
        </a:prstGeom>
      </xdr:spPr>
    </xdr:pic>
    <xdr:clientData/>
  </xdr:twoCellAnchor>
  <xdr:twoCellAnchor>
    <xdr:from>
      <xdr:col>2</xdr:col>
      <xdr:colOff>342900</xdr:colOff>
      <xdr:row>76</xdr:row>
      <xdr:rowOff>0</xdr:rowOff>
    </xdr:from>
    <xdr:to>
      <xdr:col>3</xdr:col>
      <xdr:colOff>333375</xdr:colOff>
      <xdr:row>78</xdr:row>
      <xdr:rowOff>9525</xdr:rowOff>
    </xdr:to>
    <xdr:cxnSp macro="">
      <xdr:nvCxnSpPr>
        <xdr:cNvPr id="6" name="직선 연결선 5"/>
        <xdr:cNvCxnSpPr/>
      </xdr:nvCxnSpPr>
      <xdr:spPr>
        <a:xfrm flipH="1">
          <a:off x="1714500" y="15925800"/>
          <a:ext cx="676275" cy="4286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390525</xdr:colOff>
      <xdr:row>76</xdr:row>
      <xdr:rowOff>9525</xdr:rowOff>
    </xdr:from>
    <xdr:to>
      <xdr:col>4</xdr:col>
      <xdr:colOff>342900</xdr:colOff>
      <xdr:row>78</xdr:row>
      <xdr:rowOff>1</xdr:rowOff>
    </xdr:to>
    <xdr:cxnSp macro="">
      <xdr:nvCxnSpPr>
        <xdr:cNvPr id="7" name="직선 연결선 6"/>
        <xdr:cNvCxnSpPr/>
      </xdr:nvCxnSpPr>
      <xdr:spPr>
        <a:xfrm flipH="1" flipV="1">
          <a:off x="2447925" y="15935325"/>
          <a:ext cx="638175" cy="40957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285750</xdr:colOff>
      <xdr:row>18</xdr:row>
      <xdr:rowOff>180975</xdr:rowOff>
    </xdr:from>
    <xdr:to>
      <xdr:col>9</xdr:col>
      <xdr:colOff>419980</xdr:colOff>
      <xdr:row>44</xdr:row>
      <xdr:rowOff>162683</xdr:rowOff>
    </xdr:to>
    <xdr:pic>
      <xdr:nvPicPr>
        <xdr:cNvPr id="3" name="그림 2"/>
        <xdr:cNvPicPr>
          <a:picLocks noChangeAspect="1"/>
        </xdr:cNvPicPr>
      </xdr:nvPicPr>
      <xdr:blipFill>
        <a:blip xmlns:r="http://schemas.openxmlformats.org/officeDocument/2006/relationships" r:embed="rId1"/>
        <a:stretch>
          <a:fillRect/>
        </a:stretch>
      </xdr:blipFill>
      <xdr:spPr>
        <a:xfrm>
          <a:off x="285750" y="3952875"/>
          <a:ext cx="6306430" cy="5430008"/>
        </a:xfrm>
        <a:prstGeom prst="rect">
          <a:avLst/>
        </a:prstGeom>
      </xdr:spPr>
    </xdr:pic>
    <xdr:clientData/>
  </xdr:twoCellAnchor>
  <xdr:twoCellAnchor editAs="oneCell">
    <xdr:from>
      <xdr:col>0</xdr:col>
      <xdr:colOff>257175</xdr:colOff>
      <xdr:row>45</xdr:row>
      <xdr:rowOff>66675</xdr:rowOff>
    </xdr:from>
    <xdr:to>
      <xdr:col>5</xdr:col>
      <xdr:colOff>610128</xdr:colOff>
      <xdr:row>56</xdr:row>
      <xdr:rowOff>19365</xdr:rowOff>
    </xdr:to>
    <xdr:pic>
      <xdr:nvPicPr>
        <xdr:cNvPr id="4" name="그림 3"/>
        <xdr:cNvPicPr>
          <a:picLocks noChangeAspect="1"/>
        </xdr:cNvPicPr>
      </xdr:nvPicPr>
      <xdr:blipFill>
        <a:blip xmlns:r="http://schemas.openxmlformats.org/officeDocument/2006/relationships" r:embed="rId2"/>
        <a:stretch>
          <a:fillRect/>
        </a:stretch>
      </xdr:blipFill>
      <xdr:spPr>
        <a:xfrm>
          <a:off x="257175" y="9496425"/>
          <a:ext cx="3781953" cy="2257740"/>
        </a:xfrm>
        <a:prstGeom prst="rect">
          <a:avLst/>
        </a:prstGeom>
      </xdr:spPr>
    </xdr:pic>
    <xdr:clientData/>
  </xdr:twoCellAnchor>
  <xdr:twoCellAnchor editAs="oneCell">
    <xdr:from>
      <xdr:col>0</xdr:col>
      <xdr:colOff>228600</xdr:colOff>
      <xdr:row>56</xdr:row>
      <xdr:rowOff>142875</xdr:rowOff>
    </xdr:from>
    <xdr:to>
      <xdr:col>5</xdr:col>
      <xdr:colOff>248131</xdr:colOff>
      <xdr:row>79</xdr:row>
      <xdr:rowOff>162600</xdr:rowOff>
    </xdr:to>
    <xdr:pic>
      <xdr:nvPicPr>
        <xdr:cNvPr id="5" name="그림 4"/>
        <xdr:cNvPicPr>
          <a:picLocks noChangeAspect="1"/>
        </xdr:cNvPicPr>
      </xdr:nvPicPr>
      <xdr:blipFill>
        <a:blip xmlns:r="http://schemas.openxmlformats.org/officeDocument/2006/relationships" r:embed="rId3"/>
        <a:stretch>
          <a:fillRect/>
        </a:stretch>
      </xdr:blipFill>
      <xdr:spPr>
        <a:xfrm>
          <a:off x="228600" y="11877675"/>
          <a:ext cx="3448531" cy="4839375"/>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609600</xdr:colOff>
      <xdr:row>4</xdr:row>
      <xdr:rowOff>3897</xdr:rowOff>
    </xdr:from>
    <xdr:to>
      <xdr:col>9</xdr:col>
      <xdr:colOff>447675</xdr:colOff>
      <xdr:row>22</xdr:row>
      <xdr:rowOff>200980</xdr:rowOff>
    </xdr:to>
    <xdr:pic>
      <xdr:nvPicPr>
        <xdr:cNvPr id="2" name="그림 1"/>
        <xdr:cNvPicPr>
          <a:picLocks noChangeAspect="1"/>
        </xdr:cNvPicPr>
      </xdr:nvPicPr>
      <xdr:blipFill>
        <a:blip xmlns:r="http://schemas.openxmlformats.org/officeDocument/2006/relationships" r:embed="rId1"/>
        <a:stretch>
          <a:fillRect/>
        </a:stretch>
      </xdr:blipFill>
      <xdr:spPr>
        <a:xfrm>
          <a:off x="609600" y="842097"/>
          <a:ext cx="6638925" cy="3968983"/>
        </a:xfrm>
        <a:prstGeom prst="rect">
          <a:avLst/>
        </a:prstGeom>
      </xdr:spPr>
    </xdr:pic>
    <xdr:clientData/>
  </xdr:twoCellAnchor>
  <xdr:twoCellAnchor editAs="oneCell">
    <xdr:from>
      <xdr:col>11</xdr:col>
      <xdr:colOff>125861</xdr:colOff>
      <xdr:row>3</xdr:row>
      <xdr:rowOff>161925</xdr:rowOff>
    </xdr:from>
    <xdr:to>
      <xdr:col>18</xdr:col>
      <xdr:colOff>677026</xdr:colOff>
      <xdr:row>22</xdr:row>
      <xdr:rowOff>152400</xdr:rowOff>
    </xdr:to>
    <xdr:pic>
      <xdr:nvPicPr>
        <xdr:cNvPr id="3" name="그림 2"/>
        <xdr:cNvPicPr>
          <a:picLocks noChangeAspect="1"/>
        </xdr:cNvPicPr>
      </xdr:nvPicPr>
      <xdr:blipFill>
        <a:blip xmlns:r="http://schemas.openxmlformats.org/officeDocument/2006/relationships" r:embed="rId2"/>
        <a:stretch>
          <a:fillRect/>
        </a:stretch>
      </xdr:blipFill>
      <xdr:spPr>
        <a:xfrm>
          <a:off x="7669661" y="790575"/>
          <a:ext cx="5351765" cy="3971925"/>
        </a:xfrm>
        <a:prstGeom prst="rect">
          <a:avLst/>
        </a:prstGeom>
      </xdr:spPr>
    </xdr:pic>
    <xdr:clientData/>
  </xdr:twoCellAnchor>
  <xdr:twoCellAnchor editAs="oneCell">
    <xdr:from>
      <xdr:col>0</xdr:col>
      <xdr:colOff>514350</xdr:colOff>
      <xdr:row>23</xdr:row>
      <xdr:rowOff>62183</xdr:rowOff>
    </xdr:from>
    <xdr:to>
      <xdr:col>11</xdr:col>
      <xdr:colOff>304800</xdr:colOff>
      <xdr:row>42</xdr:row>
      <xdr:rowOff>67644</xdr:rowOff>
    </xdr:to>
    <xdr:pic>
      <xdr:nvPicPr>
        <xdr:cNvPr id="4" name="그림 3"/>
        <xdr:cNvPicPr>
          <a:picLocks noChangeAspect="1"/>
        </xdr:cNvPicPr>
      </xdr:nvPicPr>
      <xdr:blipFill>
        <a:blip xmlns:r="http://schemas.openxmlformats.org/officeDocument/2006/relationships" r:embed="rId3"/>
        <a:stretch>
          <a:fillRect/>
        </a:stretch>
      </xdr:blipFill>
      <xdr:spPr>
        <a:xfrm>
          <a:off x="514350" y="4881833"/>
          <a:ext cx="7962900" cy="3986911"/>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8</xdr:col>
      <xdr:colOff>123825</xdr:colOff>
      <xdr:row>6</xdr:row>
      <xdr:rowOff>85725</xdr:rowOff>
    </xdr:from>
    <xdr:to>
      <xdr:col>8</xdr:col>
      <xdr:colOff>581025</xdr:colOff>
      <xdr:row>8</xdr:row>
      <xdr:rowOff>123825</xdr:rowOff>
    </xdr:to>
    <xdr:sp macro="" textlink="">
      <xdr:nvSpPr>
        <xdr:cNvPr id="10" name="타원 9"/>
        <xdr:cNvSpPr/>
      </xdr:nvSpPr>
      <xdr:spPr>
        <a:xfrm>
          <a:off x="5610225" y="1343025"/>
          <a:ext cx="457200" cy="4572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8</xdr:col>
      <xdr:colOff>123825</xdr:colOff>
      <xdr:row>9</xdr:row>
      <xdr:rowOff>104775</xdr:rowOff>
    </xdr:from>
    <xdr:to>
      <xdr:col>8</xdr:col>
      <xdr:colOff>581025</xdr:colOff>
      <xdr:row>11</xdr:row>
      <xdr:rowOff>142875</xdr:rowOff>
    </xdr:to>
    <xdr:sp macro="" textlink="">
      <xdr:nvSpPr>
        <xdr:cNvPr id="11" name="타원 10"/>
        <xdr:cNvSpPr/>
      </xdr:nvSpPr>
      <xdr:spPr>
        <a:xfrm>
          <a:off x="5610225" y="1990725"/>
          <a:ext cx="457200" cy="4572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8</xdr:col>
      <xdr:colOff>104775</xdr:colOff>
      <xdr:row>12</xdr:row>
      <xdr:rowOff>85725</xdr:rowOff>
    </xdr:from>
    <xdr:to>
      <xdr:col>8</xdr:col>
      <xdr:colOff>561975</xdr:colOff>
      <xdr:row>14</xdr:row>
      <xdr:rowOff>123825</xdr:rowOff>
    </xdr:to>
    <xdr:sp macro="" textlink="">
      <xdr:nvSpPr>
        <xdr:cNvPr id="12" name="타원 11"/>
        <xdr:cNvSpPr/>
      </xdr:nvSpPr>
      <xdr:spPr>
        <a:xfrm>
          <a:off x="5591175" y="2600325"/>
          <a:ext cx="457200" cy="4572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104775</xdr:colOff>
      <xdr:row>9</xdr:row>
      <xdr:rowOff>66675</xdr:rowOff>
    </xdr:from>
    <xdr:to>
      <xdr:col>11</xdr:col>
      <xdr:colOff>561975</xdr:colOff>
      <xdr:row>11</xdr:row>
      <xdr:rowOff>104775</xdr:rowOff>
    </xdr:to>
    <xdr:sp macro="" textlink="">
      <xdr:nvSpPr>
        <xdr:cNvPr id="13" name="타원 12"/>
        <xdr:cNvSpPr/>
      </xdr:nvSpPr>
      <xdr:spPr>
        <a:xfrm>
          <a:off x="7648575" y="1952625"/>
          <a:ext cx="457200" cy="4572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8</xdr:col>
      <xdr:colOff>581025</xdr:colOff>
      <xdr:row>7</xdr:row>
      <xdr:rowOff>104775</xdr:rowOff>
    </xdr:from>
    <xdr:to>
      <xdr:col>11</xdr:col>
      <xdr:colOff>171730</xdr:colOff>
      <xdr:row>9</xdr:row>
      <xdr:rowOff>133630</xdr:rowOff>
    </xdr:to>
    <xdr:cxnSp macro="">
      <xdr:nvCxnSpPr>
        <xdr:cNvPr id="15" name="직선 연결선 14"/>
        <xdr:cNvCxnSpPr>
          <a:stCxn id="10" idx="6"/>
          <a:endCxn id="13" idx="1"/>
        </xdr:cNvCxnSpPr>
      </xdr:nvCxnSpPr>
      <xdr:spPr>
        <a:xfrm>
          <a:off x="6067425" y="1571625"/>
          <a:ext cx="1648105" cy="44795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581025</xdr:colOff>
      <xdr:row>10</xdr:row>
      <xdr:rowOff>85725</xdr:rowOff>
    </xdr:from>
    <xdr:to>
      <xdr:col>11</xdr:col>
      <xdr:colOff>104775</xdr:colOff>
      <xdr:row>10</xdr:row>
      <xdr:rowOff>123825</xdr:rowOff>
    </xdr:to>
    <xdr:cxnSp macro="">
      <xdr:nvCxnSpPr>
        <xdr:cNvPr id="16" name="직선 연결선 15"/>
        <xdr:cNvCxnSpPr>
          <a:stCxn id="11" idx="6"/>
          <a:endCxn id="13" idx="2"/>
        </xdr:cNvCxnSpPr>
      </xdr:nvCxnSpPr>
      <xdr:spPr>
        <a:xfrm flipV="1">
          <a:off x="6067425" y="2181225"/>
          <a:ext cx="1581150" cy="381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561975</xdr:colOff>
      <xdr:row>11</xdr:row>
      <xdr:rowOff>37820</xdr:rowOff>
    </xdr:from>
    <xdr:to>
      <xdr:col>11</xdr:col>
      <xdr:colOff>171730</xdr:colOff>
      <xdr:row>13</xdr:row>
      <xdr:rowOff>104775</xdr:rowOff>
    </xdr:to>
    <xdr:cxnSp macro="">
      <xdr:nvCxnSpPr>
        <xdr:cNvPr id="19" name="직선 연결선 18"/>
        <xdr:cNvCxnSpPr>
          <a:stCxn id="12" idx="6"/>
          <a:endCxn id="13" idx="3"/>
        </xdr:cNvCxnSpPr>
      </xdr:nvCxnSpPr>
      <xdr:spPr>
        <a:xfrm flipV="1">
          <a:off x="6048375" y="2342870"/>
          <a:ext cx="1667155" cy="48605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104775</xdr:colOff>
      <xdr:row>2</xdr:row>
      <xdr:rowOff>200025</xdr:rowOff>
    </xdr:from>
    <xdr:to>
      <xdr:col>24</xdr:col>
      <xdr:colOff>247650</xdr:colOff>
      <xdr:row>14</xdr:row>
      <xdr:rowOff>9525</xdr:rowOff>
    </xdr:to>
    <xdr:graphicFrame macro="">
      <xdr:nvGraphicFramePr>
        <xdr:cNvPr id="23" name="차트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47625</xdr:colOff>
      <xdr:row>14</xdr:row>
      <xdr:rowOff>133350</xdr:rowOff>
    </xdr:from>
    <xdr:to>
      <xdr:col>24</xdr:col>
      <xdr:colOff>257587</xdr:colOff>
      <xdr:row>24</xdr:row>
      <xdr:rowOff>95537</xdr:rowOff>
    </xdr:to>
    <xdr:pic>
      <xdr:nvPicPr>
        <xdr:cNvPr id="24" name="그림 23"/>
        <xdr:cNvPicPr>
          <a:picLocks noChangeAspect="1"/>
        </xdr:cNvPicPr>
      </xdr:nvPicPr>
      <xdr:blipFill>
        <a:blip xmlns:r="http://schemas.openxmlformats.org/officeDocument/2006/relationships" r:embed="rId2"/>
        <a:stretch>
          <a:fillRect/>
        </a:stretch>
      </xdr:blipFill>
      <xdr:spPr>
        <a:xfrm>
          <a:off x="14382750" y="3067050"/>
          <a:ext cx="2953162" cy="2057687"/>
        </a:xfrm>
        <a:prstGeom prst="rect">
          <a:avLst/>
        </a:prstGeom>
      </xdr:spPr>
    </xdr:pic>
    <xdr:clientData/>
  </xdr:twoCellAnchor>
  <xdr:twoCellAnchor>
    <xdr:from>
      <xdr:col>12</xdr:col>
      <xdr:colOff>485775</xdr:colOff>
      <xdr:row>16</xdr:row>
      <xdr:rowOff>152400</xdr:rowOff>
    </xdr:from>
    <xdr:to>
      <xdr:col>17</xdr:col>
      <xdr:colOff>247650</xdr:colOff>
      <xdr:row>32</xdr:row>
      <xdr:rowOff>142875</xdr:rowOff>
    </xdr:to>
    <xdr:grpSp>
      <xdr:nvGrpSpPr>
        <xdr:cNvPr id="36" name="그룹 35"/>
        <xdr:cNvGrpSpPr/>
      </xdr:nvGrpSpPr>
      <xdr:grpSpPr>
        <a:xfrm>
          <a:off x="12192000" y="3505200"/>
          <a:ext cx="3810000" cy="3343275"/>
          <a:chOff x="6486525" y="3867150"/>
          <a:chExt cx="3810000" cy="3343275"/>
        </a:xfrm>
      </xdr:grpSpPr>
      <xdr:graphicFrame macro="">
        <xdr:nvGraphicFramePr>
          <xdr:cNvPr id="25" name="차트 24"/>
          <xdr:cNvGraphicFramePr/>
        </xdr:nvGraphicFramePr>
        <xdr:xfrm>
          <a:off x="7081838" y="3867150"/>
          <a:ext cx="3214687" cy="2743200"/>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28" name="타원 27"/>
          <xdr:cNvSpPr/>
        </xdr:nvSpPr>
        <xdr:spPr>
          <a:xfrm>
            <a:off x="9486900" y="4267200"/>
            <a:ext cx="266700" cy="266700"/>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31" name="직선 연결선 30"/>
          <xdr:cNvCxnSpPr/>
        </xdr:nvCxnSpPr>
        <xdr:spPr>
          <a:xfrm>
            <a:off x="6486525" y="3971925"/>
            <a:ext cx="3600450" cy="3238500"/>
          </a:xfrm>
          <a:prstGeom prst="line">
            <a:avLst/>
          </a:prstGeom>
          <a:ln w="25400"/>
        </xdr:spPr>
        <xdr:style>
          <a:lnRef idx="1">
            <a:schemeClr val="accent1"/>
          </a:lnRef>
          <a:fillRef idx="0">
            <a:schemeClr val="accent1"/>
          </a:fillRef>
          <a:effectRef idx="0">
            <a:schemeClr val="accent1"/>
          </a:effectRef>
          <a:fontRef idx="minor">
            <a:schemeClr val="tx1"/>
          </a:fontRef>
        </xdr:style>
      </xdr:cxnSp>
      <xdr:sp macro="" textlink="">
        <xdr:nvSpPr>
          <xdr:cNvPr id="33" name="타원 32"/>
          <xdr:cNvSpPr/>
        </xdr:nvSpPr>
        <xdr:spPr>
          <a:xfrm>
            <a:off x="7296150" y="6143625"/>
            <a:ext cx="266700" cy="266700"/>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34" name="타원 33"/>
          <xdr:cNvSpPr/>
        </xdr:nvSpPr>
        <xdr:spPr>
          <a:xfrm>
            <a:off x="7277100" y="4229100"/>
            <a:ext cx="266700" cy="266700"/>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35" name="타원 34"/>
          <xdr:cNvSpPr/>
        </xdr:nvSpPr>
        <xdr:spPr>
          <a:xfrm>
            <a:off x="9486900" y="6096000"/>
            <a:ext cx="266700" cy="266700"/>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grpSp>
    <xdr:clientData/>
  </xdr:twoCellAnchor>
  <xdr:twoCellAnchor>
    <xdr:from>
      <xdr:col>13</xdr:col>
      <xdr:colOff>271463</xdr:colOff>
      <xdr:row>37</xdr:row>
      <xdr:rowOff>171450</xdr:rowOff>
    </xdr:from>
    <xdr:to>
      <xdr:col>18</xdr:col>
      <xdr:colOff>9525</xdr:colOff>
      <xdr:row>53</xdr:row>
      <xdr:rowOff>57150</xdr:rowOff>
    </xdr:to>
    <xdr:grpSp>
      <xdr:nvGrpSpPr>
        <xdr:cNvPr id="37" name="그룹 36"/>
        <xdr:cNvGrpSpPr/>
      </xdr:nvGrpSpPr>
      <xdr:grpSpPr>
        <a:xfrm>
          <a:off x="12663488" y="7924800"/>
          <a:ext cx="3786187" cy="3238500"/>
          <a:chOff x="7081838" y="3409950"/>
          <a:chExt cx="3786187" cy="3238500"/>
        </a:xfrm>
      </xdr:grpSpPr>
      <xdr:graphicFrame macro="">
        <xdr:nvGraphicFramePr>
          <xdr:cNvPr id="38" name="차트 37"/>
          <xdr:cNvGraphicFramePr/>
        </xdr:nvGraphicFramePr>
        <xdr:xfrm>
          <a:off x="7081838" y="3867150"/>
          <a:ext cx="3214687" cy="2743200"/>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39" name="타원 38"/>
          <xdr:cNvSpPr/>
        </xdr:nvSpPr>
        <xdr:spPr>
          <a:xfrm>
            <a:off x="9486900" y="4267200"/>
            <a:ext cx="266700" cy="266700"/>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40" name="직선 연결선 39"/>
          <xdr:cNvCxnSpPr/>
        </xdr:nvCxnSpPr>
        <xdr:spPr>
          <a:xfrm>
            <a:off x="7267575" y="3409950"/>
            <a:ext cx="3600450" cy="3238500"/>
          </a:xfrm>
          <a:prstGeom prst="line">
            <a:avLst/>
          </a:prstGeom>
          <a:ln w="25400"/>
        </xdr:spPr>
        <xdr:style>
          <a:lnRef idx="1">
            <a:schemeClr val="accent6"/>
          </a:lnRef>
          <a:fillRef idx="0">
            <a:schemeClr val="accent6"/>
          </a:fillRef>
          <a:effectRef idx="0">
            <a:schemeClr val="accent6"/>
          </a:effectRef>
          <a:fontRef idx="minor">
            <a:schemeClr val="tx1"/>
          </a:fontRef>
        </xdr:style>
      </xdr:cxnSp>
      <xdr:sp macro="" textlink="">
        <xdr:nvSpPr>
          <xdr:cNvPr id="41" name="타원 40"/>
          <xdr:cNvSpPr/>
        </xdr:nvSpPr>
        <xdr:spPr>
          <a:xfrm>
            <a:off x="7296150" y="6143625"/>
            <a:ext cx="266700" cy="266700"/>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42" name="타원 41"/>
          <xdr:cNvSpPr/>
        </xdr:nvSpPr>
        <xdr:spPr>
          <a:xfrm>
            <a:off x="7277100" y="4229100"/>
            <a:ext cx="266700" cy="266700"/>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43" name="타원 42"/>
          <xdr:cNvSpPr/>
        </xdr:nvSpPr>
        <xdr:spPr>
          <a:xfrm>
            <a:off x="9486900" y="6096000"/>
            <a:ext cx="266700" cy="266700"/>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grpSp>
    <xdr:clientData/>
  </xdr:twoCellAnchor>
</xdr:wsDr>
</file>

<file path=xl/drawings/drawing16.xml><?xml version="1.0" encoding="utf-8"?>
<xdr:wsDr xmlns:xdr="http://schemas.openxmlformats.org/drawingml/2006/spreadsheetDrawing" xmlns:a="http://schemas.openxmlformats.org/drawingml/2006/main">
  <xdr:twoCellAnchor>
    <xdr:from>
      <xdr:col>7</xdr:col>
      <xdr:colOff>123825</xdr:colOff>
      <xdr:row>13</xdr:row>
      <xdr:rowOff>104775</xdr:rowOff>
    </xdr:from>
    <xdr:to>
      <xdr:col>7</xdr:col>
      <xdr:colOff>581025</xdr:colOff>
      <xdr:row>15</xdr:row>
      <xdr:rowOff>142875</xdr:rowOff>
    </xdr:to>
    <xdr:sp macro="" textlink="">
      <xdr:nvSpPr>
        <xdr:cNvPr id="3" name="타원 2"/>
        <xdr:cNvSpPr/>
      </xdr:nvSpPr>
      <xdr:spPr>
        <a:xfrm>
          <a:off x="7848600" y="1990725"/>
          <a:ext cx="457200" cy="4572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104775</xdr:colOff>
      <xdr:row>16</xdr:row>
      <xdr:rowOff>85725</xdr:rowOff>
    </xdr:from>
    <xdr:to>
      <xdr:col>7</xdr:col>
      <xdr:colOff>561975</xdr:colOff>
      <xdr:row>18</xdr:row>
      <xdr:rowOff>123825</xdr:rowOff>
    </xdr:to>
    <xdr:sp macro="" textlink="">
      <xdr:nvSpPr>
        <xdr:cNvPr id="4" name="타원 3"/>
        <xdr:cNvSpPr/>
      </xdr:nvSpPr>
      <xdr:spPr>
        <a:xfrm>
          <a:off x="7829550" y="2600325"/>
          <a:ext cx="457200" cy="4572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12</xdr:col>
      <xdr:colOff>247650</xdr:colOff>
      <xdr:row>14</xdr:row>
      <xdr:rowOff>95250</xdr:rowOff>
    </xdr:from>
    <xdr:to>
      <xdr:col>13</xdr:col>
      <xdr:colOff>19050</xdr:colOff>
      <xdr:row>16</xdr:row>
      <xdr:rowOff>133350</xdr:rowOff>
    </xdr:to>
    <xdr:sp macro="" textlink="">
      <xdr:nvSpPr>
        <xdr:cNvPr id="5" name="타원 4"/>
        <xdr:cNvSpPr/>
      </xdr:nvSpPr>
      <xdr:spPr>
        <a:xfrm>
          <a:off x="9572625" y="2190750"/>
          <a:ext cx="457200" cy="4572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104775</xdr:colOff>
      <xdr:row>13</xdr:row>
      <xdr:rowOff>104775</xdr:rowOff>
    </xdr:from>
    <xdr:to>
      <xdr:col>9</xdr:col>
      <xdr:colOff>561975</xdr:colOff>
      <xdr:row>15</xdr:row>
      <xdr:rowOff>142875</xdr:rowOff>
    </xdr:to>
    <xdr:sp macro="" textlink="">
      <xdr:nvSpPr>
        <xdr:cNvPr id="29" name="타원 28"/>
        <xdr:cNvSpPr/>
      </xdr:nvSpPr>
      <xdr:spPr>
        <a:xfrm>
          <a:off x="7372350" y="1990725"/>
          <a:ext cx="457200" cy="4572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85725</xdr:colOff>
      <xdr:row>16</xdr:row>
      <xdr:rowOff>85725</xdr:rowOff>
    </xdr:from>
    <xdr:to>
      <xdr:col>9</xdr:col>
      <xdr:colOff>542925</xdr:colOff>
      <xdr:row>18</xdr:row>
      <xdr:rowOff>123825</xdr:rowOff>
    </xdr:to>
    <xdr:sp macro="" textlink="">
      <xdr:nvSpPr>
        <xdr:cNvPr id="30" name="타원 29"/>
        <xdr:cNvSpPr/>
      </xdr:nvSpPr>
      <xdr:spPr>
        <a:xfrm>
          <a:off x="7353300" y="2600325"/>
          <a:ext cx="457200" cy="4572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8</xdr:col>
      <xdr:colOff>28575</xdr:colOff>
      <xdr:row>10</xdr:row>
      <xdr:rowOff>57150</xdr:rowOff>
    </xdr:from>
    <xdr:to>
      <xdr:col>8</xdr:col>
      <xdr:colOff>485775</xdr:colOff>
      <xdr:row>12</xdr:row>
      <xdr:rowOff>95250</xdr:rowOff>
    </xdr:to>
    <xdr:grpSp>
      <xdr:nvGrpSpPr>
        <xdr:cNvPr id="32" name="그룹 31"/>
        <xdr:cNvGrpSpPr/>
      </xdr:nvGrpSpPr>
      <xdr:grpSpPr>
        <a:xfrm>
          <a:off x="5905500" y="2152650"/>
          <a:ext cx="457200" cy="457200"/>
          <a:chOff x="6610350" y="1314450"/>
          <a:chExt cx="457200" cy="457200"/>
        </a:xfrm>
      </xdr:grpSpPr>
      <xdr:sp macro="" textlink="">
        <xdr:nvSpPr>
          <xdr:cNvPr id="27" name="타원 26"/>
          <xdr:cNvSpPr/>
        </xdr:nvSpPr>
        <xdr:spPr>
          <a:xfrm>
            <a:off x="6610350" y="1314450"/>
            <a:ext cx="457200" cy="457200"/>
          </a:xfrm>
          <a:prstGeom prst="ellipse">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31" name="TextBox 30"/>
          <xdr:cNvSpPr txBox="1"/>
        </xdr:nvSpPr>
        <xdr:spPr>
          <a:xfrm>
            <a:off x="6667500" y="1428750"/>
            <a:ext cx="352425" cy="238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b1</a:t>
            </a:r>
          </a:p>
          <a:p>
            <a:endParaRPr lang="ko-KR" altLang="en-US" sz="1100"/>
          </a:p>
        </xdr:txBody>
      </xdr:sp>
    </xdr:grpSp>
    <xdr:clientData/>
  </xdr:twoCellAnchor>
  <xdr:twoCellAnchor>
    <xdr:from>
      <xdr:col>10</xdr:col>
      <xdr:colOff>133350</xdr:colOff>
      <xdr:row>10</xdr:row>
      <xdr:rowOff>57150</xdr:rowOff>
    </xdr:from>
    <xdr:to>
      <xdr:col>10</xdr:col>
      <xdr:colOff>590550</xdr:colOff>
      <xdr:row>12</xdr:row>
      <xdr:rowOff>95250</xdr:rowOff>
    </xdr:to>
    <xdr:grpSp>
      <xdr:nvGrpSpPr>
        <xdr:cNvPr id="33" name="그룹 32"/>
        <xdr:cNvGrpSpPr/>
      </xdr:nvGrpSpPr>
      <xdr:grpSpPr>
        <a:xfrm>
          <a:off x="7400925" y="2152650"/>
          <a:ext cx="457200" cy="457200"/>
          <a:chOff x="6610350" y="1314450"/>
          <a:chExt cx="457200" cy="457200"/>
        </a:xfrm>
      </xdr:grpSpPr>
      <xdr:sp macro="" textlink="">
        <xdr:nvSpPr>
          <xdr:cNvPr id="34" name="타원 33"/>
          <xdr:cNvSpPr/>
        </xdr:nvSpPr>
        <xdr:spPr>
          <a:xfrm>
            <a:off x="6610350" y="1314450"/>
            <a:ext cx="457200" cy="457200"/>
          </a:xfrm>
          <a:prstGeom prst="ellipse">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35" name="TextBox 34"/>
          <xdr:cNvSpPr txBox="1"/>
        </xdr:nvSpPr>
        <xdr:spPr>
          <a:xfrm>
            <a:off x="6667500" y="1428750"/>
            <a:ext cx="352425" cy="238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b2</a:t>
            </a:r>
          </a:p>
          <a:p>
            <a:endParaRPr lang="ko-KR" altLang="en-US" sz="1100"/>
          </a:p>
        </xdr:txBody>
      </xdr:sp>
    </xdr:grpSp>
    <xdr:clientData/>
  </xdr:twoCellAnchor>
  <xdr:twoCellAnchor>
    <xdr:from>
      <xdr:col>7</xdr:col>
      <xdr:colOff>581025</xdr:colOff>
      <xdr:row>14</xdr:row>
      <xdr:rowOff>123825</xdr:rowOff>
    </xdr:from>
    <xdr:to>
      <xdr:col>9</xdr:col>
      <xdr:colOff>104775</xdr:colOff>
      <xdr:row>14</xdr:row>
      <xdr:rowOff>123825</xdr:rowOff>
    </xdr:to>
    <xdr:cxnSp macro="">
      <xdr:nvCxnSpPr>
        <xdr:cNvPr id="37" name="직선 화살표 연결선 36"/>
        <xdr:cNvCxnSpPr>
          <a:stCxn id="3" idx="6"/>
          <a:endCxn id="29" idx="2"/>
        </xdr:cNvCxnSpPr>
      </xdr:nvCxnSpPr>
      <xdr:spPr>
        <a:xfrm>
          <a:off x="6457950" y="2219325"/>
          <a:ext cx="9144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581025</xdr:colOff>
      <xdr:row>14</xdr:row>
      <xdr:rowOff>123825</xdr:rowOff>
    </xdr:from>
    <xdr:to>
      <xdr:col>9</xdr:col>
      <xdr:colOff>85725</xdr:colOff>
      <xdr:row>17</xdr:row>
      <xdr:rowOff>104775</xdr:rowOff>
    </xdr:to>
    <xdr:cxnSp macro="">
      <xdr:nvCxnSpPr>
        <xdr:cNvPr id="39" name="직선 화살표 연결선 38"/>
        <xdr:cNvCxnSpPr>
          <a:stCxn id="3" idx="6"/>
          <a:endCxn id="30" idx="2"/>
        </xdr:cNvCxnSpPr>
      </xdr:nvCxnSpPr>
      <xdr:spPr>
        <a:xfrm>
          <a:off x="6457950" y="2219325"/>
          <a:ext cx="895350" cy="6096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561975</xdr:colOff>
      <xdr:row>14</xdr:row>
      <xdr:rowOff>123825</xdr:rowOff>
    </xdr:from>
    <xdr:to>
      <xdr:col>9</xdr:col>
      <xdr:colOff>104775</xdr:colOff>
      <xdr:row>17</xdr:row>
      <xdr:rowOff>104775</xdr:rowOff>
    </xdr:to>
    <xdr:cxnSp macro="">
      <xdr:nvCxnSpPr>
        <xdr:cNvPr id="41" name="직선 화살표 연결선 40"/>
        <xdr:cNvCxnSpPr>
          <a:stCxn id="4" idx="6"/>
          <a:endCxn id="29" idx="2"/>
        </xdr:cNvCxnSpPr>
      </xdr:nvCxnSpPr>
      <xdr:spPr>
        <a:xfrm flipV="1">
          <a:off x="6438900" y="2219325"/>
          <a:ext cx="933450" cy="60960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7</xdr:col>
      <xdr:colOff>561975</xdr:colOff>
      <xdr:row>17</xdr:row>
      <xdr:rowOff>104775</xdr:rowOff>
    </xdr:from>
    <xdr:to>
      <xdr:col>9</xdr:col>
      <xdr:colOff>85725</xdr:colOff>
      <xdr:row>17</xdr:row>
      <xdr:rowOff>104775</xdr:rowOff>
    </xdr:to>
    <xdr:cxnSp macro="">
      <xdr:nvCxnSpPr>
        <xdr:cNvPr id="43" name="직선 화살표 연결선 42"/>
        <xdr:cNvCxnSpPr>
          <a:stCxn id="4" idx="6"/>
          <a:endCxn id="30" idx="2"/>
        </xdr:cNvCxnSpPr>
      </xdr:nvCxnSpPr>
      <xdr:spPr>
        <a:xfrm>
          <a:off x="6438900" y="2828925"/>
          <a:ext cx="914400" cy="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8</xdr:col>
      <xdr:colOff>418820</xdr:colOff>
      <xdr:row>12</xdr:row>
      <xdr:rowOff>28295</xdr:rowOff>
    </xdr:from>
    <xdr:to>
      <xdr:col>9</xdr:col>
      <xdr:colOff>171730</xdr:colOff>
      <xdr:row>13</xdr:row>
      <xdr:rowOff>171730</xdr:rowOff>
    </xdr:to>
    <xdr:cxnSp macro="">
      <xdr:nvCxnSpPr>
        <xdr:cNvPr id="45" name="직선 화살표 연결선 44"/>
        <xdr:cNvCxnSpPr>
          <a:stCxn id="27" idx="5"/>
          <a:endCxn id="29" idx="1"/>
        </xdr:cNvCxnSpPr>
      </xdr:nvCxnSpPr>
      <xdr:spPr>
        <a:xfrm>
          <a:off x="7000595" y="1704695"/>
          <a:ext cx="438710" cy="352985"/>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418820</xdr:colOff>
      <xdr:row>12</xdr:row>
      <xdr:rowOff>28295</xdr:rowOff>
    </xdr:from>
    <xdr:to>
      <xdr:col>9</xdr:col>
      <xdr:colOff>152680</xdr:colOff>
      <xdr:row>16</xdr:row>
      <xdr:rowOff>152680</xdr:rowOff>
    </xdr:to>
    <xdr:cxnSp macro="">
      <xdr:nvCxnSpPr>
        <xdr:cNvPr id="47" name="직선 화살표 연결선 46"/>
        <xdr:cNvCxnSpPr>
          <a:stCxn id="27" idx="5"/>
          <a:endCxn id="30" idx="1"/>
        </xdr:cNvCxnSpPr>
      </xdr:nvCxnSpPr>
      <xdr:spPr>
        <a:xfrm>
          <a:off x="7000595" y="1704695"/>
          <a:ext cx="419660" cy="962585"/>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723900</xdr:colOff>
      <xdr:row>13</xdr:row>
      <xdr:rowOff>66675</xdr:rowOff>
    </xdr:from>
    <xdr:to>
      <xdr:col>8</xdr:col>
      <xdr:colOff>114300</xdr:colOff>
      <xdr:row>14</xdr:row>
      <xdr:rowOff>104775</xdr:rowOff>
    </xdr:to>
    <xdr:sp macro="" textlink="">
      <xdr:nvSpPr>
        <xdr:cNvPr id="49" name="TextBox 48"/>
        <xdr:cNvSpPr txBox="1"/>
      </xdr:nvSpPr>
      <xdr:spPr>
        <a:xfrm>
          <a:off x="5524500" y="2790825"/>
          <a:ext cx="4667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ko-KR" sz="1100"/>
            <a:t>w0</a:t>
          </a:r>
        </a:p>
      </xdr:txBody>
    </xdr:sp>
    <xdr:clientData/>
  </xdr:twoCellAnchor>
  <xdr:twoCellAnchor>
    <xdr:from>
      <xdr:col>7</xdr:col>
      <xdr:colOff>123825</xdr:colOff>
      <xdr:row>13</xdr:row>
      <xdr:rowOff>190500</xdr:rowOff>
    </xdr:from>
    <xdr:to>
      <xdr:col>7</xdr:col>
      <xdr:colOff>590550</xdr:colOff>
      <xdr:row>15</xdr:row>
      <xdr:rowOff>19050</xdr:rowOff>
    </xdr:to>
    <xdr:sp macro="" textlink="">
      <xdr:nvSpPr>
        <xdr:cNvPr id="50" name="TextBox 49"/>
        <xdr:cNvSpPr txBox="1"/>
      </xdr:nvSpPr>
      <xdr:spPr>
        <a:xfrm>
          <a:off x="4924425" y="2914650"/>
          <a:ext cx="4667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ko-KR" sz="1100"/>
            <a:t>0</a:t>
          </a:r>
        </a:p>
      </xdr:txBody>
    </xdr:sp>
    <xdr:clientData/>
  </xdr:twoCellAnchor>
  <xdr:twoCellAnchor>
    <xdr:from>
      <xdr:col>7</xdr:col>
      <xdr:colOff>104775</xdr:colOff>
      <xdr:row>16</xdr:row>
      <xdr:rowOff>161925</xdr:rowOff>
    </xdr:from>
    <xdr:to>
      <xdr:col>7</xdr:col>
      <xdr:colOff>571500</xdr:colOff>
      <xdr:row>17</xdr:row>
      <xdr:rowOff>200025</xdr:rowOff>
    </xdr:to>
    <xdr:sp macro="" textlink="">
      <xdr:nvSpPr>
        <xdr:cNvPr id="51" name="TextBox 50"/>
        <xdr:cNvSpPr txBox="1"/>
      </xdr:nvSpPr>
      <xdr:spPr>
        <a:xfrm>
          <a:off x="4905375" y="3514725"/>
          <a:ext cx="4667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ko-KR" sz="1100"/>
            <a:t>0</a:t>
          </a:r>
        </a:p>
      </xdr:txBody>
    </xdr:sp>
    <xdr:clientData/>
  </xdr:twoCellAnchor>
  <xdr:twoCellAnchor>
    <xdr:from>
      <xdr:col>7</xdr:col>
      <xdr:colOff>619125</xdr:colOff>
      <xdr:row>14</xdr:row>
      <xdr:rowOff>152400</xdr:rowOff>
    </xdr:from>
    <xdr:to>
      <xdr:col>8</xdr:col>
      <xdr:colOff>9525</xdr:colOff>
      <xdr:row>15</xdr:row>
      <xdr:rowOff>190500</xdr:rowOff>
    </xdr:to>
    <xdr:sp macro="" textlink="">
      <xdr:nvSpPr>
        <xdr:cNvPr id="52" name="TextBox 51"/>
        <xdr:cNvSpPr txBox="1"/>
      </xdr:nvSpPr>
      <xdr:spPr>
        <a:xfrm>
          <a:off x="5419725" y="3086100"/>
          <a:ext cx="4667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ko-KR" sz="1100"/>
            <a:t>w1</a:t>
          </a:r>
        </a:p>
      </xdr:txBody>
    </xdr:sp>
    <xdr:clientData/>
  </xdr:twoCellAnchor>
  <xdr:twoCellAnchor>
    <xdr:from>
      <xdr:col>7</xdr:col>
      <xdr:colOff>800100</xdr:colOff>
      <xdr:row>15</xdr:row>
      <xdr:rowOff>200025</xdr:rowOff>
    </xdr:from>
    <xdr:to>
      <xdr:col>8</xdr:col>
      <xdr:colOff>190500</xdr:colOff>
      <xdr:row>17</xdr:row>
      <xdr:rowOff>28575</xdr:rowOff>
    </xdr:to>
    <xdr:sp macro="" textlink="">
      <xdr:nvSpPr>
        <xdr:cNvPr id="53" name="TextBox 52"/>
        <xdr:cNvSpPr txBox="1"/>
      </xdr:nvSpPr>
      <xdr:spPr>
        <a:xfrm>
          <a:off x="5600700" y="3343275"/>
          <a:ext cx="4667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ko-KR" sz="1100"/>
            <a:t>w2</a:t>
          </a:r>
        </a:p>
      </xdr:txBody>
    </xdr:sp>
    <xdr:clientData/>
  </xdr:twoCellAnchor>
  <xdr:twoCellAnchor>
    <xdr:from>
      <xdr:col>7</xdr:col>
      <xdr:colOff>600075</xdr:colOff>
      <xdr:row>17</xdr:row>
      <xdr:rowOff>76200</xdr:rowOff>
    </xdr:from>
    <xdr:to>
      <xdr:col>7</xdr:col>
      <xdr:colOff>1066800</xdr:colOff>
      <xdr:row>18</xdr:row>
      <xdr:rowOff>114300</xdr:rowOff>
    </xdr:to>
    <xdr:sp macro="" textlink="">
      <xdr:nvSpPr>
        <xdr:cNvPr id="54" name="TextBox 53"/>
        <xdr:cNvSpPr txBox="1"/>
      </xdr:nvSpPr>
      <xdr:spPr>
        <a:xfrm>
          <a:off x="5400675" y="3638550"/>
          <a:ext cx="4667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ko-KR" sz="1100"/>
            <a:t>w3</a:t>
          </a:r>
        </a:p>
      </xdr:txBody>
    </xdr:sp>
    <xdr:clientData/>
  </xdr:twoCellAnchor>
  <xdr:twoCellAnchor>
    <xdr:from>
      <xdr:col>9</xdr:col>
      <xdr:colOff>561975</xdr:colOff>
      <xdr:row>14</xdr:row>
      <xdr:rowOff>123825</xdr:rowOff>
    </xdr:from>
    <xdr:to>
      <xdr:col>12</xdr:col>
      <xdr:colOff>247650</xdr:colOff>
      <xdr:row>15</xdr:row>
      <xdr:rowOff>114300</xdr:rowOff>
    </xdr:to>
    <xdr:cxnSp macro="">
      <xdr:nvCxnSpPr>
        <xdr:cNvPr id="56" name="직선 화살표 연결선 55"/>
        <xdr:cNvCxnSpPr>
          <a:stCxn id="29" idx="6"/>
          <a:endCxn id="5" idx="2"/>
        </xdr:cNvCxnSpPr>
      </xdr:nvCxnSpPr>
      <xdr:spPr>
        <a:xfrm>
          <a:off x="7143750" y="3057525"/>
          <a:ext cx="1743075" cy="200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542925</xdr:colOff>
      <xdr:row>15</xdr:row>
      <xdr:rowOff>114300</xdr:rowOff>
    </xdr:from>
    <xdr:to>
      <xdr:col>12</xdr:col>
      <xdr:colOff>247650</xdr:colOff>
      <xdr:row>17</xdr:row>
      <xdr:rowOff>104775</xdr:rowOff>
    </xdr:to>
    <xdr:cxnSp macro="">
      <xdr:nvCxnSpPr>
        <xdr:cNvPr id="58" name="직선 화살표 연결선 57"/>
        <xdr:cNvCxnSpPr>
          <a:stCxn id="30" idx="6"/>
          <a:endCxn id="5" idx="2"/>
        </xdr:cNvCxnSpPr>
      </xdr:nvCxnSpPr>
      <xdr:spPr>
        <a:xfrm flipV="1">
          <a:off x="7124700" y="3257550"/>
          <a:ext cx="1762125" cy="4095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590550</xdr:colOff>
      <xdr:row>11</xdr:row>
      <xdr:rowOff>76200</xdr:rowOff>
    </xdr:from>
    <xdr:to>
      <xdr:col>12</xdr:col>
      <xdr:colOff>314605</xdr:colOff>
      <xdr:row>14</xdr:row>
      <xdr:rowOff>162205</xdr:rowOff>
    </xdr:to>
    <xdr:cxnSp macro="">
      <xdr:nvCxnSpPr>
        <xdr:cNvPr id="59" name="직선 화살표 연결선 58"/>
        <xdr:cNvCxnSpPr>
          <a:stCxn id="34" idx="6"/>
          <a:endCxn id="5" idx="1"/>
        </xdr:cNvCxnSpPr>
      </xdr:nvCxnSpPr>
      <xdr:spPr>
        <a:xfrm>
          <a:off x="7858125" y="2381250"/>
          <a:ext cx="1095655" cy="714655"/>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647700</xdr:colOff>
      <xdr:row>12</xdr:row>
      <xdr:rowOff>9525</xdr:rowOff>
    </xdr:from>
    <xdr:to>
      <xdr:col>9</xdr:col>
      <xdr:colOff>609600</xdr:colOff>
      <xdr:row>13</xdr:row>
      <xdr:rowOff>47625</xdr:rowOff>
    </xdr:to>
    <xdr:sp macro="" textlink="">
      <xdr:nvSpPr>
        <xdr:cNvPr id="62" name="TextBox 61"/>
        <xdr:cNvSpPr txBox="1"/>
      </xdr:nvSpPr>
      <xdr:spPr>
        <a:xfrm>
          <a:off x="6524625" y="2524125"/>
          <a:ext cx="6667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100" b="1">
              <a:solidFill>
                <a:srgbClr val="00B050"/>
              </a:solidFill>
            </a:rPr>
            <a:t>은닉층</a:t>
          </a:r>
          <a:endParaRPr lang="en-US" altLang="ko-KR" sz="1100" b="1">
            <a:solidFill>
              <a:srgbClr val="00B050"/>
            </a:solidFill>
          </a:endParaRPr>
        </a:p>
        <a:p>
          <a:pPr algn="ctr"/>
          <a:endParaRPr lang="en-US" altLang="ko-KR" sz="1100" b="1">
            <a:solidFill>
              <a:srgbClr val="00B050"/>
            </a:solidFill>
          </a:endParaRPr>
        </a:p>
      </xdr:txBody>
    </xdr:sp>
    <xdr:clientData/>
  </xdr:twoCellAnchor>
  <xdr:twoCellAnchor>
    <xdr:from>
      <xdr:col>10</xdr:col>
      <xdr:colOff>428625</xdr:colOff>
      <xdr:row>13</xdr:row>
      <xdr:rowOff>161925</xdr:rowOff>
    </xdr:from>
    <xdr:to>
      <xdr:col>11</xdr:col>
      <xdr:colOff>209550</xdr:colOff>
      <xdr:row>14</xdr:row>
      <xdr:rowOff>200025</xdr:rowOff>
    </xdr:to>
    <xdr:sp macro="" textlink="">
      <xdr:nvSpPr>
        <xdr:cNvPr id="63" name="TextBox 62"/>
        <xdr:cNvSpPr txBox="1"/>
      </xdr:nvSpPr>
      <xdr:spPr>
        <a:xfrm>
          <a:off x="7696200" y="2886075"/>
          <a:ext cx="4667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ko-KR" sz="1100"/>
            <a:t>w4</a:t>
          </a:r>
        </a:p>
      </xdr:txBody>
    </xdr:sp>
    <xdr:clientData/>
  </xdr:twoCellAnchor>
  <xdr:twoCellAnchor>
    <xdr:from>
      <xdr:col>10</xdr:col>
      <xdr:colOff>457200</xdr:colOff>
      <xdr:row>16</xdr:row>
      <xdr:rowOff>142875</xdr:rowOff>
    </xdr:from>
    <xdr:to>
      <xdr:col>11</xdr:col>
      <xdr:colOff>238125</xdr:colOff>
      <xdr:row>17</xdr:row>
      <xdr:rowOff>180975</xdr:rowOff>
    </xdr:to>
    <xdr:sp macro="" textlink="">
      <xdr:nvSpPr>
        <xdr:cNvPr id="66" name="TextBox 65"/>
        <xdr:cNvSpPr txBox="1"/>
      </xdr:nvSpPr>
      <xdr:spPr>
        <a:xfrm>
          <a:off x="7724775" y="3495675"/>
          <a:ext cx="4667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ko-KR" sz="1100"/>
            <a:t>w5</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600075</xdr:colOff>
      <xdr:row>3</xdr:row>
      <xdr:rowOff>190500</xdr:rowOff>
    </xdr:from>
    <xdr:to>
      <xdr:col>10</xdr:col>
      <xdr:colOff>371475</xdr:colOff>
      <xdr:row>17</xdr:row>
      <xdr:rowOff>0</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19050</xdr:colOff>
      <xdr:row>21</xdr:row>
      <xdr:rowOff>19050</xdr:rowOff>
    </xdr:from>
    <xdr:to>
      <xdr:col>10</xdr:col>
      <xdr:colOff>620070</xdr:colOff>
      <xdr:row>26</xdr:row>
      <xdr:rowOff>200196</xdr:rowOff>
    </xdr:to>
    <xdr:pic>
      <xdr:nvPicPr>
        <xdr:cNvPr id="3" name="그림 2"/>
        <xdr:cNvPicPr>
          <a:picLocks noChangeAspect="1"/>
        </xdr:cNvPicPr>
      </xdr:nvPicPr>
      <xdr:blipFill>
        <a:blip xmlns:r="http://schemas.openxmlformats.org/officeDocument/2006/relationships" r:embed="rId2"/>
        <a:stretch>
          <a:fillRect/>
        </a:stretch>
      </xdr:blipFill>
      <xdr:spPr>
        <a:xfrm>
          <a:off x="704850" y="4419600"/>
          <a:ext cx="6773220" cy="1228896"/>
        </a:xfrm>
        <a:prstGeom prst="rect">
          <a:avLst/>
        </a:prstGeom>
      </xdr:spPr>
    </xdr:pic>
    <xdr:clientData/>
  </xdr:twoCellAnchor>
  <xdr:twoCellAnchor>
    <xdr:from>
      <xdr:col>3</xdr:col>
      <xdr:colOff>361950</xdr:colOff>
      <xdr:row>28</xdr:row>
      <xdr:rowOff>200025</xdr:rowOff>
    </xdr:from>
    <xdr:to>
      <xdr:col>7</xdr:col>
      <xdr:colOff>447675</xdr:colOff>
      <xdr:row>42</xdr:row>
      <xdr:rowOff>9525</xdr:rowOff>
    </xdr:to>
    <xdr:graphicFrame macro="">
      <xdr:nvGraphicFramePr>
        <xdr:cNvPr id="4" name="차트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104775</xdr:colOff>
      <xdr:row>49</xdr:row>
      <xdr:rowOff>76200</xdr:rowOff>
    </xdr:from>
    <xdr:to>
      <xdr:col>8</xdr:col>
      <xdr:colOff>476250</xdr:colOff>
      <xdr:row>62</xdr:row>
      <xdr:rowOff>95250</xdr:rowOff>
    </xdr:to>
    <xdr:graphicFrame macro="">
      <xdr:nvGraphicFramePr>
        <xdr:cNvPr id="5" name="차트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485775</xdr:colOff>
      <xdr:row>49</xdr:row>
      <xdr:rowOff>114300</xdr:rowOff>
    </xdr:from>
    <xdr:to>
      <xdr:col>19</xdr:col>
      <xdr:colOff>257175</xdr:colOff>
      <xdr:row>62</xdr:row>
      <xdr:rowOff>133350</xdr:rowOff>
    </xdr:to>
    <xdr:graphicFrame macro="">
      <xdr:nvGraphicFramePr>
        <xdr:cNvPr id="6" name="차트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495300</xdr:colOff>
      <xdr:row>22</xdr:row>
      <xdr:rowOff>28575</xdr:rowOff>
    </xdr:from>
    <xdr:to>
      <xdr:col>25</xdr:col>
      <xdr:colOff>161925</xdr:colOff>
      <xdr:row>40</xdr:row>
      <xdr:rowOff>175368</xdr:rowOff>
    </xdr:to>
    <xdr:pic>
      <xdr:nvPicPr>
        <xdr:cNvPr id="7" name="그림 6">
          <a:extLst>
            <a:ext uri="{FF2B5EF4-FFF2-40B4-BE49-F238E27FC236}">
              <a16:creationId xmlns:a16="http://schemas.microsoft.com/office/drawing/2014/main" id="{E4339AE9-BC8D-4A0D-A1C7-873162D44155}"/>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410700" y="4638675"/>
          <a:ext cx="7896225" cy="3918693"/>
        </a:xfrm>
        <a:prstGeom prst="rect">
          <a:avLst/>
        </a:prstGeom>
      </xdr:spPr>
    </xdr:pic>
    <xdr:clientData/>
  </xdr:twoCellAnchor>
  <xdr:twoCellAnchor editAs="oneCell">
    <xdr:from>
      <xdr:col>8</xdr:col>
      <xdr:colOff>647699</xdr:colOff>
      <xdr:row>87</xdr:row>
      <xdr:rowOff>142874</xdr:rowOff>
    </xdr:from>
    <xdr:to>
      <xdr:col>13</xdr:col>
      <xdr:colOff>485774</xdr:colOff>
      <xdr:row>98</xdr:row>
      <xdr:rowOff>111531</xdr:rowOff>
    </xdr:to>
    <xdr:pic>
      <xdr:nvPicPr>
        <xdr:cNvPr id="8" name="그림 7"/>
        <xdr:cNvPicPr>
          <a:picLocks noChangeAspect="1"/>
        </xdr:cNvPicPr>
      </xdr:nvPicPr>
      <xdr:blipFill>
        <a:blip xmlns:r="http://schemas.openxmlformats.org/officeDocument/2006/relationships" r:embed="rId7"/>
        <a:stretch>
          <a:fillRect/>
        </a:stretch>
      </xdr:blipFill>
      <xdr:spPr>
        <a:xfrm>
          <a:off x="6134099" y="18373724"/>
          <a:ext cx="3267075" cy="2273707"/>
        </a:xfrm>
        <a:prstGeom prst="rect">
          <a:avLst/>
        </a:prstGeom>
      </xdr:spPr>
    </xdr:pic>
    <xdr:clientData/>
  </xdr:twoCellAnchor>
  <xdr:twoCellAnchor editAs="oneCell">
    <xdr:from>
      <xdr:col>3</xdr:col>
      <xdr:colOff>600074</xdr:colOff>
      <xdr:row>100</xdr:row>
      <xdr:rowOff>85725</xdr:rowOff>
    </xdr:from>
    <xdr:to>
      <xdr:col>12</xdr:col>
      <xdr:colOff>552449</xdr:colOff>
      <xdr:row>114</xdr:row>
      <xdr:rowOff>167381</xdr:rowOff>
    </xdr:to>
    <xdr:pic>
      <xdr:nvPicPr>
        <xdr:cNvPr id="9" name="그림 8"/>
        <xdr:cNvPicPr>
          <a:picLocks noChangeAspect="1"/>
        </xdr:cNvPicPr>
      </xdr:nvPicPr>
      <xdr:blipFill>
        <a:blip xmlns:r="http://schemas.openxmlformats.org/officeDocument/2006/relationships" r:embed="rId8"/>
        <a:stretch>
          <a:fillRect/>
        </a:stretch>
      </xdr:blipFill>
      <xdr:spPr>
        <a:xfrm>
          <a:off x="2657474" y="21040725"/>
          <a:ext cx="6124575" cy="3015356"/>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xdr:col>
      <xdr:colOff>9525</xdr:colOff>
      <xdr:row>26</xdr:row>
      <xdr:rowOff>85725</xdr:rowOff>
    </xdr:from>
    <xdr:to>
      <xdr:col>14</xdr:col>
      <xdr:colOff>257175</xdr:colOff>
      <xdr:row>50</xdr:row>
      <xdr:rowOff>67397</xdr:rowOff>
    </xdr:to>
    <xdr:pic>
      <xdr:nvPicPr>
        <xdr:cNvPr id="2" name="그림 1"/>
        <xdr:cNvPicPr>
          <a:picLocks noChangeAspect="1"/>
        </xdr:cNvPicPr>
      </xdr:nvPicPr>
      <xdr:blipFill>
        <a:blip xmlns:r="http://schemas.openxmlformats.org/officeDocument/2006/relationships" r:embed="rId1"/>
        <a:stretch>
          <a:fillRect/>
        </a:stretch>
      </xdr:blipFill>
      <xdr:spPr>
        <a:xfrm>
          <a:off x="695325" y="5534025"/>
          <a:ext cx="9163050" cy="5010872"/>
        </a:xfrm>
        <a:prstGeom prst="rect">
          <a:avLst/>
        </a:prstGeom>
      </xdr:spPr>
    </xdr:pic>
    <xdr:clientData/>
  </xdr:twoCellAnchor>
  <xdr:twoCellAnchor editAs="oneCell">
    <xdr:from>
      <xdr:col>1</xdr:col>
      <xdr:colOff>28575</xdr:colOff>
      <xdr:row>1</xdr:row>
      <xdr:rowOff>142876</xdr:rowOff>
    </xdr:from>
    <xdr:to>
      <xdr:col>14</xdr:col>
      <xdr:colOff>0</xdr:colOff>
      <xdr:row>25</xdr:row>
      <xdr:rowOff>124258</xdr:rowOff>
    </xdr:to>
    <xdr:pic>
      <xdr:nvPicPr>
        <xdr:cNvPr id="3" name="그림 2"/>
        <xdr:cNvPicPr>
          <a:picLocks noChangeAspect="1"/>
        </xdr:cNvPicPr>
      </xdr:nvPicPr>
      <xdr:blipFill>
        <a:blip xmlns:r="http://schemas.openxmlformats.org/officeDocument/2006/relationships" r:embed="rId2"/>
        <a:stretch>
          <a:fillRect/>
        </a:stretch>
      </xdr:blipFill>
      <xdr:spPr>
        <a:xfrm>
          <a:off x="714375" y="352426"/>
          <a:ext cx="8886825" cy="5010582"/>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9</xdr:col>
      <xdr:colOff>219075</xdr:colOff>
      <xdr:row>9</xdr:row>
      <xdr:rowOff>28575</xdr:rowOff>
    </xdr:from>
    <xdr:to>
      <xdr:col>9</xdr:col>
      <xdr:colOff>447675</xdr:colOff>
      <xdr:row>10</xdr:row>
      <xdr:rowOff>47625</xdr:rowOff>
    </xdr:to>
    <xdr:sp macro="" textlink="">
      <xdr:nvSpPr>
        <xdr:cNvPr id="2" name="타원 1"/>
        <xdr:cNvSpPr/>
      </xdr:nvSpPr>
      <xdr:spPr>
        <a:xfrm>
          <a:off x="1590675" y="19145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11</xdr:row>
      <xdr:rowOff>28575</xdr:rowOff>
    </xdr:from>
    <xdr:to>
      <xdr:col>9</xdr:col>
      <xdr:colOff>447675</xdr:colOff>
      <xdr:row>12</xdr:row>
      <xdr:rowOff>47625</xdr:rowOff>
    </xdr:to>
    <xdr:sp macro="" textlink="">
      <xdr:nvSpPr>
        <xdr:cNvPr id="3" name="타원 2"/>
        <xdr:cNvSpPr/>
      </xdr:nvSpPr>
      <xdr:spPr>
        <a:xfrm>
          <a:off x="1590675" y="23336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13</xdr:row>
      <xdr:rowOff>142875</xdr:rowOff>
    </xdr:from>
    <xdr:to>
      <xdr:col>9</xdr:col>
      <xdr:colOff>447675</xdr:colOff>
      <xdr:row>14</xdr:row>
      <xdr:rowOff>161925</xdr:rowOff>
    </xdr:to>
    <xdr:sp macro="" textlink="">
      <xdr:nvSpPr>
        <xdr:cNvPr id="4" name="타원 3"/>
        <xdr:cNvSpPr/>
      </xdr:nvSpPr>
      <xdr:spPr>
        <a:xfrm>
          <a:off x="1590675" y="28670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24</xdr:row>
      <xdr:rowOff>57150</xdr:rowOff>
    </xdr:from>
    <xdr:to>
      <xdr:col>9</xdr:col>
      <xdr:colOff>447675</xdr:colOff>
      <xdr:row>25</xdr:row>
      <xdr:rowOff>76200</xdr:rowOff>
    </xdr:to>
    <xdr:sp macro="" textlink="">
      <xdr:nvSpPr>
        <xdr:cNvPr id="5" name="타원 4"/>
        <xdr:cNvSpPr/>
      </xdr:nvSpPr>
      <xdr:spPr>
        <a:xfrm>
          <a:off x="1590675" y="5086350"/>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17</xdr:row>
      <xdr:rowOff>95250</xdr:rowOff>
    </xdr:from>
    <xdr:to>
      <xdr:col>9</xdr:col>
      <xdr:colOff>390525</xdr:colOff>
      <xdr:row>17</xdr:row>
      <xdr:rowOff>180975</xdr:rowOff>
    </xdr:to>
    <xdr:sp macro="" textlink="">
      <xdr:nvSpPr>
        <xdr:cNvPr id="6" name="타원 5"/>
        <xdr:cNvSpPr/>
      </xdr:nvSpPr>
      <xdr:spPr>
        <a:xfrm>
          <a:off x="1676400" y="3657600"/>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18</xdr:row>
      <xdr:rowOff>204107</xdr:rowOff>
    </xdr:from>
    <xdr:to>
      <xdr:col>9</xdr:col>
      <xdr:colOff>390525</xdr:colOff>
      <xdr:row>19</xdr:row>
      <xdr:rowOff>77561</xdr:rowOff>
    </xdr:to>
    <xdr:sp macro="" textlink="">
      <xdr:nvSpPr>
        <xdr:cNvPr id="7" name="타원 6"/>
        <xdr:cNvSpPr/>
      </xdr:nvSpPr>
      <xdr:spPr>
        <a:xfrm>
          <a:off x="1676400" y="4024993"/>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20</xdr:row>
      <xdr:rowOff>155122</xdr:rowOff>
    </xdr:from>
    <xdr:to>
      <xdr:col>9</xdr:col>
      <xdr:colOff>390525</xdr:colOff>
      <xdr:row>21</xdr:row>
      <xdr:rowOff>28576</xdr:rowOff>
    </xdr:to>
    <xdr:sp macro="" textlink="">
      <xdr:nvSpPr>
        <xdr:cNvPr id="8" name="타원 7"/>
        <xdr:cNvSpPr/>
      </xdr:nvSpPr>
      <xdr:spPr>
        <a:xfrm>
          <a:off x="1676400" y="4400551"/>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304800</xdr:colOff>
      <xdr:row>15</xdr:row>
      <xdr:rowOff>87923</xdr:rowOff>
    </xdr:from>
    <xdr:to>
      <xdr:col>7</xdr:col>
      <xdr:colOff>390525</xdr:colOff>
      <xdr:row>15</xdr:row>
      <xdr:rowOff>173648</xdr:rowOff>
    </xdr:to>
    <xdr:sp macro="" textlink="">
      <xdr:nvSpPr>
        <xdr:cNvPr id="9" name="타원 8"/>
        <xdr:cNvSpPr/>
      </xdr:nvSpPr>
      <xdr:spPr>
        <a:xfrm>
          <a:off x="304800" y="3304442"/>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304800</xdr:colOff>
      <xdr:row>16</xdr:row>
      <xdr:rowOff>196780</xdr:rowOff>
    </xdr:from>
    <xdr:to>
      <xdr:col>7</xdr:col>
      <xdr:colOff>390525</xdr:colOff>
      <xdr:row>17</xdr:row>
      <xdr:rowOff>70233</xdr:rowOff>
    </xdr:to>
    <xdr:sp macro="" textlink="">
      <xdr:nvSpPr>
        <xdr:cNvPr id="10" name="타원 9"/>
        <xdr:cNvSpPr/>
      </xdr:nvSpPr>
      <xdr:spPr>
        <a:xfrm>
          <a:off x="304800" y="3625780"/>
          <a:ext cx="85725" cy="8593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304800</xdr:colOff>
      <xdr:row>18</xdr:row>
      <xdr:rowOff>147794</xdr:rowOff>
    </xdr:from>
    <xdr:to>
      <xdr:col>7</xdr:col>
      <xdr:colOff>390525</xdr:colOff>
      <xdr:row>19</xdr:row>
      <xdr:rowOff>21249</xdr:rowOff>
    </xdr:to>
    <xdr:sp macro="" textlink="">
      <xdr:nvSpPr>
        <xdr:cNvPr id="11" name="타원 10"/>
        <xdr:cNvSpPr/>
      </xdr:nvSpPr>
      <xdr:spPr>
        <a:xfrm>
          <a:off x="304800" y="4001756"/>
          <a:ext cx="85725" cy="8593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19050</xdr:colOff>
      <xdr:row>16</xdr:row>
      <xdr:rowOff>66675</xdr:rowOff>
    </xdr:from>
    <xdr:to>
      <xdr:col>13</xdr:col>
      <xdr:colOff>247650</xdr:colOff>
      <xdr:row>17</xdr:row>
      <xdr:rowOff>85725</xdr:rowOff>
    </xdr:to>
    <xdr:sp macro="" textlink="">
      <xdr:nvSpPr>
        <xdr:cNvPr id="12" name="타원 11"/>
        <xdr:cNvSpPr/>
      </xdr:nvSpPr>
      <xdr:spPr>
        <a:xfrm>
          <a:off x="4133850" y="345757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485775</xdr:colOff>
      <xdr:row>9</xdr:row>
      <xdr:rowOff>142875</xdr:rowOff>
    </xdr:from>
    <xdr:to>
      <xdr:col>9</xdr:col>
      <xdr:colOff>219075</xdr:colOff>
      <xdr:row>10</xdr:row>
      <xdr:rowOff>133350</xdr:rowOff>
    </xdr:to>
    <xdr:cxnSp macro="">
      <xdr:nvCxnSpPr>
        <xdr:cNvPr id="14" name="직선 연결선 13"/>
        <xdr:cNvCxnSpPr>
          <a:endCxn id="2" idx="2"/>
        </xdr:cNvCxnSpPr>
      </xdr:nvCxnSpPr>
      <xdr:spPr>
        <a:xfrm flipV="1">
          <a:off x="485775" y="2028825"/>
          <a:ext cx="1104900" cy="2000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504825</xdr:colOff>
      <xdr:row>10</xdr:row>
      <xdr:rowOff>123826</xdr:rowOff>
    </xdr:from>
    <xdr:to>
      <xdr:col>9</xdr:col>
      <xdr:colOff>219075</xdr:colOff>
      <xdr:row>11</xdr:row>
      <xdr:rowOff>142875</xdr:rowOff>
    </xdr:to>
    <xdr:cxnSp macro="">
      <xdr:nvCxnSpPr>
        <xdr:cNvPr id="15" name="직선 연결선 14"/>
        <xdr:cNvCxnSpPr>
          <a:endCxn id="3" idx="2"/>
        </xdr:cNvCxnSpPr>
      </xdr:nvCxnSpPr>
      <xdr:spPr>
        <a:xfrm>
          <a:off x="504825" y="2219326"/>
          <a:ext cx="1085850" cy="24764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495300</xdr:colOff>
      <xdr:row>10</xdr:row>
      <xdr:rowOff>133351</xdr:rowOff>
    </xdr:from>
    <xdr:to>
      <xdr:col>9</xdr:col>
      <xdr:colOff>219075</xdr:colOff>
      <xdr:row>14</xdr:row>
      <xdr:rowOff>47625</xdr:rowOff>
    </xdr:to>
    <xdr:cxnSp macro="">
      <xdr:nvCxnSpPr>
        <xdr:cNvPr id="18" name="직선 연결선 17"/>
        <xdr:cNvCxnSpPr>
          <a:endCxn id="4" idx="2"/>
        </xdr:cNvCxnSpPr>
      </xdr:nvCxnSpPr>
      <xdr:spPr>
        <a:xfrm>
          <a:off x="495300" y="2228851"/>
          <a:ext cx="1095375" cy="79057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504825</xdr:colOff>
      <xdr:row>10</xdr:row>
      <xdr:rowOff>133350</xdr:rowOff>
    </xdr:from>
    <xdr:to>
      <xdr:col>9</xdr:col>
      <xdr:colOff>219075</xdr:colOff>
      <xdr:row>24</xdr:row>
      <xdr:rowOff>171450</xdr:rowOff>
    </xdr:to>
    <xdr:cxnSp macro="">
      <xdr:nvCxnSpPr>
        <xdr:cNvPr id="20" name="직선 연결선 19"/>
        <xdr:cNvCxnSpPr>
          <a:endCxn id="5" idx="2"/>
        </xdr:cNvCxnSpPr>
      </xdr:nvCxnSpPr>
      <xdr:spPr>
        <a:xfrm>
          <a:off x="504825" y="2228850"/>
          <a:ext cx="1085850" cy="30289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447675</xdr:colOff>
      <xdr:row>9</xdr:row>
      <xdr:rowOff>142875</xdr:rowOff>
    </xdr:from>
    <xdr:to>
      <xdr:col>13</xdr:col>
      <xdr:colOff>52528</xdr:colOff>
      <xdr:row>16</xdr:row>
      <xdr:rowOff>100153</xdr:rowOff>
    </xdr:to>
    <xdr:cxnSp macro="">
      <xdr:nvCxnSpPr>
        <xdr:cNvPr id="23" name="직선 연결선 22"/>
        <xdr:cNvCxnSpPr>
          <a:stCxn id="2" idx="6"/>
          <a:endCxn id="12" idx="1"/>
        </xdr:cNvCxnSpPr>
      </xdr:nvCxnSpPr>
      <xdr:spPr>
        <a:xfrm>
          <a:off x="1819275" y="2028825"/>
          <a:ext cx="2348053" cy="146222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447675</xdr:colOff>
      <xdr:row>11</xdr:row>
      <xdr:rowOff>142875</xdr:rowOff>
    </xdr:from>
    <xdr:to>
      <xdr:col>13</xdr:col>
      <xdr:colOff>19050</xdr:colOff>
      <xdr:row>16</xdr:row>
      <xdr:rowOff>180975</xdr:rowOff>
    </xdr:to>
    <xdr:cxnSp macro="">
      <xdr:nvCxnSpPr>
        <xdr:cNvPr id="27" name="직선 연결선 26"/>
        <xdr:cNvCxnSpPr>
          <a:stCxn id="3" idx="6"/>
          <a:endCxn id="12" idx="2"/>
        </xdr:cNvCxnSpPr>
      </xdr:nvCxnSpPr>
      <xdr:spPr>
        <a:xfrm>
          <a:off x="1819275" y="2466975"/>
          <a:ext cx="2314575" cy="11049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447675</xdr:colOff>
      <xdr:row>14</xdr:row>
      <xdr:rowOff>47625</xdr:rowOff>
    </xdr:from>
    <xdr:to>
      <xdr:col>13</xdr:col>
      <xdr:colOff>19050</xdr:colOff>
      <xdr:row>16</xdr:row>
      <xdr:rowOff>180975</xdr:rowOff>
    </xdr:to>
    <xdr:cxnSp macro="">
      <xdr:nvCxnSpPr>
        <xdr:cNvPr id="30" name="직선 연결선 29"/>
        <xdr:cNvCxnSpPr>
          <a:stCxn id="4" idx="6"/>
          <a:endCxn id="12" idx="2"/>
        </xdr:cNvCxnSpPr>
      </xdr:nvCxnSpPr>
      <xdr:spPr>
        <a:xfrm>
          <a:off x="1819275" y="3019425"/>
          <a:ext cx="2314575" cy="5524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447675</xdr:colOff>
      <xdr:row>17</xdr:row>
      <xdr:rowOff>52247</xdr:rowOff>
    </xdr:from>
    <xdr:to>
      <xdr:col>13</xdr:col>
      <xdr:colOff>52528</xdr:colOff>
      <xdr:row>24</xdr:row>
      <xdr:rowOff>171450</xdr:rowOff>
    </xdr:to>
    <xdr:cxnSp macro="">
      <xdr:nvCxnSpPr>
        <xdr:cNvPr id="34" name="직선 연결선 33"/>
        <xdr:cNvCxnSpPr>
          <a:stCxn id="5" idx="6"/>
          <a:endCxn id="12" idx="3"/>
        </xdr:cNvCxnSpPr>
      </xdr:nvCxnSpPr>
      <xdr:spPr>
        <a:xfrm flipV="1">
          <a:off x="1819275" y="3652697"/>
          <a:ext cx="2348053" cy="160510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66675</xdr:colOff>
      <xdr:row>9</xdr:row>
      <xdr:rowOff>200025</xdr:rowOff>
    </xdr:from>
    <xdr:to>
      <xdr:col>13</xdr:col>
      <xdr:colOff>161925</xdr:colOff>
      <xdr:row>15</xdr:row>
      <xdr:rowOff>28575</xdr:rowOff>
    </xdr:to>
    <xdr:cxnSp macro="">
      <xdr:nvCxnSpPr>
        <xdr:cNvPr id="38" name="직선 화살표 연결선 37"/>
        <xdr:cNvCxnSpPr/>
      </xdr:nvCxnSpPr>
      <xdr:spPr>
        <a:xfrm flipH="1" flipV="1">
          <a:off x="2124075" y="2085975"/>
          <a:ext cx="2152650" cy="112395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13</xdr:col>
      <xdr:colOff>28575</xdr:colOff>
      <xdr:row>23</xdr:row>
      <xdr:rowOff>133350</xdr:rowOff>
    </xdr:from>
    <xdr:to>
      <xdr:col>25</xdr:col>
      <xdr:colOff>67829</xdr:colOff>
      <xdr:row>45</xdr:row>
      <xdr:rowOff>105414</xdr:rowOff>
    </xdr:to>
    <xdr:pic>
      <xdr:nvPicPr>
        <xdr:cNvPr id="39" name="그림 38"/>
        <xdr:cNvPicPr>
          <a:picLocks noChangeAspect="1"/>
        </xdr:cNvPicPr>
      </xdr:nvPicPr>
      <xdr:blipFill>
        <a:blip xmlns:r="http://schemas.openxmlformats.org/officeDocument/2006/relationships" r:embed="rId1"/>
        <a:stretch>
          <a:fillRect/>
        </a:stretch>
      </xdr:blipFill>
      <xdr:spPr>
        <a:xfrm>
          <a:off x="4143375" y="5010150"/>
          <a:ext cx="8268854" cy="4582164"/>
        </a:xfrm>
        <a:prstGeom prst="rect">
          <a:avLst/>
        </a:prstGeom>
      </xdr:spPr>
    </xdr:pic>
    <xdr:clientData/>
  </xdr:twoCellAnchor>
  <xdr:twoCellAnchor>
    <xdr:from>
      <xdr:col>0</xdr:col>
      <xdr:colOff>285750</xdr:colOff>
      <xdr:row>20</xdr:row>
      <xdr:rowOff>139212</xdr:rowOff>
    </xdr:from>
    <xdr:to>
      <xdr:col>0</xdr:col>
      <xdr:colOff>371475</xdr:colOff>
      <xdr:row>21</xdr:row>
      <xdr:rowOff>12456</xdr:rowOff>
    </xdr:to>
    <xdr:sp macro="" textlink="">
      <xdr:nvSpPr>
        <xdr:cNvPr id="40" name="타원 39"/>
        <xdr:cNvSpPr/>
      </xdr:nvSpPr>
      <xdr:spPr>
        <a:xfrm>
          <a:off x="285750" y="4418135"/>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0</xdr:col>
      <xdr:colOff>285750</xdr:colOff>
      <xdr:row>22</xdr:row>
      <xdr:rowOff>16538</xdr:rowOff>
    </xdr:from>
    <xdr:to>
      <xdr:col>0</xdr:col>
      <xdr:colOff>371475</xdr:colOff>
      <xdr:row>22</xdr:row>
      <xdr:rowOff>99541</xdr:rowOff>
    </xdr:to>
    <xdr:sp macro="" textlink="">
      <xdr:nvSpPr>
        <xdr:cNvPr id="41" name="타원 40"/>
        <xdr:cNvSpPr/>
      </xdr:nvSpPr>
      <xdr:spPr>
        <a:xfrm>
          <a:off x="285750" y="4735076"/>
          <a:ext cx="85725" cy="83003"/>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0</xdr:col>
      <xdr:colOff>285750</xdr:colOff>
      <xdr:row>23</xdr:row>
      <xdr:rowOff>180033</xdr:rowOff>
    </xdr:from>
    <xdr:to>
      <xdr:col>0</xdr:col>
      <xdr:colOff>371475</xdr:colOff>
      <xdr:row>24</xdr:row>
      <xdr:rowOff>50557</xdr:rowOff>
    </xdr:to>
    <xdr:sp macro="" textlink="">
      <xdr:nvSpPr>
        <xdr:cNvPr id="42" name="타원 41"/>
        <xdr:cNvSpPr/>
      </xdr:nvSpPr>
      <xdr:spPr>
        <a:xfrm>
          <a:off x="285750" y="5111052"/>
          <a:ext cx="85725" cy="8300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12</xdr:col>
      <xdr:colOff>76200</xdr:colOff>
      <xdr:row>6</xdr:row>
      <xdr:rowOff>28575</xdr:rowOff>
    </xdr:from>
    <xdr:to>
      <xdr:col>24</xdr:col>
      <xdr:colOff>67822</xdr:colOff>
      <xdr:row>9</xdr:row>
      <xdr:rowOff>162031</xdr:rowOff>
    </xdr:to>
    <xdr:pic>
      <xdr:nvPicPr>
        <xdr:cNvPr id="43" name="그림 42"/>
        <xdr:cNvPicPr>
          <a:picLocks noChangeAspect="1"/>
        </xdr:cNvPicPr>
      </xdr:nvPicPr>
      <xdr:blipFill>
        <a:blip xmlns:r="http://schemas.openxmlformats.org/officeDocument/2006/relationships" r:embed="rId2"/>
        <a:stretch>
          <a:fillRect/>
        </a:stretch>
      </xdr:blipFill>
      <xdr:spPr>
        <a:xfrm>
          <a:off x="8305800" y="1285875"/>
          <a:ext cx="8221222" cy="762106"/>
        </a:xfrm>
        <a:prstGeom prst="rect">
          <a:avLst/>
        </a:prstGeom>
      </xdr:spPr>
    </xdr:pic>
    <xdr:clientData/>
  </xdr:twoCellAnchor>
  <xdr:twoCellAnchor>
    <xdr:from>
      <xdr:col>7</xdr:col>
      <xdr:colOff>619125</xdr:colOff>
      <xdr:row>5</xdr:row>
      <xdr:rowOff>161925</xdr:rowOff>
    </xdr:from>
    <xdr:to>
      <xdr:col>8</xdr:col>
      <xdr:colOff>352425</xdr:colOff>
      <xdr:row>7</xdr:row>
      <xdr:rowOff>200025</xdr:rowOff>
    </xdr:to>
    <xdr:grpSp>
      <xdr:nvGrpSpPr>
        <xdr:cNvPr id="49" name="그룹 48"/>
        <xdr:cNvGrpSpPr/>
      </xdr:nvGrpSpPr>
      <xdr:grpSpPr>
        <a:xfrm>
          <a:off x="5419725" y="1209675"/>
          <a:ext cx="533400" cy="457200"/>
          <a:chOff x="5400675" y="1400175"/>
          <a:chExt cx="533400" cy="457200"/>
        </a:xfrm>
      </xdr:grpSpPr>
      <xdr:sp macro="" textlink="">
        <xdr:nvSpPr>
          <xdr:cNvPr id="47" name="타원 46"/>
          <xdr:cNvSpPr/>
        </xdr:nvSpPr>
        <xdr:spPr>
          <a:xfrm>
            <a:off x="5400675" y="1400175"/>
            <a:ext cx="457200" cy="457200"/>
          </a:xfrm>
          <a:prstGeom prst="ellipse">
            <a:avLst/>
          </a:prstGeom>
          <a:solidFill>
            <a:srgbClr val="FFC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48" name="TextBox 47"/>
          <xdr:cNvSpPr txBox="1"/>
        </xdr:nvSpPr>
        <xdr:spPr>
          <a:xfrm>
            <a:off x="5429250" y="1495425"/>
            <a:ext cx="50482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solidFill>
                  <a:srgbClr val="FF0000"/>
                </a:solidFill>
              </a:rPr>
              <a:t>bias1</a:t>
            </a:r>
          </a:p>
          <a:p>
            <a:endParaRPr lang="ko-KR" altLang="en-US" sz="1100"/>
          </a:p>
        </xdr:txBody>
      </xdr:sp>
    </xdr:grpSp>
    <xdr:clientData/>
  </xdr:twoCellAnchor>
  <xdr:twoCellAnchor>
    <xdr:from>
      <xdr:col>11</xdr:col>
      <xdr:colOff>37820</xdr:colOff>
      <xdr:row>8</xdr:row>
      <xdr:rowOff>94970</xdr:rowOff>
    </xdr:from>
    <xdr:to>
      <xdr:col>13</xdr:col>
      <xdr:colOff>52528</xdr:colOff>
      <xdr:row>16</xdr:row>
      <xdr:rowOff>100153</xdr:rowOff>
    </xdr:to>
    <xdr:cxnSp macro="">
      <xdr:nvCxnSpPr>
        <xdr:cNvPr id="51" name="직선 연결선 50"/>
        <xdr:cNvCxnSpPr>
          <a:stCxn id="62" idx="5"/>
          <a:endCxn id="12" idx="1"/>
        </xdr:cNvCxnSpPr>
      </xdr:nvCxnSpPr>
      <xdr:spPr>
        <a:xfrm>
          <a:off x="7695920" y="1771370"/>
          <a:ext cx="1386308" cy="1719683"/>
        </a:xfrm>
        <a:prstGeom prst="line">
          <a:avLst/>
        </a:prstGeom>
      </xdr:spPr>
      <xdr:style>
        <a:lnRef idx="1">
          <a:schemeClr val="accent4"/>
        </a:lnRef>
        <a:fillRef idx="0">
          <a:schemeClr val="accent4"/>
        </a:fillRef>
        <a:effectRef idx="0">
          <a:schemeClr val="accent4"/>
        </a:effectRef>
        <a:fontRef idx="minor">
          <a:schemeClr val="tx1"/>
        </a:fontRef>
      </xdr:style>
    </xdr:cxnSp>
    <xdr:clientData/>
  </xdr:twoCellAnchor>
  <xdr:twoCellAnchor>
    <xdr:from>
      <xdr:col>8</xdr:col>
      <xdr:colOff>209270</xdr:colOff>
      <xdr:row>7</xdr:row>
      <xdr:rowOff>133070</xdr:rowOff>
    </xdr:from>
    <xdr:to>
      <xdr:col>9</xdr:col>
      <xdr:colOff>219075</xdr:colOff>
      <xdr:row>11</xdr:row>
      <xdr:rowOff>142875</xdr:rowOff>
    </xdr:to>
    <xdr:cxnSp macro="">
      <xdr:nvCxnSpPr>
        <xdr:cNvPr id="52" name="직선 연결선 51"/>
        <xdr:cNvCxnSpPr>
          <a:stCxn id="47" idx="5"/>
          <a:endCxn id="3" idx="2"/>
        </xdr:cNvCxnSpPr>
      </xdr:nvCxnSpPr>
      <xdr:spPr>
        <a:xfrm>
          <a:off x="5809970" y="1599920"/>
          <a:ext cx="695605" cy="867055"/>
        </a:xfrm>
        <a:prstGeom prst="line">
          <a:avLst/>
        </a:prstGeom>
      </xdr:spPr>
      <xdr:style>
        <a:lnRef idx="1">
          <a:schemeClr val="accent4"/>
        </a:lnRef>
        <a:fillRef idx="0">
          <a:schemeClr val="accent4"/>
        </a:fillRef>
        <a:effectRef idx="0">
          <a:schemeClr val="accent4"/>
        </a:effectRef>
        <a:fontRef idx="minor">
          <a:schemeClr val="tx1"/>
        </a:fontRef>
      </xdr:style>
    </xdr:cxnSp>
    <xdr:clientData/>
  </xdr:twoCellAnchor>
  <xdr:twoCellAnchor>
    <xdr:from>
      <xdr:col>8</xdr:col>
      <xdr:colOff>209270</xdr:colOff>
      <xdr:row>7</xdr:row>
      <xdr:rowOff>133070</xdr:rowOff>
    </xdr:from>
    <xdr:to>
      <xdr:col>9</xdr:col>
      <xdr:colOff>252553</xdr:colOff>
      <xdr:row>13</xdr:row>
      <xdr:rowOff>176353</xdr:rowOff>
    </xdr:to>
    <xdr:cxnSp macro="">
      <xdr:nvCxnSpPr>
        <xdr:cNvPr id="55" name="직선 연결선 54"/>
        <xdr:cNvCxnSpPr>
          <a:stCxn id="47" idx="5"/>
          <a:endCxn id="4" idx="1"/>
        </xdr:cNvCxnSpPr>
      </xdr:nvCxnSpPr>
      <xdr:spPr>
        <a:xfrm>
          <a:off x="5809970" y="1599920"/>
          <a:ext cx="729083" cy="1338683"/>
        </a:xfrm>
        <a:prstGeom prst="line">
          <a:avLst/>
        </a:prstGeom>
      </xdr:spPr>
      <xdr:style>
        <a:lnRef idx="1">
          <a:schemeClr val="accent4"/>
        </a:lnRef>
        <a:fillRef idx="0">
          <a:schemeClr val="accent4"/>
        </a:fillRef>
        <a:effectRef idx="0">
          <a:schemeClr val="accent4"/>
        </a:effectRef>
        <a:fontRef idx="minor">
          <a:schemeClr val="tx1"/>
        </a:fontRef>
      </xdr:style>
    </xdr:cxnSp>
    <xdr:clientData/>
  </xdr:twoCellAnchor>
  <xdr:twoCellAnchor>
    <xdr:from>
      <xdr:col>8</xdr:col>
      <xdr:colOff>47625</xdr:colOff>
      <xdr:row>7</xdr:row>
      <xdr:rowOff>200025</xdr:rowOff>
    </xdr:from>
    <xdr:to>
      <xdr:col>9</xdr:col>
      <xdr:colOff>219075</xdr:colOff>
      <xdr:row>24</xdr:row>
      <xdr:rowOff>171450</xdr:rowOff>
    </xdr:to>
    <xdr:cxnSp macro="">
      <xdr:nvCxnSpPr>
        <xdr:cNvPr id="58" name="직선 연결선 57"/>
        <xdr:cNvCxnSpPr>
          <a:stCxn id="47" idx="4"/>
          <a:endCxn id="5" idx="2"/>
        </xdr:cNvCxnSpPr>
      </xdr:nvCxnSpPr>
      <xdr:spPr>
        <a:xfrm>
          <a:off x="5648325" y="1666875"/>
          <a:ext cx="857250" cy="3590925"/>
        </a:xfrm>
        <a:prstGeom prst="line">
          <a:avLst/>
        </a:prstGeom>
      </xdr:spPr>
      <xdr:style>
        <a:lnRef idx="1">
          <a:schemeClr val="accent4"/>
        </a:lnRef>
        <a:fillRef idx="0">
          <a:schemeClr val="accent4"/>
        </a:fillRef>
        <a:effectRef idx="0">
          <a:schemeClr val="accent4"/>
        </a:effectRef>
        <a:fontRef idx="minor">
          <a:schemeClr val="tx1"/>
        </a:fontRef>
      </xdr:style>
    </xdr:cxnSp>
    <xdr:clientData/>
  </xdr:twoCellAnchor>
  <xdr:twoCellAnchor>
    <xdr:from>
      <xdr:col>10</xdr:col>
      <xdr:colOff>333375</xdr:colOff>
      <xdr:row>6</xdr:row>
      <xdr:rowOff>123825</xdr:rowOff>
    </xdr:from>
    <xdr:to>
      <xdr:col>11</xdr:col>
      <xdr:colOff>200025</xdr:colOff>
      <xdr:row>8</xdr:row>
      <xdr:rowOff>161925</xdr:rowOff>
    </xdr:to>
    <xdr:grpSp>
      <xdr:nvGrpSpPr>
        <xdr:cNvPr id="61" name="그룹 60"/>
        <xdr:cNvGrpSpPr/>
      </xdr:nvGrpSpPr>
      <xdr:grpSpPr>
        <a:xfrm>
          <a:off x="7305675" y="1381125"/>
          <a:ext cx="552450" cy="457200"/>
          <a:chOff x="5400675" y="1400175"/>
          <a:chExt cx="552450" cy="457200"/>
        </a:xfrm>
      </xdr:grpSpPr>
      <xdr:sp macro="" textlink="">
        <xdr:nvSpPr>
          <xdr:cNvPr id="62" name="타원 61"/>
          <xdr:cNvSpPr/>
        </xdr:nvSpPr>
        <xdr:spPr>
          <a:xfrm>
            <a:off x="5400675" y="1400175"/>
            <a:ext cx="457200" cy="457200"/>
          </a:xfrm>
          <a:prstGeom prst="ellipse">
            <a:avLst/>
          </a:prstGeom>
          <a:solidFill>
            <a:srgbClr val="FFC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63" name="TextBox 62"/>
          <xdr:cNvSpPr txBox="1"/>
        </xdr:nvSpPr>
        <xdr:spPr>
          <a:xfrm>
            <a:off x="5429250" y="1495425"/>
            <a:ext cx="5238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solidFill>
                  <a:srgbClr val="FF0000"/>
                </a:solidFill>
              </a:rPr>
              <a:t>bias2</a:t>
            </a:r>
          </a:p>
          <a:p>
            <a:endParaRPr lang="ko-KR" altLang="en-US" sz="1100"/>
          </a:p>
        </xdr:txBody>
      </xdr:sp>
    </xdr:grpSp>
    <xdr:clientData/>
  </xdr:twoCellAnchor>
  <xdr:twoCellAnchor editAs="oneCell">
    <xdr:from>
      <xdr:col>1</xdr:col>
      <xdr:colOff>428626</xdr:colOff>
      <xdr:row>31</xdr:row>
      <xdr:rowOff>38101</xdr:rowOff>
    </xdr:from>
    <xdr:to>
      <xdr:col>7</xdr:col>
      <xdr:colOff>762000</xdr:colOff>
      <xdr:row>43</xdr:row>
      <xdr:rowOff>153275</xdr:rowOff>
    </xdr:to>
    <xdr:pic>
      <xdr:nvPicPr>
        <xdr:cNvPr id="68" name="그림 67"/>
        <xdr:cNvPicPr>
          <a:picLocks noChangeAspect="1"/>
        </xdr:cNvPicPr>
      </xdr:nvPicPr>
      <xdr:blipFill>
        <a:blip xmlns:r="http://schemas.openxmlformats.org/officeDocument/2006/relationships" r:embed="rId3"/>
        <a:stretch>
          <a:fillRect/>
        </a:stretch>
      </xdr:blipFill>
      <xdr:spPr>
        <a:xfrm>
          <a:off x="1114426" y="6591301"/>
          <a:ext cx="4448174" cy="2629774"/>
        </a:xfrm>
        <a:prstGeom prst="rect">
          <a:avLst/>
        </a:prstGeom>
      </xdr:spPr>
    </xdr:pic>
    <xdr:clientData/>
  </xdr:twoCellAnchor>
  <xdr:twoCellAnchor editAs="oneCell">
    <xdr:from>
      <xdr:col>6</xdr:col>
      <xdr:colOff>0</xdr:colOff>
      <xdr:row>45</xdr:row>
      <xdr:rowOff>133350</xdr:rowOff>
    </xdr:from>
    <xdr:to>
      <xdr:col>16</xdr:col>
      <xdr:colOff>162921</xdr:colOff>
      <xdr:row>53</xdr:row>
      <xdr:rowOff>143110</xdr:rowOff>
    </xdr:to>
    <xdr:pic>
      <xdr:nvPicPr>
        <xdr:cNvPr id="69" name="그림 68"/>
        <xdr:cNvPicPr>
          <a:picLocks noChangeAspect="1"/>
        </xdr:cNvPicPr>
      </xdr:nvPicPr>
      <xdr:blipFill>
        <a:blip xmlns:r="http://schemas.openxmlformats.org/officeDocument/2006/relationships" r:embed="rId4"/>
        <a:stretch>
          <a:fillRect/>
        </a:stretch>
      </xdr:blipFill>
      <xdr:spPr>
        <a:xfrm>
          <a:off x="4114800" y="9620250"/>
          <a:ext cx="7135221" cy="16861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3</xdr:row>
      <xdr:rowOff>200025</xdr:rowOff>
    </xdr:from>
    <xdr:to>
      <xdr:col>11</xdr:col>
      <xdr:colOff>0</xdr:colOff>
      <xdr:row>12</xdr:row>
      <xdr:rowOff>0</xdr:rowOff>
    </xdr:to>
    <xdr:cxnSp macro="">
      <xdr:nvCxnSpPr>
        <xdr:cNvPr id="3" name="직선 연결선 2"/>
        <xdr:cNvCxnSpPr/>
      </xdr:nvCxnSpPr>
      <xdr:spPr>
        <a:xfrm flipV="1">
          <a:off x="419100" y="828675"/>
          <a:ext cx="1676400" cy="170497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4</xdr:col>
      <xdr:colOff>9525</xdr:colOff>
      <xdr:row>2</xdr:row>
      <xdr:rowOff>0</xdr:rowOff>
    </xdr:from>
    <xdr:to>
      <xdr:col>10</xdr:col>
      <xdr:colOff>0</xdr:colOff>
      <xdr:row>14</xdr:row>
      <xdr:rowOff>9525</xdr:rowOff>
    </xdr:to>
    <xdr:cxnSp macro="">
      <xdr:nvCxnSpPr>
        <xdr:cNvPr id="6" name="직선 연결선 5"/>
        <xdr:cNvCxnSpPr/>
      </xdr:nvCxnSpPr>
      <xdr:spPr>
        <a:xfrm flipH="1">
          <a:off x="638175" y="419100"/>
          <a:ext cx="1247775" cy="25431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180975</xdr:colOff>
      <xdr:row>2</xdr:row>
      <xdr:rowOff>9525</xdr:rowOff>
    </xdr:from>
    <xdr:to>
      <xdr:col>9</xdr:col>
      <xdr:colOff>0</xdr:colOff>
      <xdr:row>14</xdr:row>
      <xdr:rowOff>85725</xdr:rowOff>
    </xdr:to>
    <xdr:cxnSp macro="">
      <xdr:nvCxnSpPr>
        <xdr:cNvPr id="9" name="직선 연결선 8"/>
        <xdr:cNvCxnSpPr/>
      </xdr:nvCxnSpPr>
      <xdr:spPr>
        <a:xfrm flipH="1">
          <a:off x="809625" y="428625"/>
          <a:ext cx="866775" cy="2609850"/>
        </a:xfrm>
        <a:prstGeom prst="line">
          <a:avLst/>
        </a:prstGeom>
      </xdr:spPr>
      <xdr:style>
        <a:lnRef idx="1">
          <a:schemeClr val="accent6"/>
        </a:lnRef>
        <a:fillRef idx="0">
          <a:schemeClr val="accent6"/>
        </a:fillRef>
        <a:effectRef idx="0">
          <a:schemeClr val="accent6"/>
        </a:effectRef>
        <a:fontRef idx="minor">
          <a:schemeClr val="tx1"/>
        </a:fontRef>
      </xdr:style>
    </xdr:cxnSp>
    <xdr:clientData/>
  </xdr:twoCellAnchor>
  <xdr:twoCellAnchor>
    <xdr:from>
      <xdr:col>11</xdr:col>
      <xdr:colOff>57150</xdr:colOff>
      <xdr:row>4</xdr:row>
      <xdr:rowOff>19051</xdr:rowOff>
    </xdr:from>
    <xdr:to>
      <xdr:col>13</xdr:col>
      <xdr:colOff>180975</xdr:colOff>
      <xdr:row>5</xdr:row>
      <xdr:rowOff>114301</xdr:rowOff>
    </xdr:to>
    <xdr:sp macro="" textlink="">
      <xdr:nvSpPr>
        <xdr:cNvPr id="10" name="TextBox 9"/>
        <xdr:cNvSpPr txBox="1"/>
      </xdr:nvSpPr>
      <xdr:spPr>
        <a:xfrm>
          <a:off x="2152650" y="857251"/>
          <a:ext cx="542925" cy="30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 = 1x</a:t>
          </a:r>
          <a:endParaRPr lang="ko-KR" altLang="en-US" sz="1100"/>
        </a:p>
      </xdr:txBody>
    </xdr:sp>
    <xdr:clientData/>
  </xdr:twoCellAnchor>
  <xdr:twoCellAnchor>
    <xdr:from>
      <xdr:col>10</xdr:col>
      <xdr:colOff>66675</xdr:colOff>
      <xdr:row>1</xdr:row>
      <xdr:rowOff>190501</xdr:rowOff>
    </xdr:from>
    <xdr:to>
      <xdr:col>12</xdr:col>
      <xdr:colOff>190500</xdr:colOff>
      <xdr:row>3</xdr:row>
      <xdr:rowOff>76201</xdr:rowOff>
    </xdr:to>
    <xdr:sp macro="" textlink="">
      <xdr:nvSpPr>
        <xdr:cNvPr id="11" name="TextBox 10"/>
        <xdr:cNvSpPr txBox="1"/>
      </xdr:nvSpPr>
      <xdr:spPr>
        <a:xfrm>
          <a:off x="1952625" y="400051"/>
          <a:ext cx="542925" cy="30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 = 2x</a:t>
          </a:r>
          <a:endParaRPr lang="ko-KR" altLang="en-US" sz="1100"/>
        </a:p>
      </xdr:txBody>
    </xdr:sp>
    <xdr:clientData/>
  </xdr:twoCellAnchor>
  <xdr:twoCellAnchor>
    <xdr:from>
      <xdr:col>7</xdr:col>
      <xdr:colOff>85725</xdr:colOff>
      <xdr:row>0</xdr:row>
      <xdr:rowOff>76201</xdr:rowOff>
    </xdr:from>
    <xdr:to>
      <xdr:col>10</xdr:col>
      <xdr:colOff>0</xdr:colOff>
      <xdr:row>1</xdr:row>
      <xdr:rowOff>171451</xdr:rowOff>
    </xdr:to>
    <xdr:sp macro="" textlink="">
      <xdr:nvSpPr>
        <xdr:cNvPr id="12" name="TextBox 11"/>
        <xdr:cNvSpPr txBox="1"/>
      </xdr:nvSpPr>
      <xdr:spPr>
        <a:xfrm>
          <a:off x="1343025" y="76201"/>
          <a:ext cx="542925" cy="30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 = 3x</a:t>
          </a:r>
          <a:endParaRPr lang="ko-KR" altLang="en-US" sz="1100"/>
        </a:p>
      </xdr:txBody>
    </xdr:sp>
    <xdr:clientData/>
  </xdr:twoCellAnchor>
  <xdr:twoCellAnchor>
    <xdr:from>
      <xdr:col>2</xdr:col>
      <xdr:colOff>168520</xdr:colOff>
      <xdr:row>19</xdr:row>
      <xdr:rowOff>168521</xdr:rowOff>
    </xdr:from>
    <xdr:to>
      <xdr:col>11</xdr:col>
      <xdr:colOff>205154</xdr:colOff>
      <xdr:row>29</xdr:row>
      <xdr:rowOff>0</xdr:rowOff>
    </xdr:to>
    <xdr:cxnSp macro="">
      <xdr:nvCxnSpPr>
        <xdr:cNvPr id="13" name="직선 연결선 12"/>
        <xdr:cNvCxnSpPr/>
      </xdr:nvCxnSpPr>
      <xdr:spPr>
        <a:xfrm flipH="1" flipV="1">
          <a:off x="381001" y="4220309"/>
          <a:ext cx="1948961" cy="1970941"/>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205153</xdr:colOff>
      <xdr:row>18</xdr:row>
      <xdr:rowOff>0</xdr:rowOff>
    </xdr:from>
    <xdr:to>
      <xdr:col>10</xdr:col>
      <xdr:colOff>36635</xdr:colOff>
      <xdr:row>30</xdr:row>
      <xdr:rowOff>95250</xdr:rowOff>
    </xdr:to>
    <xdr:cxnSp macro="">
      <xdr:nvCxnSpPr>
        <xdr:cNvPr id="14" name="직선 연결선 13"/>
        <xdr:cNvCxnSpPr/>
      </xdr:nvCxnSpPr>
      <xdr:spPr>
        <a:xfrm>
          <a:off x="630115" y="3839308"/>
          <a:ext cx="1318847" cy="265967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161193</xdr:colOff>
      <xdr:row>17</xdr:row>
      <xdr:rowOff>58615</xdr:rowOff>
    </xdr:from>
    <xdr:to>
      <xdr:col>9</xdr:col>
      <xdr:colOff>80596</xdr:colOff>
      <xdr:row>31</xdr:row>
      <xdr:rowOff>21980</xdr:rowOff>
    </xdr:to>
    <xdr:cxnSp macro="">
      <xdr:nvCxnSpPr>
        <xdr:cNvPr id="15" name="직선 연결선 14"/>
        <xdr:cNvCxnSpPr/>
      </xdr:nvCxnSpPr>
      <xdr:spPr>
        <a:xfrm>
          <a:off x="798635" y="3685442"/>
          <a:ext cx="981807" cy="2952750"/>
        </a:xfrm>
        <a:prstGeom prst="line">
          <a:avLst/>
        </a:prstGeom>
      </xdr:spPr>
      <xdr:style>
        <a:lnRef idx="1">
          <a:schemeClr val="accent6"/>
        </a:lnRef>
        <a:fillRef idx="0">
          <a:schemeClr val="accent6"/>
        </a:fillRef>
        <a:effectRef idx="0">
          <a:schemeClr val="accent6"/>
        </a:effectRef>
        <a:fontRef idx="minor">
          <a:schemeClr val="tx1"/>
        </a:fontRef>
      </xdr:style>
    </xdr:cxnSp>
    <xdr:clientData/>
  </xdr:twoCellAnchor>
  <xdr:twoCellAnchor>
    <xdr:from>
      <xdr:col>0</xdr:col>
      <xdr:colOff>504092</xdr:colOff>
      <xdr:row>20</xdr:row>
      <xdr:rowOff>4397</xdr:rowOff>
    </xdr:from>
    <xdr:to>
      <xdr:col>3</xdr:col>
      <xdr:colOff>0</xdr:colOff>
      <xdr:row>21</xdr:row>
      <xdr:rowOff>99647</xdr:rowOff>
    </xdr:to>
    <xdr:sp macro="" textlink="">
      <xdr:nvSpPr>
        <xdr:cNvPr id="16" name="TextBox 15"/>
        <xdr:cNvSpPr txBox="1"/>
      </xdr:nvSpPr>
      <xdr:spPr>
        <a:xfrm>
          <a:off x="504092" y="4268666"/>
          <a:ext cx="609600" cy="3077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 = -1x</a:t>
          </a:r>
          <a:endParaRPr lang="ko-KR" altLang="en-US" sz="1100"/>
        </a:p>
      </xdr:txBody>
    </xdr:sp>
    <xdr:clientData/>
  </xdr:twoCellAnchor>
  <xdr:twoCellAnchor>
    <xdr:from>
      <xdr:col>1</xdr:col>
      <xdr:colOff>732</xdr:colOff>
      <xdr:row>16</xdr:row>
      <xdr:rowOff>168520</xdr:rowOff>
    </xdr:from>
    <xdr:to>
      <xdr:col>3</xdr:col>
      <xdr:colOff>168519</xdr:colOff>
      <xdr:row>18</xdr:row>
      <xdr:rowOff>54219</xdr:rowOff>
    </xdr:to>
    <xdr:sp macro="" textlink="">
      <xdr:nvSpPr>
        <xdr:cNvPr id="17" name="TextBox 16"/>
        <xdr:cNvSpPr txBox="1"/>
      </xdr:nvSpPr>
      <xdr:spPr>
        <a:xfrm>
          <a:off x="689463" y="3582866"/>
          <a:ext cx="592748" cy="31066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 = -2x</a:t>
          </a:r>
          <a:endParaRPr lang="ko-KR" altLang="en-US" sz="1100"/>
        </a:p>
      </xdr:txBody>
    </xdr:sp>
    <xdr:clientData/>
  </xdr:twoCellAnchor>
  <xdr:twoCellAnchor>
    <xdr:from>
      <xdr:col>4</xdr:col>
      <xdr:colOff>63745</xdr:colOff>
      <xdr:row>15</xdr:row>
      <xdr:rowOff>105509</xdr:rowOff>
    </xdr:from>
    <xdr:to>
      <xdr:col>7</xdr:col>
      <xdr:colOff>14653</xdr:colOff>
      <xdr:row>16</xdr:row>
      <xdr:rowOff>200759</xdr:rowOff>
    </xdr:to>
    <xdr:sp macro="" textlink="">
      <xdr:nvSpPr>
        <xdr:cNvPr id="18" name="TextBox 17"/>
        <xdr:cNvSpPr txBox="1"/>
      </xdr:nvSpPr>
      <xdr:spPr>
        <a:xfrm>
          <a:off x="701187" y="3307374"/>
          <a:ext cx="588351" cy="3077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 = -3x</a:t>
          </a:r>
          <a:endParaRPr lang="ko-KR" altLang="en-US" sz="1100"/>
        </a:p>
      </xdr:txBody>
    </xdr:sp>
    <xdr:clientData/>
  </xdr:twoCellAnchor>
  <xdr:twoCellAnchor>
    <xdr:from>
      <xdr:col>3</xdr:col>
      <xdr:colOff>0</xdr:colOff>
      <xdr:row>36</xdr:row>
      <xdr:rowOff>200025</xdr:rowOff>
    </xdr:from>
    <xdr:to>
      <xdr:col>11</xdr:col>
      <xdr:colOff>0</xdr:colOff>
      <xdr:row>45</xdr:row>
      <xdr:rowOff>0</xdr:rowOff>
    </xdr:to>
    <xdr:cxnSp macro="">
      <xdr:nvCxnSpPr>
        <xdr:cNvPr id="32" name="직선 연결선 31"/>
        <xdr:cNvCxnSpPr/>
      </xdr:nvCxnSpPr>
      <xdr:spPr>
        <a:xfrm flipV="1">
          <a:off x="740019" y="837467"/>
          <a:ext cx="1699846" cy="1726956"/>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11</xdr:col>
      <xdr:colOff>42496</xdr:colOff>
      <xdr:row>36</xdr:row>
      <xdr:rowOff>4398</xdr:rowOff>
    </xdr:from>
    <xdr:to>
      <xdr:col>13</xdr:col>
      <xdr:colOff>166321</xdr:colOff>
      <xdr:row>37</xdr:row>
      <xdr:rowOff>99648</xdr:rowOff>
    </xdr:to>
    <xdr:sp macro="" textlink="">
      <xdr:nvSpPr>
        <xdr:cNvPr id="35" name="TextBox 34"/>
        <xdr:cNvSpPr txBox="1"/>
      </xdr:nvSpPr>
      <xdr:spPr>
        <a:xfrm>
          <a:off x="2482361" y="7683013"/>
          <a:ext cx="548787" cy="3077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 = 1x</a:t>
          </a:r>
          <a:endParaRPr lang="ko-KR" altLang="en-US" sz="1100"/>
        </a:p>
      </xdr:txBody>
    </xdr:sp>
    <xdr:clientData/>
  </xdr:twoCellAnchor>
  <xdr:twoCellAnchor>
    <xdr:from>
      <xdr:col>3</xdr:col>
      <xdr:colOff>152400</xdr:colOff>
      <xdr:row>4</xdr:row>
      <xdr:rowOff>139944</xdr:rowOff>
    </xdr:from>
    <xdr:to>
      <xdr:col>11</xdr:col>
      <xdr:colOff>152400</xdr:colOff>
      <xdr:row>12</xdr:row>
      <xdr:rowOff>152400</xdr:rowOff>
    </xdr:to>
    <xdr:cxnSp macro="">
      <xdr:nvCxnSpPr>
        <xdr:cNvPr id="38" name="직선 연결선 37"/>
        <xdr:cNvCxnSpPr/>
      </xdr:nvCxnSpPr>
      <xdr:spPr>
        <a:xfrm flipV="1">
          <a:off x="892419" y="989867"/>
          <a:ext cx="1699846" cy="1726956"/>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xdr:col>
      <xdr:colOff>168518</xdr:colOff>
      <xdr:row>35</xdr:row>
      <xdr:rowOff>24178</xdr:rowOff>
    </xdr:from>
    <xdr:to>
      <xdr:col>9</xdr:col>
      <xdr:colOff>168518</xdr:colOff>
      <xdr:row>43</xdr:row>
      <xdr:rowOff>36634</xdr:rowOff>
    </xdr:to>
    <xdr:cxnSp macro="">
      <xdr:nvCxnSpPr>
        <xdr:cNvPr id="39" name="직선 연결선 38"/>
        <xdr:cNvCxnSpPr/>
      </xdr:nvCxnSpPr>
      <xdr:spPr>
        <a:xfrm flipV="1">
          <a:off x="483576" y="7490313"/>
          <a:ext cx="1699846" cy="1726956"/>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4</xdr:col>
      <xdr:colOff>29307</xdr:colOff>
      <xdr:row>38</xdr:row>
      <xdr:rowOff>185370</xdr:rowOff>
    </xdr:from>
    <xdr:to>
      <xdr:col>12</xdr:col>
      <xdr:colOff>29307</xdr:colOff>
      <xdr:row>46</xdr:row>
      <xdr:rowOff>197826</xdr:rowOff>
    </xdr:to>
    <xdr:cxnSp macro="">
      <xdr:nvCxnSpPr>
        <xdr:cNvPr id="40" name="직선 연결선 39"/>
        <xdr:cNvCxnSpPr/>
      </xdr:nvCxnSpPr>
      <xdr:spPr>
        <a:xfrm flipV="1">
          <a:off x="981807" y="8288947"/>
          <a:ext cx="1699846" cy="1726956"/>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9</xdr:col>
      <xdr:colOff>158261</xdr:colOff>
      <xdr:row>33</xdr:row>
      <xdr:rowOff>112836</xdr:rowOff>
    </xdr:from>
    <xdr:to>
      <xdr:col>13</xdr:col>
      <xdr:colOff>36635</xdr:colOff>
      <xdr:row>34</xdr:row>
      <xdr:rowOff>208086</xdr:rowOff>
    </xdr:to>
    <xdr:sp macro="" textlink="">
      <xdr:nvSpPr>
        <xdr:cNvPr id="41" name="TextBox 40"/>
        <xdr:cNvSpPr txBox="1"/>
      </xdr:nvSpPr>
      <xdr:spPr>
        <a:xfrm>
          <a:off x="2173165" y="7154009"/>
          <a:ext cx="728297" cy="3077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 = 1x + 3</a:t>
          </a:r>
          <a:endParaRPr lang="ko-KR" altLang="en-US" sz="1100"/>
        </a:p>
      </xdr:txBody>
    </xdr:sp>
    <xdr:clientData/>
  </xdr:twoCellAnchor>
  <xdr:twoCellAnchor>
    <xdr:from>
      <xdr:col>12</xdr:col>
      <xdr:colOff>76200</xdr:colOff>
      <xdr:row>38</xdr:row>
      <xdr:rowOff>82063</xdr:rowOff>
    </xdr:from>
    <xdr:to>
      <xdr:col>14</xdr:col>
      <xdr:colOff>394189</xdr:colOff>
      <xdr:row>39</xdr:row>
      <xdr:rowOff>177313</xdr:rowOff>
    </xdr:to>
    <xdr:sp macro="" textlink="">
      <xdr:nvSpPr>
        <xdr:cNvPr id="42" name="TextBox 41"/>
        <xdr:cNvSpPr txBox="1"/>
      </xdr:nvSpPr>
      <xdr:spPr>
        <a:xfrm>
          <a:off x="2728546" y="8185640"/>
          <a:ext cx="728297" cy="3077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 = 1x - 3</a:t>
          </a:r>
          <a:endParaRPr lang="ko-KR" altLang="en-US" sz="1100"/>
        </a:p>
      </xdr:txBody>
    </xdr:sp>
    <xdr:clientData/>
  </xdr:twoCellAnchor>
  <xdr:oneCellAnchor>
    <xdr:from>
      <xdr:col>0</xdr:col>
      <xdr:colOff>205887</xdr:colOff>
      <xdr:row>53</xdr:row>
      <xdr:rowOff>147271</xdr:rowOff>
    </xdr:from>
    <xdr:ext cx="535339" cy="372941"/>
    <mc:AlternateContent xmlns:mc="http://schemas.openxmlformats.org/markup-compatibility/2006" xmlns:a14="http://schemas.microsoft.com/office/drawing/2010/main">
      <mc:Choice Requires="a14">
        <xdr:sp macro="" textlink="">
          <xdr:nvSpPr>
            <xdr:cNvPr id="4" name="TextBox 3"/>
            <xdr:cNvSpPr txBox="1"/>
          </xdr:nvSpPr>
          <xdr:spPr>
            <a:xfrm>
              <a:off x="205887" y="11452713"/>
              <a:ext cx="535339" cy="3729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US" altLang="ko-KR" sz="1100" b="0" i="1"/>
                <a:t> </a:t>
              </a:r>
              <a14:m>
                <m:oMath xmlns:m="http://schemas.openxmlformats.org/officeDocument/2006/math">
                  <m:r>
                    <a:rPr lang="ko-KR" altLang="en-US" sz="1100" b="0" i="1">
                      <a:latin typeface="Cambria Math" panose="02040503050406030204" pitchFamily="18" charset="0"/>
                    </a:rPr>
                    <m:t>𝜇</m:t>
                  </m:r>
                  <m:r>
                    <a:rPr lang="en-US" altLang="ko-KR" sz="1100" b="0" i="1">
                      <a:latin typeface="Cambria Math" panose="02040503050406030204" pitchFamily="18" charset="0"/>
                    </a:rPr>
                    <m:t>= </m:t>
                  </m:r>
                  <m:d>
                    <m:dPr>
                      <m:begChr m:val="["/>
                      <m:endChr m:val="]"/>
                      <m:ctrlPr>
                        <a:rPr lang="en-US" altLang="ko-KR" sz="1100" i="1">
                          <a:latin typeface="Cambria Math" panose="02040503050406030204" pitchFamily="18" charset="0"/>
                        </a:rPr>
                      </m:ctrlPr>
                    </m:dPr>
                    <m:e>
                      <m:m>
                        <m:mPr>
                          <m:mcs>
                            <m:mc>
                              <m:mcPr>
                                <m:count m:val="1"/>
                                <m:mcJc m:val="center"/>
                              </m:mcPr>
                            </m:mc>
                          </m:mcs>
                          <m:ctrlPr>
                            <a:rPr lang="en-US" altLang="ko-KR" sz="1100" i="1">
                              <a:latin typeface="Cambria Math" panose="02040503050406030204" pitchFamily="18" charset="0"/>
                            </a:rPr>
                          </m:ctrlPr>
                        </m:mPr>
                        <m:mr>
                          <m:e>
                            <m:r>
                              <m:rPr>
                                <m:brk m:alnAt="7"/>
                              </m:rPr>
                              <a:rPr lang="en-US" altLang="ko-KR" sz="1100" b="0" i="1">
                                <a:latin typeface="Cambria Math" panose="02040503050406030204" pitchFamily="18" charset="0"/>
                              </a:rPr>
                              <m:t>1</m:t>
                            </m:r>
                          </m:e>
                        </m:mr>
                        <m:mr>
                          <m:e>
                            <m:eqArr>
                              <m:eqArrPr>
                                <m:ctrlPr>
                                  <a:rPr lang="en-US" altLang="ko-KR" sz="1100" b="0" i="1">
                                    <a:latin typeface="Cambria Math" panose="02040503050406030204" pitchFamily="18" charset="0"/>
                                  </a:rPr>
                                </m:ctrlPr>
                              </m:eqArrPr>
                              <m:e>
                                <m:r>
                                  <a:rPr lang="en-US" altLang="ko-KR" sz="1100" b="0" i="1">
                                    <a:latin typeface="Cambria Math" panose="02040503050406030204" pitchFamily="18" charset="0"/>
                                  </a:rPr>
                                  <m:t>2</m:t>
                                </m:r>
                              </m:e>
                            </m:eqArr>
                          </m:e>
                        </m:mr>
                      </m:m>
                    </m:e>
                  </m:d>
                </m:oMath>
              </a14:m>
              <a:endParaRPr lang="ko-KR" altLang="en-US" sz="1100"/>
            </a:p>
          </xdr:txBody>
        </xdr:sp>
      </mc:Choice>
      <mc:Fallback xmlns="">
        <xdr:sp macro="" textlink="">
          <xdr:nvSpPr>
            <xdr:cNvPr id="4" name="TextBox 3"/>
            <xdr:cNvSpPr txBox="1"/>
          </xdr:nvSpPr>
          <xdr:spPr>
            <a:xfrm>
              <a:off x="205887" y="11452713"/>
              <a:ext cx="535339" cy="3729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US" altLang="ko-KR" sz="1100" b="0" i="1"/>
                <a:t> </a:t>
              </a:r>
              <a:r>
                <a:rPr lang="ko-KR" altLang="en-US" sz="1100" b="0" i="0">
                  <a:latin typeface="Cambria Math" panose="02040503050406030204" pitchFamily="18" charset="0"/>
                </a:rPr>
                <a:t>𝜇</a:t>
              </a:r>
              <a:r>
                <a:rPr lang="en-US" altLang="ko-KR" sz="1100" b="0" i="0">
                  <a:latin typeface="Cambria Math" panose="02040503050406030204" pitchFamily="18" charset="0"/>
                </a:rPr>
                <a:t>= </a:t>
              </a:r>
              <a:r>
                <a:rPr lang="en-US" altLang="ko-KR" sz="1100" i="0">
                  <a:latin typeface="Cambria Math" panose="02040503050406030204" pitchFamily="18" charset="0"/>
                </a:rPr>
                <a:t>[■8(</a:t>
              </a:r>
              <a:r>
                <a:rPr lang="en-US" altLang="ko-KR" sz="1100" b="0" i="0">
                  <a:latin typeface="Cambria Math" panose="02040503050406030204" pitchFamily="18" charset="0"/>
                </a:rPr>
                <a:t>1@█(2))]</a:t>
              </a:r>
              <a:endParaRPr lang="ko-KR" altLang="en-US" sz="1100"/>
            </a:p>
          </xdr:txBody>
        </xdr:sp>
      </mc:Fallback>
    </mc:AlternateContent>
    <xdr:clientData/>
  </xdr:oneCellAnchor>
  <xdr:twoCellAnchor>
    <xdr:from>
      <xdr:col>7</xdr:col>
      <xdr:colOff>0</xdr:colOff>
      <xdr:row>58</xdr:row>
      <xdr:rowOff>7327</xdr:rowOff>
    </xdr:from>
    <xdr:to>
      <xdr:col>8</xdr:col>
      <xdr:colOff>7327</xdr:colOff>
      <xdr:row>60</xdr:row>
      <xdr:rowOff>0</xdr:rowOff>
    </xdr:to>
    <xdr:cxnSp macro="">
      <xdr:nvCxnSpPr>
        <xdr:cNvPr id="7" name="직선 화살표 연결선 6"/>
        <xdr:cNvCxnSpPr/>
      </xdr:nvCxnSpPr>
      <xdr:spPr>
        <a:xfrm flipV="1">
          <a:off x="1589942" y="12375173"/>
          <a:ext cx="219808" cy="424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36635</xdr:colOff>
      <xdr:row>57</xdr:row>
      <xdr:rowOff>29309</xdr:rowOff>
    </xdr:from>
    <xdr:ext cx="205154" cy="234462"/>
    <mc:AlternateContent xmlns:mc="http://schemas.openxmlformats.org/markup-compatibility/2006" xmlns:a14="http://schemas.microsoft.com/office/drawing/2010/main">
      <mc:Choice Requires="a14">
        <xdr:sp macro="" textlink="">
          <xdr:nvSpPr>
            <xdr:cNvPr id="31" name="TextBox 30"/>
            <xdr:cNvSpPr txBox="1"/>
          </xdr:nvSpPr>
          <xdr:spPr>
            <a:xfrm>
              <a:off x="1839058" y="12184674"/>
              <a:ext cx="205154" cy="2344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US" altLang="ko-KR" sz="1100" b="0" i="1">
                  <a:solidFill>
                    <a:schemeClr val="tx1"/>
                  </a:solidFill>
                  <a:effectLst/>
                  <a:latin typeface="+mn-lt"/>
                  <a:ea typeface="+mn-ea"/>
                  <a:cs typeface="+mn-cs"/>
                </a:rPr>
                <a:t> </a:t>
              </a:r>
              <a14:m>
                <m:oMath xmlns:m="http://schemas.openxmlformats.org/officeDocument/2006/math">
                  <m:r>
                    <a:rPr lang="ko-KR" altLang="ko-KR" sz="1100" b="0" i="1">
                      <a:solidFill>
                        <a:schemeClr val="tx1"/>
                      </a:solidFill>
                      <a:effectLst/>
                      <a:latin typeface="Cambria Math" panose="02040503050406030204" pitchFamily="18" charset="0"/>
                      <a:ea typeface="+mn-ea"/>
                      <a:cs typeface="+mn-cs"/>
                    </a:rPr>
                    <m:t>𝜇</m:t>
                  </m:r>
                </m:oMath>
              </a14:m>
              <a:endParaRPr lang="ko-KR" altLang="en-US" sz="1100"/>
            </a:p>
          </xdr:txBody>
        </xdr:sp>
      </mc:Choice>
      <mc:Fallback xmlns="">
        <xdr:sp macro="" textlink="">
          <xdr:nvSpPr>
            <xdr:cNvPr id="31" name="TextBox 30"/>
            <xdr:cNvSpPr txBox="1"/>
          </xdr:nvSpPr>
          <xdr:spPr>
            <a:xfrm>
              <a:off x="1839058" y="12184674"/>
              <a:ext cx="205154" cy="2344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US" altLang="ko-KR" sz="1100" b="0" i="1">
                  <a:solidFill>
                    <a:schemeClr val="tx1"/>
                  </a:solidFill>
                  <a:effectLst/>
                  <a:latin typeface="+mn-lt"/>
                  <a:ea typeface="+mn-ea"/>
                  <a:cs typeface="+mn-cs"/>
                </a:rPr>
                <a:t> </a:t>
              </a:r>
              <a:r>
                <a:rPr lang="ko-KR" altLang="ko-KR" sz="1100" b="0" i="0">
                  <a:solidFill>
                    <a:schemeClr val="tx1"/>
                  </a:solidFill>
                  <a:effectLst/>
                  <a:latin typeface="+mn-lt"/>
                  <a:ea typeface="+mn-ea"/>
                  <a:cs typeface="+mn-cs"/>
                </a:rPr>
                <a:t>𝜇</a:t>
              </a:r>
              <a:endParaRPr lang="ko-KR" altLang="en-US" sz="1100"/>
            </a:p>
          </xdr:txBody>
        </xdr:sp>
      </mc:Fallback>
    </mc:AlternateContent>
    <xdr:clientData/>
  </xdr:oneCellAnchor>
  <xdr:twoCellAnchor>
    <xdr:from>
      <xdr:col>6</xdr:col>
      <xdr:colOff>211014</xdr:colOff>
      <xdr:row>59</xdr:row>
      <xdr:rowOff>203688</xdr:rowOff>
    </xdr:from>
    <xdr:to>
      <xdr:col>8</xdr:col>
      <xdr:colOff>14654</xdr:colOff>
      <xdr:row>62</xdr:row>
      <xdr:rowOff>29308</xdr:rowOff>
    </xdr:to>
    <xdr:cxnSp macro="">
      <xdr:nvCxnSpPr>
        <xdr:cNvPr id="33" name="직선 화살표 연결선 32"/>
        <xdr:cNvCxnSpPr/>
      </xdr:nvCxnSpPr>
      <xdr:spPr>
        <a:xfrm>
          <a:off x="1588476" y="12784015"/>
          <a:ext cx="228601" cy="47771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22713</xdr:colOff>
      <xdr:row>62</xdr:row>
      <xdr:rowOff>37367</xdr:rowOff>
    </xdr:from>
    <xdr:ext cx="105670" cy="172227"/>
    <mc:AlternateContent xmlns:mc="http://schemas.openxmlformats.org/markup-compatibility/2006" xmlns:a14="http://schemas.microsoft.com/office/drawing/2010/main">
      <mc:Choice Requires="a14">
        <xdr:sp macro="" textlink="">
          <xdr:nvSpPr>
            <xdr:cNvPr id="21" name="TextBox 20"/>
            <xdr:cNvSpPr txBox="1"/>
          </xdr:nvSpPr>
          <xdr:spPr>
            <a:xfrm>
              <a:off x="1825136" y="13269790"/>
              <a:ext cx="10567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1100" i="1">
                        <a:latin typeface="Cambria Math" panose="02040503050406030204" pitchFamily="18" charset="0"/>
                      </a:rPr>
                      <m:t>𝜐</m:t>
                    </m:r>
                  </m:oMath>
                </m:oMathPara>
              </a14:m>
              <a:endParaRPr lang="ko-KR" altLang="en-US" sz="1100"/>
            </a:p>
          </xdr:txBody>
        </xdr:sp>
      </mc:Choice>
      <mc:Fallback xmlns="">
        <xdr:sp macro="" textlink="">
          <xdr:nvSpPr>
            <xdr:cNvPr id="21" name="TextBox 20"/>
            <xdr:cNvSpPr txBox="1"/>
          </xdr:nvSpPr>
          <xdr:spPr>
            <a:xfrm>
              <a:off x="1825136" y="13269790"/>
              <a:ext cx="10567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ko-KR" altLang="en-US" sz="1100" i="0">
                  <a:latin typeface="Cambria Math" panose="02040503050406030204" pitchFamily="18" charset="0"/>
                </a:rPr>
                <a:t>𝜐</a:t>
              </a:r>
              <a:endParaRPr lang="ko-KR" altLang="en-US" sz="1100"/>
            </a:p>
          </xdr:txBody>
        </xdr:sp>
      </mc:Fallback>
    </mc:AlternateContent>
    <xdr:clientData/>
  </xdr:oneCellAnchor>
  <xdr:oneCellAnchor>
    <xdr:from>
      <xdr:col>0</xdr:col>
      <xdr:colOff>205887</xdr:colOff>
      <xdr:row>55</xdr:row>
      <xdr:rowOff>169250</xdr:rowOff>
    </xdr:from>
    <xdr:ext cx="644036" cy="372941"/>
    <mc:AlternateContent xmlns:mc="http://schemas.openxmlformats.org/markup-compatibility/2006" xmlns:a14="http://schemas.microsoft.com/office/drawing/2010/main">
      <mc:Choice Requires="a14">
        <xdr:sp macro="" textlink="">
          <xdr:nvSpPr>
            <xdr:cNvPr id="37" name="TextBox 36"/>
            <xdr:cNvSpPr txBox="1"/>
          </xdr:nvSpPr>
          <xdr:spPr>
            <a:xfrm>
              <a:off x="205887" y="11899654"/>
              <a:ext cx="644036" cy="3729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ko-KR" altLang="ko-KR" sz="1100" i="1">
                        <a:solidFill>
                          <a:schemeClr val="tx1"/>
                        </a:solidFill>
                        <a:effectLst/>
                        <a:latin typeface="Cambria Math" panose="02040503050406030204" pitchFamily="18" charset="0"/>
                        <a:ea typeface="+mn-ea"/>
                        <a:cs typeface="+mn-cs"/>
                      </a:rPr>
                      <m:t>𝜐</m:t>
                    </m:r>
                    <m:r>
                      <a:rPr lang="en-US" altLang="ko-KR" sz="1100" b="0" i="1">
                        <a:latin typeface="Cambria Math" panose="02040503050406030204" pitchFamily="18" charset="0"/>
                      </a:rPr>
                      <m:t>= </m:t>
                    </m:r>
                    <m:d>
                      <m:dPr>
                        <m:begChr m:val="["/>
                        <m:endChr m:val="]"/>
                        <m:ctrlPr>
                          <a:rPr lang="en-US" altLang="ko-KR" sz="1100" i="1">
                            <a:latin typeface="Cambria Math" panose="02040503050406030204" pitchFamily="18" charset="0"/>
                          </a:rPr>
                        </m:ctrlPr>
                      </m:dPr>
                      <m:e>
                        <m:m>
                          <m:mPr>
                            <m:mcs>
                              <m:mc>
                                <m:mcPr>
                                  <m:count m:val="1"/>
                                  <m:mcJc m:val="center"/>
                                </m:mcPr>
                              </m:mc>
                            </m:mcs>
                            <m:ctrlPr>
                              <a:rPr lang="en-US" altLang="ko-KR" sz="1100" i="1">
                                <a:latin typeface="Cambria Math" panose="02040503050406030204" pitchFamily="18" charset="0"/>
                              </a:rPr>
                            </m:ctrlPr>
                          </m:mPr>
                          <m:mr>
                            <m:e>
                              <m:r>
                                <m:rPr>
                                  <m:brk m:alnAt="7"/>
                                </m:rPr>
                                <a:rPr lang="en-US" altLang="ko-KR" sz="1100" b="0" i="1">
                                  <a:latin typeface="Cambria Math" panose="02040503050406030204" pitchFamily="18" charset="0"/>
                                </a:rPr>
                                <m:t>1</m:t>
                              </m:r>
                            </m:e>
                          </m:mr>
                          <m:mr>
                            <m:e>
                              <m:eqArr>
                                <m:eqArrPr>
                                  <m:ctrlPr>
                                    <a:rPr lang="en-US" altLang="ko-KR" sz="1100" b="0" i="1">
                                      <a:latin typeface="Cambria Math" panose="02040503050406030204" pitchFamily="18" charset="0"/>
                                    </a:rPr>
                                  </m:ctrlPr>
                                </m:eqArrPr>
                                <m:e>
                                  <m:r>
                                    <a:rPr lang="en-US" altLang="ko-KR" sz="1100" b="0" i="1">
                                      <a:latin typeface="Cambria Math" panose="02040503050406030204" pitchFamily="18" charset="0"/>
                                    </a:rPr>
                                    <m:t>−3</m:t>
                                  </m:r>
                                </m:e>
                              </m:eqArr>
                            </m:e>
                          </m:mr>
                        </m:m>
                      </m:e>
                    </m:d>
                  </m:oMath>
                </m:oMathPara>
              </a14:m>
              <a:endParaRPr lang="ko-KR" altLang="en-US" sz="1100"/>
            </a:p>
          </xdr:txBody>
        </xdr:sp>
      </mc:Choice>
      <mc:Fallback xmlns="">
        <xdr:sp macro="" textlink="">
          <xdr:nvSpPr>
            <xdr:cNvPr id="37" name="TextBox 36"/>
            <xdr:cNvSpPr txBox="1"/>
          </xdr:nvSpPr>
          <xdr:spPr>
            <a:xfrm>
              <a:off x="205887" y="11899654"/>
              <a:ext cx="644036" cy="3729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ko-KR" altLang="ko-KR" sz="1100" i="0">
                  <a:solidFill>
                    <a:schemeClr val="tx1"/>
                  </a:solidFill>
                  <a:effectLst/>
                  <a:latin typeface="+mn-lt"/>
                  <a:ea typeface="+mn-ea"/>
                  <a:cs typeface="+mn-cs"/>
                </a:rPr>
                <a:t>𝜐</a:t>
              </a:r>
              <a:r>
                <a:rPr lang="en-US" altLang="ko-KR" sz="1100" b="0" i="0">
                  <a:latin typeface="Cambria Math" panose="02040503050406030204" pitchFamily="18" charset="0"/>
                </a:rPr>
                <a:t>= </a:t>
              </a:r>
              <a:r>
                <a:rPr lang="en-US" altLang="ko-KR" sz="1100" i="0">
                  <a:latin typeface="Cambria Math" panose="02040503050406030204" pitchFamily="18" charset="0"/>
                </a:rPr>
                <a:t>[■8(</a:t>
              </a:r>
              <a:r>
                <a:rPr lang="en-US" altLang="ko-KR" sz="1100" b="0" i="0">
                  <a:latin typeface="Cambria Math" panose="02040503050406030204" pitchFamily="18" charset="0"/>
                </a:rPr>
                <a:t>1@█(−3))]</a:t>
              </a:r>
              <a:endParaRPr lang="ko-KR" altLang="en-US" sz="1100"/>
            </a:p>
          </xdr:txBody>
        </xdr:sp>
      </mc:Fallback>
    </mc:AlternateContent>
    <xdr:clientData/>
  </xdr:oneCellAnchor>
  <xdr:oneCellAnchor>
    <xdr:from>
      <xdr:col>0</xdr:col>
      <xdr:colOff>205887</xdr:colOff>
      <xdr:row>57</xdr:row>
      <xdr:rowOff>147271</xdr:rowOff>
    </xdr:from>
    <xdr:ext cx="695325" cy="372941"/>
    <mc:AlternateContent xmlns:mc="http://schemas.openxmlformats.org/markup-compatibility/2006" xmlns:a14="http://schemas.microsoft.com/office/drawing/2010/main">
      <mc:Choice Requires="a14">
        <xdr:sp macro="" textlink="">
          <xdr:nvSpPr>
            <xdr:cNvPr id="43" name="TextBox 42"/>
            <xdr:cNvSpPr txBox="1"/>
          </xdr:nvSpPr>
          <xdr:spPr>
            <a:xfrm>
              <a:off x="205887" y="12302636"/>
              <a:ext cx="695325" cy="3729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US" altLang="ko-KR" sz="1100" b="0" i="1"/>
                <a:t> </a:t>
              </a:r>
              <a14:m>
                <m:oMath xmlns:m="http://schemas.openxmlformats.org/officeDocument/2006/math">
                  <m:r>
                    <a:rPr lang="ko-KR" altLang="el-GR" sz="1100" b="0" i="1">
                      <a:latin typeface="Cambria Math" panose="02040503050406030204" pitchFamily="18" charset="0"/>
                      <a:ea typeface="Cambria Math" panose="02040503050406030204" pitchFamily="18" charset="0"/>
                    </a:rPr>
                    <m:t>𝜔</m:t>
                  </m:r>
                  <m:r>
                    <a:rPr lang="en-US" altLang="ko-KR" sz="1100" b="0" i="1">
                      <a:latin typeface="Cambria Math" panose="02040503050406030204" pitchFamily="18" charset="0"/>
                    </a:rPr>
                    <m:t>= </m:t>
                  </m:r>
                  <m:d>
                    <m:dPr>
                      <m:begChr m:val="["/>
                      <m:endChr m:val="]"/>
                      <m:ctrlPr>
                        <a:rPr lang="en-US" altLang="ko-KR" sz="1100" i="1">
                          <a:latin typeface="Cambria Math" panose="02040503050406030204" pitchFamily="18" charset="0"/>
                        </a:rPr>
                      </m:ctrlPr>
                    </m:dPr>
                    <m:e>
                      <m:m>
                        <m:mPr>
                          <m:mcs>
                            <m:mc>
                              <m:mcPr>
                                <m:count m:val="1"/>
                                <m:mcJc m:val="center"/>
                              </m:mcPr>
                            </m:mc>
                          </m:mcs>
                          <m:ctrlPr>
                            <a:rPr lang="en-US" altLang="ko-KR" sz="1100" i="1">
                              <a:latin typeface="Cambria Math" panose="02040503050406030204" pitchFamily="18" charset="0"/>
                            </a:rPr>
                          </m:ctrlPr>
                        </m:mPr>
                        <m:mr>
                          <m:e>
                            <m:r>
                              <m:rPr>
                                <m:brk m:alnAt="7"/>
                              </m:rPr>
                              <a:rPr lang="en-US" altLang="ko-KR" sz="1100" b="0" i="1">
                                <a:latin typeface="Cambria Math" panose="02040503050406030204" pitchFamily="18" charset="0"/>
                              </a:rPr>
                              <m:t>−</m:t>
                            </m:r>
                            <m:r>
                              <a:rPr lang="en-US" altLang="ko-KR" sz="1100" b="0" i="1">
                                <a:latin typeface="Cambria Math" panose="02040503050406030204" pitchFamily="18" charset="0"/>
                              </a:rPr>
                              <m:t>1</m:t>
                            </m:r>
                          </m:e>
                        </m:mr>
                        <m:mr>
                          <m:e>
                            <m:eqArr>
                              <m:eqArrPr>
                                <m:ctrlPr>
                                  <a:rPr lang="en-US" altLang="ko-KR" sz="1100" b="0" i="1">
                                    <a:latin typeface="Cambria Math" panose="02040503050406030204" pitchFamily="18" charset="0"/>
                                  </a:rPr>
                                </m:ctrlPr>
                              </m:eqArrPr>
                              <m:e>
                                <m:r>
                                  <a:rPr lang="en-US" altLang="ko-KR" sz="1100" b="0" i="1">
                                    <a:latin typeface="Cambria Math" panose="02040503050406030204" pitchFamily="18" charset="0"/>
                                  </a:rPr>
                                  <m:t>−2</m:t>
                                </m:r>
                              </m:e>
                            </m:eqArr>
                          </m:e>
                        </m:mr>
                      </m:m>
                    </m:e>
                  </m:d>
                </m:oMath>
              </a14:m>
              <a:endParaRPr lang="ko-KR" altLang="en-US" sz="1100"/>
            </a:p>
          </xdr:txBody>
        </xdr:sp>
      </mc:Choice>
      <mc:Fallback xmlns="">
        <xdr:sp macro="" textlink="">
          <xdr:nvSpPr>
            <xdr:cNvPr id="43" name="TextBox 42"/>
            <xdr:cNvSpPr txBox="1"/>
          </xdr:nvSpPr>
          <xdr:spPr>
            <a:xfrm>
              <a:off x="205887" y="12302636"/>
              <a:ext cx="695325" cy="3729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US" altLang="ko-KR" sz="1100" b="0" i="1"/>
                <a:t> </a:t>
              </a:r>
              <a:r>
                <a:rPr lang="ko-KR" altLang="el-GR" sz="1100" b="0" i="0">
                  <a:latin typeface="Cambria Math" panose="02040503050406030204" pitchFamily="18" charset="0"/>
                  <a:ea typeface="Cambria Math" panose="02040503050406030204" pitchFamily="18" charset="0"/>
                </a:rPr>
                <a:t>𝜔</a:t>
              </a:r>
              <a:r>
                <a:rPr lang="en-US" altLang="ko-KR" sz="1100" b="0" i="0">
                  <a:latin typeface="Cambria Math" panose="02040503050406030204" pitchFamily="18" charset="0"/>
                </a:rPr>
                <a:t>= </a:t>
              </a:r>
              <a:r>
                <a:rPr lang="en-US" altLang="ko-KR" sz="1100" i="0">
                  <a:latin typeface="Cambria Math" panose="02040503050406030204" pitchFamily="18" charset="0"/>
                </a:rPr>
                <a:t>[■8(</a:t>
              </a:r>
              <a:r>
                <a:rPr lang="en-US" altLang="ko-KR" sz="1100" b="0" i="0">
                  <a:latin typeface="Cambria Math" panose="02040503050406030204" pitchFamily="18" charset="0"/>
                </a:rPr>
                <a:t>−1@█(−2))]</a:t>
              </a:r>
              <a:endParaRPr lang="ko-KR" altLang="en-US" sz="1100"/>
            </a:p>
          </xdr:txBody>
        </xdr:sp>
      </mc:Fallback>
    </mc:AlternateContent>
    <xdr:clientData/>
  </xdr:oneCellAnchor>
  <xdr:oneCellAnchor>
    <xdr:from>
      <xdr:col>5</xdr:col>
      <xdr:colOff>59349</xdr:colOff>
      <xdr:row>61</xdr:row>
      <xdr:rowOff>169251</xdr:rowOff>
    </xdr:from>
    <xdr:ext cx="204421" cy="197095"/>
    <mc:AlternateContent xmlns:mc="http://schemas.openxmlformats.org/markup-compatibility/2006" xmlns:a14="http://schemas.microsoft.com/office/drawing/2010/main">
      <mc:Choice Requires="a14">
        <xdr:sp macro="" textlink="">
          <xdr:nvSpPr>
            <xdr:cNvPr id="44" name="TextBox 43"/>
            <xdr:cNvSpPr txBox="1"/>
          </xdr:nvSpPr>
          <xdr:spPr>
            <a:xfrm>
              <a:off x="1224330" y="13189193"/>
              <a:ext cx="204421" cy="1970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US" altLang="ko-KR" sz="1100" b="0" i="1"/>
                <a:t> </a:t>
              </a:r>
              <a14:m>
                <m:oMath xmlns:m="http://schemas.openxmlformats.org/officeDocument/2006/math">
                  <m:r>
                    <a:rPr lang="ko-KR" altLang="el-GR" sz="1100" b="0" i="1">
                      <a:latin typeface="Cambria Math" panose="02040503050406030204" pitchFamily="18" charset="0"/>
                      <a:ea typeface="Cambria Math" panose="02040503050406030204" pitchFamily="18" charset="0"/>
                    </a:rPr>
                    <m:t>𝜔</m:t>
                  </m:r>
                </m:oMath>
              </a14:m>
              <a:endParaRPr lang="ko-KR" altLang="en-US" sz="1100"/>
            </a:p>
          </xdr:txBody>
        </xdr:sp>
      </mc:Choice>
      <mc:Fallback xmlns="">
        <xdr:sp macro="" textlink="">
          <xdr:nvSpPr>
            <xdr:cNvPr id="44" name="TextBox 43"/>
            <xdr:cNvSpPr txBox="1"/>
          </xdr:nvSpPr>
          <xdr:spPr>
            <a:xfrm>
              <a:off x="1224330" y="13189193"/>
              <a:ext cx="204421" cy="1970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US" altLang="ko-KR" sz="1100" b="0" i="1"/>
                <a:t> </a:t>
              </a:r>
              <a:r>
                <a:rPr lang="ko-KR" altLang="el-GR" sz="1100" b="0" i="0">
                  <a:latin typeface="Cambria Math" panose="02040503050406030204" pitchFamily="18" charset="0"/>
                  <a:ea typeface="Cambria Math" panose="02040503050406030204" pitchFamily="18" charset="0"/>
                </a:rPr>
                <a:t>𝜔</a:t>
              </a:r>
              <a:endParaRPr lang="ko-KR" altLang="en-US" sz="1100"/>
            </a:p>
          </xdr:txBody>
        </xdr:sp>
      </mc:Fallback>
    </mc:AlternateContent>
    <xdr:clientData/>
  </xdr:oneCellAnchor>
  <xdr:twoCellAnchor>
    <xdr:from>
      <xdr:col>6</xdr:col>
      <xdr:colOff>7326</xdr:colOff>
      <xdr:row>59</xdr:row>
      <xdr:rowOff>205155</xdr:rowOff>
    </xdr:from>
    <xdr:to>
      <xdr:col>7</xdr:col>
      <xdr:colOff>14656</xdr:colOff>
      <xdr:row>62</xdr:row>
      <xdr:rowOff>0</xdr:rowOff>
    </xdr:to>
    <xdr:cxnSp macro="">
      <xdr:nvCxnSpPr>
        <xdr:cNvPr id="45" name="직선 화살표 연결선 44"/>
        <xdr:cNvCxnSpPr/>
      </xdr:nvCxnSpPr>
      <xdr:spPr>
        <a:xfrm flipH="1">
          <a:off x="1384788" y="12785482"/>
          <a:ext cx="219810" cy="44694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14</xdr:col>
      <xdr:colOff>425823</xdr:colOff>
      <xdr:row>52</xdr:row>
      <xdr:rowOff>56031</xdr:rowOff>
    </xdr:from>
    <xdr:to>
      <xdr:col>22</xdr:col>
      <xdr:colOff>493059</xdr:colOff>
      <xdr:row>71</xdr:row>
      <xdr:rowOff>123267</xdr:rowOff>
    </xdr:to>
    <xdr:pic>
      <xdr:nvPicPr>
        <xdr:cNvPr id="46" name="그림 45"/>
        <xdr:cNvPicPr>
          <a:picLocks noChangeAspect="1"/>
        </xdr:cNvPicPr>
      </xdr:nvPicPr>
      <xdr:blipFill>
        <a:blip xmlns:r="http://schemas.openxmlformats.org/officeDocument/2006/relationships" r:embed="rId1"/>
        <a:stretch>
          <a:fillRect/>
        </a:stretch>
      </xdr:blipFill>
      <xdr:spPr>
        <a:xfrm>
          <a:off x="3496235" y="11441207"/>
          <a:ext cx="5513295" cy="4134972"/>
        </a:xfrm>
        <a:prstGeom prst="rect">
          <a:avLst/>
        </a:prstGeom>
      </xdr:spPr>
    </xdr:pic>
    <xdr:clientData/>
  </xdr:twoCellAnchor>
  <xdr:oneCellAnchor>
    <xdr:from>
      <xdr:col>3</xdr:col>
      <xdr:colOff>156883</xdr:colOff>
      <xdr:row>77</xdr:row>
      <xdr:rowOff>19050</xdr:rowOff>
    </xdr:from>
    <xdr:ext cx="881641" cy="447623"/>
    <mc:AlternateContent xmlns:mc="http://schemas.openxmlformats.org/markup-compatibility/2006" xmlns:a14="http://schemas.microsoft.com/office/drawing/2010/main">
      <mc:Choice Requires="a14">
        <xdr:sp macro="" textlink="">
          <xdr:nvSpPr>
            <xdr:cNvPr id="47" name="TextBox 46"/>
            <xdr:cNvSpPr txBox="1"/>
          </xdr:nvSpPr>
          <xdr:spPr>
            <a:xfrm>
              <a:off x="896471" y="16872697"/>
              <a:ext cx="881641" cy="4476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r>
                    <m:rPr>
                      <m:sty m:val="p"/>
                    </m:rPr>
                    <a:rPr lang="el-GR" altLang="ko-KR" sz="1100" i="1">
                      <a:latin typeface="Cambria Math" panose="02040503050406030204" pitchFamily="18" charset="0"/>
                      <a:ea typeface="Cambria Math" panose="02040503050406030204" pitchFamily="18" charset="0"/>
                    </a:rPr>
                    <m:t>Α</m:t>
                  </m:r>
                </m:oMath>
              </a14:m>
              <a:r>
                <a:rPr lang="en-US" altLang="ko-KR" sz="1100"/>
                <a:t> = </a:t>
              </a:r>
              <a14:m>
                <m:oMath xmlns:m="http://schemas.openxmlformats.org/officeDocument/2006/math">
                  <m:d>
                    <m:dPr>
                      <m:begChr m:val="["/>
                      <m:endChr m:val="]"/>
                      <m:ctrlPr>
                        <a:rPr lang="en-US" altLang="ko-KR" sz="1100" i="1">
                          <a:latin typeface="Cambria Math" panose="02040503050406030204" pitchFamily="18" charset="0"/>
                        </a:rPr>
                      </m:ctrlPr>
                    </m:dPr>
                    <m:e>
                      <m:m>
                        <m:mPr>
                          <m:mcs>
                            <m:mc>
                              <m:mcPr>
                                <m:count m:val="3"/>
                                <m:mcJc m:val="center"/>
                              </m:mcPr>
                            </m:mc>
                          </m:mcs>
                          <m:ctrlPr>
                            <a:rPr lang="en-US" altLang="ko-KR" sz="1100" i="1">
                              <a:latin typeface="Cambria Math" panose="02040503050406030204" pitchFamily="18" charset="0"/>
                            </a:rPr>
                          </m:ctrlPr>
                        </m:mPr>
                        <m:mr>
                          <m:e>
                            <m:r>
                              <m:rPr>
                                <m:brk m:alnAt="7"/>
                              </m:rPr>
                              <a:rPr lang="en-US" altLang="ko-KR" sz="1100" b="0" i="1">
                                <a:latin typeface="Cambria Math" panose="02040503050406030204" pitchFamily="18" charset="0"/>
                              </a:rPr>
                              <m:t>1</m:t>
                            </m:r>
                          </m:e>
                          <m:e>
                            <m:r>
                              <a:rPr lang="en-US" altLang="ko-KR" sz="1100" b="0" i="1">
                                <a:latin typeface="Cambria Math" panose="02040503050406030204" pitchFamily="18" charset="0"/>
                              </a:rPr>
                              <m:t>2</m:t>
                            </m:r>
                          </m:e>
                          <m:e>
                            <m:r>
                              <a:rPr lang="en-US" altLang="ko-KR" sz="1100" b="0" i="1">
                                <a:latin typeface="Cambria Math" panose="02040503050406030204" pitchFamily="18" charset="0"/>
                              </a:rPr>
                              <m:t>3</m:t>
                            </m:r>
                          </m:e>
                        </m:mr>
                        <m:mr>
                          <m:e>
                            <m:r>
                              <a:rPr lang="en-US" altLang="ko-KR" sz="1100" b="0" i="1">
                                <a:latin typeface="Cambria Math" panose="02040503050406030204" pitchFamily="18" charset="0"/>
                              </a:rPr>
                              <m:t>4</m:t>
                            </m:r>
                          </m:e>
                          <m:e>
                            <m:r>
                              <a:rPr lang="en-US" altLang="ko-KR" sz="1100" b="0" i="1">
                                <a:latin typeface="Cambria Math" panose="02040503050406030204" pitchFamily="18" charset="0"/>
                              </a:rPr>
                              <m:t>5</m:t>
                            </m:r>
                          </m:e>
                          <m:e>
                            <m:r>
                              <a:rPr lang="en-US" altLang="ko-KR" sz="1100" b="0" i="1">
                                <a:latin typeface="Cambria Math" panose="02040503050406030204" pitchFamily="18" charset="0"/>
                              </a:rPr>
                              <m:t>6</m:t>
                            </m:r>
                          </m:e>
                        </m:mr>
                        <m:mr>
                          <m:e>
                            <m:r>
                              <a:rPr lang="en-US" altLang="ko-KR" sz="1100" b="0" i="1">
                                <a:latin typeface="Cambria Math" panose="02040503050406030204" pitchFamily="18" charset="0"/>
                              </a:rPr>
                              <m:t>7</m:t>
                            </m:r>
                          </m:e>
                          <m:e>
                            <m:r>
                              <a:rPr lang="en-US" altLang="ko-KR" sz="1100" b="0" i="1">
                                <a:latin typeface="Cambria Math" panose="02040503050406030204" pitchFamily="18" charset="0"/>
                              </a:rPr>
                              <m:t>8</m:t>
                            </m:r>
                          </m:e>
                          <m:e>
                            <m:r>
                              <a:rPr lang="en-US" altLang="ko-KR" sz="1100" b="0" i="1">
                                <a:latin typeface="Cambria Math" panose="02040503050406030204" pitchFamily="18" charset="0"/>
                              </a:rPr>
                              <m:t>9</m:t>
                            </m:r>
                          </m:e>
                        </m:mr>
                      </m:m>
                    </m:e>
                  </m:d>
                </m:oMath>
              </a14:m>
              <a:endParaRPr lang="ko-KR" altLang="en-US" sz="1100"/>
            </a:p>
          </xdr:txBody>
        </xdr:sp>
      </mc:Choice>
      <mc:Fallback xmlns="">
        <xdr:sp macro="" textlink="">
          <xdr:nvSpPr>
            <xdr:cNvPr id="47" name="TextBox 46"/>
            <xdr:cNvSpPr txBox="1"/>
          </xdr:nvSpPr>
          <xdr:spPr>
            <a:xfrm>
              <a:off x="896471" y="16872697"/>
              <a:ext cx="881641" cy="4476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l-GR" altLang="ko-KR" sz="1100" i="0">
                  <a:latin typeface="Cambria Math" panose="02040503050406030204" pitchFamily="18" charset="0"/>
                  <a:ea typeface="Cambria Math" panose="02040503050406030204" pitchFamily="18" charset="0"/>
                </a:rPr>
                <a:t>Α</a:t>
              </a:r>
              <a:r>
                <a:rPr lang="en-US" altLang="ko-KR" sz="1100"/>
                <a:t> = </a:t>
              </a:r>
              <a:r>
                <a:rPr lang="en-US" altLang="ko-KR" sz="1100" i="0">
                  <a:latin typeface="Cambria Math" panose="02040503050406030204" pitchFamily="18" charset="0"/>
                </a:rPr>
                <a:t>[■8(</a:t>
              </a:r>
              <a:r>
                <a:rPr lang="en-US" altLang="ko-KR" sz="1100" b="0" i="0">
                  <a:latin typeface="Cambria Math" panose="02040503050406030204" pitchFamily="18" charset="0"/>
                </a:rPr>
                <a:t>1&amp;2&amp;3@4&amp;5&amp;6@7&amp;8&amp;9)]</a:t>
              </a:r>
              <a:endParaRPr lang="ko-KR" altLang="en-US" sz="1100"/>
            </a:p>
          </xdr:txBody>
        </xdr:sp>
      </mc:Fallback>
    </mc:AlternateContent>
    <xdr:clientData/>
  </xdr:oneCellAnchor>
  <xdr:twoCellAnchor editAs="oneCell">
    <xdr:from>
      <xdr:col>12</xdr:col>
      <xdr:colOff>168089</xdr:colOff>
      <xdr:row>75</xdr:row>
      <xdr:rowOff>212910</xdr:rowOff>
    </xdr:from>
    <xdr:to>
      <xdr:col>21</xdr:col>
      <xdr:colOff>8367</xdr:colOff>
      <xdr:row>92</xdr:row>
      <xdr:rowOff>189432</xdr:rowOff>
    </xdr:to>
    <xdr:pic>
      <xdr:nvPicPr>
        <xdr:cNvPr id="34" name="그림 33"/>
        <xdr:cNvPicPr>
          <a:picLocks noChangeAspect="1"/>
        </xdr:cNvPicPr>
      </xdr:nvPicPr>
      <xdr:blipFill>
        <a:blip xmlns:r="http://schemas.openxmlformats.org/officeDocument/2006/relationships" r:embed="rId2"/>
        <a:stretch>
          <a:fillRect/>
        </a:stretch>
      </xdr:blipFill>
      <xdr:spPr>
        <a:xfrm>
          <a:off x="2823883" y="16640734"/>
          <a:ext cx="5017396" cy="3596022"/>
        </a:xfrm>
        <a:prstGeom prst="rect">
          <a:avLst/>
        </a:prstGeom>
      </xdr:spPr>
    </xdr:pic>
    <xdr:clientData/>
  </xdr:twoCellAnchor>
  <xdr:twoCellAnchor editAs="oneCell">
    <xdr:from>
      <xdr:col>8</xdr:col>
      <xdr:colOff>157370</xdr:colOff>
      <xdr:row>96</xdr:row>
      <xdr:rowOff>146165</xdr:rowOff>
    </xdr:from>
    <xdr:to>
      <xdr:col>17</xdr:col>
      <xdr:colOff>74545</xdr:colOff>
      <xdr:row>108</xdr:row>
      <xdr:rowOff>200629</xdr:rowOff>
    </xdr:to>
    <xdr:pic>
      <xdr:nvPicPr>
        <xdr:cNvPr id="2" name="그림 1"/>
        <xdr:cNvPicPr>
          <a:picLocks noChangeAspect="1"/>
        </xdr:cNvPicPr>
      </xdr:nvPicPr>
      <xdr:blipFill>
        <a:blip xmlns:r="http://schemas.openxmlformats.org/officeDocument/2006/relationships" r:embed="rId3"/>
        <a:stretch>
          <a:fillRect/>
        </a:stretch>
      </xdr:blipFill>
      <xdr:spPr>
        <a:xfrm>
          <a:off x="1921566" y="20463404"/>
          <a:ext cx="3180522" cy="2539247"/>
        </a:xfrm>
        <a:prstGeom prst="rect">
          <a:avLst/>
        </a:prstGeom>
      </xdr:spPr>
    </xdr:pic>
    <xdr:clientData/>
  </xdr:twoCellAnchor>
  <xdr:oneCellAnchor>
    <xdr:from>
      <xdr:col>3</xdr:col>
      <xdr:colOff>14908</xdr:colOff>
      <xdr:row>113</xdr:row>
      <xdr:rowOff>22460</xdr:rowOff>
    </xdr:from>
    <xdr:ext cx="7964360" cy="886974"/>
    <mc:AlternateContent xmlns:mc="http://schemas.openxmlformats.org/markup-compatibility/2006" xmlns:a14="http://schemas.microsoft.com/office/drawing/2010/main">
      <mc:Choice Requires="a14">
        <xdr:sp macro="" textlink="">
          <xdr:nvSpPr>
            <xdr:cNvPr id="8" name="TextBox 7"/>
            <xdr:cNvSpPr txBox="1"/>
          </xdr:nvSpPr>
          <xdr:spPr>
            <a:xfrm>
              <a:off x="754496" y="24540931"/>
              <a:ext cx="7964360" cy="8869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ko-KR" altLang="en-US" sz="4000" b="0"/>
                <a:t>벡</a:t>
              </a:r>
              <a14:m>
                <m:oMath xmlns:m="http://schemas.openxmlformats.org/officeDocument/2006/math">
                  <m:r>
                    <a:rPr lang="ko-KR" altLang="en-US" sz="4000" b="0" i="1">
                      <a:latin typeface="Cambria Math" panose="02040503050406030204" pitchFamily="18" charset="0"/>
                    </a:rPr>
                    <m:t>터</m:t>
                  </m:r>
                  <m:r>
                    <a:rPr lang="en-US" altLang="ko-KR" sz="4000" b="0" i="1">
                      <a:latin typeface="Cambria Math" panose="02040503050406030204" pitchFamily="18" charset="0"/>
                    </a:rPr>
                    <m:t> </m:t>
                  </m:r>
                  <m:acc>
                    <m:accPr>
                      <m:chr m:val="⃗"/>
                      <m:ctrlPr>
                        <a:rPr lang="ko-KR" altLang="en-US" sz="4000" i="1">
                          <a:latin typeface="Cambria Math" panose="02040503050406030204" pitchFamily="18" charset="0"/>
                        </a:rPr>
                      </m:ctrlPr>
                    </m:accPr>
                    <m:e>
                      <m:r>
                        <a:rPr lang="en-US" altLang="ko-KR" sz="4000" b="0" i="1">
                          <a:latin typeface="Cambria Math" panose="02040503050406030204" pitchFamily="18" charset="0"/>
                        </a:rPr>
                        <m:t>𝑣</m:t>
                      </m:r>
                    </m:e>
                  </m:acc>
                  <m:r>
                    <a:rPr lang="ko-KR" altLang="en-US" sz="4000" i="1">
                      <a:latin typeface="Cambria Math" panose="02040503050406030204" pitchFamily="18" charset="0"/>
                    </a:rPr>
                    <m:t>의</m:t>
                  </m:r>
                </m:oMath>
              </a14:m>
              <a:r>
                <a:rPr lang="ko-KR" altLang="en-US" sz="4000"/>
                <a:t> 크기</a:t>
              </a:r>
              <a:r>
                <a:rPr lang="en-US" altLang="ko-KR" sz="4000"/>
                <a:t>(</a:t>
              </a:r>
              <a:r>
                <a:rPr lang="ko-KR" altLang="en-US" sz="4000"/>
                <a:t>길이</a:t>
              </a:r>
              <a:r>
                <a:rPr lang="en-US" altLang="ko-KR" sz="4000"/>
                <a:t>, norm)        ||</a:t>
              </a:r>
              <a14:m>
                <m:oMath xmlns:m="http://schemas.openxmlformats.org/officeDocument/2006/math">
                  <m:acc>
                    <m:accPr>
                      <m:chr m:val="⃗"/>
                      <m:ctrlPr>
                        <a:rPr lang="ko-KR" altLang="ko-KR" sz="4000" i="1">
                          <a:solidFill>
                            <a:schemeClr val="tx1"/>
                          </a:solidFill>
                          <a:effectLst/>
                          <a:latin typeface="Cambria Math" panose="02040503050406030204" pitchFamily="18" charset="0"/>
                          <a:ea typeface="+mn-ea"/>
                          <a:cs typeface="+mn-cs"/>
                        </a:rPr>
                      </m:ctrlPr>
                    </m:accPr>
                    <m:e>
                      <m:r>
                        <a:rPr lang="en-US" altLang="ko-KR" sz="4000" b="0" i="1">
                          <a:solidFill>
                            <a:schemeClr val="tx1"/>
                          </a:solidFill>
                          <a:effectLst/>
                          <a:latin typeface="Cambria Math" panose="02040503050406030204" pitchFamily="18" charset="0"/>
                          <a:ea typeface="+mn-ea"/>
                          <a:cs typeface="+mn-cs"/>
                        </a:rPr>
                        <m:t>𝑣</m:t>
                      </m:r>
                    </m:e>
                  </m:acc>
                </m:oMath>
              </a14:m>
              <a:r>
                <a:rPr lang="en-US" altLang="ko-KR" sz="4000"/>
                <a:t>||</a:t>
              </a:r>
              <a:endParaRPr lang="ko-KR" altLang="en-US" sz="4000"/>
            </a:p>
          </xdr:txBody>
        </xdr:sp>
      </mc:Choice>
      <mc:Fallback xmlns="">
        <xdr:sp macro="" textlink="">
          <xdr:nvSpPr>
            <xdr:cNvPr id="8" name="TextBox 7"/>
            <xdr:cNvSpPr txBox="1"/>
          </xdr:nvSpPr>
          <xdr:spPr>
            <a:xfrm>
              <a:off x="754496" y="24540931"/>
              <a:ext cx="7964360" cy="8869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ko-KR" altLang="en-US" sz="4000" b="0"/>
                <a:t>벡</a:t>
              </a:r>
              <a:r>
                <a:rPr lang="ko-KR" altLang="en-US" sz="4000" b="0" i="0">
                  <a:latin typeface="Cambria Math" panose="02040503050406030204" pitchFamily="18" charset="0"/>
                </a:rPr>
                <a:t>터</a:t>
              </a:r>
              <a:r>
                <a:rPr lang="en-US" altLang="ko-KR" sz="4000" b="0" i="0">
                  <a:latin typeface="Cambria Math" panose="02040503050406030204" pitchFamily="18" charset="0"/>
                </a:rPr>
                <a:t> 𝑣</a:t>
              </a:r>
              <a:r>
                <a:rPr lang="ko-KR" altLang="en-US" sz="4000" b="0" i="0">
                  <a:latin typeface="Cambria Math" panose="02040503050406030204" pitchFamily="18" charset="0"/>
                </a:rPr>
                <a:t> ⃗</a:t>
              </a:r>
              <a:r>
                <a:rPr lang="ko-KR" altLang="en-US" sz="4000" i="0">
                  <a:latin typeface="Cambria Math" panose="02040503050406030204" pitchFamily="18" charset="0"/>
                </a:rPr>
                <a:t>의</a:t>
              </a:r>
              <a:r>
                <a:rPr lang="ko-KR" altLang="en-US" sz="4000"/>
                <a:t> 크기</a:t>
              </a:r>
              <a:r>
                <a:rPr lang="en-US" altLang="ko-KR" sz="4000"/>
                <a:t>(</a:t>
              </a:r>
              <a:r>
                <a:rPr lang="ko-KR" altLang="en-US" sz="4000"/>
                <a:t>길이</a:t>
              </a:r>
              <a:r>
                <a:rPr lang="en-US" altLang="ko-KR" sz="4000"/>
                <a:t>, norm)        ||</a:t>
              </a:r>
              <a:r>
                <a:rPr lang="en-US" altLang="ko-KR" sz="4000" b="0" i="0">
                  <a:solidFill>
                    <a:schemeClr val="tx1"/>
                  </a:solidFill>
                  <a:effectLst/>
                  <a:latin typeface="Cambria Math" panose="02040503050406030204" pitchFamily="18" charset="0"/>
                  <a:ea typeface="+mn-ea"/>
                  <a:cs typeface="+mn-cs"/>
                </a:rPr>
                <a:t>𝑣</a:t>
              </a:r>
              <a:r>
                <a:rPr lang="ko-KR" altLang="ko-KR" sz="4000" b="0" i="0">
                  <a:solidFill>
                    <a:schemeClr val="tx1"/>
                  </a:solidFill>
                  <a:effectLst/>
                  <a:latin typeface="+mn-lt"/>
                  <a:ea typeface="+mn-ea"/>
                  <a:cs typeface="+mn-cs"/>
                </a:rPr>
                <a:t> ⃗</a:t>
              </a:r>
              <a:r>
                <a:rPr lang="en-US" altLang="ko-KR" sz="4000"/>
                <a:t>||</a:t>
              </a:r>
              <a:endParaRPr lang="ko-KR" altLang="en-US" sz="4000"/>
            </a:p>
          </xdr:txBody>
        </xdr:sp>
      </mc:Fallback>
    </mc:AlternateContent>
    <xdr:clientData/>
  </xdr:oneCellAnchor>
  <xdr:twoCellAnchor>
    <xdr:from>
      <xdr:col>7</xdr:col>
      <xdr:colOff>3594</xdr:colOff>
      <xdr:row>124</xdr:row>
      <xdr:rowOff>212912</xdr:rowOff>
    </xdr:from>
    <xdr:to>
      <xdr:col>11</xdr:col>
      <xdr:colOff>11206</xdr:colOff>
      <xdr:row>125</xdr:row>
      <xdr:rowOff>0</xdr:rowOff>
    </xdr:to>
    <xdr:cxnSp macro="">
      <xdr:nvCxnSpPr>
        <xdr:cNvPr id="50" name="직선 연결선 49"/>
        <xdr:cNvCxnSpPr/>
      </xdr:nvCxnSpPr>
      <xdr:spPr>
        <a:xfrm flipV="1">
          <a:off x="1575219" y="1679762"/>
          <a:ext cx="845812" cy="6163"/>
        </a:xfrm>
        <a:prstGeom prst="line">
          <a:avLst/>
        </a:prstGeom>
        <a:ln w="25400"/>
      </xdr:spPr>
      <xdr:style>
        <a:lnRef idx="1">
          <a:schemeClr val="accent5"/>
        </a:lnRef>
        <a:fillRef idx="0">
          <a:schemeClr val="accent5"/>
        </a:fillRef>
        <a:effectRef idx="0">
          <a:schemeClr val="accent5"/>
        </a:effectRef>
        <a:fontRef idx="minor">
          <a:schemeClr val="tx1"/>
        </a:fontRef>
      </xdr:style>
    </xdr:cxnSp>
    <xdr:clientData/>
  </xdr:twoCellAnchor>
  <xdr:twoCellAnchor>
    <xdr:from>
      <xdr:col>7</xdr:col>
      <xdr:colOff>0</xdr:colOff>
      <xdr:row>122</xdr:row>
      <xdr:rowOff>1</xdr:rowOff>
    </xdr:from>
    <xdr:to>
      <xdr:col>11</xdr:col>
      <xdr:colOff>3594</xdr:colOff>
      <xdr:row>125</xdr:row>
      <xdr:rowOff>0</xdr:rowOff>
    </xdr:to>
    <xdr:cxnSp macro="">
      <xdr:nvCxnSpPr>
        <xdr:cNvPr id="51" name="직선 연결선 50"/>
        <xdr:cNvCxnSpPr/>
      </xdr:nvCxnSpPr>
      <xdr:spPr>
        <a:xfrm flipV="1">
          <a:off x="1571625" y="1047751"/>
          <a:ext cx="841794" cy="638174"/>
        </a:xfrm>
        <a:prstGeom prst="line">
          <a:avLst/>
        </a:prstGeom>
        <a:ln w="2540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11</xdr:col>
      <xdr:colOff>0</xdr:colOff>
      <xdr:row>122</xdr:row>
      <xdr:rowOff>3596</xdr:rowOff>
    </xdr:from>
    <xdr:to>
      <xdr:col>11</xdr:col>
      <xdr:colOff>0</xdr:colOff>
      <xdr:row>125</xdr:row>
      <xdr:rowOff>7188</xdr:rowOff>
    </xdr:to>
    <xdr:cxnSp macro="">
      <xdr:nvCxnSpPr>
        <xdr:cNvPr id="52" name="직선 연결선 51"/>
        <xdr:cNvCxnSpPr/>
      </xdr:nvCxnSpPr>
      <xdr:spPr>
        <a:xfrm flipV="1">
          <a:off x="2409825" y="1051346"/>
          <a:ext cx="0" cy="641767"/>
        </a:xfrm>
        <a:prstGeom prst="line">
          <a:avLst/>
        </a:prstGeom>
        <a:ln w="25400" cmpd="sng"/>
      </xdr:spPr>
      <xdr:style>
        <a:lnRef idx="1">
          <a:schemeClr val="accent5"/>
        </a:lnRef>
        <a:fillRef idx="0">
          <a:schemeClr val="accent5"/>
        </a:fillRef>
        <a:effectRef idx="0">
          <a:schemeClr val="accent5"/>
        </a:effectRef>
        <a:fontRef idx="minor">
          <a:schemeClr val="tx1"/>
        </a:fontRef>
      </xdr:style>
    </xdr:cxnSp>
    <xdr:clientData/>
  </xdr:twoCellAnchor>
  <xdr:oneCellAnchor>
    <xdr:from>
      <xdr:col>8</xdr:col>
      <xdr:colOff>16565</xdr:colOff>
      <xdr:row>126</xdr:row>
      <xdr:rowOff>41413</xdr:rowOff>
    </xdr:from>
    <xdr:ext cx="3776931" cy="620876"/>
    <mc:AlternateContent xmlns:mc="http://schemas.openxmlformats.org/markup-compatibility/2006" xmlns:a14="http://schemas.microsoft.com/office/drawing/2010/main">
      <mc:Choice Requires="a14">
        <xdr:sp macro="" textlink="">
          <xdr:nvSpPr>
            <xdr:cNvPr id="53" name="TextBox 52"/>
            <xdr:cNvSpPr txBox="1"/>
          </xdr:nvSpPr>
          <xdr:spPr>
            <a:xfrm>
              <a:off x="1780761" y="26587174"/>
              <a:ext cx="3776931" cy="6208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ko-KR" altLang="en-US" sz="2800" b="0"/>
                <a:t>벡</a:t>
              </a:r>
              <a14:m>
                <m:oMath xmlns:m="http://schemas.openxmlformats.org/officeDocument/2006/math">
                  <m:r>
                    <a:rPr lang="ko-KR" altLang="en-US" sz="2800" b="0" i="1">
                      <a:latin typeface="Cambria Math" panose="02040503050406030204" pitchFamily="18" charset="0"/>
                    </a:rPr>
                    <m:t>터</m:t>
                  </m:r>
                  <m:r>
                    <a:rPr lang="en-US" altLang="ko-KR" sz="2800" b="0" i="1">
                      <a:latin typeface="Cambria Math" panose="02040503050406030204" pitchFamily="18" charset="0"/>
                    </a:rPr>
                    <m:t> </m:t>
                  </m:r>
                  <m:acc>
                    <m:accPr>
                      <m:chr m:val="⃗"/>
                      <m:ctrlPr>
                        <a:rPr lang="ko-KR" altLang="en-US" sz="2800" i="1">
                          <a:latin typeface="Cambria Math" panose="02040503050406030204" pitchFamily="18" charset="0"/>
                        </a:rPr>
                      </m:ctrlPr>
                    </m:accPr>
                    <m:e>
                      <m:r>
                        <a:rPr lang="en-US" altLang="ko-KR" sz="2800" b="0" i="1">
                          <a:latin typeface="Cambria Math" panose="02040503050406030204" pitchFamily="18" charset="0"/>
                        </a:rPr>
                        <m:t>𝑣</m:t>
                      </m:r>
                    </m:e>
                  </m:acc>
                  <m:r>
                    <a:rPr lang="ko-KR" altLang="en-US" sz="2800" i="1">
                      <a:latin typeface="Cambria Math" panose="02040503050406030204" pitchFamily="18" charset="0"/>
                    </a:rPr>
                    <m:t>의</m:t>
                  </m:r>
                </m:oMath>
              </a14:m>
              <a:r>
                <a:rPr lang="ko-KR" altLang="en-US" sz="2800"/>
                <a:t> 크기</a:t>
              </a:r>
              <a:r>
                <a:rPr lang="en-US" altLang="ko-KR" sz="2800"/>
                <a:t>(</a:t>
              </a:r>
              <a:r>
                <a:rPr lang="ko-KR" altLang="en-US" sz="2800"/>
                <a:t>길이</a:t>
              </a:r>
              <a:r>
                <a:rPr lang="en-US" altLang="ko-KR" sz="2800"/>
                <a:t>)       </a:t>
              </a:r>
              <a:endParaRPr lang="ko-KR" altLang="en-US" sz="2800"/>
            </a:p>
          </xdr:txBody>
        </xdr:sp>
      </mc:Choice>
      <mc:Fallback xmlns="">
        <xdr:sp macro="" textlink="">
          <xdr:nvSpPr>
            <xdr:cNvPr id="53" name="TextBox 52"/>
            <xdr:cNvSpPr txBox="1"/>
          </xdr:nvSpPr>
          <xdr:spPr>
            <a:xfrm>
              <a:off x="1780761" y="26587174"/>
              <a:ext cx="3776931" cy="6208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ko-KR" altLang="en-US" sz="2800" b="0"/>
                <a:t>벡</a:t>
              </a:r>
              <a:r>
                <a:rPr lang="ko-KR" altLang="en-US" sz="2800" b="0" i="0">
                  <a:latin typeface="Cambria Math" panose="02040503050406030204" pitchFamily="18" charset="0"/>
                </a:rPr>
                <a:t>터</a:t>
              </a:r>
              <a:r>
                <a:rPr lang="en-US" altLang="ko-KR" sz="2800" b="0" i="0">
                  <a:latin typeface="Cambria Math" panose="02040503050406030204" pitchFamily="18" charset="0"/>
                </a:rPr>
                <a:t> 𝑣</a:t>
              </a:r>
              <a:r>
                <a:rPr lang="ko-KR" altLang="en-US" sz="2800" b="0" i="0">
                  <a:latin typeface="Cambria Math" panose="02040503050406030204" pitchFamily="18" charset="0"/>
                </a:rPr>
                <a:t> ⃗</a:t>
              </a:r>
              <a:r>
                <a:rPr lang="ko-KR" altLang="en-US" sz="2800" i="0">
                  <a:latin typeface="Cambria Math" panose="02040503050406030204" pitchFamily="18" charset="0"/>
                </a:rPr>
                <a:t>의</a:t>
              </a:r>
              <a:r>
                <a:rPr lang="ko-KR" altLang="en-US" sz="2800"/>
                <a:t> 크기</a:t>
              </a:r>
              <a:r>
                <a:rPr lang="en-US" altLang="ko-KR" sz="2800"/>
                <a:t>(</a:t>
              </a:r>
              <a:r>
                <a:rPr lang="ko-KR" altLang="en-US" sz="2800"/>
                <a:t>길이</a:t>
              </a:r>
              <a:r>
                <a:rPr lang="en-US" altLang="ko-KR" sz="2800"/>
                <a:t>)       </a:t>
              </a:r>
              <a:endParaRPr lang="ko-KR" altLang="en-US" sz="2800"/>
            </a:p>
          </xdr:txBody>
        </xdr:sp>
      </mc:Fallback>
    </mc:AlternateContent>
    <xdr:clientData/>
  </xdr:oneCellAnchor>
  <xdr:oneCellAnchor>
    <xdr:from>
      <xdr:col>5</xdr:col>
      <xdr:colOff>140805</xdr:colOff>
      <xdr:row>121</xdr:row>
      <xdr:rowOff>198781</xdr:rowOff>
    </xdr:from>
    <xdr:ext cx="604140" cy="219163"/>
    <mc:AlternateContent xmlns:mc="http://schemas.openxmlformats.org/markup-compatibility/2006" xmlns:a14="http://schemas.microsoft.com/office/drawing/2010/main">
      <mc:Choice Requires="a14">
        <xdr:sp macro="" textlink="">
          <xdr:nvSpPr>
            <xdr:cNvPr id="54" name="TextBox 53"/>
            <xdr:cNvSpPr txBox="1"/>
          </xdr:nvSpPr>
          <xdr:spPr>
            <a:xfrm>
              <a:off x="1283805" y="25692651"/>
              <a:ext cx="604140"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altLang="ko-KR" sz="1400"/>
                <a:t>||</a:t>
              </a:r>
              <a14:m>
                <m:oMath xmlns:m="http://schemas.openxmlformats.org/officeDocument/2006/math">
                  <m:acc>
                    <m:accPr>
                      <m:chr m:val="⃗"/>
                      <m:ctrlPr>
                        <a:rPr lang="ko-KR" altLang="ko-KR" sz="1400" i="1">
                          <a:solidFill>
                            <a:schemeClr val="tx1"/>
                          </a:solidFill>
                          <a:effectLst/>
                          <a:latin typeface="Cambria Math" panose="02040503050406030204" pitchFamily="18" charset="0"/>
                          <a:ea typeface="+mn-ea"/>
                          <a:cs typeface="+mn-cs"/>
                        </a:rPr>
                      </m:ctrlPr>
                    </m:accPr>
                    <m:e>
                      <m:r>
                        <a:rPr lang="en-US" altLang="ko-KR" sz="1400" b="0" i="1">
                          <a:solidFill>
                            <a:schemeClr val="tx1"/>
                          </a:solidFill>
                          <a:effectLst/>
                          <a:latin typeface="Cambria Math" panose="02040503050406030204" pitchFamily="18" charset="0"/>
                          <a:ea typeface="+mn-ea"/>
                          <a:cs typeface="+mn-cs"/>
                        </a:rPr>
                        <m:t>𝑣</m:t>
                      </m:r>
                    </m:e>
                  </m:acc>
                </m:oMath>
              </a14:m>
              <a:r>
                <a:rPr lang="en-US" altLang="ko-KR" sz="1400"/>
                <a:t>|| = </a:t>
              </a:r>
              <a:endParaRPr lang="ko-KR" altLang="en-US" sz="1400"/>
            </a:p>
          </xdr:txBody>
        </xdr:sp>
      </mc:Choice>
      <mc:Fallback xmlns="">
        <xdr:sp macro="" textlink="">
          <xdr:nvSpPr>
            <xdr:cNvPr id="54" name="TextBox 53"/>
            <xdr:cNvSpPr txBox="1"/>
          </xdr:nvSpPr>
          <xdr:spPr>
            <a:xfrm>
              <a:off x="1283805" y="25692651"/>
              <a:ext cx="604140"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altLang="ko-KR" sz="1400"/>
                <a:t>||</a:t>
              </a:r>
              <a:r>
                <a:rPr lang="en-US" altLang="ko-KR" sz="1400" b="0" i="0">
                  <a:solidFill>
                    <a:schemeClr val="tx1"/>
                  </a:solidFill>
                  <a:effectLst/>
                  <a:latin typeface="Cambria Math" panose="02040503050406030204" pitchFamily="18" charset="0"/>
                  <a:ea typeface="+mn-ea"/>
                  <a:cs typeface="+mn-cs"/>
                </a:rPr>
                <a:t>𝑣</a:t>
              </a:r>
              <a:r>
                <a:rPr lang="ko-KR" altLang="ko-KR" sz="1400" b="0" i="0">
                  <a:solidFill>
                    <a:schemeClr val="tx1"/>
                  </a:solidFill>
                  <a:effectLst/>
                  <a:latin typeface="+mn-lt"/>
                  <a:ea typeface="+mn-ea"/>
                  <a:cs typeface="+mn-cs"/>
                </a:rPr>
                <a:t> ⃗</a:t>
              </a:r>
              <a:r>
                <a:rPr lang="en-US" altLang="ko-KR" sz="1400"/>
                <a:t>|| = </a:t>
              </a:r>
              <a:endParaRPr lang="ko-KR" altLang="en-US" sz="1400"/>
            </a:p>
          </xdr:txBody>
        </xdr:sp>
      </mc:Fallback>
    </mc:AlternateContent>
    <xdr:clientData/>
  </xdr:oneCellAnchor>
  <xdr:twoCellAnchor editAs="oneCell">
    <xdr:from>
      <xdr:col>7</xdr:col>
      <xdr:colOff>11206</xdr:colOff>
      <xdr:row>133</xdr:row>
      <xdr:rowOff>33617</xdr:rowOff>
    </xdr:from>
    <xdr:to>
      <xdr:col>20</xdr:col>
      <xdr:colOff>597570</xdr:colOff>
      <xdr:row>142</xdr:row>
      <xdr:rowOff>98888</xdr:rowOff>
    </xdr:to>
    <xdr:pic>
      <xdr:nvPicPr>
        <xdr:cNvPr id="19" name="그림 18"/>
        <xdr:cNvPicPr>
          <a:picLocks noChangeAspect="1"/>
        </xdr:cNvPicPr>
      </xdr:nvPicPr>
      <xdr:blipFill>
        <a:blip xmlns:r="http://schemas.openxmlformats.org/officeDocument/2006/relationships" r:embed="rId4"/>
        <a:stretch>
          <a:fillRect/>
        </a:stretch>
      </xdr:blipFill>
      <xdr:spPr>
        <a:xfrm>
          <a:off x="1602441" y="28832735"/>
          <a:ext cx="6144482" cy="1981477"/>
        </a:xfrm>
        <a:prstGeom prst="rect">
          <a:avLst/>
        </a:prstGeom>
      </xdr:spPr>
    </xdr:pic>
    <xdr:clientData/>
  </xdr:twoCellAnchor>
  <xdr:twoCellAnchor>
    <xdr:from>
      <xdr:col>7</xdr:col>
      <xdr:colOff>3594</xdr:colOff>
      <xdr:row>150</xdr:row>
      <xdr:rowOff>212912</xdr:rowOff>
    </xdr:from>
    <xdr:to>
      <xdr:col>11</xdr:col>
      <xdr:colOff>11206</xdr:colOff>
      <xdr:row>151</xdr:row>
      <xdr:rowOff>0</xdr:rowOff>
    </xdr:to>
    <xdr:cxnSp macro="">
      <xdr:nvCxnSpPr>
        <xdr:cNvPr id="55" name="직선 연결선 54"/>
        <xdr:cNvCxnSpPr/>
      </xdr:nvCxnSpPr>
      <xdr:spPr>
        <a:xfrm flipV="1">
          <a:off x="1594829" y="27073412"/>
          <a:ext cx="859259" cy="11206"/>
        </a:xfrm>
        <a:prstGeom prst="line">
          <a:avLst/>
        </a:prstGeom>
        <a:ln w="25400"/>
      </xdr:spPr>
      <xdr:style>
        <a:lnRef idx="1">
          <a:schemeClr val="accent5"/>
        </a:lnRef>
        <a:fillRef idx="0">
          <a:schemeClr val="accent5"/>
        </a:fillRef>
        <a:effectRef idx="0">
          <a:schemeClr val="accent5"/>
        </a:effectRef>
        <a:fontRef idx="minor">
          <a:schemeClr val="tx1"/>
        </a:fontRef>
      </xdr:style>
    </xdr:cxnSp>
    <xdr:clientData/>
  </xdr:twoCellAnchor>
  <xdr:twoCellAnchor>
    <xdr:from>
      <xdr:col>7</xdr:col>
      <xdr:colOff>0</xdr:colOff>
      <xdr:row>148</xdr:row>
      <xdr:rowOff>1</xdr:rowOff>
    </xdr:from>
    <xdr:to>
      <xdr:col>11</xdr:col>
      <xdr:colOff>3594</xdr:colOff>
      <xdr:row>151</xdr:row>
      <xdr:rowOff>0</xdr:rowOff>
    </xdr:to>
    <xdr:cxnSp macro="">
      <xdr:nvCxnSpPr>
        <xdr:cNvPr id="56" name="직선 연결선 55"/>
        <xdr:cNvCxnSpPr/>
      </xdr:nvCxnSpPr>
      <xdr:spPr>
        <a:xfrm flipV="1">
          <a:off x="1591235" y="26434677"/>
          <a:ext cx="855241" cy="649941"/>
        </a:xfrm>
        <a:prstGeom prst="line">
          <a:avLst/>
        </a:prstGeom>
        <a:ln w="2540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11</xdr:col>
      <xdr:colOff>0</xdr:colOff>
      <xdr:row>148</xdr:row>
      <xdr:rowOff>3596</xdr:rowOff>
    </xdr:from>
    <xdr:to>
      <xdr:col>11</xdr:col>
      <xdr:colOff>0</xdr:colOff>
      <xdr:row>151</xdr:row>
      <xdr:rowOff>7188</xdr:rowOff>
    </xdr:to>
    <xdr:cxnSp macro="">
      <xdr:nvCxnSpPr>
        <xdr:cNvPr id="57" name="직선 연결선 56"/>
        <xdr:cNvCxnSpPr/>
      </xdr:nvCxnSpPr>
      <xdr:spPr>
        <a:xfrm flipV="1">
          <a:off x="2442882" y="26438272"/>
          <a:ext cx="0" cy="653534"/>
        </a:xfrm>
        <a:prstGeom prst="line">
          <a:avLst/>
        </a:prstGeom>
        <a:ln w="25400" cmpd="sng"/>
      </xdr:spPr>
      <xdr:style>
        <a:lnRef idx="1">
          <a:schemeClr val="accent5"/>
        </a:lnRef>
        <a:fillRef idx="0">
          <a:schemeClr val="accent5"/>
        </a:fillRef>
        <a:effectRef idx="0">
          <a:schemeClr val="accent5"/>
        </a:effectRef>
        <a:fontRef idx="minor">
          <a:schemeClr val="tx1"/>
        </a:fontRef>
      </xdr:style>
    </xdr:cxnSp>
    <xdr:clientData/>
  </xdr:twoCellAnchor>
  <xdr:oneCellAnchor>
    <xdr:from>
      <xdr:col>5</xdr:col>
      <xdr:colOff>140805</xdr:colOff>
      <xdr:row>147</xdr:row>
      <xdr:rowOff>198781</xdr:rowOff>
    </xdr:from>
    <xdr:ext cx="604140" cy="219163"/>
    <mc:AlternateContent xmlns:mc="http://schemas.openxmlformats.org/markup-compatibility/2006" xmlns:a14="http://schemas.microsoft.com/office/drawing/2010/main">
      <mc:Choice Requires="a14">
        <xdr:sp macro="" textlink="">
          <xdr:nvSpPr>
            <xdr:cNvPr id="58" name="TextBox 57"/>
            <xdr:cNvSpPr txBox="1"/>
          </xdr:nvSpPr>
          <xdr:spPr>
            <a:xfrm>
              <a:off x="1306217" y="26420546"/>
              <a:ext cx="604140"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altLang="ko-KR" sz="1400"/>
                <a:t>||</a:t>
              </a:r>
              <a14:m>
                <m:oMath xmlns:m="http://schemas.openxmlformats.org/officeDocument/2006/math">
                  <m:acc>
                    <m:accPr>
                      <m:chr m:val="⃗"/>
                      <m:ctrlPr>
                        <a:rPr lang="ko-KR" altLang="ko-KR" sz="1400" i="1">
                          <a:solidFill>
                            <a:schemeClr val="tx1"/>
                          </a:solidFill>
                          <a:effectLst/>
                          <a:latin typeface="Cambria Math" panose="02040503050406030204" pitchFamily="18" charset="0"/>
                          <a:ea typeface="+mn-ea"/>
                          <a:cs typeface="+mn-cs"/>
                        </a:rPr>
                      </m:ctrlPr>
                    </m:accPr>
                    <m:e>
                      <m:r>
                        <a:rPr lang="en-US" altLang="ko-KR" sz="1400" b="0" i="1">
                          <a:solidFill>
                            <a:schemeClr val="tx1"/>
                          </a:solidFill>
                          <a:effectLst/>
                          <a:latin typeface="Cambria Math" panose="02040503050406030204" pitchFamily="18" charset="0"/>
                          <a:ea typeface="+mn-ea"/>
                          <a:cs typeface="+mn-cs"/>
                        </a:rPr>
                        <m:t>𝑣</m:t>
                      </m:r>
                    </m:e>
                  </m:acc>
                </m:oMath>
              </a14:m>
              <a:r>
                <a:rPr lang="en-US" altLang="ko-KR" sz="1400"/>
                <a:t>|| = </a:t>
              </a:r>
              <a:endParaRPr lang="ko-KR" altLang="en-US" sz="1400"/>
            </a:p>
          </xdr:txBody>
        </xdr:sp>
      </mc:Choice>
      <mc:Fallback xmlns="">
        <xdr:sp macro="" textlink="">
          <xdr:nvSpPr>
            <xdr:cNvPr id="58" name="TextBox 57"/>
            <xdr:cNvSpPr txBox="1"/>
          </xdr:nvSpPr>
          <xdr:spPr>
            <a:xfrm>
              <a:off x="1306217" y="26420546"/>
              <a:ext cx="604140"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altLang="ko-KR" sz="1400"/>
                <a:t>||</a:t>
              </a:r>
              <a:r>
                <a:rPr lang="en-US" altLang="ko-KR" sz="1400" b="0" i="0">
                  <a:solidFill>
                    <a:schemeClr val="tx1"/>
                  </a:solidFill>
                  <a:effectLst/>
                  <a:latin typeface="Cambria Math" panose="02040503050406030204" pitchFamily="18" charset="0"/>
                  <a:ea typeface="+mn-ea"/>
                  <a:cs typeface="+mn-cs"/>
                </a:rPr>
                <a:t>𝑣</a:t>
              </a:r>
              <a:r>
                <a:rPr lang="ko-KR" altLang="ko-KR" sz="1400" b="0" i="0">
                  <a:solidFill>
                    <a:schemeClr val="tx1"/>
                  </a:solidFill>
                  <a:effectLst/>
                  <a:latin typeface="+mn-lt"/>
                  <a:ea typeface="+mn-ea"/>
                  <a:cs typeface="+mn-cs"/>
                </a:rPr>
                <a:t> ⃗</a:t>
              </a:r>
              <a:r>
                <a:rPr lang="en-US" altLang="ko-KR" sz="1400"/>
                <a:t>|| = </a:t>
              </a:r>
              <a:endParaRPr lang="ko-KR" altLang="en-US" sz="1400"/>
            </a:p>
          </xdr:txBody>
        </xdr:sp>
      </mc:Fallback>
    </mc:AlternateContent>
    <xdr:clientData/>
  </xdr:oneCellAnchor>
  <xdr:twoCellAnchor>
    <xdr:from>
      <xdr:col>8</xdr:col>
      <xdr:colOff>0</xdr:colOff>
      <xdr:row>167</xdr:row>
      <xdr:rowOff>1</xdr:rowOff>
    </xdr:from>
    <xdr:to>
      <xdr:col>10</xdr:col>
      <xdr:colOff>8283</xdr:colOff>
      <xdr:row>169</xdr:row>
      <xdr:rowOff>0</xdr:rowOff>
    </xdr:to>
    <xdr:cxnSp macro="">
      <xdr:nvCxnSpPr>
        <xdr:cNvPr id="22" name="직선 화살표 연결선 21"/>
        <xdr:cNvCxnSpPr/>
      </xdr:nvCxnSpPr>
      <xdr:spPr>
        <a:xfrm flipV="1">
          <a:off x="1764196" y="35052001"/>
          <a:ext cx="422413" cy="41412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60699</xdr:colOff>
      <xdr:row>167</xdr:row>
      <xdr:rowOff>11714</xdr:rowOff>
    </xdr:from>
    <xdr:ext cx="144975" cy="219163"/>
    <mc:AlternateContent xmlns:mc="http://schemas.openxmlformats.org/markup-compatibility/2006" xmlns:a14="http://schemas.microsoft.com/office/drawing/2010/main">
      <mc:Choice Requires="a14">
        <xdr:sp macro="" textlink="">
          <xdr:nvSpPr>
            <xdr:cNvPr id="24" name="TextBox 23"/>
            <xdr:cNvSpPr txBox="1"/>
          </xdr:nvSpPr>
          <xdr:spPr>
            <a:xfrm>
              <a:off x="1862285" y="35885585"/>
              <a:ext cx="144975"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ko-KR" altLang="en-US" sz="1400" i="1">
                            <a:latin typeface="Cambria Math" panose="02040503050406030204" pitchFamily="18" charset="0"/>
                          </a:rPr>
                        </m:ctrlPr>
                      </m:accPr>
                      <m:e>
                        <m:r>
                          <a:rPr lang="en-US" altLang="ko-KR" sz="1400" b="0" i="1">
                            <a:latin typeface="Cambria Math" panose="02040503050406030204" pitchFamily="18" charset="0"/>
                          </a:rPr>
                          <m:t>𝑎</m:t>
                        </m:r>
                      </m:e>
                    </m:acc>
                  </m:oMath>
                </m:oMathPara>
              </a14:m>
              <a:endParaRPr lang="ko-KR" altLang="en-US" sz="1400"/>
            </a:p>
          </xdr:txBody>
        </xdr:sp>
      </mc:Choice>
      <mc:Fallback xmlns="">
        <xdr:sp macro="" textlink="">
          <xdr:nvSpPr>
            <xdr:cNvPr id="24" name="TextBox 23"/>
            <xdr:cNvSpPr txBox="1"/>
          </xdr:nvSpPr>
          <xdr:spPr>
            <a:xfrm>
              <a:off x="1862285" y="35885585"/>
              <a:ext cx="144975"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altLang="ko-KR" sz="1400" b="0" i="0">
                  <a:latin typeface="Cambria Math" panose="02040503050406030204" pitchFamily="18" charset="0"/>
                </a:rPr>
                <a:t>𝑎</a:t>
              </a:r>
              <a:r>
                <a:rPr lang="ko-KR" altLang="en-US" sz="1400" b="0" i="0">
                  <a:latin typeface="Cambria Math" panose="02040503050406030204" pitchFamily="18" charset="0"/>
                </a:rPr>
                <a:t> ⃗</a:t>
              </a:r>
              <a:endParaRPr lang="ko-KR" altLang="en-US" sz="1400"/>
            </a:p>
          </xdr:txBody>
        </xdr:sp>
      </mc:Fallback>
    </mc:AlternateContent>
    <xdr:clientData/>
  </xdr:oneCellAnchor>
  <xdr:twoCellAnchor>
    <xdr:from>
      <xdr:col>10</xdr:col>
      <xdr:colOff>0</xdr:colOff>
      <xdr:row>166</xdr:row>
      <xdr:rowOff>8282</xdr:rowOff>
    </xdr:from>
    <xdr:to>
      <xdr:col>13</xdr:col>
      <xdr:colOff>8282</xdr:colOff>
      <xdr:row>169</xdr:row>
      <xdr:rowOff>8283</xdr:rowOff>
    </xdr:to>
    <xdr:cxnSp macro="">
      <xdr:nvCxnSpPr>
        <xdr:cNvPr id="63" name="직선 화살표 연결선 62"/>
        <xdr:cNvCxnSpPr/>
      </xdr:nvCxnSpPr>
      <xdr:spPr>
        <a:xfrm flipH="1" flipV="1">
          <a:off x="2178326" y="34853217"/>
          <a:ext cx="629478" cy="62119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123884</xdr:colOff>
      <xdr:row>166</xdr:row>
      <xdr:rowOff>66614</xdr:rowOff>
    </xdr:from>
    <xdr:ext cx="141321" cy="255647"/>
    <mc:AlternateContent xmlns:mc="http://schemas.openxmlformats.org/markup-compatibility/2006" xmlns:a14="http://schemas.microsoft.com/office/drawing/2010/main">
      <mc:Choice Requires="a14">
        <xdr:sp macro="" textlink="">
          <xdr:nvSpPr>
            <xdr:cNvPr id="64" name="TextBox 63"/>
            <xdr:cNvSpPr txBox="1"/>
          </xdr:nvSpPr>
          <xdr:spPr>
            <a:xfrm>
              <a:off x="2562284" y="35728214"/>
              <a:ext cx="141321" cy="2556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ko-KR" altLang="en-US" sz="1400" i="1">
                            <a:latin typeface="Cambria Math" panose="02040503050406030204" pitchFamily="18" charset="0"/>
                          </a:rPr>
                        </m:ctrlPr>
                      </m:accPr>
                      <m:e>
                        <m:r>
                          <a:rPr lang="en-US" altLang="ko-KR" sz="1400" b="0" i="1">
                            <a:latin typeface="Cambria Math" panose="02040503050406030204" pitchFamily="18" charset="0"/>
                          </a:rPr>
                          <m:t>𝑏</m:t>
                        </m:r>
                      </m:e>
                    </m:acc>
                  </m:oMath>
                </m:oMathPara>
              </a14:m>
              <a:endParaRPr lang="ko-KR" altLang="en-US" sz="1400"/>
            </a:p>
          </xdr:txBody>
        </xdr:sp>
      </mc:Choice>
      <mc:Fallback xmlns="">
        <xdr:sp macro="" textlink="">
          <xdr:nvSpPr>
            <xdr:cNvPr id="64" name="TextBox 63"/>
            <xdr:cNvSpPr txBox="1"/>
          </xdr:nvSpPr>
          <xdr:spPr>
            <a:xfrm>
              <a:off x="2562284" y="35728214"/>
              <a:ext cx="141321" cy="2556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altLang="ko-KR" sz="1400" b="0" i="0">
                  <a:latin typeface="Cambria Math" panose="02040503050406030204" pitchFamily="18" charset="0"/>
                </a:rPr>
                <a:t>𝑏</a:t>
              </a:r>
              <a:r>
                <a:rPr lang="ko-KR" altLang="en-US" sz="1400" b="0" i="0">
                  <a:latin typeface="Cambria Math" panose="02040503050406030204" pitchFamily="18" charset="0"/>
                </a:rPr>
                <a:t> ⃗</a:t>
              </a:r>
              <a:endParaRPr lang="ko-KR" altLang="en-US" sz="1400"/>
            </a:p>
          </xdr:txBody>
        </xdr:sp>
      </mc:Fallback>
    </mc:AlternateContent>
    <xdr:clientData/>
  </xdr:oneCellAnchor>
  <xdr:twoCellAnchor editAs="oneCell">
    <xdr:from>
      <xdr:col>1</xdr:col>
      <xdr:colOff>21981</xdr:colOff>
      <xdr:row>181</xdr:row>
      <xdr:rowOff>14653</xdr:rowOff>
    </xdr:from>
    <xdr:to>
      <xdr:col>20</xdr:col>
      <xdr:colOff>506582</xdr:colOff>
      <xdr:row>190</xdr:row>
      <xdr:rowOff>207645</xdr:rowOff>
    </xdr:to>
    <xdr:pic>
      <xdr:nvPicPr>
        <xdr:cNvPr id="27" name="그림 26"/>
        <xdr:cNvPicPr>
          <a:picLocks noChangeAspect="1"/>
        </xdr:cNvPicPr>
      </xdr:nvPicPr>
      <xdr:blipFill>
        <a:blip xmlns:r="http://schemas.openxmlformats.org/officeDocument/2006/relationships" r:embed="rId5"/>
        <a:stretch>
          <a:fillRect/>
        </a:stretch>
      </xdr:blipFill>
      <xdr:spPr>
        <a:xfrm>
          <a:off x="337039" y="38949922"/>
          <a:ext cx="7335274" cy="2105319"/>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9</xdr:col>
      <xdr:colOff>219075</xdr:colOff>
      <xdr:row>10</xdr:row>
      <xdr:rowOff>28575</xdr:rowOff>
    </xdr:from>
    <xdr:to>
      <xdr:col>9</xdr:col>
      <xdr:colOff>447675</xdr:colOff>
      <xdr:row>11</xdr:row>
      <xdr:rowOff>47625</xdr:rowOff>
    </xdr:to>
    <xdr:sp macro="" textlink="">
      <xdr:nvSpPr>
        <xdr:cNvPr id="2" name="타원 1"/>
        <xdr:cNvSpPr/>
      </xdr:nvSpPr>
      <xdr:spPr>
        <a:xfrm>
          <a:off x="6505575" y="19145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12</xdr:row>
      <xdr:rowOff>28575</xdr:rowOff>
    </xdr:from>
    <xdr:to>
      <xdr:col>9</xdr:col>
      <xdr:colOff>447675</xdr:colOff>
      <xdr:row>13</xdr:row>
      <xdr:rowOff>47625</xdr:rowOff>
    </xdr:to>
    <xdr:sp macro="" textlink="">
      <xdr:nvSpPr>
        <xdr:cNvPr id="3" name="타원 2"/>
        <xdr:cNvSpPr/>
      </xdr:nvSpPr>
      <xdr:spPr>
        <a:xfrm>
          <a:off x="6505575" y="235267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14</xdr:row>
      <xdr:rowOff>142875</xdr:rowOff>
    </xdr:from>
    <xdr:to>
      <xdr:col>9</xdr:col>
      <xdr:colOff>447675</xdr:colOff>
      <xdr:row>15</xdr:row>
      <xdr:rowOff>161925</xdr:rowOff>
    </xdr:to>
    <xdr:sp macro="" textlink="">
      <xdr:nvSpPr>
        <xdr:cNvPr id="4" name="타원 3"/>
        <xdr:cNvSpPr/>
      </xdr:nvSpPr>
      <xdr:spPr>
        <a:xfrm>
          <a:off x="6505575" y="29051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25</xdr:row>
      <xdr:rowOff>57150</xdr:rowOff>
    </xdr:from>
    <xdr:to>
      <xdr:col>9</xdr:col>
      <xdr:colOff>447675</xdr:colOff>
      <xdr:row>26</xdr:row>
      <xdr:rowOff>76200</xdr:rowOff>
    </xdr:to>
    <xdr:sp macro="" textlink="">
      <xdr:nvSpPr>
        <xdr:cNvPr id="5" name="타원 4"/>
        <xdr:cNvSpPr/>
      </xdr:nvSpPr>
      <xdr:spPr>
        <a:xfrm>
          <a:off x="6505575" y="5143500"/>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18</xdr:row>
      <xdr:rowOff>95250</xdr:rowOff>
    </xdr:from>
    <xdr:to>
      <xdr:col>9</xdr:col>
      <xdr:colOff>390525</xdr:colOff>
      <xdr:row>18</xdr:row>
      <xdr:rowOff>180975</xdr:rowOff>
    </xdr:to>
    <xdr:sp macro="" textlink="">
      <xdr:nvSpPr>
        <xdr:cNvPr id="6" name="타원 5"/>
        <xdr:cNvSpPr/>
      </xdr:nvSpPr>
      <xdr:spPr>
        <a:xfrm>
          <a:off x="6591300" y="3695700"/>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19</xdr:row>
      <xdr:rowOff>204107</xdr:rowOff>
    </xdr:from>
    <xdr:to>
      <xdr:col>9</xdr:col>
      <xdr:colOff>390525</xdr:colOff>
      <xdr:row>20</xdr:row>
      <xdr:rowOff>77561</xdr:rowOff>
    </xdr:to>
    <xdr:sp macro="" textlink="">
      <xdr:nvSpPr>
        <xdr:cNvPr id="7" name="타원 6"/>
        <xdr:cNvSpPr/>
      </xdr:nvSpPr>
      <xdr:spPr>
        <a:xfrm>
          <a:off x="6591300" y="4014107"/>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21</xdr:row>
      <xdr:rowOff>155122</xdr:rowOff>
    </xdr:from>
    <xdr:to>
      <xdr:col>9</xdr:col>
      <xdr:colOff>390525</xdr:colOff>
      <xdr:row>22</xdr:row>
      <xdr:rowOff>28576</xdr:rowOff>
    </xdr:to>
    <xdr:sp macro="" textlink="">
      <xdr:nvSpPr>
        <xdr:cNvPr id="8" name="타원 7"/>
        <xdr:cNvSpPr/>
      </xdr:nvSpPr>
      <xdr:spPr>
        <a:xfrm>
          <a:off x="6591300" y="4384222"/>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304800</xdr:colOff>
      <xdr:row>16</xdr:row>
      <xdr:rowOff>87923</xdr:rowOff>
    </xdr:from>
    <xdr:to>
      <xdr:col>7</xdr:col>
      <xdr:colOff>390525</xdr:colOff>
      <xdr:row>16</xdr:row>
      <xdr:rowOff>173648</xdr:rowOff>
    </xdr:to>
    <xdr:sp macro="" textlink="">
      <xdr:nvSpPr>
        <xdr:cNvPr id="9" name="타원 8"/>
        <xdr:cNvSpPr/>
      </xdr:nvSpPr>
      <xdr:spPr>
        <a:xfrm>
          <a:off x="5105400" y="3269273"/>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304800</xdr:colOff>
      <xdr:row>17</xdr:row>
      <xdr:rowOff>196780</xdr:rowOff>
    </xdr:from>
    <xdr:to>
      <xdr:col>7</xdr:col>
      <xdr:colOff>390525</xdr:colOff>
      <xdr:row>18</xdr:row>
      <xdr:rowOff>70233</xdr:rowOff>
    </xdr:to>
    <xdr:sp macro="" textlink="">
      <xdr:nvSpPr>
        <xdr:cNvPr id="10" name="타원 9"/>
        <xdr:cNvSpPr/>
      </xdr:nvSpPr>
      <xdr:spPr>
        <a:xfrm>
          <a:off x="5105400" y="3587680"/>
          <a:ext cx="85725" cy="83003"/>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304800</xdr:colOff>
      <xdr:row>19</xdr:row>
      <xdr:rowOff>147794</xdr:rowOff>
    </xdr:from>
    <xdr:to>
      <xdr:col>7</xdr:col>
      <xdr:colOff>390525</xdr:colOff>
      <xdr:row>20</xdr:row>
      <xdr:rowOff>21249</xdr:rowOff>
    </xdr:to>
    <xdr:sp macro="" textlink="">
      <xdr:nvSpPr>
        <xdr:cNvPr id="11" name="타원 10"/>
        <xdr:cNvSpPr/>
      </xdr:nvSpPr>
      <xdr:spPr>
        <a:xfrm>
          <a:off x="5105400" y="3957794"/>
          <a:ext cx="85725" cy="8300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216877</xdr:colOff>
      <xdr:row>16</xdr:row>
      <xdr:rowOff>117964</xdr:rowOff>
    </xdr:from>
    <xdr:to>
      <xdr:col>13</xdr:col>
      <xdr:colOff>445477</xdr:colOff>
      <xdr:row>17</xdr:row>
      <xdr:rowOff>137014</xdr:rowOff>
    </xdr:to>
    <xdr:sp macro="" textlink="">
      <xdr:nvSpPr>
        <xdr:cNvPr id="12" name="타원 11"/>
        <xdr:cNvSpPr/>
      </xdr:nvSpPr>
      <xdr:spPr>
        <a:xfrm>
          <a:off x="9280281" y="3334483"/>
          <a:ext cx="228600" cy="23153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0</xdr:col>
      <xdr:colOff>285750</xdr:colOff>
      <xdr:row>21</xdr:row>
      <xdr:rowOff>139212</xdr:rowOff>
    </xdr:from>
    <xdr:to>
      <xdr:col>0</xdr:col>
      <xdr:colOff>371475</xdr:colOff>
      <xdr:row>22</xdr:row>
      <xdr:rowOff>12456</xdr:rowOff>
    </xdr:to>
    <xdr:sp macro="" textlink="">
      <xdr:nvSpPr>
        <xdr:cNvPr id="23" name="타원 22"/>
        <xdr:cNvSpPr/>
      </xdr:nvSpPr>
      <xdr:spPr>
        <a:xfrm>
          <a:off x="285750" y="4368312"/>
          <a:ext cx="85725" cy="8279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0</xdr:col>
      <xdr:colOff>285750</xdr:colOff>
      <xdr:row>23</xdr:row>
      <xdr:rowOff>16538</xdr:rowOff>
    </xdr:from>
    <xdr:to>
      <xdr:col>0</xdr:col>
      <xdr:colOff>371475</xdr:colOff>
      <xdr:row>23</xdr:row>
      <xdr:rowOff>99541</xdr:rowOff>
    </xdr:to>
    <xdr:sp macro="" textlink="">
      <xdr:nvSpPr>
        <xdr:cNvPr id="24" name="타원 23"/>
        <xdr:cNvSpPr/>
      </xdr:nvSpPr>
      <xdr:spPr>
        <a:xfrm>
          <a:off x="285750" y="4683788"/>
          <a:ext cx="85725" cy="83003"/>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0</xdr:col>
      <xdr:colOff>285750</xdr:colOff>
      <xdr:row>24</xdr:row>
      <xdr:rowOff>180033</xdr:rowOff>
    </xdr:from>
    <xdr:to>
      <xdr:col>0</xdr:col>
      <xdr:colOff>371475</xdr:colOff>
      <xdr:row>25</xdr:row>
      <xdr:rowOff>50557</xdr:rowOff>
    </xdr:to>
    <xdr:sp macro="" textlink="">
      <xdr:nvSpPr>
        <xdr:cNvPr id="25" name="타원 24"/>
        <xdr:cNvSpPr/>
      </xdr:nvSpPr>
      <xdr:spPr>
        <a:xfrm>
          <a:off x="285750" y="5056833"/>
          <a:ext cx="85725" cy="8007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13</xdr:col>
      <xdr:colOff>76200</xdr:colOff>
      <xdr:row>7</xdr:row>
      <xdr:rowOff>28575</xdr:rowOff>
    </xdr:from>
    <xdr:to>
      <xdr:col>25</xdr:col>
      <xdr:colOff>67822</xdr:colOff>
      <xdr:row>10</xdr:row>
      <xdr:rowOff>162031</xdr:rowOff>
    </xdr:to>
    <xdr:pic>
      <xdr:nvPicPr>
        <xdr:cNvPr id="26" name="그림 25"/>
        <xdr:cNvPicPr>
          <a:picLocks noChangeAspect="1"/>
        </xdr:cNvPicPr>
      </xdr:nvPicPr>
      <xdr:blipFill>
        <a:blip xmlns:r="http://schemas.openxmlformats.org/officeDocument/2006/relationships" r:embed="rId1"/>
        <a:stretch>
          <a:fillRect/>
        </a:stretch>
      </xdr:blipFill>
      <xdr:spPr>
        <a:xfrm>
          <a:off x="8420100" y="1285875"/>
          <a:ext cx="8221222" cy="762106"/>
        </a:xfrm>
        <a:prstGeom prst="rect">
          <a:avLst/>
        </a:prstGeom>
      </xdr:spPr>
    </xdr:pic>
    <xdr:clientData/>
  </xdr:twoCellAnchor>
  <xdr:twoCellAnchor>
    <xdr:from>
      <xdr:col>7</xdr:col>
      <xdr:colOff>619125</xdr:colOff>
      <xdr:row>6</xdr:row>
      <xdr:rowOff>161925</xdr:rowOff>
    </xdr:from>
    <xdr:to>
      <xdr:col>8</xdr:col>
      <xdr:colOff>352425</xdr:colOff>
      <xdr:row>8</xdr:row>
      <xdr:rowOff>200025</xdr:rowOff>
    </xdr:to>
    <xdr:grpSp>
      <xdr:nvGrpSpPr>
        <xdr:cNvPr id="29" name="그룹 28"/>
        <xdr:cNvGrpSpPr/>
      </xdr:nvGrpSpPr>
      <xdr:grpSpPr>
        <a:xfrm>
          <a:off x="5419725" y="1419225"/>
          <a:ext cx="533400" cy="457200"/>
          <a:chOff x="5400675" y="1400175"/>
          <a:chExt cx="533400" cy="457200"/>
        </a:xfrm>
      </xdr:grpSpPr>
      <xdr:sp macro="" textlink="">
        <xdr:nvSpPr>
          <xdr:cNvPr id="30" name="타원 29"/>
          <xdr:cNvSpPr/>
        </xdr:nvSpPr>
        <xdr:spPr>
          <a:xfrm>
            <a:off x="5400675" y="1400175"/>
            <a:ext cx="457200" cy="457200"/>
          </a:xfrm>
          <a:prstGeom prst="ellipse">
            <a:avLst/>
          </a:prstGeom>
          <a:solidFill>
            <a:srgbClr val="FFC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31" name="TextBox 30"/>
          <xdr:cNvSpPr txBox="1"/>
        </xdr:nvSpPr>
        <xdr:spPr>
          <a:xfrm>
            <a:off x="5429250" y="1495425"/>
            <a:ext cx="50482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solidFill>
                  <a:srgbClr val="FF0000"/>
                </a:solidFill>
              </a:rPr>
              <a:t>bias1</a:t>
            </a:r>
          </a:p>
          <a:p>
            <a:endParaRPr lang="ko-KR" altLang="en-US" sz="1100"/>
          </a:p>
        </xdr:txBody>
      </xdr:sp>
    </xdr:grpSp>
    <xdr:clientData/>
  </xdr:twoCellAnchor>
  <xdr:twoCellAnchor>
    <xdr:from>
      <xdr:col>10</xdr:col>
      <xdr:colOff>333375</xdr:colOff>
      <xdr:row>7</xdr:row>
      <xdr:rowOff>123825</xdr:rowOff>
    </xdr:from>
    <xdr:to>
      <xdr:col>11</xdr:col>
      <xdr:colOff>342900</xdr:colOff>
      <xdr:row>10</xdr:row>
      <xdr:rowOff>85725</xdr:rowOff>
    </xdr:to>
    <xdr:grpSp>
      <xdr:nvGrpSpPr>
        <xdr:cNvPr id="36" name="그룹 35"/>
        <xdr:cNvGrpSpPr/>
      </xdr:nvGrpSpPr>
      <xdr:grpSpPr>
        <a:xfrm>
          <a:off x="7305675" y="1590675"/>
          <a:ext cx="695325" cy="590550"/>
          <a:chOff x="5400675" y="1400175"/>
          <a:chExt cx="552450" cy="457200"/>
        </a:xfrm>
      </xdr:grpSpPr>
      <xdr:sp macro="" textlink="">
        <xdr:nvSpPr>
          <xdr:cNvPr id="37" name="타원 36"/>
          <xdr:cNvSpPr/>
        </xdr:nvSpPr>
        <xdr:spPr>
          <a:xfrm>
            <a:off x="5400675" y="1400175"/>
            <a:ext cx="457200" cy="457200"/>
          </a:xfrm>
          <a:prstGeom prst="ellipse">
            <a:avLst/>
          </a:prstGeom>
          <a:solidFill>
            <a:srgbClr val="FFC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38" name="TextBox 37"/>
          <xdr:cNvSpPr txBox="1"/>
        </xdr:nvSpPr>
        <xdr:spPr>
          <a:xfrm>
            <a:off x="5429250" y="1495425"/>
            <a:ext cx="5238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solidFill>
                  <a:srgbClr val="FF0000"/>
                </a:solidFill>
              </a:rPr>
              <a:t>bias2</a:t>
            </a:r>
          </a:p>
          <a:p>
            <a:endParaRPr lang="ko-KR" altLang="en-US" sz="1100"/>
          </a:p>
        </xdr:txBody>
      </xdr:sp>
    </xdr:grpSp>
    <xdr:clientData/>
  </xdr:twoCellAnchor>
  <xdr:twoCellAnchor>
    <xdr:from>
      <xdr:col>11</xdr:col>
      <xdr:colOff>219075</xdr:colOff>
      <xdr:row>11</xdr:row>
      <xdr:rowOff>28575</xdr:rowOff>
    </xdr:from>
    <xdr:to>
      <xdr:col>11</xdr:col>
      <xdr:colOff>447675</xdr:colOff>
      <xdr:row>12</xdr:row>
      <xdr:rowOff>47625</xdr:rowOff>
    </xdr:to>
    <xdr:sp macro="" textlink="">
      <xdr:nvSpPr>
        <xdr:cNvPr id="39" name="타원 38"/>
        <xdr:cNvSpPr/>
      </xdr:nvSpPr>
      <xdr:spPr>
        <a:xfrm>
          <a:off x="6505575" y="19145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219075</xdr:colOff>
      <xdr:row>13</xdr:row>
      <xdr:rowOff>28575</xdr:rowOff>
    </xdr:from>
    <xdr:to>
      <xdr:col>11</xdr:col>
      <xdr:colOff>447675</xdr:colOff>
      <xdr:row>14</xdr:row>
      <xdr:rowOff>47625</xdr:rowOff>
    </xdr:to>
    <xdr:sp macro="" textlink="">
      <xdr:nvSpPr>
        <xdr:cNvPr id="40" name="타원 39"/>
        <xdr:cNvSpPr/>
      </xdr:nvSpPr>
      <xdr:spPr>
        <a:xfrm>
          <a:off x="6505575" y="235267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219075</xdr:colOff>
      <xdr:row>15</xdr:row>
      <xdr:rowOff>142875</xdr:rowOff>
    </xdr:from>
    <xdr:to>
      <xdr:col>11</xdr:col>
      <xdr:colOff>447675</xdr:colOff>
      <xdr:row>16</xdr:row>
      <xdr:rowOff>161925</xdr:rowOff>
    </xdr:to>
    <xdr:sp macro="" textlink="">
      <xdr:nvSpPr>
        <xdr:cNvPr id="41" name="타원 40"/>
        <xdr:cNvSpPr/>
      </xdr:nvSpPr>
      <xdr:spPr>
        <a:xfrm>
          <a:off x="6505575" y="29051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304800</xdr:colOff>
      <xdr:row>19</xdr:row>
      <xdr:rowOff>95250</xdr:rowOff>
    </xdr:from>
    <xdr:to>
      <xdr:col>11</xdr:col>
      <xdr:colOff>390525</xdr:colOff>
      <xdr:row>19</xdr:row>
      <xdr:rowOff>180975</xdr:rowOff>
    </xdr:to>
    <xdr:sp macro="" textlink="">
      <xdr:nvSpPr>
        <xdr:cNvPr id="42" name="타원 41"/>
        <xdr:cNvSpPr/>
      </xdr:nvSpPr>
      <xdr:spPr>
        <a:xfrm>
          <a:off x="6591300" y="3695700"/>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304800</xdr:colOff>
      <xdr:row>20</xdr:row>
      <xdr:rowOff>204107</xdr:rowOff>
    </xdr:from>
    <xdr:to>
      <xdr:col>11</xdr:col>
      <xdr:colOff>390525</xdr:colOff>
      <xdr:row>21</xdr:row>
      <xdr:rowOff>77561</xdr:rowOff>
    </xdr:to>
    <xdr:sp macro="" textlink="">
      <xdr:nvSpPr>
        <xdr:cNvPr id="43" name="타원 42"/>
        <xdr:cNvSpPr/>
      </xdr:nvSpPr>
      <xdr:spPr>
        <a:xfrm>
          <a:off x="6591300" y="4014107"/>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304800</xdr:colOff>
      <xdr:row>22</xdr:row>
      <xdr:rowOff>86876</xdr:rowOff>
    </xdr:from>
    <xdr:to>
      <xdr:col>11</xdr:col>
      <xdr:colOff>390525</xdr:colOff>
      <xdr:row>22</xdr:row>
      <xdr:rowOff>172811</xdr:rowOff>
    </xdr:to>
    <xdr:sp macro="" textlink="">
      <xdr:nvSpPr>
        <xdr:cNvPr id="46" name="타원 45"/>
        <xdr:cNvSpPr/>
      </xdr:nvSpPr>
      <xdr:spPr>
        <a:xfrm>
          <a:off x="7990742" y="4578280"/>
          <a:ext cx="85725" cy="8593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234462</xdr:colOff>
      <xdr:row>23</xdr:row>
      <xdr:rowOff>131885</xdr:rowOff>
    </xdr:from>
    <xdr:to>
      <xdr:col>11</xdr:col>
      <xdr:colOff>463062</xdr:colOff>
      <xdr:row>24</xdr:row>
      <xdr:rowOff>150935</xdr:rowOff>
    </xdr:to>
    <xdr:sp macro="" textlink="">
      <xdr:nvSpPr>
        <xdr:cNvPr id="48" name="타원 47"/>
        <xdr:cNvSpPr/>
      </xdr:nvSpPr>
      <xdr:spPr>
        <a:xfrm>
          <a:off x="7920404" y="4850423"/>
          <a:ext cx="228600" cy="23153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14</xdr:col>
      <xdr:colOff>152400</xdr:colOff>
      <xdr:row>27</xdr:row>
      <xdr:rowOff>104776</xdr:rowOff>
    </xdr:from>
    <xdr:to>
      <xdr:col>22</xdr:col>
      <xdr:colOff>209550</xdr:colOff>
      <xdr:row>44</xdr:row>
      <xdr:rowOff>128992</xdr:rowOff>
    </xdr:to>
    <xdr:pic>
      <xdr:nvPicPr>
        <xdr:cNvPr id="49" name="그림 48"/>
        <xdr:cNvPicPr>
          <a:picLocks noChangeAspect="1"/>
        </xdr:cNvPicPr>
      </xdr:nvPicPr>
      <xdr:blipFill>
        <a:blip xmlns:r="http://schemas.openxmlformats.org/officeDocument/2006/relationships" r:embed="rId2"/>
        <a:stretch>
          <a:fillRect/>
        </a:stretch>
      </xdr:blipFill>
      <xdr:spPr>
        <a:xfrm>
          <a:off x="9867900" y="5610226"/>
          <a:ext cx="5543550" cy="3586566"/>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9</xdr:col>
      <xdr:colOff>219075</xdr:colOff>
      <xdr:row>10</xdr:row>
      <xdr:rowOff>28575</xdr:rowOff>
    </xdr:from>
    <xdr:to>
      <xdr:col>9</xdr:col>
      <xdr:colOff>447675</xdr:colOff>
      <xdr:row>11</xdr:row>
      <xdr:rowOff>47625</xdr:rowOff>
    </xdr:to>
    <xdr:sp macro="" textlink="">
      <xdr:nvSpPr>
        <xdr:cNvPr id="2" name="타원 1"/>
        <xdr:cNvSpPr/>
      </xdr:nvSpPr>
      <xdr:spPr>
        <a:xfrm>
          <a:off x="6505575" y="19145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12</xdr:row>
      <xdr:rowOff>28575</xdr:rowOff>
    </xdr:from>
    <xdr:to>
      <xdr:col>9</xdr:col>
      <xdr:colOff>447675</xdr:colOff>
      <xdr:row>13</xdr:row>
      <xdr:rowOff>47625</xdr:rowOff>
    </xdr:to>
    <xdr:sp macro="" textlink="">
      <xdr:nvSpPr>
        <xdr:cNvPr id="3" name="타원 2"/>
        <xdr:cNvSpPr/>
      </xdr:nvSpPr>
      <xdr:spPr>
        <a:xfrm>
          <a:off x="6505575" y="235267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14</xdr:row>
      <xdr:rowOff>142875</xdr:rowOff>
    </xdr:from>
    <xdr:to>
      <xdr:col>9</xdr:col>
      <xdr:colOff>447675</xdr:colOff>
      <xdr:row>15</xdr:row>
      <xdr:rowOff>161925</xdr:rowOff>
    </xdr:to>
    <xdr:sp macro="" textlink="">
      <xdr:nvSpPr>
        <xdr:cNvPr id="4" name="타원 3"/>
        <xdr:cNvSpPr/>
      </xdr:nvSpPr>
      <xdr:spPr>
        <a:xfrm>
          <a:off x="6505575" y="29051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25</xdr:row>
      <xdr:rowOff>57150</xdr:rowOff>
    </xdr:from>
    <xdr:to>
      <xdr:col>9</xdr:col>
      <xdr:colOff>447675</xdr:colOff>
      <xdr:row>26</xdr:row>
      <xdr:rowOff>76200</xdr:rowOff>
    </xdr:to>
    <xdr:sp macro="" textlink="">
      <xdr:nvSpPr>
        <xdr:cNvPr id="5" name="타원 4"/>
        <xdr:cNvSpPr/>
      </xdr:nvSpPr>
      <xdr:spPr>
        <a:xfrm>
          <a:off x="6505575" y="5143500"/>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18</xdr:row>
      <xdr:rowOff>95250</xdr:rowOff>
    </xdr:from>
    <xdr:to>
      <xdr:col>9</xdr:col>
      <xdr:colOff>390525</xdr:colOff>
      <xdr:row>18</xdr:row>
      <xdr:rowOff>180975</xdr:rowOff>
    </xdr:to>
    <xdr:sp macro="" textlink="">
      <xdr:nvSpPr>
        <xdr:cNvPr id="6" name="타원 5"/>
        <xdr:cNvSpPr/>
      </xdr:nvSpPr>
      <xdr:spPr>
        <a:xfrm>
          <a:off x="6591300" y="3695700"/>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19</xdr:row>
      <xdr:rowOff>204107</xdr:rowOff>
    </xdr:from>
    <xdr:to>
      <xdr:col>9</xdr:col>
      <xdr:colOff>390525</xdr:colOff>
      <xdr:row>20</xdr:row>
      <xdr:rowOff>77561</xdr:rowOff>
    </xdr:to>
    <xdr:sp macro="" textlink="">
      <xdr:nvSpPr>
        <xdr:cNvPr id="7" name="타원 6"/>
        <xdr:cNvSpPr/>
      </xdr:nvSpPr>
      <xdr:spPr>
        <a:xfrm>
          <a:off x="6591300" y="4014107"/>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21</xdr:row>
      <xdr:rowOff>155122</xdr:rowOff>
    </xdr:from>
    <xdr:to>
      <xdr:col>9</xdr:col>
      <xdr:colOff>390525</xdr:colOff>
      <xdr:row>22</xdr:row>
      <xdr:rowOff>28576</xdr:rowOff>
    </xdr:to>
    <xdr:sp macro="" textlink="">
      <xdr:nvSpPr>
        <xdr:cNvPr id="8" name="타원 7"/>
        <xdr:cNvSpPr/>
      </xdr:nvSpPr>
      <xdr:spPr>
        <a:xfrm>
          <a:off x="6591300" y="4384222"/>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264502</xdr:colOff>
      <xdr:row>16</xdr:row>
      <xdr:rowOff>32239</xdr:rowOff>
    </xdr:from>
    <xdr:to>
      <xdr:col>13</xdr:col>
      <xdr:colOff>493102</xdr:colOff>
      <xdr:row>17</xdr:row>
      <xdr:rowOff>51289</xdr:rowOff>
    </xdr:to>
    <xdr:sp macro="" textlink="">
      <xdr:nvSpPr>
        <xdr:cNvPr id="12" name="타원 11"/>
        <xdr:cNvSpPr/>
      </xdr:nvSpPr>
      <xdr:spPr>
        <a:xfrm>
          <a:off x="9294202" y="3423139"/>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13</xdr:col>
      <xdr:colOff>76200</xdr:colOff>
      <xdr:row>7</xdr:row>
      <xdr:rowOff>28575</xdr:rowOff>
    </xdr:from>
    <xdr:to>
      <xdr:col>25</xdr:col>
      <xdr:colOff>67822</xdr:colOff>
      <xdr:row>10</xdr:row>
      <xdr:rowOff>162031</xdr:rowOff>
    </xdr:to>
    <xdr:pic>
      <xdr:nvPicPr>
        <xdr:cNvPr id="16" name="그림 15"/>
        <xdr:cNvPicPr>
          <a:picLocks noChangeAspect="1"/>
        </xdr:cNvPicPr>
      </xdr:nvPicPr>
      <xdr:blipFill>
        <a:blip xmlns:r="http://schemas.openxmlformats.org/officeDocument/2006/relationships" r:embed="rId1"/>
        <a:stretch>
          <a:fillRect/>
        </a:stretch>
      </xdr:blipFill>
      <xdr:spPr>
        <a:xfrm>
          <a:off x="9105900" y="1285875"/>
          <a:ext cx="8221222" cy="762106"/>
        </a:xfrm>
        <a:prstGeom prst="rect">
          <a:avLst/>
        </a:prstGeom>
      </xdr:spPr>
    </xdr:pic>
    <xdr:clientData/>
  </xdr:twoCellAnchor>
  <xdr:twoCellAnchor>
    <xdr:from>
      <xdr:col>7</xdr:col>
      <xdr:colOff>619125</xdr:colOff>
      <xdr:row>6</xdr:row>
      <xdr:rowOff>161925</xdr:rowOff>
    </xdr:from>
    <xdr:to>
      <xdr:col>8</xdr:col>
      <xdr:colOff>352425</xdr:colOff>
      <xdr:row>8</xdr:row>
      <xdr:rowOff>200025</xdr:rowOff>
    </xdr:to>
    <xdr:grpSp>
      <xdr:nvGrpSpPr>
        <xdr:cNvPr id="17" name="그룹 16"/>
        <xdr:cNvGrpSpPr/>
      </xdr:nvGrpSpPr>
      <xdr:grpSpPr>
        <a:xfrm>
          <a:off x="5419725" y="1419225"/>
          <a:ext cx="533400" cy="457200"/>
          <a:chOff x="5400675" y="1400175"/>
          <a:chExt cx="533400" cy="457200"/>
        </a:xfrm>
      </xdr:grpSpPr>
      <xdr:sp macro="" textlink="">
        <xdr:nvSpPr>
          <xdr:cNvPr id="18" name="타원 17"/>
          <xdr:cNvSpPr/>
        </xdr:nvSpPr>
        <xdr:spPr>
          <a:xfrm>
            <a:off x="5400675" y="1400175"/>
            <a:ext cx="457200" cy="457200"/>
          </a:xfrm>
          <a:prstGeom prst="ellipse">
            <a:avLst/>
          </a:prstGeom>
          <a:solidFill>
            <a:srgbClr val="FFC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19" name="TextBox 18"/>
          <xdr:cNvSpPr txBox="1"/>
        </xdr:nvSpPr>
        <xdr:spPr>
          <a:xfrm>
            <a:off x="5429250" y="1495425"/>
            <a:ext cx="50482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solidFill>
                  <a:srgbClr val="FF0000"/>
                </a:solidFill>
              </a:rPr>
              <a:t>bias1</a:t>
            </a:r>
          </a:p>
          <a:p>
            <a:endParaRPr lang="ko-KR" altLang="en-US" sz="1100"/>
          </a:p>
        </xdr:txBody>
      </xdr:sp>
    </xdr:grpSp>
    <xdr:clientData/>
  </xdr:twoCellAnchor>
  <xdr:twoCellAnchor>
    <xdr:from>
      <xdr:col>10</xdr:col>
      <xdr:colOff>333375</xdr:colOff>
      <xdr:row>7</xdr:row>
      <xdr:rowOff>123825</xdr:rowOff>
    </xdr:from>
    <xdr:to>
      <xdr:col>11</xdr:col>
      <xdr:colOff>342900</xdr:colOff>
      <xdr:row>10</xdr:row>
      <xdr:rowOff>85725</xdr:rowOff>
    </xdr:to>
    <xdr:grpSp>
      <xdr:nvGrpSpPr>
        <xdr:cNvPr id="20" name="그룹 19"/>
        <xdr:cNvGrpSpPr/>
      </xdr:nvGrpSpPr>
      <xdr:grpSpPr>
        <a:xfrm>
          <a:off x="7305675" y="1590675"/>
          <a:ext cx="695325" cy="590550"/>
          <a:chOff x="5400675" y="1400175"/>
          <a:chExt cx="552450" cy="457200"/>
        </a:xfrm>
      </xdr:grpSpPr>
      <xdr:sp macro="" textlink="">
        <xdr:nvSpPr>
          <xdr:cNvPr id="21" name="타원 20"/>
          <xdr:cNvSpPr/>
        </xdr:nvSpPr>
        <xdr:spPr>
          <a:xfrm>
            <a:off x="5400675" y="1400175"/>
            <a:ext cx="457200" cy="457200"/>
          </a:xfrm>
          <a:prstGeom prst="ellipse">
            <a:avLst/>
          </a:prstGeom>
          <a:solidFill>
            <a:srgbClr val="FFC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22" name="TextBox 21"/>
          <xdr:cNvSpPr txBox="1"/>
        </xdr:nvSpPr>
        <xdr:spPr>
          <a:xfrm>
            <a:off x="5429250" y="1495425"/>
            <a:ext cx="5238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solidFill>
                  <a:srgbClr val="FF0000"/>
                </a:solidFill>
              </a:rPr>
              <a:t>bias2</a:t>
            </a:r>
          </a:p>
          <a:p>
            <a:endParaRPr lang="ko-KR" altLang="en-US" sz="1100"/>
          </a:p>
        </xdr:txBody>
      </xdr:sp>
    </xdr:grpSp>
    <xdr:clientData/>
  </xdr:twoCellAnchor>
  <xdr:twoCellAnchor>
    <xdr:from>
      <xdr:col>11</xdr:col>
      <xdr:colOff>219075</xdr:colOff>
      <xdr:row>11</xdr:row>
      <xdr:rowOff>28575</xdr:rowOff>
    </xdr:from>
    <xdr:to>
      <xdr:col>11</xdr:col>
      <xdr:colOff>447675</xdr:colOff>
      <xdr:row>12</xdr:row>
      <xdr:rowOff>47625</xdr:rowOff>
    </xdr:to>
    <xdr:sp macro="" textlink="">
      <xdr:nvSpPr>
        <xdr:cNvPr id="23" name="타원 22"/>
        <xdr:cNvSpPr/>
      </xdr:nvSpPr>
      <xdr:spPr>
        <a:xfrm>
          <a:off x="7877175" y="2124075"/>
          <a:ext cx="228600" cy="2476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219075</xdr:colOff>
      <xdr:row>13</xdr:row>
      <xdr:rowOff>28575</xdr:rowOff>
    </xdr:from>
    <xdr:to>
      <xdr:col>11</xdr:col>
      <xdr:colOff>447675</xdr:colOff>
      <xdr:row>14</xdr:row>
      <xdr:rowOff>47625</xdr:rowOff>
    </xdr:to>
    <xdr:sp macro="" textlink="">
      <xdr:nvSpPr>
        <xdr:cNvPr id="24" name="타원 23"/>
        <xdr:cNvSpPr/>
      </xdr:nvSpPr>
      <xdr:spPr>
        <a:xfrm>
          <a:off x="7877175" y="2562225"/>
          <a:ext cx="228600" cy="2476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219075</xdr:colOff>
      <xdr:row>15</xdr:row>
      <xdr:rowOff>142875</xdr:rowOff>
    </xdr:from>
    <xdr:to>
      <xdr:col>11</xdr:col>
      <xdr:colOff>447675</xdr:colOff>
      <xdr:row>16</xdr:row>
      <xdr:rowOff>161925</xdr:rowOff>
    </xdr:to>
    <xdr:sp macro="" textlink="">
      <xdr:nvSpPr>
        <xdr:cNvPr id="25" name="타원 24"/>
        <xdr:cNvSpPr/>
      </xdr:nvSpPr>
      <xdr:spPr>
        <a:xfrm>
          <a:off x="7877175" y="311467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304800</xdr:colOff>
      <xdr:row>19</xdr:row>
      <xdr:rowOff>95250</xdr:rowOff>
    </xdr:from>
    <xdr:to>
      <xdr:col>11</xdr:col>
      <xdr:colOff>390525</xdr:colOff>
      <xdr:row>19</xdr:row>
      <xdr:rowOff>180975</xdr:rowOff>
    </xdr:to>
    <xdr:sp macro="" textlink="">
      <xdr:nvSpPr>
        <xdr:cNvPr id="26" name="타원 25"/>
        <xdr:cNvSpPr/>
      </xdr:nvSpPr>
      <xdr:spPr>
        <a:xfrm>
          <a:off x="7962900" y="3905250"/>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304800</xdr:colOff>
      <xdr:row>20</xdr:row>
      <xdr:rowOff>204107</xdr:rowOff>
    </xdr:from>
    <xdr:to>
      <xdr:col>11</xdr:col>
      <xdr:colOff>390525</xdr:colOff>
      <xdr:row>21</xdr:row>
      <xdr:rowOff>77561</xdr:rowOff>
    </xdr:to>
    <xdr:sp macro="" textlink="">
      <xdr:nvSpPr>
        <xdr:cNvPr id="27" name="타원 26"/>
        <xdr:cNvSpPr/>
      </xdr:nvSpPr>
      <xdr:spPr>
        <a:xfrm>
          <a:off x="7962900" y="4223657"/>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304800</xdr:colOff>
      <xdr:row>22</xdr:row>
      <xdr:rowOff>86876</xdr:rowOff>
    </xdr:from>
    <xdr:to>
      <xdr:col>11</xdr:col>
      <xdr:colOff>390525</xdr:colOff>
      <xdr:row>22</xdr:row>
      <xdr:rowOff>172811</xdr:rowOff>
    </xdr:to>
    <xdr:sp macro="" textlink="">
      <xdr:nvSpPr>
        <xdr:cNvPr id="28" name="타원 27"/>
        <xdr:cNvSpPr/>
      </xdr:nvSpPr>
      <xdr:spPr>
        <a:xfrm>
          <a:off x="7962900" y="4525526"/>
          <a:ext cx="85725" cy="8593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234462</xdr:colOff>
      <xdr:row>23</xdr:row>
      <xdr:rowOff>131885</xdr:rowOff>
    </xdr:from>
    <xdr:to>
      <xdr:col>11</xdr:col>
      <xdr:colOff>463062</xdr:colOff>
      <xdr:row>24</xdr:row>
      <xdr:rowOff>150935</xdr:rowOff>
    </xdr:to>
    <xdr:sp macro="" textlink="">
      <xdr:nvSpPr>
        <xdr:cNvPr id="29" name="타원 28"/>
        <xdr:cNvSpPr/>
      </xdr:nvSpPr>
      <xdr:spPr>
        <a:xfrm>
          <a:off x="7892562" y="479913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264502</xdr:colOff>
      <xdr:row>17</xdr:row>
      <xdr:rowOff>98914</xdr:rowOff>
    </xdr:from>
    <xdr:to>
      <xdr:col>13</xdr:col>
      <xdr:colOff>493102</xdr:colOff>
      <xdr:row>18</xdr:row>
      <xdr:rowOff>98914</xdr:rowOff>
    </xdr:to>
    <xdr:sp macro="" textlink="">
      <xdr:nvSpPr>
        <xdr:cNvPr id="33" name="타원 32"/>
        <xdr:cNvSpPr/>
      </xdr:nvSpPr>
      <xdr:spPr>
        <a:xfrm>
          <a:off x="9294202" y="3699364"/>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264502</xdr:colOff>
      <xdr:row>18</xdr:row>
      <xdr:rowOff>156064</xdr:rowOff>
    </xdr:from>
    <xdr:to>
      <xdr:col>13</xdr:col>
      <xdr:colOff>493102</xdr:colOff>
      <xdr:row>19</xdr:row>
      <xdr:rowOff>175114</xdr:rowOff>
    </xdr:to>
    <xdr:sp macro="" textlink="">
      <xdr:nvSpPr>
        <xdr:cNvPr id="34" name="타원 33"/>
        <xdr:cNvSpPr/>
      </xdr:nvSpPr>
      <xdr:spPr>
        <a:xfrm>
          <a:off x="9294202" y="3985114"/>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9</xdr:col>
      <xdr:colOff>219075</xdr:colOff>
      <xdr:row>10</xdr:row>
      <xdr:rowOff>28575</xdr:rowOff>
    </xdr:from>
    <xdr:to>
      <xdr:col>9</xdr:col>
      <xdr:colOff>447675</xdr:colOff>
      <xdr:row>11</xdr:row>
      <xdr:rowOff>47625</xdr:rowOff>
    </xdr:to>
    <xdr:sp macro="" textlink="">
      <xdr:nvSpPr>
        <xdr:cNvPr id="2" name="타원 1"/>
        <xdr:cNvSpPr/>
      </xdr:nvSpPr>
      <xdr:spPr>
        <a:xfrm>
          <a:off x="6505575" y="212407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12</xdr:row>
      <xdr:rowOff>28575</xdr:rowOff>
    </xdr:from>
    <xdr:to>
      <xdr:col>9</xdr:col>
      <xdr:colOff>447675</xdr:colOff>
      <xdr:row>13</xdr:row>
      <xdr:rowOff>47625</xdr:rowOff>
    </xdr:to>
    <xdr:sp macro="" textlink="">
      <xdr:nvSpPr>
        <xdr:cNvPr id="3" name="타원 2"/>
        <xdr:cNvSpPr/>
      </xdr:nvSpPr>
      <xdr:spPr>
        <a:xfrm>
          <a:off x="6505575" y="254317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14</xdr:row>
      <xdr:rowOff>142875</xdr:rowOff>
    </xdr:from>
    <xdr:to>
      <xdr:col>9</xdr:col>
      <xdr:colOff>447675</xdr:colOff>
      <xdr:row>15</xdr:row>
      <xdr:rowOff>161925</xdr:rowOff>
    </xdr:to>
    <xdr:sp macro="" textlink="">
      <xdr:nvSpPr>
        <xdr:cNvPr id="4" name="타원 3"/>
        <xdr:cNvSpPr/>
      </xdr:nvSpPr>
      <xdr:spPr>
        <a:xfrm>
          <a:off x="6505575" y="30956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25</xdr:row>
      <xdr:rowOff>57150</xdr:rowOff>
    </xdr:from>
    <xdr:to>
      <xdr:col>9</xdr:col>
      <xdr:colOff>447675</xdr:colOff>
      <xdr:row>26</xdr:row>
      <xdr:rowOff>76200</xdr:rowOff>
    </xdr:to>
    <xdr:sp macro="" textlink="">
      <xdr:nvSpPr>
        <xdr:cNvPr id="5" name="타원 4"/>
        <xdr:cNvSpPr/>
      </xdr:nvSpPr>
      <xdr:spPr>
        <a:xfrm>
          <a:off x="6505575" y="5372100"/>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18</xdr:row>
      <xdr:rowOff>95250</xdr:rowOff>
    </xdr:from>
    <xdr:to>
      <xdr:col>9</xdr:col>
      <xdr:colOff>390525</xdr:colOff>
      <xdr:row>18</xdr:row>
      <xdr:rowOff>180975</xdr:rowOff>
    </xdr:to>
    <xdr:sp macro="" textlink="">
      <xdr:nvSpPr>
        <xdr:cNvPr id="6" name="타원 5"/>
        <xdr:cNvSpPr/>
      </xdr:nvSpPr>
      <xdr:spPr>
        <a:xfrm>
          <a:off x="6591300" y="3924300"/>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19</xdr:row>
      <xdr:rowOff>204107</xdr:rowOff>
    </xdr:from>
    <xdr:to>
      <xdr:col>9</xdr:col>
      <xdr:colOff>390525</xdr:colOff>
      <xdr:row>20</xdr:row>
      <xdr:rowOff>77561</xdr:rowOff>
    </xdr:to>
    <xdr:sp macro="" textlink="">
      <xdr:nvSpPr>
        <xdr:cNvPr id="7" name="타원 6"/>
        <xdr:cNvSpPr/>
      </xdr:nvSpPr>
      <xdr:spPr>
        <a:xfrm>
          <a:off x="6591300" y="4242707"/>
          <a:ext cx="85725" cy="10205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21</xdr:row>
      <xdr:rowOff>155122</xdr:rowOff>
    </xdr:from>
    <xdr:to>
      <xdr:col>9</xdr:col>
      <xdr:colOff>390525</xdr:colOff>
      <xdr:row>22</xdr:row>
      <xdr:rowOff>28576</xdr:rowOff>
    </xdr:to>
    <xdr:sp macro="" textlink="">
      <xdr:nvSpPr>
        <xdr:cNvPr id="8" name="타원 7"/>
        <xdr:cNvSpPr/>
      </xdr:nvSpPr>
      <xdr:spPr>
        <a:xfrm>
          <a:off x="6591300" y="4631872"/>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264502</xdr:colOff>
      <xdr:row>16</xdr:row>
      <xdr:rowOff>32239</xdr:rowOff>
    </xdr:from>
    <xdr:to>
      <xdr:col>13</xdr:col>
      <xdr:colOff>493102</xdr:colOff>
      <xdr:row>17</xdr:row>
      <xdr:rowOff>51289</xdr:rowOff>
    </xdr:to>
    <xdr:sp macro="" textlink="">
      <xdr:nvSpPr>
        <xdr:cNvPr id="9" name="타원 8"/>
        <xdr:cNvSpPr/>
      </xdr:nvSpPr>
      <xdr:spPr>
        <a:xfrm>
          <a:off x="9294202" y="3423139"/>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13</xdr:col>
      <xdr:colOff>76200</xdr:colOff>
      <xdr:row>7</xdr:row>
      <xdr:rowOff>28575</xdr:rowOff>
    </xdr:from>
    <xdr:to>
      <xdr:col>25</xdr:col>
      <xdr:colOff>67822</xdr:colOff>
      <xdr:row>10</xdr:row>
      <xdr:rowOff>162031</xdr:rowOff>
    </xdr:to>
    <xdr:pic>
      <xdr:nvPicPr>
        <xdr:cNvPr id="10" name="그림 9"/>
        <xdr:cNvPicPr>
          <a:picLocks noChangeAspect="1"/>
        </xdr:cNvPicPr>
      </xdr:nvPicPr>
      <xdr:blipFill>
        <a:blip xmlns:r="http://schemas.openxmlformats.org/officeDocument/2006/relationships" r:embed="rId1"/>
        <a:stretch>
          <a:fillRect/>
        </a:stretch>
      </xdr:blipFill>
      <xdr:spPr>
        <a:xfrm>
          <a:off x="9105900" y="1495425"/>
          <a:ext cx="8221222" cy="762106"/>
        </a:xfrm>
        <a:prstGeom prst="rect">
          <a:avLst/>
        </a:prstGeom>
      </xdr:spPr>
    </xdr:pic>
    <xdr:clientData/>
  </xdr:twoCellAnchor>
  <xdr:twoCellAnchor>
    <xdr:from>
      <xdr:col>7</xdr:col>
      <xdr:colOff>619125</xdr:colOff>
      <xdr:row>6</xdr:row>
      <xdr:rowOff>161925</xdr:rowOff>
    </xdr:from>
    <xdr:to>
      <xdr:col>8</xdr:col>
      <xdr:colOff>352425</xdr:colOff>
      <xdr:row>8</xdr:row>
      <xdr:rowOff>200025</xdr:rowOff>
    </xdr:to>
    <xdr:grpSp>
      <xdr:nvGrpSpPr>
        <xdr:cNvPr id="11" name="그룹 10"/>
        <xdr:cNvGrpSpPr/>
      </xdr:nvGrpSpPr>
      <xdr:grpSpPr>
        <a:xfrm>
          <a:off x="5419725" y="1419225"/>
          <a:ext cx="533400" cy="457200"/>
          <a:chOff x="5400675" y="1400175"/>
          <a:chExt cx="533400" cy="457200"/>
        </a:xfrm>
      </xdr:grpSpPr>
      <xdr:sp macro="" textlink="">
        <xdr:nvSpPr>
          <xdr:cNvPr id="12" name="타원 11"/>
          <xdr:cNvSpPr/>
        </xdr:nvSpPr>
        <xdr:spPr>
          <a:xfrm>
            <a:off x="5400675" y="1400175"/>
            <a:ext cx="457200" cy="457200"/>
          </a:xfrm>
          <a:prstGeom prst="ellipse">
            <a:avLst/>
          </a:prstGeom>
          <a:solidFill>
            <a:srgbClr val="FFC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13" name="TextBox 12"/>
          <xdr:cNvSpPr txBox="1"/>
        </xdr:nvSpPr>
        <xdr:spPr>
          <a:xfrm>
            <a:off x="5429250" y="1495425"/>
            <a:ext cx="50482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solidFill>
                  <a:srgbClr val="FF0000"/>
                </a:solidFill>
              </a:rPr>
              <a:t>bias1</a:t>
            </a:r>
          </a:p>
          <a:p>
            <a:endParaRPr lang="ko-KR" altLang="en-US" sz="1100"/>
          </a:p>
        </xdr:txBody>
      </xdr:sp>
    </xdr:grpSp>
    <xdr:clientData/>
  </xdr:twoCellAnchor>
  <xdr:twoCellAnchor>
    <xdr:from>
      <xdr:col>10</xdr:col>
      <xdr:colOff>333375</xdr:colOff>
      <xdr:row>7</xdr:row>
      <xdr:rowOff>123825</xdr:rowOff>
    </xdr:from>
    <xdr:to>
      <xdr:col>11</xdr:col>
      <xdr:colOff>342900</xdr:colOff>
      <xdr:row>10</xdr:row>
      <xdr:rowOff>85725</xdr:rowOff>
    </xdr:to>
    <xdr:grpSp>
      <xdr:nvGrpSpPr>
        <xdr:cNvPr id="14" name="그룹 13"/>
        <xdr:cNvGrpSpPr/>
      </xdr:nvGrpSpPr>
      <xdr:grpSpPr>
        <a:xfrm>
          <a:off x="7305675" y="1590675"/>
          <a:ext cx="695325" cy="590550"/>
          <a:chOff x="5400675" y="1400175"/>
          <a:chExt cx="552450" cy="457200"/>
        </a:xfrm>
      </xdr:grpSpPr>
      <xdr:sp macro="" textlink="">
        <xdr:nvSpPr>
          <xdr:cNvPr id="15" name="타원 14"/>
          <xdr:cNvSpPr/>
        </xdr:nvSpPr>
        <xdr:spPr>
          <a:xfrm>
            <a:off x="5400675" y="1400175"/>
            <a:ext cx="457200" cy="457200"/>
          </a:xfrm>
          <a:prstGeom prst="ellipse">
            <a:avLst/>
          </a:prstGeom>
          <a:solidFill>
            <a:srgbClr val="FFC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16" name="TextBox 15"/>
          <xdr:cNvSpPr txBox="1"/>
        </xdr:nvSpPr>
        <xdr:spPr>
          <a:xfrm>
            <a:off x="5429250" y="1495425"/>
            <a:ext cx="5238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solidFill>
                  <a:srgbClr val="FF0000"/>
                </a:solidFill>
              </a:rPr>
              <a:t>bias2</a:t>
            </a:r>
          </a:p>
          <a:p>
            <a:endParaRPr lang="ko-KR" altLang="en-US" sz="1100"/>
          </a:p>
        </xdr:txBody>
      </xdr:sp>
    </xdr:grpSp>
    <xdr:clientData/>
  </xdr:twoCellAnchor>
  <xdr:twoCellAnchor>
    <xdr:from>
      <xdr:col>11</xdr:col>
      <xdr:colOff>219075</xdr:colOff>
      <xdr:row>11</xdr:row>
      <xdr:rowOff>28575</xdr:rowOff>
    </xdr:from>
    <xdr:to>
      <xdr:col>11</xdr:col>
      <xdr:colOff>447675</xdr:colOff>
      <xdr:row>12</xdr:row>
      <xdr:rowOff>47625</xdr:rowOff>
    </xdr:to>
    <xdr:sp macro="" textlink="">
      <xdr:nvSpPr>
        <xdr:cNvPr id="17" name="타원 16"/>
        <xdr:cNvSpPr/>
      </xdr:nvSpPr>
      <xdr:spPr>
        <a:xfrm>
          <a:off x="7877175" y="23336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219075</xdr:colOff>
      <xdr:row>13</xdr:row>
      <xdr:rowOff>28575</xdr:rowOff>
    </xdr:from>
    <xdr:to>
      <xdr:col>11</xdr:col>
      <xdr:colOff>447675</xdr:colOff>
      <xdr:row>14</xdr:row>
      <xdr:rowOff>47625</xdr:rowOff>
    </xdr:to>
    <xdr:sp macro="" textlink="">
      <xdr:nvSpPr>
        <xdr:cNvPr id="18" name="타원 17"/>
        <xdr:cNvSpPr/>
      </xdr:nvSpPr>
      <xdr:spPr>
        <a:xfrm>
          <a:off x="7877175" y="2752725"/>
          <a:ext cx="228600" cy="2476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219075</xdr:colOff>
      <xdr:row>15</xdr:row>
      <xdr:rowOff>142875</xdr:rowOff>
    </xdr:from>
    <xdr:to>
      <xdr:col>11</xdr:col>
      <xdr:colOff>447675</xdr:colOff>
      <xdr:row>16</xdr:row>
      <xdr:rowOff>161925</xdr:rowOff>
    </xdr:to>
    <xdr:sp macro="" textlink="">
      <xdr:nvSpPr>
        <xdr:cNvPr id="19" name="타원 18"/>
        <xdr:cNvSpPr/>
      </xdr:nvSpPr>
      <xdr:spPr>
        <a:xfrm>
          <a:off x="7877175" y="3305175"/>
          <a:ext cx="228600" cy="2476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304800</xdr:colOff>
      <xdr:row>19</xdr:row>
      <xdr:rowOff>95250</xdr:rowOff>
    </xdr:from>
    <xdr:to>
      <xdr:col>11</xdr:col>
      <xdr:colOff>390525</xdr:colOff>
      <xdr:row>19</xdr:row>
      <xdr:rowOff>180975</xdr:rowOff>
    </xdr:to>
    <xdr:sp macro="" textlink="">
      <xdr:nvSpPr>
        <xdr:cNvPr id="20" name="타원 19"/>
        <xdr:cNvSpPr/>
      </xdr:nvSpPr>
      <xdr:spPr>
        <a:xfrm>
          <a:off x="7962900" y="4133850"/>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304800</xdr:colOff>
      <xdr:row>20</xdr:row>
      <xdr:rowOff>204107</xdr:rowOff>
    </xdr:from>
    <xdr:to>
      <xdr:col>11</xdr:col>
      <xdr:colOff>390525</xdr:colOff>
      <xdr:row>21</xdr:row>
      <xdr:rowOff>77561</xdr:rowOff>
    </xdr:to>
    <xdr:sp macro="" textlink="">
      <xdr:nvSpPr>
        <xdr:cNvPr id="21" name="타원 20"/>
        <xdr:cNvSpPr/>
      </xdr:nvSpPr>
      <xdr:spPr>
        <a:xfrm>
          <a:off x="7962900" y="4471307"/>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304800</xdr:colOff>
      <xdr:row>22</xdr:row>
      <xdr:rowOff>86876</xdr:rowOff>
    </xdr:from>
    <xdr:to>
      <xdr:col>11</xdr:col>
      <xdr:colOff>390525</xdr:colOff>
      <xdr:row>22</xdr:row>
      <xdr:rowOff>172811</xdr:rowOff>
    </xdr:to>
    <xdr:sp macro="" textlink="">
      <xdr:nvSpPr>
        <xdr:cNvPr id="22" name="타원 21"/>
        <xdr:cNvSpPr/>
      </xdr:nvSpPr>
      <xdr:spPr>
        <a:xfrm>
          <a:off x="7962900" y="4773176"/>
          <a:ext cx="85725" cy="8593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234462</xdr:colOff>
      <xdr:row>23</xdr:row>
      <xdr:rowOff>131885</xdr:rowOff>
    </xdr:from>
    <xdr:to>
      <xdr:col>11</xdr:col>
      <xdr:colOff>463062</xdr:colOff>
      <xdr:row>24</xdr:row>
      <xdr:rowOff>150935</xdr:rowOff>
    </xdr:to>
    <xdr:sp macro="" textlink="">
      <xdr:nvSpPr>
        <xdr:cNvPr id="23" name="타원 22"/>
        <xdr:cNvSpPr/>
      </xdr:nvSpPr>
      <xdr:spPr>
        <a:xfrm>
          <a:off x="7892562" y="502773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264502</xdr:colOff>
      <xdr:row>17</xdr:row>
      <xdr:rowOff>98914</xdr:rowOff>
    </xdr:from>
    <xdr:to>
      <xdr:col>13</xdr:col>
      <xdr:colOff>493102</xdr:colOff>
      <xdr:row>18</xdr:row>
      <xdr:rowOff>98914</xdr:rowOff>
    </xdr:to>
    <xdr:sp macro="" textlink="">
      <xdr:nvSpPr>
        <xdr:cNvPr id="24" name="타원 23"/>
        <xdr:cNvSpPr/>
      </xdr:nvSpPr>
      <xdr:spPr>
        <a:xfrm>
          <a:off x="9294202" y="3699364"/>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264502</xdr:colOff>
      <xdr:row>18</xdr:row>
      <xdr:rowOff>156064</xdr:rowOff>
    </xdr:from>
    <xdr:to>
      <xdr:col>13</xdr:col>
      <xdr:colOff>493102</xdr:colOff>
      <xdr:row>19</xdr:row>
      <xdr:rowOff>175114</xdr:rowOff>
    </xdr:to>
    <xdr:sp macro="" textlink="">
      <xdr:nvSpPr>
        <xdr:cNvPr id="25" name="타원 24"/>
        <xdr:cNvSpPr/>
      </xdr:nvSpPr>
      <xdr:spPr>
        <a:xfrm>
          <a:off x="9294202" y="3985114"/>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9</xdr:col>
      <xdr:colOff>219075</xdr:colOff>
      <xdr:row>11</xdr:row>
      <xdr:rowOff>28575</xdr:rowOff>
    </xdr:from>
    <xdr:to>
      <xdr:col>9</xdr:col>
      <xdr:colOff>447675</xdr:colOff>
      <xdr:row>12</xdr:row>
      <xdr:rowOff>47625</xdr:rowOff>
    </xdr:to>
    <xdr:sp macro="" textlink="">
      <xdr:nvSpPr>
        <xdr:cNvPr id="2" name="타원 1"/>
        <xdr:cNvSpPr/>
      </xdr:nvSpPr>
      <xdr:spPr>
        <a:xfrm>
          <a:off x="6505575" y="212407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13</xdr:row>
      <xdr:rowOff>28575</xdr:rowOff>
    </xdr:from>
    <xdr:to>
      <xdr:col>9</xdr:col>
      <xdr:colOff>447675</xdr:colOff>
      <xdr:row>14</xdr:row>
      <xdr:rowOff>47625</xdr:rowOff>
    </xdr:to>
    <xdr:sp macro="" textlink="">
      <xdr:nvSpPr>
        <xdr:cNvPr id="3" name="타원 2"/>
        <xdr:cNvSpPr/>
      </xdr:nvSpPr>
      <xdr:spPr>
        <a:xfrm>
          <a:off x="6505575" y="254317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15</xdr:row>
      <xdr:rowOff>142875</xdr:rowOff>
    </xdr:from>
    <xdr:to>
      <xdr:col>9</xdr:col>
      <xdr:colOff>447675</xdr:colOff>
      <xdr:row>16</xdr:row>
      <xdr:rowOff>161925</xdr:rowOff>
    </xdr:to>
    <xdr:sp macro="" textlink="">
      <xdr:nvSpPr>
        <xdr:cNvPr id="4" name="타원 3"/>
        <xdr:cNvSpPr/>
      </xdr:nvSpPr>
      <xdr:spPr>
        <a:xfrm>
          <a:off x="6505575" y="30956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26</xdr:row>
      <xdr:rowOff>57150</xdr:rowOff>
    </xdr:from>
    <xdr:to>
      <xdr:col>9</xdr:col>
      <xdr:colOff>447675</xdr:colOff>
      <xdr:row>27</xdr:row>
      <xdr:rowOff>76200</xdr:rowOff>
    </xdr:to>
    <xdr:sp macro="" textlink="">
      <xdr:nvSpPr>
        <xdr:cNvPr id="5" name="타원 4"/>
        <xdr:cNvSpPr/>
      </xdr:nvSpPr>
      <xdr:spPr>
        <a:xfrm>
          <a:off x="6505575" y="5372100"/>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19</xdr:row>
      <xdr:rowOff>95250</xdr:rowOff>
    </xdr:from>
    <xdr:to>
      <xdr:col>9</xdr:col>
      <xdr:colOff>390525</xdr:colOff>
      <xdr:row>19</xdr:row>
      <xdr:rowOff>180975</xdr:rowOff>
    </xdr:to>
    <xdr:sp macro="" textlink="">
      <xdr:nvSpPr>
        <xdr:cNvPr id="6" name="타원 5"/>
        <xdr:cNvSpPr/>
      </xdr:nvSpPr>
      <xdr:spPr>
        <a:xfrm>
          <a:off x="6591300" y="3924300"/>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20</xdr:row>
      <xdr:rowOff>204107</xdr:rowOff>
    </xdr:from>
    <xdr:to>
      <xdr:col>9</xdr:col>
      <xdr:colOff>390525</xdr:colOff>
      <xdr:row>21</xdr:row>
      <xdr:rowOff>77561</xdr:rowOff>
    </xdr:to>
    <xdr:sp macro="" textlink="">
      <xdr:nvSpPr>
        <xdr:cNvPr id="7" name="타원 6"/>
        <xdr:cNvSpPr/>
      </xdr:nvSpPr>
      <xdr:spPr>
        <a:xfrm>
          <a:off x="6591300" y="4242707"/>
          <a:ext cx="85725" cy="10205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22</xdr:row>
      <xdr:rowOff>155122</xdr:rowOff>
    </xdr:from>
    <xdr:to>
      <xdr:col>9</xdr:col>
      <xdr:colOff>390525</xdr:colOff>
      <xdr:row>23</xdr:row>
      <xdr:rowOff>28576</xdr:rowOff>
    </xdr:to>
    <xdr:sp macro="" textlink="">
      <xdr:nvSpPr>
        <xdr:cNvPr id="8" name="타원 7"/>
        <xdr:cNvSpPr/>
      </xdr:nvSpPr>
      <xdr:spPr>
        <a:xfrm>
          <a:off x="6591300" y="4631872"/>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15</xdr:col>
      <xdr:colOff>264502</xdr:colOff>
      <xdr:row>17</xdr:row>
      <xdr:rowOff>32239</xdr:rowOff>
    </xdr:from>
    <xdr:to>
      <xdr:col>15</xdr:col>
      <xdr:colOff>493102</xdr:colOff>
      <xdr:row>18</xdr:row>
      <xdr:rowOff>51289</xdr:rowOff>
    </xdr:to>
    <xdr:sp macro="" textlink="">
      <xdr:nvSpPr>
        <xdr:cNvPr id="9" name="타원 8"/>
        <xdr:cNvSpPr/>
      </xdr:nvSpPr>
      <xdr:spPr>
        <a:xfrm>
          <a:off x="9294202" y="3423139"/>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15</xdr:col>
      <xdr:colOff>76200</xdr:colOff>
      <xdr:row>8</xdr:row>
      <xdr:rowOff>28575</xdr:rowOff>
    </xdr:from>
    <xdr:to>
      <xdr:col>27</xdr:col>
      <xdr:colOff>67822</xdr:colOff>
      <xdr:row>11</xdr:row>
      <xdr:rowOff>162031</xdr:rowOff>
    </xdr:to>
    <xdr:pic>
      <xdr:nvPicPr>
        <xdr:cNvPr id="10" name="그림 9"/>
        <xdr:cNvPicPr>
          <a:picLocks noChangeAspect="1"/>
        </xdr:cNvPicPr>
      </xdr:nvPicPr>
      <xdr:blipFill>
        <a:blip xmlns:r="http://schemas.openxmlformats.org/officeDocument/2006/relationships" r:embed="rId1"/>
        <a:stretch>
          <a:fillRect/>
        </a:stretch>
      </xdr:blipFill>
      <xdr:spPr>
        <a:xfrm>
          <a:off x="9105900" y="1495425"/>
          <a:ext cx="8221222" cy="762106"/>
        </a:xfrm>
        <a:prstGeom prst="rect">
          <a:avLst/>
        </a:prstGeom>
      </xdr:spPr>
    </xdr:pic>
    <xdr:clientData/>
  </xdr:twoCellAnchor>
  <xdr:twoCellAnchor>
    <xdr:from>
      <xdr:col>11</xdr:col>
      <xdr:colOff>219075</xdr:colOff>
      <xdr:row>12</xdr:row>
      <xdr:rowOff>28575</xdr:rowOff>
    </xdr:from>
    <xdr:to>
      <xdr:col>11</xdr:col>
      <xdr:colOff>447675</xdr:colOff>
      <xdr:row>13</xdr:row>
      <xdr:rowOff>47625</xdr:rowOff>
    </xdr:to>
    <xdr:sp macro="" textlink="">
      <xdr:nvSpPr>
        <xdr:cNvPr id="17" name="타원 16"/>
        <xdr:cNvSpPr/>
      </xdr:nvSpPr>
      <xdr:spPr>
        <a:xfrm>
          <a:off x="7877175" y="23336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219075</xdr:colOff>
      <xdr:row>14</xdr:row>
      <xdr:rowOff>28575</xdr:rowOff>
    </xdr:from>
    <xdr:to>
      <xdr:col>11</xdr:col>
      <xdr:colOff>447675</xdr:colOff>
      <xdr:row>15</xdr:row>
      <xdr:rowOff>47625</xdr:rowOff>
    </xdr:to>
    <xdr:sp macro="" textlink="">
      <xdr:nvSpPr>
        <xdr:cNvPr id="18" name="타원 17"/>
        <xdr:cNvSpPr/>
      </xdr:nvSpPr>
      <xdr:spPr>
        <a:xfrm>
          <a:off x="7877175" y="2752725"/>
          <a:ext cx="228600" cy="2476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219075</xdr:colOff>
      <xdr:row>16</xdr:row>
      <xdr:rowOff>142875</xdr:rowOff>
    </xdr:from>
    <xdr:to>
      <xdr:col>11</xdr:col>
      <xdr:colOff>447675</xdr:colOff>
      <xdr:row>17</xdr:row>
      <xdr:rowOff>161925</xdr:rowOff>
    </xdr:to>
    <xdr:sp macro="" textlink="">
      <xdr:nvSpPr>
        <xdr:cNvPr id="19" name="타원 18"/>
        <xdr:cNvSpPr/>
      </xdr:nvSpPr>
      <xdr:spPr>
        <a:xfrm>
          <a:off x="7877175" y="3305175"/>
          <a:ext cx="228600" cy="2476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304800</xdr:colOff>
      <xdr:row>20</xdr:row>
      <xdr:rowOff>95250</xdr:rowOff>
    </xdr:from>
    <xdr:to>
      <xdr:col>11</xdr:col>
      <xdr:colOff>390525</xdr:colOff>
      <xdr:row>20</xdr:row>
      <xdr:rowOff>180975</xdr:rowOff>
    </xdr:to>
    <xdr:sp macro="" textlink="">
      <xdr:nvSpPr>
        <xdr:cNvPr id="20" name="타원 19"/>
        <xdr:cNvSpPr/>
      </xdr:nvSpPr>
      <xdr:spPr>
        <a:xfrm>
          <a:off x="7962900" y="4133850"/>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304800</xdr:colOff>
      <xdr:row>21</xdr:row>
      <xdr:rowOff>204107</xdr:rowOff>
    </xdr:from>
    <xdr:to>
      <xdr:col>11</xdr:col>
      <xdr:colOff>390525</xdr:colOff>
      <xdr:row>22</xdr:row>
      <xdr:rowOff>77561</xdr:rowOff>
    </xdr:to>
    <xdr:sp macro="" textlink="">
      <xdr:nvSpPr>
        <xdr:cNvPr id="21" name="타원 20"/>
        <xdr:cNvSpPr/>
      </xdr:nvSpPr>
      <xdr:spPr>
        <a:xfrm>
          <a:off x="7962900" y="4471307"/>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304800</xdr:colOff>
      <xdr:row>23</xdr:row>
      <xdr:rowOff>86876</xdr:rowOff>
    </xdr:from>
    <xdr:to>
      <xdr:col>11</xdr:col>
      <xdr:colOff>390525</xdr:colOff>
      <xdr:row>23</xdr:row>
      <xdr:rowOff>172811</xdr:rowOff>
    </xdr:to>
    <xdr:sp macro="" textlink="">
      <xdr:nvSpPr>
        <xdr:cNvPr id="22" name="타원 21"/>
        <xdr:cNvSpPr/>
      </xdr:nvSpPr>
      <xdr:spPr>
        <a:xfrm>
          <a:off x="7962900" y="4773176"/>
          <a:ext cx="85725" cy="8593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234462</xdr:colOff>
      <xdr:row>24</xdr:row>
      <xdr:rowOff>131885</xdr:rowOff>
    </xdr:from>
    <xdr:to>
      <xdr:col>11</xdr:col>
      <xdr:colOff>463062</xdr:colOff>
      <xdr:row>25</xdr:row>
      <xdr:rowOff>150935</xdr:rowOff>
    </xdr:to>
    <xdr:sp macro="" textlink="">
      <xdr:nvSpPr>
        <xdr:cNvPr id="23" name="타원 22"/>
        <xdr:cNvSpPr/>
      </xdr:nvSpPr>
      <xdr:spPr>
        <a:xfrm>
          <a:off x="7892562" y="502773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15</xdr:col>
      <xdr:colOff>264502</xdr:colOff>
      <xdr:row>18</xdr:row>
      <xdr:rowOff>98914</xdr:rowOff>
    </xdr:from>
    <xdr:to>
      <xdr:col>15</xdr:col>
      <xdr:colOff>493102</xdr:colOff>
      <xdr:row>19</xdr:row>
      <xdr:rowOff>98914</xdr:rowOff>
    </xdr:to>
    <xdr:sp macro="" textlink="">
      <xdr:nvSpPr>
        <xdr:cNvPr id="24" name="타원 23"/>
        <xdr:cNvSpPr/>
      </xdr:nvSpPr>
      <xdr:spPr>
        <a:xfrm>
          <a:off x="9294202" y="3699364"/>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15</xdr:col>
      <xdr:colOff>264502</xdr:colOff>
      <xdr:row>19</xdr:row>
      <xdr:rowOff>156064</xdr:rowOff>
    </xdr:from>
    <xdr:to>
      <xdr:col>15</xdr:col>
      <xdr:colOff>493102</xdr:colOff>
      <xdr:row>20</xdr:row>
      <xdr:rowOff>175114</xdr:rowOff>
    </xdr:to>
    <xdr:sp macro="" textlink="">
      <xdr:nvSpPr>
        <xdr:cNvPr id="25" name="타원 24"/>
        <xdr:cNvSpPr/>
      </xdr:nvSpPr>
      <xdr:spPr>
        <a:xfrm>
          <a:off x="9294202" y="3985114"/>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219075</xdr:colOff>
      <xdr:row>14</xdr:row>
      <xdr:rowOff>28575</xdr:rowOff>
    </xdr:from>
    <xdr:to>
      <xdr:col>13</xdr:col>
      <xdr:colOff>447675</xdr:colOff>
      <xdr:row>15</xdr:row>
      <xdr:rowOff>47625</xdr:rowOff>
    </xdr:to>
    <xdr:sp macro="" textlink="">
      <xdr:nvSpPr>
        <xdr:cNvPr id="26" name="타원 25"/>
        <xdr:cNvSpPr/>
      </xdr:nvSpPr>
      <xdr:spPr>
        <a:xfrm>
          <a:off x="7877175" y="254317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219075</xdr:colOff>
      <xdr:row>16</xdr:row>
      <xdr:rowOff>28575</xdr:rowOff>
    </xdr:from>
    <xdr:to>
      <xdr:col>13</xdr:col>
      <xdr:colOff>447675</xdr:colOff>
      <xdr:row>17</xdr:row>
      <xdr:rowOff>47625</xdr:rowOff>
    </xdr:to>
    <xdr:sp macro="" textlink="">
      <xdr:nvSpPr>
        <xdr:cNvPr id="27" name="타원 26"/>
        <xdr:cNvSpPr/>
      </xdr:nvSpPr>
      <xdr:spPr>
        <a:xfrm>
          <a:off x="7877175" y="2962275"/>
          <a:ext cx="228600" cy="2476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219075</xdr:colOff>
      <xdr:row>18</xdr:row>
      <xdr:rowOff>142875</xdr:rowOff>
    </xdr:from>
    <xdr:to>
      <xdr:col>13</xdr:col>
      <xdr:colOff>447675</xdr:colOff>
      <xdr:row>19</xdr:row>
      <xdr:rowOff>161925</xdr:rowOff>
    </xdr:to>
    <xdr:sp macro="" textlink="">
      <xdr:nvSpPr>
        <xdr:cNvPr id="28" name="타원 27"/>
        <xdr:cNvSpPr/>
      </xdr:nvSpPr>
      <xdr:spPr>
        <a:xfrm>
          <a:off x="7877175" y="3514725"/>
          <a:ext cx="228600" cy="2476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286940</xdr:colOff>
      <xdr:row>20</xdr:row>
      <xdr:rowOff>107157</xdr:rowOff>
    </xdr:from>
    <xdr:to>
      <xdr:col>13</xdr:col>
      <xdr:colOff>372665</xdr:colOff>
      <xdr:row>20</xdr:row>
      <xdr:rowOff>192882</xdr:rowOff>
    </xdr:to>
    <xdr:sp macro="" textlink="">
      <xdr:nvSpPr>
        <xdr:cNvPr id="29" name="타원 28"/>
        <xdr:cNvSpPr/>
      </xdr:nvSpPr>
      <xdr:spPr>
        <a:xfrm>
          <a:off x="9299971" y="4762501"/>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286940</xdr:colOff>
      <xdr:row>21</xdr:row>
      <xdr:rowOff>14223</xdr:rowOff>
    </xdr:from>
    <xdr:to>
      <xdr:col>13</xdr:col>
      <xdr:colOff>372665</xdr:colOff>
      <xdr:row>21</xdr:row>
      <xdr:rowOff>96036</xdr:rowOff>
    </xdr:to>
    <xdr:sp macro="" textlink="">
      <xdr:nvSpPr>
        <xdr:cNvPr id="30" name="타원 29"/>
        <xdr:cNvSpPr/>
      </xdr:nvSpPr>
      <xdr:spPr>
        <a:xfrm>
          <a:off x="9286423" y="4507395"/>
          <a:ext cx="85725" cy="81813"/>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286940</xdr:colOff>
      <xdr:row>21</xdr:row>
      <xdr:rowOff>151334</xdr:rowOff>
    </xdr:from>
    <xdr:to>
      <xdr:col>13</xdr:col>
      <xdr:colOff>372665</xdr:colOff>
      <xdr:row>22</xdr:row>
      <xdr:rowOff>27062</xdr:rowOff>
    </xdr:to>
    <xdr:sp macro="" textlink="">
      <xdr:nvSpPr>
        <xdr:cNvPr id="31" name="타원 30"/>
        <xdr:cNvSpPr/>
      </xdr:nvSpPr>
      <xdr:spPr>
        <a:xfrm>
          <a:off x="9286423" y="4644506"/>
          <a:ext cx="85725" cy="8593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235693</xdr:colOff>
      <xdr:row>22</xdr:row>
      <xdr:rowOff>142150</xdr:rowOff>
    </xdr:from>
    <xdr:to>
      <xdr:col>13</xdr:col>
      <xdr:colOff>464293</xdr:colOff>
      <xdr:row>23</xdr:row>
      <xdr:rowOff>161199</xdr:rowOff>
    </xdr:to>
    <xdr:sp macro="" textlink="">
      <xdr:nvSpPr>
        <xdr:cNvPr id="32" name="타원 31"/>
        <xdr:cNvSpPr/>
      </xdr:nvSpPr>
      <xdr:spPr>
        <a:xfrm>
          <a:off x="9235176" y="4845529"/>
          <a:ext cx="228600" cy="22925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17</xdr:col>
      <xdr:colOff>417980</xdr:colOff>
      <xdr:row>17</xdr:row>
      <xdr:rowOff>159684</xdr:rowOff>
    </xdr:from>
    <xdr:to>
      <xdr:col>23</xdr:col>
      <xdr:colOff>389975</xdr:colOff>
      <xdr:row>35</xdr:row>
      <xdr:rowOff>122110</xdr:rowOff>
    </xdr:to>
    <xdr:pic>
      <xdr:nvPicPr>
        <xdr:cNvPr id="34" name="그림 33"/>
        <xdr:cNvPicPr>
          <a:picLocks noChangeAspect="1"/>
        </xdr:cNvPicPr>
      </xdr:nvPicPr>
      <xdr:blipFill>
        <a:blip xmlns:r="http://schemas.openxmlformats.org/officeDocument/2006/relationships" r:embed="rId2"/>
        <a:stretch>
          <a:fillRect/>
        </a:stretch>
      </xdr:blipFill>
      <xdr:spPr>
        <a:xfrm>
          <a:off x="12699627" y="3801596"/>
          <a:ext cx="4073348" cy="3817249"/>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1</xdr:col>
      <xdr:colOff>409575</xdr:colOff>
      <xdr:row>4</xdr:row>
      <xdr:rowOff>180975</xdr:rowOff>
    </xdr:from>
    <xdr:to>
      <xdr:col>5</xdr:col>
      <xdr:colOff>590958</xdr:colOff>
      <xdr:row>16</xdr:row>
      <xdr:rowOff>38431</xdr:rowOff>
    </xdr:to>
    <xdr:pic>
      <xdr:nvPicPr>
        <xdr:cNvPr id="2" name="그림 1"/>
        <xdr:cNvPicPr>
          <a:picLocks noChangeAspect="1"/>
        </xdr:cNvPicPr>
      </xdr:nvPicPr>
      <xdr:blipFill>
        <a:blip xmlns:r="http://schemas.openxmlformats.org/officeDocument/2006/relationships" r:embed="rId1"/>
        <a:stretch>
          <a:fillRect/>
        </a:stretch>
      </xdr:blipFill>
      <xdr:spPr>
        <a:xfrm>
          <a:off x="1095375" y="1019175"/>
          <a:ext cx="2924583" cy="2372056"/>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6</xdr:col>
      <xdr:colOff>314325</xdr:colOff>
      <xdr:row>4</xdr:row>
      <xdr:rowOff>114300</xdr:rowOff>
    </xdr:from>
    <xdr:to>
      <xdr:col>7</xdr:col>
      <xdr:colOff>561975</xdr:colOff>
      <xdr:row>6</xdr:row>
      <xdr:rowOff>114300</xdr:rowOff>
    </xdr:to>
    <xdr:sp macro="" textlink="">
      <xdr:nvSpPr>
        <xdr:cNvPr id="2" name="오른쪽 화살표 1"/>
        <xdr:cNvSpPr/>
      </xdr:nvSpPr>
      <xdr:spPr>
        <a:xfrm>
          <a:off x="5219700" y="742950"/>
          <a:ext cx="933450" cy="4191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8</xdr:col>
      <xdr:colOff>47625</xdr:colOff>
      <xdr:row>4</xdr:row>
      <xdr:rowOff>28575</xdr:rowOff>
    </xdr:from>
    <xdr:to>
      <xdr:col>8</xdr:col>
      <xdr:colOff>571500</xdr:colOff>
      <xdr:row>8</xdr:row>
      <xdr:rowOff>28575</xdr:rowOff>
    </xdr:to>
    <xdr:sp macro="" textlink="">
      <xdr:nvSpPr>
        <xdr:cNvPr id="3" name="정육면체 2"/>
        <xdr:cNvSpPr/>
      </xdr:nvSpPr>
      <xdr:spPr>
        <a:xfrm>
          <a:off x="6324600" y="657225"/>
          <a:ext cx="523875" cy="838200"/>
        </a:xfrm>
        <a:prstGeom prst="cub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wsDr>
</file>

<file path=xl/drawings/drawing26.xml><?xml version="1.0" encoding="utf-8"?>
<xdr:wsDr xmlns:xdr="http://schemas.openxmlformats.org/drawingml/2006/spreadsheetDrawing" xmlns:a="http://schemas.openxmlformats.org/drawingml/2006/main">
  <xdr:twoCellAnchor editAs="oneCell">
    <xdr:from>
      <xdr:col>1</xdr:col>
      <xdr:colOff>145473</xdr:colOff>
      <xdr:row>1</xdr:row>
      <xdr:rowOff>112569</xdr:rowOff>
    </xdr:from>
    <xdr:to>
      <xdr:col>10</xdr:col>
      <xdr:colOff>70123</xdr:colOff>
      <xdr:row>25</xdr:row>
      <xdr:rowOff>117010</xdr:rowOff>
    </xdr:to>
    <xdr:pic>
      <xdr:nvPicPr>
        <xdr:cNvPr id="2" name="그림 1"/>
        <xdr:cNvPicPr>
          <a:picLocks noChangeAspect="1"/>
        </xdr:cNvPicPr>
      </xdr:nvPicPr>
      <xdr:blipFill>
        <a:blip xmlns:r="http://schemas.openxmlformats.org/officeDocument/2006/relationships" r:embed="rId1"/>
        <a:stretch>
          <a:fillRect/>
        </a:stretch>
      </xdr:blipFill>
      <xdr:spPr>
        <a:xfrm>
          <a:off x="838200" y="320387"/>
          <a:ext cx="6159196" cy="5061350"/>
        </a:xfrm>
        <a:prstGeom prst="rect">
          <a:avLst/>
        </a:prstGeom>
      </xdr:spPr>
    </xdr:pic>
    <xdr:clientData/>
  </xdr:twoCellAnchor>
  <xdr:twoCellAnchor>
    <xdr:from>
      <xdr:col>13</xdr:col>
      <xdr:colOff>219075</xdr:colOff>
      <xdr:row>4</xdr:row>
      <xdr:rowOff>28575</xdr:rowOff>
    </xdr:from>
    <xdr:to>
      <xdr:col>13</xdr:col>
      <xdr:colOff>447675</xdr:colOff>
      <xdr:row>5</xdr:row>
      <xdr:rowOff>47625</xdr:rowOff>
    </xdr:to>
    <xdr:sp macro="" textlink="">
      <xdr:nvSpPr>
        <xdr:cNvPr id="3" name="타원 2"/>
        <xdr:cNvSpPr/>
      </xdr:nvSpPr>
      <xdr:spPr>
        <a:xfrm>
          <a:off x="7058025" y="23336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219075</xdr:colOff>
      <xdr:row>6</xdr:row>
      <xdr:rowOff>28575</xdr:rowOff>
    </xdr:from>
    <xdr:to>
      <xdr:col>13</xdr:col>
      <xdr:colOff>447675</xdr:colOff>
      <xdr:row>7</xdr:row>
      <xdr:rowOff>47625</xdr:rowOff>
    </xdr:to>
    <xdr:sp macro="" textlink="">
      <xdr:nvSpPr>
        <xdr:cNvPr id="4" name="타원 3"/>
        <xdr:cNvSpPr/>
      </xdr:nvSpPr>
      <xdr:spPr>
        <a:xfrm>
          <a:off x="7058025" y="27527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219075</xdr:colOff>
      <xdr:row>8</xdr:row>
      <xdr:rowOff>142875</xdr:rowOff>
    </xdr:from>
    <xdr:to>
      <xdr:col>13</xdr:col>
      <xdr:colOff>447675</xdr:colOff>
      <xdr:row>9</xdr:row>
      <xdr:rowOff>161925</xdr:rowOff>
    </xdr:to>
    <xdr:sp macro="" textlink="">
      <xdr:nvSpPr>
        <xdr:cNvPr id="5" name="타원 4"/>
        <xdr:cNvSpPr/>
      </xdr:nvSpPr>
      <xdr:spPr>
        <a:xfrm>
          <a:off x="7058025" y="330517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219075</xdr:colOff>
      <xdr:row>19</xdr:row>
      <xdr:rowOff>57150</xdr:rowOff>
    </xdr:from>
    <xdr:to>
      <xdr:col>13</xdr:col>
      <xdr:colOff>447675</xdr:colOff>
      <xdr:row>20</xdr:row>
      <xdr:rowOff>76200</xdr:rowOff>
    </xdr:to>
    <xdr:sp macro="" textlink="">
      <xdr:nvSpPr>
        <xdr:cNvPr id="6" name="타원 5"/>
        <xdr:cNvSpPr/>
      </xdr:nvSpPr>
      <xdr:spPr>
        <a:xfrm>
          <a:off x="7058025" y="5581650"/>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304800</xdr:colOff>
      <xdr:row>12</xdr:row>
      <xdr:rowOff>95250</xdr:rowOff>
    </xdr:from>
    <xdr:to>
      <xdr:col>13</xdr:col>
      <xdr:colOff>390525</xdr:colOff>
      <xdr:row>12</xdr:row>
      <xdr:rowOff>180975</xdr:rowOff>
    </xdr:to>
    <xdr:sp macro="" textlink="">
      <xdr:nvSpPr>
        <xdr:cNvPr id="7" name="타원 6"/>
        <xdr:cNvSpPr/>
      </xdr:nvSpPr>
      <xdr:spPr>
        <a:xfrm>
          <a:off x="7143750" y="4133850"/>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304800</xdr:colOff>
      <xdr:row>13</xdr:row>
      <xdr:rowOff>204107</xdr:rowOff>
    </xdr:from>
    <xdr:to>
      <xdr:col>13</xdr:col>
      <xdr:colOff>390525</xdr:colOff>
      <xdr:row>14</xdr:row>
      <xdr:rowOff>77561</xdr:rowOff>
    </xdr:to>
    <xdr:sp macro="" textlink="">
      <xdr:nvSpPr>
        <xdr:cNvPr id="8" name="타원 7"/>
        <xdr:cNvSpPr/>
      </xdr:nvSpPr>
      <xdr:spPr>
        <a:xfrm>
          <a:off x="7143750" y="4452257"/>
          <a:ext cx="85725" cy="10205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304800</xdr:colOff>
      <xdr:row>15</xdr:row>
      <xdr:rowOff>155122</xdr:rowOff>
    </xdr:from>
    <xdr:to>
      <xdr:col>13</xdr:col>
      <xdr:colOff>390525</xdr:colOff>
      <xdr:row>16</xdr:row>
      <xdr:rowOff>28576</xdr:rowOff>
    </xdr:to>
    <xdr:sp macro="" textlink="">
      <xdr:nvSpPr>
        <xdr:cNvPr id="9" name="타원 8"/>
        <xdr:cNvSpPr/>
      </xdr:nvSpPr>
      <xdr:spPr>
        <a:xfrm>
          <a:off x="7143750" y="4841422"/>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16</xdr:col>
      <xdr:colOff>264502</xdr:colOff>
      <xdr:row>11</xdr:row>
      <xdr:rowOff>98914</xdr:rowOff>
    </xdr:from>
    <xdr:to>
      <xdr:col>16</xdr:col>
      <xdr:colOff>493102</xdr:colOff>
      <xdr:row>12</xdr:row>
      <xdr:rowOff>98914</xdr:rowOff>
    </xdr:to>
    <xdr:sp macro="" textlink="">
      <xdr:nvSpPr>
        <xdr:cNvPr id="18" name="타원 17"/>
        <xdr:cNvSpPr/>
      </xdr:nvSpPr>
      <xdr:spPr>
        <a:xfrm>
          <a:off x="11218252" y="3908914"/>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317937</xdr:colOff>
      <xdr:row>12</xdr:row>
      <xdr:rowOff>193785</xdr:rowOff>
    </xdr:from>
    <xdr:to>
      <xdr:col>11</xdr:col>
      <xdr:colOff>403662</xdr:colOff>
      <xdr:row>13</xdr:row>
      <xdr:rowOff>69303</xdr:rowOff>
    </xdr:to>
    <xdr:sp macro="" textlink="">
      <xdr:nvSpPr>
        <xdr:cNvPr id="27" name="타원 26"/>
        <xdr:cNvSpPr/>
      </xdr:nvSpPr>
      <xdr:spPr>
        <a:xfrm>
          <a:off x="7832834" y="2775388"/>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317937</xdr:colOff>
      <xdr:row>14</xdr:row>
      <xdr:rowOff>92435</xdr:rowOff>
    </xdr:from>
    <xdr:to>
      <xdr:col>11</xdr:col>
      <xdr:colOff>403662</xdr:colOff>
      <xdr:row>14</xdr:row>
      <xdr:rowOff>176096</xdr:rowOff>
    </xdr:to>
    <xdr:sp macro="" textlink="">
      <xdr:nvSpPr>
        <xdr:cNvPr id="28" name="타원 27"/>
        <xdr:cNvSpPr/>
      </xdr:nvSpPr>
      <xdr:spPr>
        <a:xfrm>
          <a:off x="7832834" y="3094452"/>
          <a:ext cx="85725" cy="83661"/>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317937</xdr:colOff>
      <xdr:row>16</xdr:row>
      <xdr:rowOff>43450</xdr:rowOff>
    </xdr:from>
    <xdr:to>
      <xdr:col>11</xdr:col>
      <xdr:colOff>403662</xdr:colOff>
      <xdr:row>16</xdr:row>
      <xdr:rowOff>127111</xdr:rowOff>
    </xdr:to>
    <xdr:sp macro="" textlink="">
      <xdr:nvSpPr>
        <xdr:cNvPr id="29" name="타원 28"/>
        <xdr:cNvSpPr/>
      </xdr:nvSpPr>
      <xdr:spPr>
        <a:xfrm>
          <a:off x="7832834" y="3465881"/>
          <a:ext cx="85725" cy="83661"/>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wsDr>
</file>

<file path=xl/drawings/drawing27.xml><?xml version="1.0" encoding="utf-8"?>
<xdr:wsDr xmlns:xdr="http://schemas.openxmlformats.org/drawingml/2006/spreadsheetDrawing" xmlns:a="http://schemas.openxmlformats.org/drawingml/2006/main">
  <xdr:twoCellAnchor editAs="oneCell">
    <xdr:from>
      <xdr:col>1</xdr:col>
      <xdr:colOff>145473</xdr:colOff>
      <xdr:row>4</xdr:row>
      <xdr:rowOff>112569</xdr:rowOff>
    </xdr:from>
    <xdr:to>
      <xdr:col>10</xdr:col>
      <xdr:colOff>70123</xdr:colOff>
      <xdr:row>28</xdr:row>
      <xdr:rowOff>193210</xdr:rowOff>
    </xdr:to>
    <xdr:pic>
      <xdr:nvPicPr>
        <xdr:cNvPr id="2" name="그림 1"/>
        <xdr:cNvPicPr>
          <a:picLocks noChangeAspect="1"/>
        </xdr:cNvPicPr>
      </xdr:nvPicPr>
      <xdr:blipFill>
        <a:blip xmlns:r="http://schemas.openxmlformats.org/officeDocument/2006/relationships" r:embed="rId1"/>
        <a:stretch>
          <a:fillRect/>
        </a:stretch>
      </xdr:blipFill>
      <xdr:spPr>
        <a:xfrm>
          <a:off x="831273" y="322119"/>
          <a:ext cx="6096850" cy="5109841"/>
        </a:xfrm>
        <a:prstGeom prst="rect">
          <a:avLst/>
        </a:prstGeom>
      </xdr:spPr>
    </xdr:pic>
    <xdr:clientData/>
  </xdr:twoCellAnchor>
  <xdr:twoCellAnchor>
    <xdr:from>
      <xdr:col>12</xdr:col>
      <xdr:colOff>219075</xdr:colOff>
      <xdr:row>7</xdr:row>
      <xdr:rowOff>28575</xdr:rowOff>
    </xdr:from>
    <xdr:to>
      <xdr:col>12</xdr:col>
      <xdr:colOff>447675</xdr:colOff>
      <xdr:row>8</xdr:row>
      <xdr:rowOff>47625</xdr:rowOff>
    </xdr:to>
    <xdr:sp macro="" textlink="">
      <xdr:nvSpPr>
        <xdr:cNvPr id="3" name="타원 2"/>
        <xdr:cNvSpPr/>
      </xdr:nvSpPr>
      <xdr:spPr>
        <a:xfrm>
          <a:off x="9134475" y="86677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12</xdr:col>
      <xdr:colOff>219075</xdr:colOff>
      <xdr:row>9</xdr:row>
      <xdr:rowOff>28575</xdr:rowOff>
    </xdr:from>
    <xdr:to>
      <xdr:col>12</xdr:col>
      <xdr:colOff>447675</xdr:colOff>
      <xdr:row>10</xdr:row>
      <xdr:rowOff>47625</xdr:rowOff>
    </xdr:to>
    <xdr:sp macro="" textlink="">
      <xdr:nvSpPr>
        <xdr:cNvPr id="4" name="타원 3"/>
        <xdr:cNvSpPr/>
      </xdr:nvSpPr>
      <xdr:spPr>
        <a:xfrm>
          <a:off x="9134475" y="128587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12</xdr:col>
      <xdr:colOff>219075</xdr:colOff>
      <xdr:row>11</xdr:row>
      <xdr:rowOff>142875</xdr:rowOff>
    </xdr:from>
    <xdr:to>
      <xdr:col>12</xdr:col>
      <xdr:colOff>447675</xdr:colOff>
      <xdr:row>12</xdr:row>
      <xdr:rowOff>161925</xdr:rowOff>
    </xdr:to>
    <xdr:sp macro="" textlink="">
      <xdr:nvSpPr>
        <xdr:cNvPr id="5" name="타원 4"/>
        <xdr:cNvSpPr/>
      </xdr:nvSpPr>
      <xdr:spPr>
        <a:xfrm>
          <a:off x="9134475" y="18383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12</xdr:col>
      <xdr:colOff>219075</xdr:colOff>
      <xdr:row>22</xdr:row>
      <xdr:rowOff>57150</xdr:rowOff>
    </xdr:from>
    <xdr:to>
      <xdr:col>12</xdr:col>
      <xdr:colOff>447675</xdr:colOff>
      <xdr:row>23</xdr:row>
      <xdr:rowOff>76200</xdr:rowOff>
    </xdr:to>
    <xdr:sp macro="" textlink="">
      <xdr:nvSpPr>
        <xdr:cNvPr id="6" name="타원 5"/>
        <xdr:cNvSpPr/>
      </xdr:nvSpPr>
      <xdr:spPr>
        <a:xfrm>
          <a:off x="9134475" y="4114800"/>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12</xdr:col>
      <xdr:colOff>304800</xdr:colOff>
      <xdr:row>15</xdr:row>
      <xdr:rowOff>95250</xdr:rowOff>
    </xdr:from>
    <xdr:to>
      <xdr:col>12</xdr:col>
      <xdr:colOff>390525</xdr:colOff>
      <xdr:row>15</xdr:row>
      <xdr:rowOff>180975</xdr:rowOff>
    </xdr:to>
    <xdr:sp macro="" textlink="">
      <xdr:nvSpPr>
        <xdr:cNvPr id="7" name="타원 6"/>
        <xdr:cNvSpPr/>
      </xdr:nvSpPr>
      <xdr:spPr>
        <a:xfrm>
          <a:off x="8507506" y="2650191"/>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12</xdr:col>
      <xdr:colOff>304800</xdr:colOff>
      <xdr:row>16</xdr:row>
      <xdr:rowOff>204107</xdr:rowOff>
    </xdr:from>
    <xdr:to>
      <xdr:col>12</xdr:col>
      <xdr:colOff>390525</xdr:colOff>
      <xdr:row>17</xdr:row>
      <xdr:rowOff>77561</xdr:rowOff>
    </xdr:to>
    <xdr:sp macro="" textlink="">
      <xdr:nvSpPr>
        <xdr:cNvPr id="8" name="타원 7"/>
        <xdr:cNvSpPr/>
      </xdr:nvSpPr>
      <xdr:spPr>
        <a:xfrm>
          <a:off x="8507506" y="2971960"/>
          <a:ext cx="85725" cy="86366"/>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12</xdr:col>
      <xdr:colOff>304800</xdr:colOff>
      <xdr:row>18</xdr:row>
      <xdr:rowOff>155122</xdr:rowOff>
    </xdr:from>
    <xdr:to>
      <xdr:col>12</xdr:col>
      <xdr:colOff>390525</xdr:colOff>
      <xdr:row>19</xdr:row>
      <xdr:rowOff>28576</xdr:rowOff>
    </xdr:to>
    <xdr:sp macro="" textlink="">
      <xdr:nvSpPr>
        <xdr:cNvPr id="9" name="타원 8"/>
        <xdr:cNvSpPr/>
      </xdr:nvSpPr>
      <xdr:spPr>
        <a:xfrm>
          <a:off x="8507506" y="3348798"/>
          <a:ext cx="85725" cy="86366"/>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12</xdr:col>
      <xdr:colOff>447675</xdr:colOff>
      <xdr:row>5</xdr:row>
      <xdr:rowOff>142875</xdr:rowOff>
    </xdr:from>
    <xdr:to>
      <xdr:col>14</xdr:col>
      <xdr:colOff>0</xdr:colOff>
      <xdr:row>7</xdr:row>
      <xdr:rowOff>142875</xdr:rowOff>
    </xdr:to>
    <xdr:cxnSp macro="">
      <xdr:nvCxnSpPr>
        <xdr:cNvPr id="15" name="직선 연결선 14"/>
        <xdr:cNvCxnSpPr>
          <a:stCxn id="3" idx="6"/>
        </xdr:cNvCxnSpPr>
      </xdr:nvCxnSpPr>
      <xdr:spPr>
        <a:xfrm flipV="1">
          <a:off x="9363075" y="561975"/>
          <a:ext cx="923925"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219075</xdr:colOff>
      <xdr:row>7</xdr:row>
      <xdr:rowOff>28575</xdr:rowOff>
    </xdr:from>
    <xdr:to>
      <xdr:col>18</xdr:col>
      <xdr:colOff>447675</xdr:colOff>
      <xdr:row>8</xdr:row>
      <xdr:rowOff>47625</xdr:rowOff>
    </xdr:to>
    <xdr:sp macro="" textlink="">
      <xdr:nvSpPr>
        <xdr:cNvPr id="24" name="타원 23"/>
        <xdr:cNvSpPr/>
      </xdr:nvSpPr>
      <xdr:spPr>
        <a:xfrm>
          <a:off x="8421781" y="880222"/>
          <a:ext cx="228600" cy="231962"/>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18</xdr:col>
      <xdr:colOff>219075</xdr:colOff>
      <xdr:row>9</xdr:row>
      <xdr:rowOff>28575</xdr:rowOff>
    </xdr:from>
    <xdr:to>
      <xdr:col>18</xdr:col>
      <xdr:colOff>447675</xdr:colOff>
      <xdr:row>10</xdr:row>
      <xdr:rowOff>47625</xdr:rowOff>
    </xdr:to>
    <xdr:sp macro="" textlink="">
      <xdr:nvSpPr>
        <xdr:cNvPr id="25" name="타원 24"/>
        <xdr:cNvSpPr/>
      </xdr:nvSpPr>
      <xdr:spPr>
        <a:xfrm>
          <a:off x="8421781" y="1306046"/>
          <a:ext cx="228600" cy="23196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18</xdr:col>
      <xdr:colOff>219075</xdr:colOff>
      <xdr:row>11</xdr:row>
      <xdr:rowOff>142875</xdr:rowOff>
    </xdr:from>
    <xdr:to>
      <xdr:col>18</xdr:col>
      <xdr:colOff>447675</xdr:colOff>
      <xdr:row>12</xdr:row>
      <xdr:rowOff>161925</xdr:rowOff>
    </xdr:to>
    <xdr:sp macro="" textlink="">
      <xdr:nvSpPr>
        <xdr:cNvPr id="26" name="타원 25"/>
        <xdr:cNvSpPr/>
      </xdr:nvSpPr>
      <xdr:spPr>
        <a:xfrm>
          <a:off x="8421781" y="1846169"/>
          <a:ext cx="228600" cy="231962"/>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18</xdr:col>
      <xdr:colOff>219075</xdr:colOff>
      <xdr:row>22</xdr:row>
      <xdr:rowOff>57150</xdr:rowOff>
    </xdr:from>
    <xdr:to>
      <xdr:col>18</xdr:col>
      <xdr:colOff>447675</xdr:colOff>
      <xdr:row>23</xdr:row>
      <xdr:rowOff>76200</xdr:rowOff>
    </xdr:to>
    <xdr:sp macro="" textlink="">
      <xdr:nvSpPr>
        <xdr:cNvPr id="27" name="타원 26"/>
        <xdr:cNvSpPr/>
      </xdr:nvSpPr>
      <xdr:spPr>
        <a:xfrm>
          <a:off x="8421781" y="4102474"/>
          <a:ext cx="228600" cy="23196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18</xdr:col>
      <xdr:colOff>304800</xdr:colOff>
      <xdr:row>15</xdr:row>
      <xdr:rowOff>95250</xdr:rowOff>
    </xdr:from>
    <xdr:to>
      <xdr:col>18</xdr:col>
      <xdr:colOff>390525</xdr:colOff>
      <xdr:row>15</xdr:row>
      <xdr:rowOff>180975</xdr:rowOff>
    </xdr:to>
    <xdr:sp macro="" textlink="">
      <xdr:nvSpPr>
        <xdr:cNvPr id="28" name="타원 27"/>
        <xdr:cNvSpPr/>
      </xdr:nvSpPr>
      <xdr:spPr>
        <a:xfrm>
          <a:off x="8507506" y="2650191"/>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18</xdr:col>
      <xdr:colOff>304800</xdr:colOff>
      <xdr:row>16</xdr:row>
      <xdr:rowOff>204107</xdr:rowOff>
    </xdr:from>
    <xdr:to>
      <xdr:col>18</xdr:col>
      <xdr:colOff>390525</xdr:colOff>
      <xdr:row>17</xdr:row>
      <xdr:rowOff>77561</xdr:rowOff>
    </xdr:to>
    <xdr:sp macro="" textlink="">
      <xdr:nvSpPr>
        <xdr:cNvPr id="29" name="타원 28"/>
        <xdr:cNvSpPr/>
      </xdr:nvSpPr>
      <xdr:spPr>
        <a:xfrm>
          <a:off x="8507506" y="2971960"/>
          <a:ext cx="85725" cy="86366"/>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18</xdr:col>
      <xdr:colOff>304800</xdr:colOff>
      <xdr:row>18</xdr:row>
      <xdr:rowOff>155122</xdr:rowOff>
    </xdr:from>
    <xdr:to>
      <xdr:col>18</xdr:col>
      <xdr:colOff>390525</xdr:colOff>
      <xdr:row>19</xdr:row>
      <xdr:rowOff>28576</xdr:rowOff>
    </xdr:to>
    <xdr:sp macro="" textlink="">
      <xdr:nvSpPr>
        <xdr:cNvPr id="30" name="타원 29"/>
        <xdr:cNvSpPr/>
      </xdr:nvSpPr>
      <xdr:spPr>
        <a:xfrm>
          <a:off x="8507506" y="3348798"/>
          <a:ext cx="85725" cy="86366"/>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18</xdr:col>
      <xdr:colOff>447675</xdr:colOff>
      <xdr:row>6</xdr:row>
      <xdr:rowOff>56030</xdr:rowOff>
    </xdr:from>
    <xdr:to>
      <xdr:col>21</xdr:col>
      <xdr:colOff>0</xdr:colOff>
      <xdr:row>7</xdr:row>
      <xdr:rowOff>144556</xdr:rowOff>
    </xdr:to>
    <xdr:cxnSp macro="">
      <xdr:nvCxnSpPr>
        <xdr:cNvPr id="31" name="직선 연결선 30"/>
        <xdr:cNvCxnSpPr>
          <a:stCxn id="24" idx="6"/>
        </xdr:cNvCxnSpPr>
      </xdr:nvCxnSpPr>
      <xdr:spPr>
        <a:xfrm flipV="1">
          <a:off x="11743204" y="694765"/>
          <a:ext cx="930649" cy="30143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219075</xdr:colOff>
      <xdr:row>11</xdr:row>
      <xdr:rowOff>118222</xdr:rowOff>
    </xdr:from>
    <xdr:to>
      <xdr:col>39</xdr:col>
      <xdr:colOff>447675</xdr:colOff>
      <xdr:row>12</xdr:row>
      <xdr:rowOff>137271</xdr:rowOff>
    </xdr:to>
    <xdr:sp macro="" textlink="">
      <xdr:nvSpPr>
        <xdr:cNvPr id="32" name="타원 31"/>
        <xdr:cNvSpPr/>
      </xdr:nvSpPr>
      <xdr:spPr>
        <a:xfrm>
          <a:off x="14766348" y="1780767"/>
          <a:ext cx="228600" cy="22686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39</xdr:col>
      <xdr:colOff>219075</xdr:colOff>
      <xdr:row>13</xdr:row>
      <xdr:rowOff>86845</xdr:rowOff>
    </xdr:from>
    <xdr:to>
      <xdr:col>39</xdr:col>
      <xdr:colOff>447675</xdr:colOff>
      <xdr:row>14</xdr:row>
      <xdr:rowOff>105896</xdr:rowOff>
    </xdr:to>
    <xdr:sp macro="" textlink="">
      <xdr:nvSpPr>
        <xdr:cNvPr id="33" name="타원 32"/>
        <xdr:cNvSpPr/>
      </xdr:nvSpPr>
      <xdr:spPr>
        <a:xfrm>
          <a:off x="15615957" y="2215963"/>
          <a:ext cx="228600" cy="231962"/>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39</xdr:col>
      <xdr:colOff>290146</xdr:colOff>
      <xdr:row>15</xdr:row>
      <xdr:rowOff>7327</xdr:rowOff>
    </xdr:from>
    <xdr:to>
      <xdr:col>39</xdr:col>
      <xdr:colOff>375871</xdr:colOff>
      <xdr:row>15</xdr:row>
      <xdr:rowOff>93052</xdr:rowOff>
    </xdr:to>
    <xdr:sp macro="" textlink="">
      <xdr:nvSpPr>
        <xdr:cNvPr id="34" name="타원 33"/>
        <xdr:cNvSpPr/>
      </xdr:nvSpPr>
      <xdr:spPr>
        <a:xfrm>
          <a:off x="15808569" y="2557096"/>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39</xdr:col>
      <xdr:colOff>290146</xdr:colOff>
      <xdr:row>15</xdr:row>
      <xdr:rowOff>167473</xdr:rowOff>
    </xdr:from>
    <xdr:to>
      <xdr:col>39</xdr:col>
      <xdr:colOff>375871</xdr:colOff>
      <xdr:row>16</xdr:row>
      <xdr:rowOff>40927</xdr:rowOff>
    </xdr:to>
    <xdr:sp macro="" textlink="">
      <xdr:nvSpPr>
        <xdr:cNvPr id="35" name="타원 34"/>
        <xdr:cNvSpPr/>
      </xdr:nvSpPr>
      <xdr:spPr>
        <a:xfrm>
          <a:off x="15808569" y="2717242"/>
          <a:ext cx="85725" cy="8593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39</xdr:col>
      <xdr:colOff>297472</xdr:colOff>
      <xdr:row>16</xdr:row>
      <xdr:rowOff>162449</xdr:rowOff>
    </xdr:from>
    <xdr:to>
      <xdr:col>39</xdr:col>
      <xdr:colOff>383197</xdr:colOff>
      <xdr:row>17</xdr:row>
      <xdr:rowOff>35902</xdr:rowOff>
    </xdr:to>
    <xdr:sp macro="" textlink="">
      <xdr:nvSpPr>
        <xdr:cNvPr id="36" name="타원 35"/>
        <xdr:cNvSpPr/>
      </xdr:nvSpPr>
      <xdr:spPr>
        <a:xfrm>
          <a:off x="15815895" y="2924699"/>
          <a:ext cx="85725" cy="8593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39</xdr:col>
      <xdr:colOff>211748</xdr:colOff>
      <xdr:row>18</xdr:row>
      <xdr:rowOff>64864</xdr:rowOff>
    </xdr:from>
    <xdr:to>
      <xdr:col>39</xdr:col>
      <xdr:colOff>440348</xdr:colOff>
      <xdr:row>19</xdr:row>
      <xdr:rowOff>83915</xdr:rowOff>
    </xdr:to>
    <xdr:sp macro="" textlink="">
      <xdr:nvSpPr>
        <xdr:cNvPr id="37" name="타원 36"/>
        <xdr:cNvSpPr/>
      </xdr:nvSpPr>
      <xdr:spPr>
        <a:xfrm>
          <a:off x="15730171" y="3252076"/>
          <a:ext cx="228600" cy="23153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41</xdr:col>
      <xdr:colOff>534828</xdr:colOff>
      <xdr:row>4</xdr:row>
      <xdr:rowOff>136507</xdr:rowOff>
    </xdr:from>
    <xdr:to>
      <xdr:col>50</xdr:col>
      <xdr:colOff>14925</xdr:colOff>
      <xdr:row>25</xdr:row>
      <xdr:rowOff>43956</xdr:rowOff>
    </xdr:to>
    <xdr:pic>
      <xdr:nvPicPr>
        <xdr:cNvPr id="38" name="그림 37">
          <a:extLst>
            <a:ext uri="{FF2B5EF4-FFF2-40B4-BE49-F238E27FC236}">
              <a16:creationId xmlns:a16="http://schemas.microsoft.com/office/drawing/2014/main" id="{C563240D-81EC-4FA0-AFAF-C18B521CC1E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1826004" y="349419"/>
          <a:ext cx="5632127" cy="4378596"/>
        </a:xfrm>
        <a:prstGeom prst="rect">
          <a:avLst/>
        </a:prstGeom>
      </xdr:spPr>
    </xdr:pic>
    <xdr:clientData/>
  </xdr:twoCellAnchor>
  <xdr:twoCellAnchor>
    <xdr:from>
      <xdr:col>2</xdr:col>
      <xdr:colOff>282818</xdr:colOff>
      <xdr:row>45</xdr:row>
      <xdr:rowOff>153866</xdr:rowOff>
    </xdr:from>
    <xdr:to>
      <xdr:col>2</xdr:col>
      <xdr:colOff>368543</xdr:colOff>
      <xdr:row>46</xdr:row>
      <xdr:rowOff>27110</xdr:rowOff>
    </xdr:to>
    <xdr:sp macro="" textlink="">
      <xdr:nvSpPr>
        <xdr:cNvPr id="40" name="타원 39"/>
        <xdr:cNvSpPr/>
      </xdr:nvSpPr>
      <xdr:spPr>
        <a:xfrm>
          <a:off x="1660280" y="9078058"/>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xdr:col>
      <xdr:colOff>282818</xdr:colOff>
      <xdr:row>47</xdr:row>
      <xdr:rowOff>50242</xdr:rowOff>
    </xdr:from>
    <xdr:to>
      <xdr:col>2</xdr:col>
      <xdr:colOff>368543</xdr:colOff>
      <xdr:row>47</xdr:row>
      <xdr:rowOff>136177</xdr:rowOff>
    </xdr:to>
    <xdr:sp macro="" textlink="">
      <xdr:nvSpPr>
        <xdr:cNvPr id="41" name="타원 40"/>
        <xdr:cNvSpPr/>
      </xdr:nvSpPr>
      <xdr:spPr>
        <a:xfrm>
          <a:off x="1660280" y="9399396"/>
          <a:ext cx="85725" cy="8593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xdr:col>
      <xdr:colOff>282818</xdr:colOff>
      <xdr:row>49</xdr:row>
      <xdr:rowOff>1258</xdr:rowOff>
    </xdr:from>
    <xdr:to>
      <xdr:col>2</xdr:col>
      <xdr:colOff>368543</xdr:colOff>
      <xdr:row>49</xdr:row>
      <xdr:rowOff>87192</xdr:rowOff>
    </xdr:to>
    <xdr:sp macro="" textlink="">
      <xdr:nvSpPr>
        <xdr:cNvPr id="42" name="타원 41"/>
        <xdr:cNvSpPr/>
      </xdr:nvSpPr>
      <xdr:spPr>
        <a:xfrm>
          <a:off x="1660280" y="9775373"/>
          <a:ext cx="85725" cy="8593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35</xdr:col>
      <xdr:colOff>219075</xdr:colOff>
      <xdr:row>7</xdr:row>
      <xdr:rowOff>28575</xdr:rowOff>
    </xdr:from>
    <xdr:to>
      <xdr:col>35</xdr:col>
      <xdr:colOff>447675</xdr:colOff>
      <xdr:row>8</xdr:row>
      <xdr:rowOff>47625</xdr:rowOff>
    </xdr:to>
    <xdr:sp macro="" textlink="">
      <xdr:nvSpPr>
        <xdr:cNvPr id="43" name="타원 42"/>
        <xdr:cNvSpPr/>
      </xdr:nvSpPr>
      <xdr:spPr>
        <a:xfrm>
          <a:off x="11514604" y="880222"/>
          <a:ext cx="228600" cy="231962"/>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35</xdr:col>
      <xdr:colOff>219075</xdr:colOff>
      <xdr:row>9</xdr:row>
      <xdr:rowOff>28575</xdr:rowOff>
    </xdr:from>
    <xdr:to>
      <xdr:col>35</xdr:col>
      <xdr:colOff>447675</xdr:colOff>
      <xdr:row>10</xdr:row>
      <xdr:rowOff>47625</xdr:rowOff>
    </xdr:to>
    <xdr:sp macro="" textlink="">
      <xdr:nvSpPr>
        <xdr:cNvPr id="44" name="타원 43"/>
        <xdr:cNvSpPr/>
      </xdr:nvSpPr>
      <xdr:spPr>
        <a:xfrm>
          <a:off x="11514604" y="1306046"/>
          <a:ext cx="228600" cy="23196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35</xdr:col>
      <xdr:colOff>219075</xdr:colOff>
      <xdr:row>11</xdr:row>
      <xdr:rowOff>142875</xdr:rowOff>
    </xdr:from>
    <xdr:to>
      <xdr:col>35</xdr:col>
      <xdr:colOff>447675</xdr:colOff>
      <xdr:row>12</xdr:row>
      <xdr:rowOff>161925</xdr:rowOff>
    </xdr:to>
    <xdr:sp macro="" textlink="">
      <xdr:nvSpPr>
        <xdr:cNvPr id="45" name="타원 44"/>
        <xdr:cNvSpPr/>
      </xdr:nvSpPr>
      <xdr:spPr>
        <a:xfrm>
          <a:off x="11514604" y="1846169"/>
          <a:ext cx="228600" cy="231962"/>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35</xdr:col>
      <xdr:colOff>219075</xdr:colOff>
      <xdr:row>22</xdr:row>
      <xdr:rowOff>57150</xdr:rowOff>
    </xdr:from>
    <xdr:to>
      <xdr:col>35</xdr:col>
      <xdr:colOff>447675</xdr:colOff>
      <xdr:row>23</xdr:row>
      <xdr:rowOff>76200</xdr:rowOff>
    </xdr:to>
    <xdr:sp macro="" textlink="">
      <xdr:nvSpPr>
        <xdr:cNvPr id="46" name="타원 45"/>
        <xdr:cNvSpPr/>
      </xdr:nvSpPr>
      <xdr:spPr>
        <a:xfrm>
          <a:off x="11514604" y="4102474"/>
          <a:ext cx="228600" cy="23196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35</xdr:col>
      <xdr:colOff>304800</xdr:colOff>
      <xdr:row>15</xdr:row>
      <xdr:rowOff>95250</xdr:rowOff>
    </xdr:from>
    <xdr:to>
      <xdr:col>35</xdr:col>
      <xdr:colOff>390525</xdr:colOff>
      <xdr:row>15</xdr:row>
      <xdr:rowOff>180975</xdr:rowOff>
    </xdr:to>
    <xdr:sp macro="" textlink="">
      <xdr:nvSpPr>
        <xdr:cNvPr id="47" name="타원 46"/>
        <xdr:cNvSpPr/>
      </xdr:nvSpPr>
      <xdr:spPr>
        <a:xfrm>
          <a:off x="11600329" y="2650191"/>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35</xdr:col>
      <xdr:colOff>304800</xdr:colOff>
      <xdr:row>16</xdr:row>
      <xdr:rowOff>204107</xdr:rowOff>
    </xdr:from>
    <xdr:to>
      <xdr:col>35</xdr:col>
      <xdr:colOff>390525</xdr:colOff>
      <xdr:row>17</xdr:row>
      <xdr:rowOff>77561</xdr:rowOff>
    </xdr:to>
    <xdr:sp macro="" textlink="">
      <xdr:nvSpPr>
        <xdr:cNvPr id="48" name="타원 47"/>
        <xdr:cNvSpPr/>
      </xdr:nvSpPr>
      <xdr:spPr>
        <a:xfrm>
          <a:off x="11600329" y="2971960"/>
          <a:ext cx="85725" cy="86366"/>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35</xdr:col>
      <xdr:colOff>304800</xdr:colOff>
      <xdr:row>18</xdr:row>
      <xdr:rowOff>155122</xdr:rowOff>
    </xdr:from>
    <xdr:to>
      <xdr:col>35</xdr:col>
      <xdr:colOff>390525</xdr:colOff>
      <xdr:row>19</xdr:row>
      <xdr:rowOff>28576</xdr:rowOff>
    </xdr:to>
    <xdr:sp macro="" textlink="">
      <xdr:nvSpPr>
        <xdr:cNvPr id="49" name="타원 48"/>
        <xdr:cNvSpPr/>
      </xdr:nvSpPr>
      <xdr:spPr>
        <a:xfrm>
          <a:off x="11600329" y="3348798"/>
          <a:ext cx="85725" cy="86366"/>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40</xdr:col>
      <xdr:colOff>317361</xdr:colOff>
      <xdr:row>15</xdr:row>
      <xdr:rowOff>18213</xdr:rowOff>
    </xdr:from>
    <xdr:to>
      <xdr:col>40</xdr:col>
      <xdr:colOff>403086</xdr:colOff>
      <xdr:row>15</xdr:row>
      <xdr:rowOff>103938</xdr:rowOff>
    </xdr:to>
    <xdr:sp macro="" textlink="">
      <xdr:nvSpPr>
        <xdr:cNvPr id="50" name="타원 49"/>
        <xdr:cNvSpPr/>
      </xdr:nvSpPr>
      <xdr:spPr>
        <a:xfrm>
          <a:off x="21087304" y="2565470"/>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40</xdr:col>
      <xdr:colOff>317361</xdr:colOff>
      <xdr:row>15</xdr:row>
      <xdr:rowOff>178359</xdr:rowOff>
    </xdr:from>
    <xdr:to>
      <xdr:col>40</xdr:col>
      <xdr:colOff>403086</xdr:colOff>
      <xdr:row>16</xdr:row>
      <xdr:rowOff>51813</xdr:rowOff>
    </xdr:to>
    <xdr:sp macro="" textlink="">
      <xdr:nvSpPr>
        <xdr:cNvPr id="51" name="타원 50"/>
        <xdr:cNvSpPr/>
      </xdr:nvSpPr>
      <xdr:spPr>
        <a:xfrm>
          <a:off x="21087304" y="2725616"/>
          <a:ext cx="85725" cy="85726"/>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40</xdr:col>
      <xdr:colOff>324687</xdr:colOff>
      <xdr:row>16</xdr:row>
      <xdr:rowOff>173335</xdr:rowOff>
    </xdr:from>
    <xdr:to>
      <xdr:col>40</xdr:col>
      <xdr:colOff>410412</xdr:colOff>
      <xdr:row>17</xdr:row>
      <xdr:rowOff>46788</xdr:rowOff>
    </xdr:to>
    <xdr:sp macro="" textlink="">
      <xdr:nvSpPr>
        <xdr:cNvPr id="52" name="타원 51"/>
        <xdr:cNvSpPr/>
      </xdr:nvSpPr>
      <xdr:spPr>
        <a:xfrm>
          <a:off x="21094630" y="2932864"/>
          <a:ext cx="85725" cy="8572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12</xdr:col>
      <xdr:colOff>219075</xdr:colOff>
      <xdr:row>7</xdr:row>
      <xdr:rowOff>28575</xdr:rowOff>
    </xdr:from>
    <xdr:to>
      <xdr:col>12</xdr:col>
      <xdr:colOff>447675</xdr:colOff>
      <xdr:row>8</xdr:row>
      <xdr:rowOff>47625</xdr:rowOff>
    </xdr:to>
    <xdr:sp macro="" textlink="">
      <xdr:nvSpPr>
        <xdr:cNvPr id="3" name="타원 2"/>
        <xdr:cNvSpPr/>
      </xdr:nvSpPr>
      <xdr:spPr>
        <a:xfrm>
          <a:off x="8448675" y="14954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12</xdr:col>
      <xdr:colOff>219075</xdr:colOff>
      <xdr:row>9</xdr:row>
      <xdr:rowOff>28575</xdr:rowOff>
    </xdr:from>
    <xdr:to>
      <xdr:col>12</xdr:col>
      <xdr:colOff>447675</xdr:colOff>
      <xdr:row>10</xdr:row>
      <xdr:rowOff>47625</xdr:rowOff>
    </xdr:to>
    <xdr:sp macro="" textlink="">
      <xdr:nvSpPr>
        <xdr:cNvPr id="4" name="타원 3"/>
        <xdr:cNvSpPr/>
      </xdr:nvSpPr>
      <xdr:spPr>
        <a:xfrm>
          <a:off x="8448675" y="19145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12</xdr:col>
      <xdr:colOff>219075</xdr:colOff>
      <xdr:row>11</xdr:row>
      <xdr:rowOff>142875</xdr:rowOff>
    </xdr:from>
    <xdr:to>
      <xdr:col>12</xdr:col>
      <xdr:colOff>447675</xdr:colOff>
      <xdr:row>12</xdr:row>
      <xdr:rowOff>161925</xdr:rowOff>
    </xdr:to>
    <xdr:sp macro="" textlink="">
      <xdr:nvSpPr>
        <xdr:cNvPr id="5" name="타원 4"/>
        <xdr:cNvSpPr/>
      </xdr:nvSpPr>
      <xdr:spPr>
        <a:xfrm>
          <a:off x="8448675" y="24479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12</xdr:col>
      <xdr:colOff>219075</xdr:colOff>
      <xdr:row>22</xdr:row>
      <xdr:rowOff>57150</xdr:rowOff>
    </xdr:from>
    <xdr:to>
      <xdr:col>12</xdr:col>
      <xdr:colOff>447675</xdr:colOff>
      <xdr:row>23</xdr:row>
      <xdr:rowOff>76200</xdr:rowOff>
    </xdr:to>
    <xdr:sp macro="" textlink="">
      <xdr:nvSpPr>
        <xdr:cNvPr id="6" name="타원 5"/>
        <xdr:cNvSpPr/>
      </xdr:nvSpPr>
      <xdr:spPr>
        <a:xfrm>
          <a:off x="8448675" y="4667250"/>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12</xdr:col>
      <xdr:colOff>304800</xdr:colOff>
      <xdr:row>15</xdr:row>
      <xdr:rowOff>95250</xdr:rowOff>
    </xdr:from>
    <xdr:to>
      <xdr:col>12</xdr:col>
      <xdr:colOff>390525</xdr:colOff>
      <xdr:row>15</xdr:row>
      <xdr:rowOff>180975</xdr:rowOff>
    </xdr:to>
    <xdr:sp macro="" textlink="">
      <xdr:nvSpPr>
        <xdr:cNvPr id="7" name="타원 6"/>
        <xdr:cNvSpPr/>
      </xdr:nvSpPr>
      <xdr:spPr>
        <a:xfrm>
          <a:off x="8534400" y="3238500"/>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12</xdr:col>
      <xdr:colOff>304800</xdr:colOff>
      <xdr:row>16</xdr:row>
      <xdr:rowOff>204107</xdr:rowOff>
    </xdr:from>
    <xdr:to>
      <xdr:col>12</xdr:col>
      <xdr:colOff>390525</xdr:colOff>
      <xdr:row>17</xdr:row>
      <xdr:rowOff>77561</xdr:rowOff>
    </xdr:to>
    <xdr:sp macro="" textlink="">
      <xdr:nvSpPr>
        <xdr:cNvPr id="8" name="타원 7"/>
        <xdr:cNvSpPr/>
      </xdr:nvSpPr>
      <xdr:spPr>
        <a:xfrm>
          <a:off x="8534400" y="3556907"/>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12</xdr:col>
      <xdr:colOff>304800</xdr:colOff>
      <xdr:row>18</xdr:row>
      <xdr:rowOff>155122</xdr:rowOff>
    </xdr:from>
    <xdr:to>
      <xdr:col>12</xdr:col>
      <xdr:colOff>390525</xdr:colOff>
      <xdr:row>19</xdr:row>
      <xdr:rowOff>28576</xdr:rowOff>
    </xdr:to>
    <xdr:sp macro="" textlink="">
      <xdr:nvSpPr>
        <xdr:cNvPr id="9" name="타원 8"/>
        <xdr:cNvSpPr/>
      </xdr:nvSpPr>
      <xdr:spPr>
        <a:xfrm>
          <a:off x="8534400" y="3927022"/>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12</xdr:col>
      <xdr:colOff>447675</xdr:colOff>
      <xdr:row>5</xdr:row>
      <xdr:rowOff>142875</xdr:rowOff>
    </xdr:from>
    <xdr:to>
      <xdr:col>14</xdr:col>
      <xdr:colOff>0</xdr:colOff>
      <xdr:row>7</xdr:row>
      <xdr:rowOff>142875</xdr:rowOff>
    </xdr:to>
    <xdr:cxnSp macro="">
      <xdr:nvCxnSpPr>
        <xdr:cNvPr id="10" name="직선 연결선 9"/>
        <xdr:cNvCxnSpPr>
          <a:stCxn id="3" idx="6"/>
        </xdr:cNvCxnSpPr>
      </xdr:nvCxnSpPr>
      <xdr:spPr>
        <a:xfrm flipV="1">
          <a:off x="8677275" y="1190625"/>
          <a:ext cx="923925"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219075</xdr:colOff>
      <xdr:row>7</xdr:row>
      <xdr:rowOff>28575</xdr:rowOff>
    </xdr:from>
    <xdr:to>
      <xdr:col>21</xdr:col>
      <xdr:colOff>447675</xdr:colOff>
      <xdr:row>8</xdr:row>
      <xdr:rowOff>47625</xdr:rowOff>
    </xdr:to>
    <xdr:sp macro="" textlink="">
      <xdr:nvSpPr>
        <xdr:cNvPr id="11" name="타원 10"/>
        <xdr:cNvSpPr/>
      </xdr:nvSpPr>
      <xdr:spPr>
        <a:xfrm>
          <a:off x="11563350" y="14954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21</xdr:col>
      <xdr:colOff>219075</xdr:colOff>
      <xdr:row>9</xdr:row>
      <xdr:rowOff>28575</xdr:rowOff>
    </xdr:from>
    <xdr:to>
      <xdr:col>21</xdr:col>
      <xdr:colOff>447675</xdr:colOff>
      <xdr:row>10</xdr:row>
      <xdr:rowOff>47625</xdr:rowOff>
    </xdr:to>
    <xdr:sp macro="" textlink="">
      <xdr:nvSpPr>
        <xdr:cNvPr id="12" name="타원 11"/>
        <xdr:cNvSpPr/>
      </xdr:nvSpPr>
      <xdr:spPr>
        <a:xfrm>
          <a:off x="11563350" y="19145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21</xdr:col>
      <xdr:colOff>219075</xdr:colOff>
      <xdr:row>11</xdr:row>
      <xdr:rowOff>142875</xdr:rowOff>
    </xdr:from>
    <xdr:to>
      <xdr:col>21</xdr:col>
      <xdr:colOff>447675</xdr:colOff>
      <xdr:row>12</xdr:row>
      <xdr:rowOff>161925</xdr:rowOff>
    </xdr:to>
    <xdr:sp macro="" textlink="">
      <xdr:nvSpPr>
        <xdr:cNvPr id="13" name="타원 12"/>
        <xdr:cNvSpPr/>
      </xdr:nvSpPr>
      <xdr:spPr>
        <a:xfrm>
          <a:off x="11563350" y="24479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21</xdr:col>
      <xdr:colOff>219075</xdr:colOff>
      <xdr:row>22</xdr:row>
      <xdr:rowOff>57150</xdr:rowOff>
    </xdr:from>
    <xdr:to>
      <xdr:col>21</xdr:col>
      <xdr:colOff>447675</xdr:colOff>
      <xdr:row>23</xdr:row>
      <xdr:rowOff>76200</xdr:rowOff>
    </xdr:to>
    <xdr:sp macro="" textlink="">
      <xdr:nvSpPr>
        <xdr:cNvPr id="14" name="타원 13"/>
        <xdr:cNvSpPr/>
      </xdr:nvSpPr>
      <xdr:spPr>
        <a:xfrm>
          <a:off x="11563350" y="4667250"/>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21</xdr:col>
      <xdr:colOff>304800</xdr:colOff>
      <xdr:row>15</xdr:row>
      <xdr:rowOff>95250</xdr:rowOff>
    </xdr:from>
    <xdr:to>
      <xdr:col>21</xdr:col>
      <xdr:colOff>390525</xdr:colOff>
      <xdr:row>15</xdr:row>
      <xdr:rowOff>180975</xdr:rowOff>
    </xdr:to>
    <xdr:sp macro="" textlink="">
      <xdr:nvSpPr>
        <xdr:cNvPr id="15" name="타원 14"/>
        <xdr:cNvSpPr/>
      </xdr:nvSpPr>
      <xdr:spPr>
        <a:xfrm>
          <a:off x="11649075" y="3238500"/>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21</xdr:col>
      <xdr:colOff>304800</xdr:colOff>
      <xdr:row>16</xdr:row>
      <xdr:rowOff>204107</xdr:rowOff>
    </xdr:from>
    <xdr:to>
      <xdr:col>21</xdr:col>
      <xdr:colOff>390525</xdr:colOff>
      <xdr:row>17</xdr:row>
      <xdr:rowOff>77561</xdr:rowOff>
    </xdr:to>
    <xdr:sp macro="" textlink="">
      <xdr:nvSpPr>
        <xdr:cNvPr id="16" name="타원 15"/>
        <xdr:cNvSpPr/>
      </xdr:nvSpPr>
      <xdr:spPr>
        <a:xfrm>
          <a:off x="11649075" y="3556907"/>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21</xdr:col>
      <xdr:colOff>304800</xdr:colOff>
      <xdr:row>18</xdr:row>
      <xdr:rowOff>155122</xdr:rowOff>
    </xdr:from>
    <xdr:to>
      <xdr:col>21</xdr:col>
      <xdr:colOff>390525</xdr:colOff>
      <xdr:row>19</xdr:row>
      <xdr:rowOff>28576</xdr:rowOff>
    </xdr:to>
    <xdr:sp macro="" textlink="">
      <xdr:nvSpPr>
        <xdr:cNvPr id="17" name="타원 16"/>
        <xdr:cNvSpPr/>
      </xdr:nvSpPr>
      <xdr:spPr>
        <a:xfrm>
          <a:off x="11649075" y="3927022"/>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21</xdr:col>
      <xdr:colOff>447675</xdr:colOff>
      <xdr:row>6</xdr:row>
      <xdr:rowOff>56030</xdr:rowOff>
    </xdr:from>
    <xdr:to>
      <xdr:col>24</xdr:col>
      <xdr:colOff>0</xdr:colOff>
      <xdr:row>7</xdr:row>
      <xdr:rowOff>144556</xdr:rowOff>
    </xdr:to>
    <xdr:cxnSp macro="">
      <xdr:nvCxnSpPr>
        <xdr:cNvPr id="18" name="직선 연결선 17"/>
        <xdr:cNvCxnSpPr>
          <a:stCxn id="11" idx="6"/>
        </xdr:cNvCxnSpPr>
      </xdr:nvCxnSpPr>
      <xdr:spPr>
        <a:xfrm flipV="1">
          <a:off x="11791950" y="1313330"/>
          <a:ext cx="942975" cy="29807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219075</xdr:colOff>
      <xdr:row>11</xdr:row>
      <xdr:rowOff>118222</xdr:rowOff>
    </xdr:from>
    <xdr:to>
      <xdr:col>39</xdr:col>
      <xdr:colOff>447675</xdr:colOff>
      <xdr:row>12</xdr:row>
      <xdr:rowOff>137271</xdr:rowOff>
    </xdr:to>
    <xdr:sp macro="" textlink="">
      <xdr:nvSpPr>
        <xdr:cNvPr id="19" name="타원 18"/>
        <xdr:cNvSpPr/>
      </xdr:nvSpPr>
      <xdr:spPr>
        <a:xfrm>
          <a:off x="21345525" y="2423272"/>
          <a:ext cx="228600" cy="228599"/>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39</xdr:col>
      <xdr:colOff>219075</xdr:colOff>
      <xdr:row>13</xdr:row>
      <xdr:rowOff>86845</xdr:rowOff>
    </xdr:from>
    <xdr:to>
      <xdr:col>39</xdr:col>
      <xdr:colOff>447675</xdr:colOff>
      <xdr:row>14</xdr:row>
      <xdr:rowOff>105896</xdr:rowOff>
    </xdr:to>
    <xdr:sp macro="" textlink="">
      <xdr:nvSpPr>
        <xdr:cNvPr id="20" name="타원 19"/>
        <xdr:cNvSpPr/>
      </xdr:nvSpPr>
      <xdr:spPr>
        <a:xfrm>
          <a:off x="21345525" y="2810995"/>
          <a:ext cx="228600" cy="22860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39</xdr:col>
      <xdr:colOff>290146</xdr:colOff>
      <xdr:row>15</xdr:row>
      <xdr:rowOff>7327</xdr:rowOff>
    </xdr:from>
    <xdr:to>
      <xdr:col>39</xdr:col>
      <xdr:colOff>375871</xdr:colOff>
      <xdr:row>15</xdr:row>
      <xdr:rowOff>93052</xdr:rowOff>
    </xdr:to>
    <xdr:sp macro="" textlink="">
      <xdr:nvSpPr>
        <xdr:cNvPr id="21" name="타원 20"/>
        <xdr:cNvSpPr/>
      </xdr:nvSpPr>
      <xdr:spPr>
        <a:xfrm>
          <a:off x="21416596" y="3150577"/>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39</xdr:col>
      <xdr:colOff>290146</xdr:colOff>
      <xdr:row>15</xdr:row>
      <xdr:rowOff>167473</xdr:rowOff>
    </xdr:from>
    <xdr:to>
      <xdr:col>39</xdr:col>
      <xdr:colOff>375871</xdr:colOff>
      <xdr:row>16</xdr:row>
      <xdr:rowOff>40927</xdr:rowOff>
    </xdr:to>
    <xdr:sp macro="" textlink="">
      <xdr:nvSpPr>
        <xdr:cNvPr id="22" name="타원 21"/>
        <xdr:cNvSpPr/>
      </xdr:nvSpPr>
      <xdr:spPr>
        <a:xfrm>
          <a:off x="21416596" y="3310723"/>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39</xdr:col>
      <xdr:colOff>297472</xdr:colOff>
      <xdr:row>16</xdr:row>
      <xdr:rowOff>162449</xdr:rowOff>
    </xdr:from>
    <xdr:to>
      <xdr:col>39</xdr:col>
      <xdr:colOff>383197</xdr:colOff>
      <xdr:row>17</xdr:row>
      <xdr:rowOff>35902</xdr:rowOff>
    </xdr:to>
    <xdr:sp macro="" textlink="">
      <xdr:nvSpPr>
        <xdr:cNvPr id="23" name="타원 22"/>
        <xdr:cNvSpPr/>
      </xdr:nvSpPr>
      <xdr:spPr>
        <a:xfrm>
          <a:off x="21423922" y="3515249"/>
          <a:ext cx="85725" cy="83003"/>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39</xdr:col>
      <xdr:colOff>211748</xdr:colOff>
      <xdr:row>18</xdr:row>
      <xdr:rowOff>64864</xdr:rowOff>
    </xdr:from>
    <xdr:to>
      <xdr:col>39</xdr:col>
      <xdr:colOff>440348</xdr:colOff>
      <xdr:row>19</xdr:row>
      <xdr:rowOff>83915</xdr:rowOff>
    </xdr:to>
    <xdr:sp macro="" textlink="">
      <xdr:nvSpPr>
        <xdr:cNvPr id="24" name="타원 23"/>
        <xdr:cNvSpPr/>
      </xdr:nvSpPr>
      <xdr:spPr>
        <a:xfrm>
          <a:off x="21338198" y="3836764"/>
          <a:ext cx="228600" cy="22860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41</xdr:col>
      <xdr:colOff>534828</xdr:colOff>
      <xdr:row>4</xdr:row>
      <xdr:rowOff>136507</xdr:rowOff>
    </xdr:from>
    <xdr:to>
      <xdr:col>50</xdr:col>
      <xdr:colOff>14926</xdr:colOff>
      <xdr:row>25</xdr:row>
      <xdr:rowOff>43956</xdr:rowOff>
    </xdr:to>
    <xdr:pic>
      <xdr:nvPicPr>
        <xdr:cNvPr id="25" name="그림 24">
          <a:extLst>
            <a:ext uri="{FF2B5EF4-FFF2-40B4-BE49-F238E27FC236}">
              <a16:creationId xmlns:a16="http://schemas.microsoft.com/office/drawing/2014/main" id="{C563240D-81EC-4FA0-AFAF-C18B521CC1E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3032878" y="974707"/>
          <a:ext cx="5652297" cy="4307999"/>
        </a:xfrm>
        <a:prstGeom prst="rect">
          <a:avLst/>
        </a:prstGeom>
      </xdr:spPr>
    </xdr:pic>
    <xdr:clientData/>
  </xdr:twoCellAnchor>
  <xdr:twoCellAnchor>
    <xdr:from>
      <xdr:col>2</xdr:col>
      <xdr:colOff>282818</xdr:colOff>
      <xdr:row>45</xdr:row>
      <xdr:rowOff>153866</xdr:rowOff>
    </xdr:from>
    <xdr:to>
      <xdr:col>2</xdr:col>
      <xdr:colOff>368543</xdr:colOff>
      <xdr:row>46</xdr:row>
      <xdr:rowOff>27110</xdr:rowOff>
    </xdr:to>
    <xdr:sp macro="" textlink="">
      <xdr:nvSpPr>
        <xdr:cNvPr id="26" name="타원 25"/>
        <xdr:cNvSpPr/>
      </xdr:nvSpPr>
      <xdr:spPr>
        <a:xfrm>
          <a:off x="1654418" y="9583616"/>
          <a:ext cx="85725" cy="8279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xdr:col>
      <xdr:colOff>282818</xdr:colOff>
      <xdr:row>47</xdr:row>
      <xdr:rowOff>50242</xdr:rowOff>
    </xdr:from>
    <xdr:to>
      <xdr:col>2</xdr:col>
      <xdr:colOff>368543</xdr:colOff>
      <xdr:row>47</xdr:row>
      <xdr:rowOff>136177</xdr:rowOff>
    </xdr:to>
    <xdr:sp macro="" textlink="">
      <xdr:nvSpPr>
        <xdr:cNvPr id="27" name="타원 26"/>
        <xdr:cNvSpPr/>
      </xdr:nvSpPr>
      <xdr:spPr>
        <a:xfrm>
          <a:off x="1654418" y="9899092"/>
          <a:ext cx="85725" cy="8593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xdr:col>
      <xdr:colOff>282818</xdr:colOff>
      <xdr:row>49</xdr:row>
      <xdr:rowOff>1258</xdr:rowOff>
    </xdr:from>
    <xdr:to>
      <xdr:col>2</xdr:col>
      <xdr:colOff>368543</xdr:colOff>
      <xdr:row>49</xdr:row>
      <xdr:rowOff>87192</xdr:rowOff>
    </xdr:to>
    <xdr:sp macro="" textlink="">
      <xdr:nvSpPr>
        <xdr:cNvPr id="28" name="타원 27"/>
        <xdr:cNvSpPr/>
      </xdr:nvSpPr>
      <xdr:spPr>
        <a:xfrm>
          <a:off x="1654418" y="10269208"/>
          <a:ext cx="85725" cy="8593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35</xdr:col>
      <xdr:colOff>219075</xdr:colOff>
      <xdr:row>7</xdr:row>
      <xdr:rowOff>28575</xdr:rowOff>
    </xdr:from>
    <xdr:to>
      <xdr:col>35</xdr:col>
      <xdr:colOff>447675</xdr:colOff>
      <xdr:row>8</xdr:row>
      <xdr:rowOff>47625</xdr:rowOff>
    </xdr:to>
    <xdr:sp macro="" textlink="">
      <xdr:nvSpPr>
        <xdr:cNvPr id="29" name="타원 28"/>
        <xdr:cNvSpPr/>
      </xdr:nvSpPr>
      <xdr:spPr>
        <a:xfrm>
          <a:off x="18935700" y="14954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35</xdr:col>
      <xdr:colOff>219075</xdr:colOff>
      <xdr:row>9</xdr:row>
      <xdr:rowOff>28575</xdr:rowOff>
    </xdr:from>
    <xdr:to>
      <xdr:col>35</xdr:col>
      <xdr:colOff>447675</xdr:colOff>
      <xdr:row>10</xdr:row>
      <xdr:rowOff>47625</xdr:rowOff>
    </xdr:to>
    <xdr:sp macro="" textlink="">
      <xdr:nvSpPr>
        <xdr:cNvPr id="30" name="타원 29"/>
        <xdr:cNvSpPr/>
      </xdr:nvSpPr>
      <xdr:spPr>
        <a:xfrm>
          <a:off x="18935700" y="19145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35</xdr:col>
      <xdr:colOff>219075</xdr:colOff>
      <xdr:row>11</xdr:row>
      <xdr:rowOff>142875</xdr:rowOff>
    </xdr:from>
    <xdr:to>
      <xdr:col>35</xdr:col>
      <xdr:colOff>447675</xdr:colOff>
      <xdr:row>12</xdr:row>
      <xdr:rowOff>161925</xdr:rowOff>
    </xdr:to>
    <xdr:sp macro="" textlink="">
      <xdr:nvSpPr>
        <xdr:cNvPr id="31" name="타원 30"/>
        <xdr:cNvSpPr/>
      </xdr:nvSpPr>
      <xdr:spPr>
        <a:xfrm>
          <a:off x="18935700" y="24479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35</xdr:col>
      <xdr:colOff>219075</xdr:colOff>
      <xdr:row>22</xdr:row>
      <xdr:rowOff>57150</xdr:rowOff>
    </xdr:from>
    <xdr:to>
      <xdr:col>35</xdr:col>
      <xdr:colOff>447675</xdr:colOff>
      <xdr:row>23</xdr:row>
      <xdr:rowOff>76200</xdr:rowOff>
    </xdr:to>
    <xdr:sp macro="" textlink="">
      <xdr:nvSpPr>
        <xdr:cNvPr id="32" name="타원 31"/>
        <xdr:cNvSpPr/>
      </xdr:nvSpPr>
      <xdr:spPr>
        <a:xfrm>
          <a:off x="18935700" y="4667250"/>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35</xdr:col>
      <xdr:colOff>304800</xdr:colOff>
      <xdr:row>15</xdr:row>
      <xdr:rowOff>95250</xdr:rowOff>
    </xdr:from>
    <xdr:to>
      <xdr:col>35</xdr:col>
      <xdr:colOff>390525</xdr:colOff>
      <xdr:row>15</xdr:row>
      <xdr:rowOff>180975</xdr:rowOff>
    </xdr:to>
    <xdr:sp macro="" textlink="">
      <xdr:nvSpPr>
        <xdr:cNvPr id="33" name="타원 32"/>
        <xdr:cNvSpPr/>
      </xdr:nvSpPr>
      <xdr:spPr>
        <a:xfrm>
          <a:off x="19021425" y="3238500"/>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35</xdr:col>
      <xdr:colOff>304800</xdr:colOff>
      <xdr:row>16</xdr:row>
      <xdr:rowOff>204107</xdr:rowOff>
    </xdr:from>
    <xdr:to>
      <xdr:col>35</xdr:col>
      <xdr:colOff>390525</xdr:colOff>
      <xdr:row>17</xdr:row>
      <xdr:rowOff>77561</xdr:rowOff>
    </xdr:to>
    <xdr:sp macro="" textlink="">
      <xdr:nvSpPr>
        <xdr:cNvPr id="34" name="타원 33"/>
        <xdr:cNvSpPr/>
      </xdr:nvSpPr>
      <xdr:spPr>
        <a:xfrm>
          <a:off x="19021425" y="3556907"/>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35</xdr:col>
      <xdr:colOff>304800</xdr:colOff>
      <xdr:row>18</xdr:row>
      <xdr:rowOff>155122</xdr:rowOff>
    </xdr:from>
    <xdr:to>
      <xdr:col>35</xdr:col>
      <xdr:colOff>390525</xdr:colOff>
      <xdr:row>19</xdr:row>
      <xdr:rowOff>28576</xdr:rowOff>
    </xdr:to>
    <xdr:sp macro="" textlink="">
      <xdr:nvSpPr>
        <xdr:cNvPr id="35" name="타원 34"/>
        <xdr:cNvSpPr/>
      </xdr:nvSpPr>
      <xdr:spPr>
        <a:xfrm>
          <a:off x="19021425" y="3927022"/>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40</xdr:col>
      <xdr:colOff>317361</xdr:colOff>
      <xdr:row>15</xdr:row>
      <xdr:rowOff>18213</xdr:rowOff>
    </xdr:from>
    <xdr:to>
      <xdr:col>40</xdr:col>
      <xdr:colOff>403086</xdr:colOff>
      <xdr:row>15</xdr:row>
      <xdr:rowOff>103938</xdr:rowOff>
    </xdr:to>
    <xdr:sp macro="" textlink="">
      <xdr:nvSpPr>
        <xdr:cNvPr id="36" name="타원 35"/>
        <xdr:cNvSpPr/>
      </xdr:nvSpPr>
      <xdr:spPr>
        <a:xfrm>
          <a:off x="22129611" y="3161463"/>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40</xdr:col>
      <xdr:colOff>317361</xdr:colOff>
      <xdr:row>15</xdr:row>
      <xdr:rowOff>178359</xdr:rowOff>
    </xdr:from>
    <xdr:to>
      <xdr:col>40</xdr:col>
      <xdr:colOff>403086</xdr:colOff>
      <xdr:row>16</xdr:row>
      <xdr:rowOff>51813</xdr:rowOff>
    </xdr:to>
    <xdr:sp macro="" textlink="">
      <xdr:nvSpPr>
        <xdr:cNvPr id="37" name="타원 36"/>
        <xdr:cNvSpPr/>
      </xdr:nvSpPr>
      <xdr:spPr>
        <a:xfrm>
          <a:off x="22129611" y="3321609"/>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40</xdr:col>
      <xdr:colOff>324687</xdr:colOff>
      <xdr:row>16</xdr:row>
      <xdr:rowOff>173335</xdr:rowOff>
    </xdr:from>
    <xdr:to>
      <xdr:col>40</xdr:col>
      <xdr:colOff>410412</xdr:colOff>
      <xdr:row>17</xdr:row>
      <xdr:rowOff>46788</xdr:rowOff>
    </xdr:to>
    <xdr:sp macro="" textlink="">
      <xdr:nvSpPr>
        <xdr:cNvPr id="38" name="타원 37"/>
        <xdr:cNvSpPr/>
      </xdr:nvSpPr>
      <xdr:spPr>
        <a:xfrm>
          <a:off x="22136937" y="3526135"/>
          <a:ext cx="85725" cy="83003"/>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1</xdr:col>
      <xdr:colOff>231322</xdr:colOff>
      <xdr:row>2</xdr:row>
      <xdr:rowOff>95249</xdr:rowOff>
    </xdr:from>
    <xdr:to>
      <xdr:col>9</xdr:col>
      <xdr:colOff>285750</xdr:colOff>
      <xdr:row>29</xdr:row>
      <xdr:rowOff>51925</xdr:rowOff>
    </xdr:to>
    <xdr:pic>
      <xdr:nvPicPr>
        <xdr:cNvPr id="39" name="그림 38"/>
        <xdr:cNvPicPr>
          <a:picLocks noChangeAspect="1"/>
        </xdr:cNvPicPr>
      </xdr:nvPicPr>
      <xdr:blipFill>
        <a:blip xmlns:r="http://schemas.openxmlformats.org/officeDocument/2006/relationships" r:embed="rId2"/>
        <a:stretch>
          <a:fillRect/>
        </a:stretch>
      </xdr:blipFill>
      <xdr:spPr>
        <a:xfrm>
          <a:off x="911679" y="503463"/>
          <a:ext cx="5497285" cy="5467569"/>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1</xdr:col>
      <xdr:colOff>0</xdr:colOff>
      <xdr:row>26</xdr:row>
      <xdr:rowOff>38099</xdr:rowOff>
    </xdr:from>
    <xdr:to>
      <xdr:col>11</xdr:col>
      <xdr:colOff>342900</xdr:colOff>
      <xdr:row>33</xdr:row>
      <xdr:rowOff>123036</xdr:rowOff>
    </xdr:to>
    <xdr:pic>
      <xdr:nvPicPr>
        <xdr:cNvPr id="2" name="그림 1"/>
        <xdr:cNvPicPr>
          <a:picLocks noChangeAspect="1"/>
        </xdr:cNvPicPr>
      </xdr:nvPicPr>
      <xdr:blipFill>
        <a:blip xmlns:r="http://schemas.openxmlformats.org/officeDocument/2006/relationships" r:embed="rId1"/>
        <a:stretch>
          <a:fillRect/>
        </a:stretch>
      </xdr:blipFill>
      <xdr:spPr>
        <a:xfrm>
          <a:off x="685800" y="5486399"/>
          <a:ext cx="3867150" cy="1551787"/>
        </a:xfrm>
        <a:prstGeom prst="rect">
          <a:avLst/>
        </a:prstGeom>
      </xdr:spPr>
    </xdr:pic>
    <xdr:clientData/>
  </xdr:twoCellAnchor>
  <xdr:twoCellAnchor>
    <xdr:from>
      <xdr:col>19</xdr:col>
      <xdr:colOff>133349</xdr:colOff>
      <xdr:row>42</xdr:row>
      <xdr:rowOff>114299</xdr:rowOff>
    </xdr:from>
    <xdr:to>
      <xdr:col>19</xdr:col>
      <xdr:colOff>676274</xdr:colOff>
      <xdr:row>48</xdr:row>
      <xdr:rowOff>9524</xdr:rowOff>
    </xdr:to>
    <xdr:sp macro="" textlink="">
      <xdr:nvSpPr>
        <xdr:cNvPr id="3" name="TextBox 2"/>
        <xdr:cNvSpPr txBox="1"/>
      </xdr:nvSpPr>
      <xdr:spPr>
        <a:xfrm>
          <a:off x="7162799" y="8915399"/>
          <a:ext cx="542925" cy="1152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3600" b="1"/>
            <a:t>↓</a:t>
          </a:r>
        </a:p>
      </xdr:txBody>
    </xdr:sp>
    <xdr:clientData/>
  </xdr:twoCellAnchor>
  <xdr:twoCellAnchor editAs="oneCell">
    <xdr:from>
      <xdr:col>20</xdr:col>
      <xdr:colOff>676275</xdr:colOff>
      <xdr:row>50</xdr:row>
      <xdr:rowOff>38100</xdr:rowOff>
    </xdr:from>
    <xdr:to>
      <xdr:col>26</xdr:col>
      <xdr:colOff>19050</xdr:colOff>
      <xdr:row>64</xdr:row>
      <xdr:rowOff>161925</xdr:rowOff>
    </xdr:to>
    <xdr:pic>
      <xdr:nvPicPr>
        <xdr:cNvPr id="4" name="그림 3" descr="https://lh7-rt.googleusercontent.com/slidesz/AGV_vUfg38HWPTLSSuSgJMGhUuDEHAjTuWq-33pxPmNQQebDHMlROJw80067Q63A4gf5YjmaK6kw7a62AYYIMv-CMgpzegCfXbac-zJ4NLcfBlUUix3-nIyCx0SgrheX8IfpCklTCZ5G3-h4bCDsl1TrV6MaXyOqFDZ_=s2048?key=prHpsjRhkRhE7fIhhEtlaw"/>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391525" y="10515600"/>
          <a:ext cx="3457575" cy="3057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3594</xdr:colOff>
      <xdr:row>7</xdr:row>
      <xdr:rowOff>212912</xdr:rowOff>
    </xdr:from>
    <xdr:to>
      <xdr:col>11</xdr:col>
      <xdr:colOff>11206</xdr:colOff>
      <xdr:row>8</xdr:row>
      <xdr:rowOff>0</xdr:rowOff>
    </xdr:to>
    <xdr:cxnSp macro="">
      <xdr:nvCxnSpPr>
        <xdr:cNvPr id="33" name="직선 연결선 32"/>
        <xdr:cNvCxnSpPr/>
      </xdr:nvCxnSpPr>
      <xdr:spPr>
        <a:xfrm flipV="1">
          <a:off x="1567132" y="1672214"/>
          <a:ext cx="841499" cy="6343"/>
        </a:xfrm>
        <a:prstGeom prst="line">
          <a:avLst/>
        </a:prstGeom>
        <a:ln w="25400"/>
      </xdr:spPr>
      <xdr:style>
        <a:lnRef idx="1">
          <a:schemeClr val="accent5"/>
        </a:lnRef>
        <a:fillRef idx="0">
          <a:schemeClr val="accent5"/>
        </a:fillRef>
        <a:effectRef idx="0">
          <a:schemeClr val="accent5"/>
        </a:effectRef>
        <a:fontRef idx="minor">
          <a:schemeClr val="tx1"/>
        </a:fontRef>
      </xdr:style>
    </xdr:cxnSp>
    <xdr:clientData/>
  </xdr:twoCellAnchor>
  <xdr:twoCellAnchor>
    <xdr:from>
      <xdr:col>7</xdr:col>
      <xdr:colOff>0</xdr:colOff>
      <xdr:row>5</xdr:row>
      <xdr:rowOff>1</xdr:rowOff>
    </xdr:from>
    <xdr:to>
      <xdr:col>11</xdr:col>
      <xdr:colOff>3594</xdr:colOff>
      <xdr:row>8</xdr:row>
      <xdr:rowOff>0</xdr:rowOff>
    </xdr:to>
    <xdr:cxnSp macro="">
      <xdr:nvCxnSpPr>
        <xdr:cNvPr id="34" name="직선 연결선 33"/>
        <xdr:cNvCxnSpPr/>
      </xdr:nvCxnSpPr>
      <xdr:spPr>
        <a:xfrm flipV="1">
          <a:off x="1563538" y="1042359"/>
          <a:ext cx="837481" cy="636198"/>
        </a:xfrm>
        <a:prstGeom prst="line">
          <a:avLst/>
        </a:prstGeom>
        <a:ln w="25400"/>
      </xdr:spPr>
      <xdr:style>
        <a:lnRef idx="1">
          <a:schemeClr val="accent5"/>
        </a:lnRef>
        <a:fillRef idx="0">
          <a:schemeClr val="accent5"/>
        </a:fillRef>
        <a:effectRef idx="0">
          <a:schemeClr val="accent5"/>
        </a:effectRef>
        <a:fontRef idx="minor">
          <a:schemeClr val="tx1"/>
        </a:fontRef>
      </xdr:style>
    </xdr:cxnSp>
    <xdr:clientData/>
  </xdr:twoCellAnchor>
  <xdr:twoCellAnchor>
    <xdr:from>
      <xdr:col>11</xdr:col>
      <xdr:colOff>0</xdr:colOff>
      <xdr:row>5</xdr:row>
      <xdr:rowOff>3596</xdr:rowOff>
    </xdr:from>
    <xdr:to>
      <xdr:col>11</xdr:col>
      <xdr:colOff>0</xdr:colOff>
      <xdr:row>8</xdr:row>
      <xdr:rowOff>7188</xdr:rowOff>
    </xdr:to>
    <xdr:cxnSp macro="">
      <xdr:nvCxnSpPr>
        <xdr:cNvPr id="36" name="직선 연결선 35"/>
        <xdr:cNvCxnSpPr/>
      </xdr:nvCxnSpPr>
      <xdr:spPr>
        <a:xfrm flipV="1">
          <a:off x="2397425" y="1045954"/>
          <a:ext cx="0" cy="639791"/>
        </a:xfrm>
        <a:prstGeom prst="line">
          <a:avLst/>
        </a:prstGeom>
        <a:ln w="25400" cmpd="sng"/>
      </xdr:spPr>
      <xdr:style>
        <a:lnRef idx="1">
          <a:schemeClr val="accent5"/>
        </a:lnRef>
        <a:fillRef idx="0">
          <a:schemeClr val="accent5"/>
        </a:fillRef>
        <a:effectRef idx="0">
          <a:schemeClr val="accent5"/>
        </a:effectRef>
        <a:fontRef idx="minor">
          <a:schemeClr val="tx1"/>
        </a:fontRef>
      </xdr:style>
    </xdr:cxnSp>
    <xdr:clientData/>
  </xdr:twoCellAnchor>
</xdr:wsDr>
</file>

<file path=xl/drawings/drawing30.xml><?xml version="1.0" encoding="utf-8"?>
<xdr:wsDr xmlns:xdr="http://schemas.openxmlformats.org/drawingml/2006/spreadsheetDrawing" xmlns:a="http://schemas.openxmlformats.org/drawingml/2006/main">
  <xdr:twoCellAnchor editAs="oneCell">
    <xdr:from>
      <xdr:col>3</xdr:col>
      <xdr:colOff>457200</xdr:colOff>
      <xdr:row>12</xdr:row>
      <xdr:rowOff>28575</xdr:rowOff>
    </xdr:from>
    <xdr:to>
      <xdr:col>5</xdr:col>
      <xdr:colOff>276391</xdr:colOff>
      <xdr:row>21</xdr:row>
      <xdr:rowOff>259</xdr:rowOff>
    </xdr:to>
    <xdr:pic>
      <xdr:nvPicPr>
        <xdr:cNvPr id="3" name="그림 2"/>
        <xdr:cNvPicPr>
          <a:picLocks noChangeAspect="1"/>
        </xdr:cNvPicPr>
      </xdr:nvPicPr>
      <xdr:blipFill>
        <a:blip xmlns:r="http://schemas.openxmlformats.org/officeDocument/2006/relationships" r:embed="rId1"/>
        <a:stretch>
          <a:fillRect/>
        </a:stretch>
      </xdr:blipFill>
      <xdr:spPr>
        <a:xfrm>
          <a:off x="2514600" y="2543175"/>
          <a:ext cx="1190791" cy="1857634"/>
        </a:xfrm>
        <a:prstGeom prst="rect">
          <a:avLst/>
        </a:prstGeom>
      </xdr:spPr>
    </xdr:pic>
    <xdr:clientData/>
  </xdr:twoCellAnchor>
  <xdr:twoCellAnchor editAs="oneCell">
    <xdr:from>
      <xdr:col>0</xdr:col>
      <xdr:colOff>647700</xdr:colOff>
      <xdr:row>26</xdr:row>
      <xdr:rowOff>0</xdr:rowOff>
    </xdr:from>
    <xdr:to>
      <xdr:col>3</xdr:col>
      <xdr:colOff>667040</xdr:colOff>
      <xdr:row>35</xdr:row>
      <xdr:rowOff>28842</xdr:rowOff>
    </xdr:to>
    <xdr:pic>
      <xdr:nvPicPr>
        <xdr:cNvPr id="4" name="그림 3"/>
        <xdr:cNvPicPr>
          <a:picLocks noChangeAspect="1"/>
        </xdr:cNvPicPr>
      </xdr:nvPicPr>
      <xdr:blipFill>
        <a:blip xmlns:r="http://schemas.openxmlformats.org/officeDocument/2006/relationships" r:embed="rId2"/>
        <a:stretch>
          <a:fillRect/>
        </a:stretch>
      </xdr:blipFill>
      <xdr:spPr>
        <a:xfrm>
          <a:off x="647700" y="5448300"/>
          <a:ext cx="2076740" cy="1914792"/>
        </a:xfrm>
        <a:prstGeom prst="rect">
          <a:avLst/>
        </a:prstGeom>
      </xdr:spPr>
    </xdr:pic>
    <xdr:clientData/>
  </xdr:twoCellAnchor>
  <xdr:twoCellAnchor>
    <xdr:from>
      <xdr:col>13</xdr:col>
      <xdr:colOff>9525</xdr:colOff>
      <xdr:row>26</xdr:row>
      <xdr:rowOff>38100</xdr:rowOff>
    </xdr:from>
    <xdr:to>
      <xdr:col>14</xdr:col>
      <xdr:colOff>19053</xdr:colOff>
      <xdr:row>29</xdr:row>
      <xdr:rowOff>104777</xdr:rowOff>
    </xdr:to>
    <xdr:cxnSp macro="">
      <xdr:nvCxnSpPr>
        <xdr:cNvPr id="6" name="구부러진 연결선 5"/>
        <xdr:cNvCxnSpPr/>
      </xdr:nvCxnSpPr>
      <xdr:spPr>
        <a:xfrm flipV="1">
          <a:off x="8924925" y="5486400"/>
          <a:ext cx="695328" cy="695327"/>
        </a:xfrm>
        <a:prstGeom prst="curved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1.xml><?xml version="1.0" encoding="utf-8"?>
<xdr:wsDr xmlns:xdr="http://schemas.openxmlformats.org/drawingml/2006/spreadsheetDrawing" xmlns:a="http://schemas.openxmlformats.org/drawingml/2006/main">
  <xdr:twoCellAnchor>
    <xdr:from>
      <xdr:col>13</xdr:col>
      <xdr:colOff>228600</xdr:colOff>
      <xdr:row>16</xdr:row>
      <xdr:rowOff>28575</xdr:rowOff>
    </xdr:from>
    <xdr:to>
      <xdr:col>13</xdr:col>
      <xdr:colOff>457200</xdr:colOff>
      <xdr:row>17</xdr:row>
      <xdr:rowOff>42182</xdr:rowOff>
    </xdr:to>
    <xdr:sp macro="" textlink="">
      <xdr:nvSpPr>
        <xdr:cNvPr id="2" name="타원 1"/>
        <xdr:cNvSpPr/>
      </xdr:nvSpPr>
      <xdr:spPr>
        <a:xfrm>
          <a:off x="9820275" y="3381375"/>
          <a:ext cx="228600" cy="22315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219075</xdr:colOff>
      <xdr:row>17</xdr:row>
      <xdr:rowOff>180975</xdr:rowOff>
    </xdr:from>
    <xdr:to>
      <xdr:col>13</xdr:col>
      <xdr:colOff>447675</xdr:colOff>
      <xdr:row>18</xdr:row>
      <xdr:rowOff>194582</xdr:rowOff>
    </xdr:to>
    <xdr:sp macro="" textlink="">
      <xdr:nvSpPr>
        <xdr:cNvPr id="3" name="타원 2"/>
        <xdr:cNvSpPr/>
      </xdr:nvSpPr>
      <xdr:spPr>
        <a:xfrm>
          <a:off x="9810750" y="3743325"/>
          <a:ext cx="228600" cy="22315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247650</xdr:colOff>
      <xdr:row>31</xdr:row>
      <xdr:rowOff>66675</xdr:rowOff>
    </xdr:from>
    <xdr:to>
      <xdr:col>13</xdr:col>
      <xdr:colOff>476250</xdr:colOff>
      <xdr:row>32</xdr:row>
      <xdr:rowOff>80282</xdr:rowOff>
    </xdr:to>
    <xdr:sp macro="" textlink="">
      <xdr:nvSpPr>
        <xdr:cNvPr id="6" name="타원 5"/>
        <xdr:cNvSpPr/>
      </xdr:nvSpPr>
      <xdr:spPr>
        <a:xfrm>
          <a:off x="9839325" y="6562725"/>
          <a:ext cx="228600" cy="22315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14</xdr:col>
      <xdr:colOff>238125</xdr:colOff>
      <xdr:row>5</xdr:row>
      <xdr:rowOff>200025</xdr:rowOff>
    </xdr:from>
    <xdr:to>
      <xdr:col>14</xdr:col>
      <xdr:colOff>447675</xdr:colOff>
      <xdr:row>6</xdr:row>
      <xdr:rowOff>200025</xdr:rowOff>
    </xdr:to>
    <xdr:sp macro="" textlink="">
      <xdr:nvSpPr>
        <xdr:cNvPr id="2" name="타원 1"/>
        <xdr:cNvSpPr/>
      </xdr:nvSpPr>
      <xdr:spPr>
        <a:xfrm>
          <a:off x="10458450" y="1247775"/>
          <a:ext cx="209550" cy="2095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14</xdr:col>
      <xdr:colOff>247650</xdr:colOff>
      <xdr:row>7</xdr:row>
      <xdr:rowOff>66675</xdr:rowOff>
    </xdr:from>
    <xdr:to>
      <xdr:col>14</xdr:col>
      <xdr:colOff>457200</xdr:colOff>
      <xdr:row>8</xdr:row>
      <xdr:rowOff>66675</xdr:rowOff>
    </xdr:to>
    <xdr:sp macro="" textlink="">
      <xdr:nvSpPr>
        <xdr:cNvPr id="3" name="타원 2"/>
        <xdr:cNvSpPr/>
      </xdr:nvSpPr>
      <xdr:spPr>
        <a:xfrm>
          <a:off x="10467975" y="1533525"/>
          <a:ext cx="209550" cy="2095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14</xdr:col>
      <xdr:colOff>247650</xdr:colOff>
      <xdr:row>12</xdr:row>
      <xdr:rowOff>0</xdr:rowOff>
    </xdr:from>
    <xdr:to>
      <xdr:col>14</xdr:col>
      <xdr:colOff>457200</xdr:colOff>
      <xdr:row>13</xdr:row>
      <xdr:rowOff>0</xdr:rowOff>
    </xdr:to>
    <xdr:sp macro="" textlink="">
      <xdr:nvSpPr>
        <xdr:cNvPr id="4" name="타원 3"/>
        <xdr:cNvSpPr/>
      </xdr:nvSpPr>
      <xdr:spPr>
        <a:xfrm>
          <a:off x="10467975" y="2514600"/>
          <a:ext cx="209550" cy="2095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22</xdr:col>
      <xdr:colOff>257175</xdr:colOff>
      <xdr:row>5</xdr:row>
      <xdr:rowOff>152400</xdr:rowOff>
    </xdr:from>
    <xdr:to>
      <xdr:col>22</xdr:col>
      <xdr:colOff>466725</xdr:colOff>
      <xdr:row>6</xdr:row>
      <xdr:rowOff>152400</xdr:rowOff>
    </xdr:to>
    <xdr:sp macro="" textlink="">
      <xdr:nvSpPr>
        <xdr:cNvPr id="5" name="타원 4"/>
        <xdr:cNvSpPr/>
      </xdr:nvSpPr>
      <xdr:spPr>
        <a:xfrm>
          <a:off x="15963900" y="1200150"/>
          <a:ext cx="209550" cy="2095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22</xdr:col>
      <xdr:colOff>266700</xdr:colOff>
      <xdr:row>7</xdr:row>
      <xdr:rowOff>19050</xdr:rowOff>
    </xdr:from>
    <xdr:to>
      <xdr:col>22</xdr:col>
      <xdr:colOff>476250</xdr:colOff>
      <xdr:row>8</xdr:row>
      <xdr:rowOff>19050</xdr:rowOff>
    </xdr:to>
    <xdr:sp macro="" textlink="">
      <xdr:nvSpPr>
        <xdr:cNvPr id="6" name="타원 5"/>
        <xdr:cNvSpPr/>
      </xdr:nvSpPr>
      <xdr:spPr>
        <a:xfrm>
          <a:off x="15973425" y="1485900"/>
          <a:ext cx="209550" cy="2095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22</xdr:col>
      <xdr:colOff>266700</xdr:colOff>
      <xdr:row>11</xdr:row>
      <xdr:rowOff>161925</xdr:rowOff>
    </xdr:from>
    <xdr:to>
      <xdr:col>22</xdr:col>
      <xdr:colOff>476250</xdr:colOff>
      <xdr:row>12</xdr:row>
      <xdr:rowOff>161925</xdr:rowOff>
    </xdr:to>
    <xdr:sp macro="" textlink="">
      <xdr:nvSpPr>
        <xdr:cNvPr id="7" name="타원 6"/>
        <xdr:cNvSpPr/>
      </xdr:nvSpPr>
      <xdr:spPr>
        <a:xfrm>
          <a:off x="15973425" y="2466975"/>
          <a:ext cx="209550" cy="2095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30</xdr:col>
      <xdr:colOff>61234</xdr:colOff>
      <xdr:row>1</xdr:row>
      <xdr:rowOff>133351</xdr:rowOff>
    </xdr:from>
    <xdr:to>
      <xdr:col>35</xdr:col>
      <xdr:colOff>115662</xdr:colOff>
      <xdr:row>17</xdr:row>
      <xdr:rowOff>132162</xdr:rowOff>
    </xdr:to>
    <xdr:pic>
      <xdr:nvPicPr>
        <xdr:cNvPr id="8"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254359" y="342901"/>
          <a:ext cx="3483428" cy="3351611"/>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wsDr>
</file>

<file path=xl/drawings/drawing33.xml><?xml version="1.0" encoding="utf-8"?>
<xdr:wsDr xmlns:xdr="http://schemas.openxmlformats.org/drawingml/2006/spreadsheetDrawing" xmlns:a="http://schemas.openxmlformats.org/drawingml/2006/main">
  <xdr:twoCellAnchor>
    <xdr:from>
      <xdr:col>9</xdr:col>
      <xdr:colOff>209550</xdr:colOff>
      <xdr:row>2</xdr:row>
      <xdr:rowOff>142875</xdr:rowOff>
    </xdr:from>
    <xdr:to>
      <xdr:col>9</xdr:col>
      <xdr:colOff>514350</xdr:colOff>
      <xdr:row>4</xdr:row>
      <xdr:rowOff>19050</xdr:rowOff>
    </xdr:to>
    <xdr:sp macro="" textlink="">
      <xdr:nvSpPr>
        <xdr:cNvPr id="2" name="타원 1"/>
        <xdr:cNvSpPr/>
      </xdr:nvSpPr>
      <xdr:spPr>
        <a:xfrm>
          <a:off x="6381750" y="561975"/>
          <a:ext cx="304800" cy="2952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4</xdr:row>
      <xdr:rowOff>142875</xdr:rowOff>
    </xdr:from>
    <xdr:to>
      <xdr:col>9</xdr:col>
      <xdr:colOff>523875</xdr:colOff>
      <xdr:row>6</xdr:row>
      <xdr:rowOff>19050</xdr:rowOff>
    </xdr:to>
    <xdr:sp macro="" textlink="">
      <xdr:nvSpPr>
        <xdr:cNvPr id="3" name="타원 2"/>
        <xdr:cNvSpPr/>
      </xdr:nvSpPr>
      <xdr:spPr>
        <a:xfrm>
          <a:off x="6391275" y="981075"/>
          <a:ext cx="304800" cy="2952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9</xdr:col>
      <xdr:colOff>252412</xdr:colOff>
      <xdr:row>6</xdr:row>
      <xdr:rowOff>42862</xdr:rowOff>
    </xdr:from>
    <xdr:ext cx="302775" cy="688778"/>
    <mc:AlternateContent xmlns:mc="http://schemas.openxmlformats.org/markup-compatibility/2006">
      <mc:Choice xmlns:a14="http://schemas.microsoft.com/office/drawing/2010/main" Requires="a14">
        <xdr:sp macro="" textlink="">
          <xdr:nvSpPr>
            <xdr:cNvPr id="4" name="TextBox 3"/>
            <xdr:cNvSpPr txBox="1"/>
          </xdr:nvSpPr>
          <xdr:spPr>
            <a:xfrm>
              <a:off x="6424612" y="1300162"/>
              <a:ext cx="302775" cy="6887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400" i="1">
                        <a:latin typeface="Cambria Math" panose="02040503050406030204" pitchFamily="18" charset="0"/>
                      </a:rPr>
                      <m:t>⋮</m:t>
                    </m:r>
                  </m:oMath>
                </m:oMathPara>
              </a14:m>
              <a:endParaRPr lang="ko-KR" altLang="en-US" sz="4400"/>
            </a:p>
          </xdr:txBody>
        </xdr:sp>
      </mc:Choice>
      <mc:Fallback>
        <xdr:sp macro="" textlink="">
          <xdr:nvSpPr>
            <xdr:cNvPr id="4" name="TextBox 3"/>
            <xdr:cNvSpPr txBox="1"/>
          </xdr:nvSpPr>
          <xdr:spPr>
            <a:xfrm>
              <a:off x="6424612" y="1300162"/>
              <a:ext cx="302775" cy="6887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ko-KR" altLang="en-US" sz="4400" i="0">
                  <a:latin typeface="Cambria Math" panose="02040503050406030204" pitchFamily="18" charset="0"/>
                </a:rPr>
                <a:t>⋮</a:t>
              </a:r>
              <a:endParaRPr lang="ko-KR" altLang="en-US" sz="4400"/>
            </a:p>
          </xdr:txBody>
        </xdr:sp>
      </mc:Fallback>
    </mc:AlternateContent>
    <xdr:clientData/>
  </xdr:oneCellAnchor>
  <xdr:twoCellAnchor>
    <xdr:from>
      <xdr:col>9</xdr:col>
      <xdr:colOff>238125</xdr:colOff>
      <xdr:row>11</xdr:row>
      <xdr:rowOff>28575</xdr:rowOff>
    </xdr:from>
    <xdr:to>
      <xdr:col>9</xdr:col>
      <xdr:colOff>542925</xdr:colOff>
      <xdr:row>12</xdr:row>
      <xdr:rowOff>114300</xdr:rowOff>
    </xdr:to>
    <xdr:sp macro="" textlink="">
      <xdr:nvSpPr>
        <xdr:cNvPr id="5" name="타원 4"/>
        <xdr:cNvSpPr/>
      </xdr:nvSpPr>
      <xdr:spPr>
        <a:xfrm>
          <a:off x="6410325" y="2333625"/>
          <a:ext cx="304800" cy="2952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0</xdr:col>
      <xdr:colOff>573655</xdr:colOff>
      <xdr:row>15</xdr:row>
      <xdr:rowOff>95250</xdr:rowOff>
    </xdr:from>
    <xdr:ext cx="5694900" cy="5420777"/>
    <xdr:pic>
      <xdr:nvPicPr>
        <xdr:cNvPr id="6" name="그림 5"/>
        <xdr:cNvPicPr>
          <a:picLocks noChangeAspect="1"/>
        </xdr:cNvPicPr>
      </xdr:nvPicPr>
      <xdr:blipFill>
        <a:blip xmlns:r="http://schemas.openxmlformats.org/officeDocument/2006/relationships" r:embed="rId1"/>
        <a:stretch>
          <a:fillRect/>
        </a:stretch>
      </xdr:blipFill>
      <xdr:spPr>
        <a:xfrm>
          <a:off x="573655" y="3238500"/>
          <a:ext cx="5694900" cy="5420777"/>
        </a:xfrm>
        <a:prstGeom prst="rect">
          <a:avLst/>
        </a:prstGeom>
      </xdr:spPr>
    </xdr:pic>
    <xdr:clientData/>
  </xdr:oneCellAnchor>
  <xdr:twoCellAnchor>
    <xdr:from>
      <xdr:col>9</xdr:col>
      <xdr:colOff>507813</xdr:colOff>
      <xdr:row>1</xdr:row>
      <xdr:rowOff>95250</xdr:rowOff>
    </xdr:from>
    <xdr:to>
      <xdr:col>11</xdr:col>
      <xdr:colOff>95250</xdr:colOff>
      <xdr:row>3</xdr:row>
      <xdr:rowOff>204408</xdr:rowOff>
    </xdr:to>
    <xdr:cxnSp macro="">
      <xdr:nvCxnSpPr>
        <xdr:cNvPr id="7" name="직선 연결선 6"/>
        <xdr:cNvCxnSpPr/>
      </xdr:nvCxnSpPr>
      <xdr:spPr>
        <a:xfrm flipV="1">
          <a:off x="6680013" y="304800"/>
          <a:ext cx="959037" cy="52825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469713</xdr:colOff>
      <xdr:row>1</xdr:row>
      <xdr:rowOff>123825</xdr:rowOff>
    </xdr:from>
    <xdr:to>
      <xdr:col>12</xdr:col>
      <xdr:colOff>171450</xdr:colOff>
      <xdr:row>3</xdr:row>
      <xdr:rowOff>185358</xdr:rowOff>
    </xdr:to>
    <xdr:cxnSp macro="">
      <xdr:nvCxnSpPr>
        <xdr:cNvPr id="8" name="직선 연결선 7"/>
        <xdr:cNvCxnSpPr>
          <a:stCxn id="2" idx="5"/>
        </xdr:cNvCxnSpPr>
      </xdr:nvCxnSpPr>
      <xdr:spPr>
        <a:xfrm flipV="1">
          <a:off x="6641913" y="333375"/>
          <a:ext cx="1759137" cy="48063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590550</xdr:colOff>
      <xdr:row>1</xdr:row>
      <xdr:rowOff>66675</xdr:rowOff>
    </xdr:from>
    <xdr:to>
      <xdr:col>13</xdr:col>
      <xdr:colOff>266700</xdr:colOff>
      <xdr:row>3</xdr:row>
      <xdr:rowOff>161925</xdr:rowOff>
    </xdr:to>
    <xdr:cxnSp macro="">
      <xdr:nvCxnSpPr>
        <xdr:cNvPr id="9" name="직선 연결선 8"/>
        <xdr:cNvCxnSpPr/>
      </xdr:nvCxnSpPr>
      <xdr:spPr>
        <a:xfrm flipV="1">
          <a:off x="6762750" y="276225"/>
          <a:ext cx="2419350" cy="5143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209550</xdr:colOff>
      <xdr:row>2</xdr:row>
      <xdr:rowOff>142875</xdr:rowOff>
    </xdr:from>
    <xdr:to>
      <xdr:col>27</xdr:col>
      <xdr:colOff>514350</xdr:colOff>
      <xdr:row>4</xdr:row>
      <xdr:rowOff>19050</xdr:rowOff>
    </xdr:to>
    <xdr:sp macro="" textlink="">
      <xdr:nvSpPr>
        <xdr:cNvPr id="10" name="타원 9"/>
        <xdr:cNvSpPr/>
      </xdr:nvSpPr>
      <xdr:spPr>
        <a:xfrm>
          <a:off x="18726150" y="561975"/>
          <a:ext cx="304800" cy="2952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219075</xdr:colOff>
      <xdr:row>4</xdr:row>
      <xdr:rowOff>142875</xdr:rowOff>
    </xdr:from>
    <xdr:to>
      <xdr:col>27</xdr:col>
      <xdr:colOff>523875</xdr:colOff>
      <xdr:row>6</xdr:row>
      <xdr:rowOff>19050</xdr:rowOff>
    </xdr:to>
    <xdr:sp macro="" textlink="">
      <xdr:nvSpPr>
        <xdr:cNvPr id="11" name="타원 10"/>
        <xdr:cNvSpPr/>
      </xdr:nvSpPr>
      <xdr:spPr>
        <a:xfrm>
          <a:off x="18735675" y="981075"/>
          <a:ext cx="304800" cy="2952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27</xdr:col>
      <xdr:colOff>252412</xdr:colOff>
      <xdr:row>6</xdr:row>
      <xdr:rowOff>42862</xdr:rowOff>
    </xdr:from>
    <xdr:ext cx="302775" cy="688778"/>
    <mc:AlternateContent xmlns:mc="http://schemas.openxmlformats.org/markup-compatibility/2006">
      <mc:Choice xmlns:a14="http://schemas.microsoft.com/office/drawing/2010/main" Requires="a14">
        <xdr:sp macro="" textlink="">
          <xdr:nvSpPr>
            <xdr:cNvPr id="12" name="TextBox 11"/>
            <xdr:cNvSpPr txBox="1"/>
          </xdr:nvSpPr>
          <xdr:spPr>
            <a:xfrm>
              <a:off x="18769012" y="1300162"/>
              <a:ext cx="302775" cy="6887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400" i="1">
                        <a:latin typeface="Cambria Math" panose="02040503050406030204" pitchFamily="18" charset="0"/>
                      </a:rPr>
                      <m:t>⋮</m:t>
                    </m:r>
                  </m:oMath>
                </m:oMathPara>
              </a14:m>
              <a:endParaRPr lang="ko-KR" altLang="en-US" sz="4400"/>
            </a:p>
          </xdr:txBody>
        </xdr:sp>
      </mc:Choice>
      <mc:Fallback>
        <xdr:sp macro="" textlink="">
          <xdr:nvSpPr>
            <xdr:cNvPr id="12" name="TextBox 11"/>
            <xdr:cNvSpPr txBox="1"/>
          </xdr:nvSpPr>
          <xdr:spPr>
            <a:xfrm>
              <a:off x="18769012" y="1300162"/>
              <a:ext cx="302775" cy="6887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ko-KR" altLang="en-US" sz="4400" i="0">
                  <a:latin typeface="Cambria Math" panose="02040503050406030204" pitchFamily="18" charset="0"/>
                </a:rPr>
                <a:t>⋮</a:t>
              </a:r>
              <a:endParaRPr lang="ko-KR" altLang="en-US" sz="4400"/>
            </a:p>
          </xdr:txBody>
        </xdr:sp>
      </mc:Fallback>
    </mc:AlternateContent>
    <xdr:clientData/>
  </xdr:oneCellAnchor>
  <xdr:twoCellAnchor>
    <xdr:from>
      <xdr:col>27</xdr:col>
      <xdr:colOff>238125</xdr:colOff>
      <xdr:row>11</xdr:row>
      <xdr:rowOff>28575</xdr:rowOff>
    </xdr:from>
    <xdr:to>
      <xdr:col>27</xdr:col>
      <xdr:colOff>542925</xdr:colOff>
      <xdr:row>12</xdr:row>
      <xdr:rowOff>114300</xdr:rowOff>
    </xdr:to>
    <xdr:sp macro="" textlink="">
      <xdr:nvSpPr>
        <xdr:cNvPr id="13" name="타원 12"/>
        <xdr:cNvSpPr/>
      </xdr:nvSpPr>
      <xdr:spPr>
        <a:xfrm>
          <a:off x="18754725" y="2333625"/>
          <a:ext cx="304800" cy="2952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507813</xdr:colOff>
      <xdr:row>1</xdr:row>
      <xdr:rowOff>95250</xdr:rowOff>
    </xdr:from>
    <xdr:to>
      <xdr:col>29</xdr:col>
      <xdr:colOff>95250</xdr:colOff>
      <xdr:row>3</xdr:row>
      <xdr:rowOff>204408</xdr:rowOff>
    </xdr:to>
    <xdr:cxnSp macro="">
      <xdr:nvCxnSpPr>
        <xdr:cNvPr id="14" name="직선 연결선 13"/>
        <xdr:cNvCxnSpPr/>
      </xdr:nvCxnSpPr>
      <xdr:spPr>
        <a:xfrm flipV="1">
          <a:off x="19024413" y="304800"/>
          <a:ext cx="959037" cy="52825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469713</xdr:colOff>
      <xdr:row>1</xdr:row>
      <xdr:rowOff>123825</xdr:rowOff>
    </xdr:from>
    <xdr:to>
      <xdr:col>30</xdr:col>
      <xdr:colOff>171450</xdr:colOff>
      <xdr:row>3</xdr:row>
      <xdr:rowOff>185358</xdr:rowOff>
    </xdr:to>
    <xdr:cxnSp macro="">
      <xdr:nvCxnSpPr>
        <xdr:cNvPr id="15" name="직선 연결선 14"/>
        <xdr:cNvCxnSpPr>
          <a:stCxn id="10" idx="5"/>
        </xdr:cNvCxnSpPr>
      </xdr:nvCxnSpPr>
      <xdr:spPr>
        <a:xfrm flipV="1">
          <a:off x="18986313" y="333375"/>
          <a:ext cx="1759137" cy="48063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590550</xdr:colOff>
      <xdr:row>1</xdr:row>
      <xdr:rowOff>66675</xdr:rowOff>
    </xdr:from>
    <xdr:to>
      <xdr:col>31</xdr:col>
      <xdr:colOff>266700</xdr:colOff>
      <xdr:row>3</xdr:row>
      <xdr:rowOff>161925</xdr:rowOff>
    </xdr:to>
    <xdr:cxnSp macro="">
      <xdr:nvCxnSpPr>
        <xdr:cNvPr id="16" name="직선 연결선 15"/>
        <xdr:cNvCxnSpPr/>
      </xdr:nvCxnSpPr>
      <xdr:spPr>
        <a:xfrm flipV="1">
          <a:off x="19107150" y="276225"/>
          <a:ext cx="2419350" cy="5143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314325</xdr:colOff>
      <xdr:row>9</xdr:row>
      <xdr:rowOff>114300</xdr:rowOff>
    </xdr:from>
    <xdr:to>
      <xdr:col>28</xdr:col>
      <xdr:colOff>190500</xdr:colOff>
      <xdr:row>15</xdr:row>
      <xdr:rowOff>95250</xdr:rowOff>
    </xdr:to>
    <xdr:cxnSp macro="">
      <xdr:nvCxnSpPr>
        <xdr:cNvPr id="17" name="직선 화살표 연결선 16"/>
        <xdr:cNvCxnSpPr/>
      </xdr:nvCxnSpPr>
      <xdr:spPr>
        <a:xfrm flipH="1">
          <a:off x="16773525" y="2000250"/>
          <a:ext cx="2619375" cy="1238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209550</xdr:colOff>
      <xdr:row>2</xdr:row>
      <xdr:rowOff>142875</xdr:rowOff>
    </xdr:from>
    <xdr:to>
      <xdr:col>42</xdr:col>
      <xdr:colOff>514350</xdr:colOff>
      <xdr:row>4</xdr:row>
      <xdr:rowOff>19050</xdr:rowOff>
    </xdr:to>
    <xdr:sp macro="" textlink="">
      <xdr:nvSpPr>
        <xdr:cNvPr id="18" name="타원 17"/>
        <xdr:cNvSpPr/>
      </xdr:nvSpPr>
      <xdr:spPr>
        <a:xfrm>
          <a:off x="29013150" y="561975"/>
          <a:ext cx="304800" cy="2952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42</xdr:col>
      <xdr:colOff>219075</xdr:colOff>
      <xdr:row>4</xdr:row>
      <xdr:rowOff>142875</xdr:rowOff>
    </xdr:from>
    <xdr:to>
      <xdr:col>42</xdr:col>
      <xdr:colOff>523875</xdr:colOff>
      <xdr:row>6</xdr:row>
      <xdr:rowOff>19050</xdr:rowOff>
    </xdr:to>
    <xdr:sp macro="" textlink="">
      <xdr:nvSpPr>
        <xdr:cNvPr id="19" name="타원 18"/>
        <xdr:cNvSpPr/>
      </xdr:nvSpPr>
      <xdr:spPr>
        <a:xfrm>
          <a:off x="29022675" y="981075"/>
          <a:ext cx="304800" cy="2952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42</xdr:col>
      <xdr:colOff>252412</xdr:colOff>
      <xdr:row>6</xdr:row>
      <xdr:rowOff>42862</xdr:rowOff>
    </xdr:from>
    <xdr:ext cx="302775" cy="688778"/>
    <mc:AlternateContent xmlns:mc="http://schemas.openxmlformats.org/markup-compatibility/2006">
      <mc:Choice xmlns:a14="http://schemas.microsoft.com/office/drawing/2010/main" Requires="a14">
        <xdr:sp macro="" textlink="">
          <xdr:nvSpPr>
            <xdr:cNvPr id="20" name="TextBox 19"/>
            <xdr:cNvSpPr txBox="1"/>
          </xdr:nvSpPr>
          <xdr:spPr>
            <a:xfrm>
              <a:off x="29056012" y="1300162"/>
              <a:ext cx="302775" cy="6887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400" i="1">
                        <a:latin typeface="Cambria Math" panose="02040503050406030204" pitchFamily="18" charset="0"/>
                      </a:rPr>
                      <m:t>⋮</m:t>
                    </m:r>
                  </m:oMath>
                </m:oMathPara>
              </a14:m>
              <a:endParaRPr lang="ko-KR" altLang="en-US" sz="4400"/>
            </a:p>
          </xdr:txBody>
        </xdr:sp>
      </mc:Choice>
      <mc:Fallback>
        <xdr:sp macro="" textlink="">
          <xdr:nvSpPr>
            <xdr:cNvPr id="20" name="TextBox 19"/>
            <xdr:cNvSpPr txBox="1"/>
          </xdr:nvSpPr>
          <xdr:spPr>
            <a:xfrm>
              <a:off x="29056012" y="1300162"/>
              <a:ext cx="302775" cy="6887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ko-KR" altLang="en-US" sz="4400" i="0">
                  <a:latin typeface="Cambria Math" panose="02040503050406030204" pitchFamily="18" charset="0"/>
                </a:rPr>
                <a:t>⋮</a:t>
              </a:r>
              <a:endParaRPr lang="ko-KR" altLang="en-US" sz="4400"/>
            </a:p>
          </xdr:txBody>
        </xdr:sp>
      </mc:Fallback>
    </mc:AlternateContent>
    <xdr:clientData/>
  </xdr:oneCellAnchor>
  <xdr:twoCellAnchor>
    <xdr:from>
      <xdr:col>42</xdr:col>
      <xdr:colOff>238125</xdr:colOff>
      <xdr:row>11</xdr:row>
      <xdr:rowOff>28575</xdr:rowOff>
    </xdr:from>
    <xdr:to>
      <xdr:col>42</xdr:col>
      <xdr:colOff>542925</xdr:colOff>
      <xdr:row>12</xdr:row>
      <xdr:rowOff>114300</xdr:rowOff>
    </xdr:to>
    <xdr:sp macro="" textlink="">
      <xdr:nvSpPr>
        <xdr:cNvPr id="21" name="타원 20"/>
        <xdr:cNvSpPr/>
      </xdr:nvSpPr>
      <xdr:spPr>
        <a:xfrm>
          <a:off x="29041725" y="2333625"/>
          <a:ext cx="304800" cy="2952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42</xdr:col>
      <xdr:colOff>507813</xdr:colOff>
      <xdr:row>1</xdr:row>
      <xdr:rowOff>95250</xdr:rowOff>
    </xdr:from>
    <xdr:to>
      <xdr:col>44</xdr:col>
      <xdr:colOff>95250</xdr:colOff>
      <xdr:row>3</xdr:row>
      <xdr:rowOff>204408</xdr:rowOff>
    </xdr:to>
    <xdr:cxnSp macro="">
      <xdr:nvCxnSpPr>
        <xdr:cNvPr id="22" name="직선 연결선 21"/>
        <xdr:cNvCxnSpPr/>
      </xdr:nvCxnSpPr>
      <xdr:spPr>
        <a:xfrm flipV="1">
          <a:off x="29311413" y="304800"/>
          <a:ext cx="959037" cy="52825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469713</xdr:colOff>
      <xdr:row>1</xdr:row>
      <xdr:rowOff>123825</xdr:rowOff>
    </xdr:from>
    <xdr:to>
      <xdr:col>45</xdr:col>
      <xdr:colOff>171450</xdr:colOff>
      <xdr:row>3</xdr:row>
      <xdr:rowOff>185358</xdr:rowOff>
    </xdr:to>
    <xdr:cxnSp macro="">
      <xdr:nvCxnSpPr>
        <xdr:cNvPr id="23" name="직선 연결선 22"/>
        <xdr:cNvCxnSpPr>
          <a:stCxn id="18" idx="5"/>
        </xdr:cNvCxnSpPr>
      </xdr:nvCxnSpPr>
      <xdr:spPr>
        <a:xfrm flipV="1">
          <a:off x="29273313" y="333375"/>
          <a:ext cx="1759137" cy="48063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590550</xdr:colOff>
      <xdr:row>1</xdr:row>
      <xdr:rowOff>66675</xdr:rowOff>
    </xdr:from>
    <xdr:to>
      <xdr:col>46</xdr:col>
      <xdr:colOff>266700</xdr:colOff>
      <xdr:row>3</xdr:row>
      <xdr:rowOff>161925</xdr:rowOff>
    </xdr:to>
    <xdr:cxnSp macro="">
      <xdr:nvCxnSpPr>
        <xdr:cNvPr id="24" name="직선 연결선 23"/>
        <xdr:cNvCxnSpPr/>
      </xdr:nvCxnSpPr>
      <xdr:spPr>
        <a:xfrm flipV="1">
          <a:off x="29394150" y="276225"/>
          <a:ext cx="2419350" cy="5143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51</xdr:col>
      <xdr:colOff>0</xdr:colOff>
      <xdr:row>2</xdr:row>
      <xdr:rowOff>0</xdr:rowOff>
    </xdr:from>
    <xdr:ext cx="7220958" cy="1952898"/>
    <xdr:pic>
      <xdr:nvPicPr>
        <xdr:cNvPr id="25" name="그림 24"/>
        <xdr:cNvPicPr>
          <a:picLocks noChangeAspect="1"/>
        </xdr:cNvPicPr>
      </xdr:nvPicPr>
      <xdr:blipFill>
        <a:blip xmlns:r="http://schemas.openxmlformats.org/officeDocument/2006/relationships" r:embed="rId2"/>
        <a:stretch>
          <a:fillRect/>
        </a:stretch>
      </xdr:blipFill>
      <xdr:spPr>
        <a:xfrm>
          <a:off x="34975800" y="419100"/>
          <a:ext cx="7220958" cy="1952898"/>
        </a:xfrm>
        <a:prstGeom prst="rect">
          <a:avLst/>
        </a:prstGeom>
      </xdr:spPr>
    </xdr:pic>
    <xdr:clientData/>
  </xdr:oneCellAnchor>
  <xdr:twoCellAnchor>
    <xdr:from>
      <xdr:col>68</xdr:col>
      <xdr:colOff>209550</xdr:colOff>
      <xdr:row>4</xdr:row>
      <xdr:rowOff>142875</xdr:rowOff>
    </xdr:from>
    <xdr:to>
      <xdr:col>68</xdr:col>
      <xdr:colOff>514350</xdr:colOff>
      <xdr:row>6</xdr:row>
      <xdr:rowOff>19050</xdr:rowOff>
    </xdr:to>
    <xdr:sp macro="" textlink="">
      <xdr:nvSpPr>
        <xdr:cNvPr id="26" name="타원 25"/>
        <xdr:cNvSpPr/>
      </xdr:nvSpPr>
      <xdr:spPr>
        <a:xfrm>
          <a:off x="46843950" y="981075"/>
          <a:ext cx="304800" cy="2952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68</xdr:col>
      <xdr:colOff>219075</xdr:colOff>
      <xdr:row>6</xdr:row>
      <xdr:rowOff>142875</xdr:rowOff>
    </xdr:from>
    <xdr:to>
      <xdr:col>68</xdr:col>
      <xdr:colOff>523875</xdr:colOff>
      <xdr:row>8</xdr:row>
      <xdr:rowOff>19050</xdr:rowOff>
    </xdr:to>
    <xdr:sp macro="" textlink="">
      <xdr:nvSpPr>
        <xdr:cNvPr id="27" name="타원 26"/>
        <xdr:cNvSpPr/>
      </xdr:nvSpPr>
      <xdr:spPr>
        <a:xfrm>
          <a:off x="46853475" y="1400175"/>
          <a:ext cx="304800" cy="2952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68</xdr:col>
      <xdr:colOff>252412</xdr:colOff>
      <xdr:row>8</xdr:row>
      <xdr:rowOff>42862</xdr:rowOff>
    </xdr:from>
    <xdr:ext cx="302775" cy="688778"/>
    <mc:AlternateContent xmlns:mc="http://schemas.openxmlformats.org/markup-compatibility/2006">
      <mc:Choice xmlns:a14="http://schemas.microsoft.com/office/drawing/2010/main" Requires="a14">
        <xdr:sp macro="" textlink="">
          <xdr:nvSpPr>
            <xdr:cNvPr id="28" name="TextBox 27"/>
            <xdr:cNvSpPr txBox="1"/>
          </xdr:nvSpPr>
          <xdr:spPr>
            <a:xfrm>
              <a:off x="46886812" y="1719262"/>
              <a:ext cx="302775" cy="6887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400" i="1">
                        <a:latin typeface="Cambria Math" panose="02040503050406030204" pitchFamily="18" charset="0"/>
                      </a:rPr>
                      <m:t>⋮</m:t>
                    </m:r>
                  </m:oMath>
                </m:oMathPara>
              </a14:m>
              <a:endParaRPr lang="ko-KR" altLang="en-US" sz="4400"/>
            </a:p>
          </xdr:txBody>
        </xdr:sp>
      </mc:Choice>
      <mc:Fallback>
        <xdr:sp macro="" textlink="">
          <xdr:nvSpPr>
            <xdr:cNvPr id="28" name="TextBox 27"/>
            <xdr:cNvSpPr txBox="1"/>
          </xdr:nvSpPr>
          <xdr:spPr>
            <a:xfrm>
              <a:off x="46886812" y="1719262"/>
              <a:ext cx="302775" cy="6887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ko-KR" altLang="en-US" sz="4400" i="0">
                  <a:latin typeface="Cambria Math" panose="02040503050406030204" pitchFamily="18" charset="0"/>
                </a:rPr>
                <a:t>⋮</a:t>
              </a:r>
              <a:endParaRPr lang="ko-KR" altLang="en-US" sz="4400"/>
            </a:p>
          </xdr:txBody>
        </xdr:sp>
      </mc:Fallback>
    </mc:AlternateContent>
    <xdr:clientData/>
  </xdr:oneCellAnchor>
  <xdr:twoCellAnchor>
    <xdr:from>
      <xdr:col>68</xdr:col>
      <xdr:colOff>238125</xdr:colOff>
      <xdr:row>13</xdr:row>
      <xdr:rowOff>28575</xdr:rowOff>
    </xdr:from>
    <xdr:to>
      <xdr:col>68</xdr:col>
      <xdr:colOff>542925</xdr:colOff>
      <xdr:row>14</xdr:row>
      <xdr:rowOff>114300</xdr:rowOff>
    </xdr:to>
    <xdr:sp macro="" textlink="">
      <xdr:nvSpPr>
        <xdr:cNvPr id="29" name="타원 28"/>
        <xdr:cNvSpPr/>
      </xdr:nvSpPr>
      <xdr:spPr>
        <a:xfrm>
          <a:off x="46872525" y="2752725"/>
          <a:ext cx="304800" cy="2952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75</xdr:col>
      <xdr:colOff>209550</xdr:colOff>
      <xdr:row>5</xdr:row>
      <xdr:rowOff>142875</xdr:rowOff>
    </xdr:from>
    <xdr:to>
      <xdr:col>75</xdr:col>
      <xdr:colOff>514350</xdr:colOff>
      <xdr:row>7</xdr:row>
      <xdr:rowOff>19050</xdr:rowOff>
    </xdr:to>
    <xdr:sp macro="" textlink="">
      <xdr:nvSpPr>
        <xdr:cNvPr id="30" name="타원 29"/>
        <xdr:cNvSpPr/>
      </xdr:nvSpPr>
      <xdr:spPr>
        <a:xfrm>
          <a:off x="51644550" y="1190625"/>
          <a:ext cx="304800" cy="2952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wsDr>
</file>

<file path=xl/drawings/drawing34.xml><?xml version="1.0" encoding="utf-8"?>
<xdr:wsDr xmlns:xdr="http://schemas.openxmlformats.org/drawingml/2006/spreadsheetDrawing" xmlns:a="http://schemas.openxmlformats.org/drawingml/2006/main">
  <xdr:oneCellAnchor>
    <xdr:from>
      <xdr:col>5</xdr:col>
      <xdr:colOff>21980</xdr:colOff>
      <xdr:row>3</xdr:row>
      <xdr:rowOff>0</xdr:rowOff>
    </xdr:from>
    <xdr:ext cx="5983941" cy="1838325"/>
    <xdr:pic>
      <xdr:nvPicPr>
        <xdr:cNvPr id="2" name="그림 1" descr="https://lh7-rt.googleusercontent.com/slidesz/AGV_vUc3lteHgmosCb_ZS4lkyDgOdCNpqQ-FRAttXcf4zybN0cNHzMifJ-mxYiyZWHBAliZgw1_HOsFPhIWurMZOlJ30y46cEG_WuKD9KHTYzzPfJTpK5pvUNjiztIzQn9sPRy2WRDhFRgSaVQ3VafCcAv23YaQA-_3m=s2048?key=C1rROcUxR6hNuBclGSbbRA"/>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50980" y="628650"/>
          <a:ext cx="5983941" cy="18383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18</xdr:row>
      <xdr:rowOff>0</xdr:rowOff>
    </xdr:from>
    <xdr:ext cx="7105650" cy="1990725"/>
    <xdr:pic>
      <xdr:nvPicPr>
        <xdr:cNvPr id="3" name="그림 2" descr="https://lh7-rt.googleusercontent.com/slidesz/AGV_vUciocRMfmh_MSoUF6zYY-gJZWvHZF7MBo3CW3q4YR7pEFUYqEK--wHuEydAayFbhJ1VfkMWfAD3ZMVaox4Il2J35ATc26o3tsJxtfcwZxEPRcIwiw2oJPaJzbqWQWDry1hhMmZSGwW7xl6DA8_5SAN3PLlfwEie=s2048?key=C1rROcUxR6hNuBclGSbbRA"/>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29000" y="3771900"/>
          <a:ext cx="7105650" cy="19907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38100</xdr:colOff>
      <xdr:row>27</xdr:row>
      <xdr:rowOff>76200</xdr:rowOff>
    </xdr:from>
    <xdr:ext cx="7067550" cy="1676400"/>
    <xdr:pic>
      <xdr:nvPicPr>
        <xdr:cNvPr id="4" name="그림 3" descr="https://lh7-rt.googleusercontent.com/slidesz/AGV_vUd-sQfefvuL6cy0FeHM05MmS8YPFZgiB7LurY9vxC8UmMf11WyTOJuIjnn_mbYyp1qyn3RrLg45il-oKMU0okSevLEsYOXDEOcAhpCA1tQoBo9_YKbt43pkxyhJjjQO7OVrA_TAaadv-frZRtOIh_srGIZ4pRmN=s2048?key=C1rROcUxR6hNuBclGSbbRA"/>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467100" y="5734050"/>
          <a:ext cx="7067550" cy="1676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8</xdr:col>
      <xdr:colOff>257175</xdr:colOff>
      <xdr:row>38</xdr:row>
      <xdr:rowOff>76200</xdr:rowOff>
    </xdr:from>
    <xdr:to>
      <xdr:col>8</xdr:col>
      <xdr:colOff>466725</xdr:colOff>
      <xdr:row>39</xdr:row>
      <xdr:rowOff>76200</xdr:rowOff>
    </xdr:to>
    <xdr:sp macro="" textlink="">
      <xdr:nvSpPr>
        <xdr:cNvPr id="5" name="타원 4"/>
        <xdr:cNvSpPr/>
      </xdr:nvSpPr>
      <xdr:spPr>
        <a:xfrm>
          <a:off x="5743575" y="8039100"/>
          <a:ext cx="209550" cy="2095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8</xdr:col>
      <xdr:colOff>266700</xdr:colOff>
      <xdr:row>39</xdr:row>
      <xdr:rowOff>161925</xdr:rowOff>
    </xdr:from>
    <xdr:to>
      <xdr:col>8</xdr:col>
      <xdr:colOff>476250</xdr:colOff>
      <xdr:row>40</xdr:row>
      <xdr:rowOff>161925</xdr:rowOff>
    </xdr:to>
    <xdr:sp macro="" textlink="">
      <xdr:nvSpPr>
        <xdr:cNvPr id="6" name="타원 5"/>
        <xdr:cNvSpPr/>
      </xdr:nvSpPr>
      <xdr:spPr>
        <a:xfrm>
          <a:off x="5753100" y="8334375"/>
          <a:ext cx="209550" cy="2095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8</xdr:col>
      <xdr:colOff>228600</xdr:colOff>
      <xdr:row>47</xdr:row>
      <xdr:rowOff>180975</xdr:rowOff>
    </xdr:from>
    <xdr:ext cx="302775" cy="688778"/>
    <mc:AlternateContent xmlns:mc="http://schemas.openxmlformats.org/markup-compatibility/2006">
      <mc:Choice xmlns:a14="http://schemas.microsoft.com/office/drawing/2010/main" Requires="a14">
        <xdr:sp macro="" textlink="">
          <xdr:nvSpPr>
            <xdr:cNvPr id="7" name="TextBox 6"/>
            <xdr:cNvSpPr txBox="1"/>
          </xdr:nvSpPr>
          <xdr:spPr>
            <a:xfrm>
              <a:off x="5715000" y="10029825"/>
              <a:ext cx="302775" cy="6887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400" i="1">
                        <a:latin typeface="Cambria Math" panose="02040503050406030204" pitchFamily="18" charset="0"/>
                      </a:rPr>
                      <m:t>⋮</m:t>
                    </m:r>
                  </m:oMath>
                </m:oMathPara>
              </a14:m>
              <a:endParaRPr lang="ko-KR" altLang="en-US" sz="4400"/>
            </a:p>
          </xdr:txBody>
        </xdr:sp>
      </mc:Choice>
      <mc:Fallback>
        <xdr:sp macro="" textlink="">
          <xdr:nvSpPr>
            <xdr:cNvPr id="7" name="TextBox 6"/>
            <xdr:cNvSpPr txBox="1"/>
          </xdr:nvSpPr>
          <xdr:spPr>
            <a:xfrm>
              <a:off x="5715000" y="10029825"/>
              <a:ext cx="302775" cy="6887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ko-KR" altLang="en-US" sz="4400" i="0">
                  <a:latin typeface="Cambria Math" panose="02040503050406030204" pitchFamily="18" charset="0"/>
                </a:rPr>
                <a:t>⋮</a:t>
              </a:r>
              <a:endParaRPr lang="ko-KR" altLang="en-US" sz="4400"/>
            </a:p>
          </xdr:txBody>
        </xdr:sp>
      </mc:Fallback>
    </mc:AlternateContent>
    <xdr:clientData/>
  </xdr:oneCellAnchor>
  <xdr:twoCellAnchor>
    <xdr:from>
      <xdr:col>8</xdr:col>
      <xdr:colOff>247650</xdr:colOff>
      <xdr:row>55</xdr:row>
      <xdr:rowOff>142875</xdr:rowOff>
    </xdr:from>
    <xdr:to>
      <xdr:col>8</xdr:col>
      <xdr:colOff>457200</xdr:colOff>
      <xdr:row>56</xdr:row>
      <xdr:rowOff>142875</xdr:rowOff>
    </xdr:to>
    <xdr:sp macro="" textlink="">
      <xdr:nvSpPr>
        <xdr:cNvPr id="8" name="타원 7"/>
        <xdr:cNvSpPr/>
      </xdr:nvSpPr>
      <xdr:spPr>
        <a:xfrm>
          <a:off x="5734050" y="11668125"/>
          <a:ext cx="209550" cy="2095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22</xdr:col>
      <xdr:colOff>209550</xdr:colOff>
      <xdr:row>42</xdr:row>
      <xdr:rowOff>142875</xdr:rowOff>
    </xdr:from>
    <xdr:to>
      <xdr:col>22</xdr:col>
      <xdr:colOff>514350</xdr:colOff>
      <xdr:row>44</xdr:row>
      <xdr:rowOff>19050</xdr:rowOff>
    </xdr:to>
    <xdr:sp macro="" textlink="">
      <xdr:nvSpPr>
        <xdr:cNvPr id="9" name="타원 8"/>
        <xdr:cNvSpPr/>
      </xdr:nvSpPr>
      <xdr:spPr>
        <a:xfrm>
          <a:off x="15297150" y="8943975"/>
          <a:ext cx="304800" cy="2952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22</xdr:col>
      <xdr:colOff>219075</xdr:colOff>
      <xdr:row>44</xdr:row>
      <xdr:rowOff>142875</xdr:rowOff>
    </xdr:from>
    <xdr:to>
      <xdr:col>22</xdr:col>
      <xdr:colOff>523875</xdr:colOff>
      <xdr:row>46</xdr:row>
      <xdr:rowOff>19050</xdr:rowOff>
    </xdr:to>
    <xdr:sp macro="" textlink="">
      <xdr:nvSpPr>
        <xdr:cNvPr id="10" name="타원 9"/>
        <xdr:cNvSpPr/>
      </xdr:nvSpPr>
      <xdr:spPr>
        <a:xfrm>
          <a:off x="15306675" y="9363075"/>
          <a:ext cx="304800" cy="2952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22</xdr:col>
      <xdr:colOff>252412</xdr:colOff>
      <xdr:row>46</xdr:row>
      <xdr:rowOff>42862</xdr:rowOff>
    </xdr:from>
    <xdr:ext cx="302775" cy="688778"/>
    <mc:AlternateContent xmlns:mc="http://schemas.openxmlformats.org/markup-compatibility/2006">
      <mc:Choice xmlns:a14="http://schemas.microsoft.com/office/drawing/2010/main" Requires="a14">
        <xdr:sp macro="" textlink="">
          <xdr:nvSpPr>
            <xdr:cNvPr id="11" name="TextBox 10"/>
            <xdr:cNvSpPr txBox="1"/>
          </xdr:nvSpPr>
          <xdr:spPr>
            <a:xfrm>
              <a:off x="15340012" y="9682162"/>
              <a:ext cx="302775" cy="6887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400" i="1">
                        <a:latin typeface="Cambria Math" panose="02040503050406030204" pitchFamily="18" charset="0"/>
                      </a:rPr>
                      <m:t>⋮</m:t>
                    </m:r>
                  </m:oMath>
                </m:oMathPara>
              </a14:m>
              <a:endParaRPr lang="ko-KR" altLang="en-US" sz="4400"/>
            </a:p>
          </xdr:txBody>
        </xdr:sp>
      </mc:Choice>
      <mc:Fallback>
        <xdr:sp macro="" textlink="">
          <xdr:nvSpPr>
            <xdr:cNvPr id="11" name="TextBox 10"/>
            <xdr:cNvSpPr txBox="1"/>
          </xdr:nvSpPr>
          <xdr:spPr>
            <a:xfrm>
              <a:off x="15340012" y="9682162"/>
              <a:ext cx="302775" cy="6887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ko-KR" altLang="en-US" sz="4400" i="0">
                  <a:latin typeface="Cambria Math" panose="02040503050406030204" pitchFamily="18" charset="0"/>
                </a:rPr>
                <a:t>⋮</a:t>
              </a:r>
              <a:endParaRPr lang="ko-KR" altLang="en-US" sz="4400"/>
            </a:p>
          </xdr:txBody>
        </xdr:sp>
      </mc:Fallback>
    </mc:AlternateContent>
    <xdr:clientData/>
  </xdr:oneCellAnchor>
  <xdr:twoCellAnchor>
    <xdr:from>
      <xdr:col>22</xdr:col>
      <xdr:colOff>238125</xdr:colOff>
      <xdr:row>51</xdr:row>
      <xdr:rowOff>28575</xdr:rowOff>
    </xdr:from>
    <xdr:to>
      <xdr:col>22</xdr:col>
      <xdr:colOff>542925</xdr:colOff>
      <xdr:row>52</xdr:row>
      <xdr:rowOff>114300</xdr:rowOff>
    </xdr:to>
    <xdr:sp macro="" textlink="">
      <xdr:nvSpPr>
        <xdr:cNvPr id="12" name="타원 11"/>
        <xdr:cNvSpPr/>
      </xdr:nvSpPr>
      <xdr:spPr>
        <a:xfrm>
          <a:off x="15325725" y="10715625"/>
          <a:ext cx="304800" cy="2952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32</xdr:col>
      <xdr:colOff>171450</xdr:colOff>
      <xdr:row>45</xdr:row>
      <xdr:rowOff>104775</xdr:rowOff>
    </xdr:from>
    <xdr:to>
      <xdr:col>32</xdr:col>
      <xdr:colOff>476250</xdr:colOff>
      <xdr:row>46</xdr:row>
      <xdr:rowOff>190500</xdr:rowOff>
    </xdr:to>
    <xdr:sp macro="" textlink="">
      <xdr:nvSpPr>
        <xdr:cNvPr id="13" name="타원 12"/>
        <xdr:cNvSpPr/>
      </xdr:nvSpPr>
      <xdr:spPr>
        <a:xfrm>
          <a:off x="22117050" y="9534525"/>
          <a:ext cx="304800" cy="2952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16</xdr:col>
      <xdr:colOff>323850</xdr:colOff>
      <xdr:row>23</xdr:row>
      <xdr:rowOff>101117</xdr:rowOff>
    </xdr:from>
    <xdr:ext cx="2734260" cy="2280621"/>
    <xdr:pic>
      <xdr:nvPicPr>
        <xdr:cNvPr id="14" name="그림 13"/>
        <xdr:cNvPicPr>
          <a:picLocks noChangeAspect="1"/>
        </xdr:cNvPicPr>
      </xdr:nvPicPr>
      <xdr:blipFill>
        <a:blip xmlns:r="http://schemas.openxmlformats.org/officeDocument/2006/relationships" r:embed="rId4"/>
        <a:stretch>
          <a:fillRect/>
        </a:stretch>
      </xdr:blipFill>
      <xdr:spPr>
        <a:xfrm>
          <a:off x="11296650" y="4920767"/>
          <a:ext cx="2734260" cy="2280621"/>
        </a:xfrm>
        <a:prstGeom prst="rect">
          <a:avLst/>
        </a:prstGeom>
      </xdr:spPr>
    </xdr:pic>
    <xdr:clientData/>
  </xdr:oneCellAnchor>
  <xdr:oneCellAnchor>
    <xdr:from>
      <xdr:col>1</xdr:col>
      <xdr:colOff>514350</xdr:colOff>
      <xdr:row>55</xdr:row>
      <xdr:rowOff>142875</xdr:rowOff>
    </xdr:from>
    <xdr:ext cx="1257475" cy="1238423"/>
    <xdr:pic>
      <xdr:nvPicPr>
        <xdr:cNvPr id="15" name="그림 14"/>
        <xdr:cNvPicPr>
          <a:picLocks noChangeAspect="1"/>
        </xdr:cNvPicPr>
      </xdr:nvPicPr>
      <xdr:blipFill>
        <a:blip xmlns:r="http://schemas.openxmlformats.org/officeDocument/2006/relationships" r:embed="rId5"/>
        <a:stretch>
          <a:fillRect/>
        </a:stretch>
      </xdr:blipFill>
      <xdr:spPr>
        <a:xfrm>
          <a:off x="1200150" y="11668125"/>
          <a:ext cx="1257475" cy="1238423"/>
        </a:xfrm>
        <a:prstGeom prst="rect">
          <a:avLst/>
        </a:prstGeom>
      </xdr:spPr>
    </xdr:pic>
    <xdr:clientData/>
  </xdr:oneCellAnchor>
  <xdr:oneCellAnchor>
    <xdr:from>
      <xdr:col>1</xdr:col>
      <xdr:colOff>0</xdr:colOff>
      <xdr:row>74</xdr:row>
      <xdr:rowOff>171450</xdr:rowOff>
    </xdr:from>
    <xdr:ext cx="4608427" cy="4172893"/>
    <xdr:pic>
      <xdr:nvPicPr>
        <xdr:cNvPr id="16" name="그림 15"/>
        <xdr:cNvPicPr>
          <a:picLocks noChangeAspect="1"/>
        </xdr:cNvPicPr>
      </xdr:nvPicPr>
      <xdr:blipFill>
        <a:blip xmlns:r="http://schemas.openxmlformats.org/officeDocument/2006/relationships" r:embed="rId6"/>
        <a:stretch>
          <a:fillRect/>
        </a:stretch>
      </xdr:blipFill>
      <xdr:spPr>
        <a:xfrm>
          <a:off x="685800" y="15678150"/>
          <a:ext cx="4608427" cy="4172893"/>
        </a:xfrm>
        <a:prstGeom prst="rect">
          <a:avLst/>
        </a:prstGeom>
      </xdr:spPr>
    </xdr:pic>
    <xdr:clientData/>
  </xdr:oneCellAnchor>
  <xdr:oneCellAnchor>
    <xdr:from>
      <xdr:col>0</xdr:col>
      <xdr:colOff>659425</xdr:colOff>
      <xdr:row>114</xdr:row>
      <xdr:rowOff>29307</xdr:rowOff>
    </xdr:from>
    <xdr:ext cx="5842739" cy="4339092"/>
    <xdr:pic>
      <xdr:nvPicPr>
        <xdr:cNvPr id="17" name="그림 16"/>
        <xdr:cNvPicPr>
          <a:picLocks noChangeAspect="1"/>
        </xdr:cNvPicPr>
      </xdr:nvPicPr>
      <xdr:blipFill>
        <a:blip xmlns:r="http://schemas.openxmlformats.org/officeDocument/2006/relationships" r:embed="rId7"/>
        <a:stretch>
          <a:fillRect/>
        </a:stretch>
      </xdr:blipFill>
      <xdr:spPr>
        <a:xfrm>
          <a:off x="659425" y="23918007"/>
          <a:ext cx="5842739" cy="4339092"/>
        </a:xfrm>
        <a:prstGeom prst="rect">
          <a:avLst/>
        </a:prstGeom>
      </xdr:spPr>
    </xdr:pic>
    <xdr:clientData/>
  </xdr:oneCellAnchor>
  <xdr:twoCellAnchor>
    <xdr:from>
      <xdr:col>4</xdr:col>
      <xdr:colOff>490904</xdr:colOff>
      <xdr:row>104</xdr:row>
      <xdr:rowOff>168520</xdr:rowOff>
    </xdr:from>
    <xdr:to>
      <xdr:col>10</xdr:col>
      <xdr:colOff>432288</xdr:colOff>
      <xdr:row>118</xdr:row>
      <xdr:rowOff>161193</xdr:rowOff>
    </xdr:to>
    <xdr:cxnSp macro="">
      <xdr:nvCxnSpPr>
        <xdr:cNvPr id="18" name="직선 화살표 연결선 17"/>
        <xdr:cNvCxnSpPr/>
      </xdr:nvCxnSpPr>
      <xdr:spPr>
        <a:xfrm flipH="1" flipV="1">
          <a:off x="3234104" y="21961720"/>
          <a:ext cx="4056184" cy="292637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209550</xdr:colOff>
      <xdr:row>108</xdr:row>
      <xdr:rowOff>142875</xdr:rowOff>
    </xdr:from>
    <xdr:to>
      <xdr:col>16</xdr:col>
      <xdr:colOff>514350</xdr:colOff>
      <xdr:row>110</xdr:row>
      <xdr:rowOff>19050</xdr:rowOff>
    </xdr:to>
    <xdr:sp macro="" textlink="">
      <xdr:nvSpPr>
        <xdr:cNvPr id="19" name="타원 18"/>
        <xdr:cNvSpPr/>
      </xdr:nvSpPr>
      <xdr:spPr>
        <a:xfrm>
          <a:off x="11182350" y="22774275"/>
          <a:ext cx="304800" cy="2952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16</xdr:col>
      <xdr:colOff>219075</xdr:colOff>
      <xdr:row>110</xdr:row>
      <xdr:rowOff>142875</xdr:rowOff>
    </xdr:from>
    <xdr:to>
      <xdr:col>16</xdr:col>
      <xdr:colOff>523875</xdr:colOff>
      <xdr:row>112</xdr:row>
      <xdr:rowOff>19050</xdr:rowOff>
    </xdr:to>
    <xdr:sp macro="" textlink="">
      <xdr:nvSpPr>
        <xdr:cNvPr id="20" name="타원 19"/>
        <xdr:cNvSpPr/>
      </xdr:nvSpPr>
      <xdr:spPr>
        <a:xfrm>
          <a:off x="11191875" y="23193375"/>
          <a:ext cx="304800" cy="2952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16</xdr:col>
      <xdr:colOff>252412</xdr:colOff>
      <xdr:row>112</xdr:row>
      <xdr:rowOff>42862</xdr:rowOff>
    </xdr:from>
    <xdr:ext cx="302775" cy="688778"/>
    <mc:AlternateContent xmlns:mc="http://schemas.openxmlformats.org/markup-compatibility/2006">
      <mc:Choice xmlns:a14="http://schemas.microsoft.com/office/drawing/2010/main" Requires="a14">
        <xdr:sp macro="" textlink="">
          <xdr:nvSpPr>
            <xdr:cNvPr id="21" name="TextBox 20"/>
            <xdr:cNvSpPr txBox="1"/>
          </xdr:nvSpPr>
          <xdr:spPr>
            <a:xfrm>
              <a:off x="11225212" y="23512462"/>
              <a:ext cx="302775" cy="6887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400" i="1">
                        <a:latin typeface="Cambria Math" panose="02040503050406030204" pitchFamily="18" charset="0"/>
                      </a:rPr>
                      <m:t>⋮</m:t>
                    </m:r>
                  </m:oMath>
                </m:oMathPara>
              </a14:m>
              <a:endParaRPr lang="ko-KR" altLang="en-US" sz="4400"/>
            </a:p>
          </xdr:txBody>
        </xdr:sp>
      </mc:Choice>
      <mc:Fallback>
        <xdr:sp macro="" textlink="">
          <xdr:nvSpPr>
            <xdr:cNvPr id="21" name="TextBox 20"/>
            <xdr:cNvSpPr txBox="1"/>
          </xdr:nvSpPr>
          <xdr:spPr>
            <a:xfrm>
              <a:off x="11225212" y="23512462"/>
              <a:ext cx="302775" cy="6887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ko-KR" altLang="en-US" sz="4400" i="0">
                  <a:latin typeface="Cambria Math" panose="02040503050406030204" pitchFamily="18" charset="0"/>
                </a:rPr>
                <a:t>⋮</a:t>
              </a:r>
              <a:endParaRPr lang="ko-KR" altLang="en-US" sz="4400"/>
            </a:p>
          </xdr:txBody>
        </xdr:sp>
      </mc:Fallback>
    </mc:AlternateContent>
    <xdr:clientData/>
  </xdr:oneCellAnchor>
  <xdr:twoCellAnchor>
    <xdr:from>
      <xdr:col>16</xdr:col>
      <xdr:colOff>238125</xdr:colOff>
      <xdr:row>117</xdr:row>
      <xdr:rowOff>28575</xdr:rowOff>
    </xdr:from>
    <xdr:to>
      <xdr:col>16</xdr:col>
      <xdr:colOff>542925</xdr:colOff>
      <xdr:row>118</xdr:row>
      <xdr:rowOff>114300</xdr:rowOff>
    </xdr:to>
    <xdr:sp macro="" textlink="">
      <xdr:nvSpPr>
        <xdr:cNvPr id="22" name="타원 21"/>
        <xdr:cNvSpPr/>
      </xdr:nvSpPr>
      <xdr:spPr>
        <a:xfrm>
          <a:off x="11210925" y="24545925"/>
          <a:ext cx="304800" cy="2952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21</xdr:col>
      <xdr:colOff>209550</xdr:colOff>
      <xdr:row>108</xdr:row>
      <xdr:rowOff>142875</xdr:rowOff>
    </xdr:from>
    <xdr:to>
      <xdr:col>21</xdr:col>
      <xdr:colOff>514350</xdr:colOff>
      <xdr:row>110</xdr:row>
      <xdr:rowOff>19050</xdr:rowOff>
    </xdr:to>
    <xdr:sp macro="" textlink="">
      <xdr:nvSpPr>
        <xdr:cNvPr id="23" name="타원 22"/>
        <xdr:cNvSpPr/>
      </xdr:nvSpPr>
      <xdr:spPr>
        <a:xfrm>
          <a:off x="14611350" y="22774275"/>
          <a:ext cx="304800" cy="2952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21</xdr:col>
      <xdr:colOff>219075</xdr:colOff>
      <xdr:row>110</xdr:row>
      <xdr:rowOff>142875</xdr:rowOff>
    </xdr:from>
    <xdr:to>
      <xdr:col>21</xdr:col>
      <xdr:colOff>523875</xdr:colOff>
      <xdr:row>112</xdr:row>
      <xdr:rowOff>19050</xdr:rowOff>
    </xdr:to>
    <xdr:sp macro="" textlink="">
      <xdr:nvSpPr>
        <xdr:cNvPr id="24" name="타원 23"/>
        <xdr:cNvSpPr/>
      </xdr:nvSpPr>
      <xdr:spPr>
        <a:xfrm>
          <a:off x="14620875" y="23193375"/>
          <a:ext cx="304800" cy="2952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21</xdr:col>
      <xdr:colOff>252412</xdr:colOff>
      <xdr:row>112</xdr:row>
      <xdr:rowOff>42862</xdr:rowOff>
    </xdr:from>
    <xdr:ext cx="302775" cy="688778"/>
    <mc:AlternateContent xmlns:mc="http://schemas.openxmlformats.org/markup-compatibility/2006">
      <mc:Choice xmlns:a14="http://schemas.microsoft.com/office/drawing/2010/main" Requires="a14">
        <xdr:sp macro="" textlink="">
          <xdr:nvSpPr>
            <xdr:cNvPr id="25" name="TextBox 24"/>
            <xdr:cNvSpPr txBox="1"/>
          </xdr:nvSpPr>
          <xdr:spPr>
            <a:xfrm>
              <a:off x="14654212" y="23512462"/>
              <a:ext cx="302775" cy="6887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400" i="1">
                        <a:latin typeface="Cambria Math" panose="02040503050406030204" pitchFamily="18" charset="0"/>
                      </a:rPr>
                      <m:t>⋮</m:t>
                    </m:r>
                  </m:oMath>
                </m:oMathPara>
              </a14:m>
              <a:endParaRPr lang="ko-KR" altLang="en-US" sz="4400"/>
            </a:p>
          </xdr:txBody>
        </xdr:sp>
      </mc:Choice>
      <mc:Fallback>
        <xdr:sp macro="" textlink="">
          <xdr:nvSpPr>
            <xdr:cNvPr id="25" name="TextBox 24"/>
            <xdr:cNvSpPr txBox="1"/>
          </xdr:nvSpPr>
          <xdr:spPr>
            <a:xfrm>
              <a:off x="14654212" y="23512462"/>
              <a:ext cx="302775" cy="6887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ko-KR" altLang="en-US" sz="4400" i="0">
                  <a:latin typeface="Cambria Math" panose="02040503050406030204" pitchFamily="18" charset="0"/>
                </a:rPr>
                <a:t>⋮</a:t>
              </a:r>
              <a:endParaRPr lang="ko-KR" altLang="en-US" sz="4400"/>
            </a:p>
          </xdr:txBody>
        </xdr:sp>
      </mc:Fallback>
    </mc:AlternateContent>
    <xdr:clientData/>
  </xdr:oneCellAnchor>
  <xdr:twoCellAnchor>
    <xdr:from>
      <xdr:col>21</xdr:col>
      <xdr:colOff>238125</xdr:colOff>
      <xdr:row>117</xdr:row>
      <xdr:rowOff>28575</xdr:rowOff>
    </xdr:from>
    <xdr:to>
      <xdr:col>21</xdr:col>
      <xdr:colOff>542925</xdr:colOff>
      <xdr:row>118</xdr:row>
      <xdr:rowOff>114300</xdr:rowOff>
    </xdr:to>
    <xdr:sp macro="" textlink="">
      <xdr:nvSpPr>
        <xdr:cNvPr id="26" name="타원 25"/>
        <xdr:cNvSpPr/>
      </xdr:nvSpPr>
      <xdr:spPr>
        <a:xfrm>
          <a:off x="14639925" y="24545925"/>
          <a:ext cx="304800" cy="2952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28</xdr:col>
      <xdr:colOff>271097</xdr:colOff>
      <xdr:row>112</xdr:row>
      <xdr:rowOff>21980</xdr:rowOff>
    </xdr:from>
    <xdr:to>
      <xdr:col>28</xdr:col>
      <xdr:colOff>395655</xdr:colOff>
      <xdr:row>112</xdr:row>
      <xdr:rowOff>205153</xdr:rowOff>
    </xdr:to>
    <xdr:sp macro="" textlink="">
      <xdr:nvSpPr>
        <xdr:cNvPr id="27" name="타원 26"/>
        <xdr:cNvSpPr/>
      </xdr:nvSpPr>
      <xdr:spPr>
        <a:xfrm flipH="1">
          <a:off x="19473497" y="23491580"/>
          <a:ext cx="124558" cy="18317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0</xdr:col>
      <xdr:colOff>0</xdr:colOff>
      <xdr:row>147</xdr:row>
      <xdr:rowOff>0</xdr:rowOff>
    </xdr:from>
    <xdr:ext cx="7665767" cy="4164479"/>
    <xdr:pic>
      <xdr:nvPicPr>
        <xdr:cNvPr id="28" name="그림 27"/>
        <xdr:cNvPicPr>
          <a:picLocks noChangeAspect="1"/>
        </xdr:cNvPicPr>
      </xdr:nvPicPr>
      <xdr:blipFill>
        <a:blip xmlns:r="http://schemas.openxmlformats.org/officeDocument/2006/relationships" r:embed="rId8"/>
        <a:stretch>
          <a:fillRect/>
        </a:stretch>
      </xdr:blipFill>
      <xdr:spPr>
        <a:xfrm>
          <a:off x="0" y="30803850"/>
          <a:ext cx="7665767" cy="4164479"/>
        </a:xfrm>
        <a:prstGeom prst="rect">
          <a:avLst/>
        </a:prstGeom>
      </xdr:spPr>
    </xdr:pic>
    <xdr:clientData/>
  </xdr:oneCellAnchor>
  <xdr:oneCellAnchor>
    <xdr:from>
      <xdr:col>18</xdr:col>
      <xdr:colOff>0</xdr:colOff>
      <xdr:row>148</xdr:row>
      <xdr:rowOff>0</xdr:rowOff>
    </xdr:from>
    <xdr:ext cx="5972175" cy="1838325"/>
    <xdr:pic>
      <xdr:nvPicPr>
        <xdr:cNvPr id="29" name="그림 28" descr="https://lh7-rt.googleusercontent.com/slidesz/AGV_vUc3lteHgmosCb_ZS4lkyDgOdCNpqQ-FRAttXcf4zybN0cNHzMifJ-mxYiyZWHBAliZgw1_HOsFPhIWurMZOlJ30y46cEG_WuKD9KHTYzzPfJTpK5pvUNjiztIzQn9sPRy2WRDhFRgSaVQ3VafCcAv23YaQA-_3m=s2048?key=C1rROcUxR6hNuBclGSbbRA"/>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44400" y="31013400"/>
          <a:ext cx="5972175" cy="18383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24</xdr:col>
      <xdr:colOff>0</xdr:colOff>
      <xdr:row>161</xdr:row>
      <xdr:rowOff>0</xdr:rowOff>
    </xdr:from>
    <xdr:ext cx="4049933" cy="567022"/>
    <xdr:pic>
      <xdr:nvPicPr>
        <xdr:cNvPr id="30" name="그림 29"/>
        <xdr:cNvPicPr>
          <a:picLocks noChangeAspect="1"/>
        </xdr:cNvPicPr>
      </xdr:nvPicPr>
      <xdr:blipFill>
        <a:blip xmlns:r="http://schemas.openxmlformats.org/officeDocument/2006/relationships" r:embed="rId9"/>
        <a:stretch>
          <a:fillRect/>
        </a:stretch>
      </xdr:blipFill>
      <xdr:spPr>
        <a:xfrm>
          <a:off x="16459200" y="33737550"/>
          <a:ext cx="4049933" cy="567022"/>
        </a:xfrm>
        <a:prstGeom prst="rect">
          <a:avLst/>
        </a:prstGeom>
      </xdr:spPr>
    </xdr:pic>
    <xdr:clientData/>
  </xdr:oneCellAnchor>
  <xdr:twoCellAnchor>
    <xdr:from>
      <xdr:col>19</xdr:col>
      <xdr:colOff>331304</xdr:colOff>
      <xdr:row>61</xdr:row>
      <xdr:rowOff>157369</xdr:rowOff>
    </xdr:from>
    <xdr:to>
      <xdr:col>21</xdr:col>
      <xdr:colOff>785812</xdr:colOff>
      <xdr:row>162</xdr:row>
      <xdr:rowOff>47624</xdr:rowOff>
    </xdr:to>
    <xdr:cxnSp macro="">
      <xdr:nvCxnSpPr>
        <xdr:cNvPr id="31" name="직선 화살표 연결선 30"/>
        <xdr:cNvCxnSpPr/>
      </xdr:nvCxnSpPr>
      <xdr:spPr>
        <a:xfrm>
          <a:off x="13361504" y="12939919"/>
          <a:ext cx="1730858" cy="21054805"/>
        </a:xfrm>
        <a:prstGeom prst="straightConnector1">
          <a:avLst/>
        </a:prstGeom>
        <a:ln w="57150">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14</xdr:col>
      <xdr:colOff>266700</xdr:colOff>
      <xdr:row>1</xdr:row>
      <xdr:rowOff>123825</xdr:rowOff>
    </xdr:from>
    <xdr:to>
      <xdr:col>21</xdr:col>
      <xdr:colOff>38866</xdr:colOff>
      <xdr:row>11</xdr:row>
      <xdr:rowOff>124117</xdr:rowOff>
    </xdr:to>
    <xdr:pic>
      <xdr:nvPicPr>
        <xdr:cNvPr id="2" name="그림 1"/>
        <xdr:cNvPicPr>
          <a:picLocks noChangeAspect="1"/>
        </xdr:cNvPicPr>
      </xdr:nvPicPr>
      <xdr:blipFill>
        <a:blip xmlns:r="http://schemas.openxmlformats.org/officeDocument/2006/relationships" r:embed="rId1"/>
        <a:stretch>
          <a:fillRect/>
        </a:stretch>
      </xdr:blipFill>
      <xdr:spPr>
        <a:xfrm>
          <a:off x="9867900" y="333375"/>
          <a:ext cx="5487166" cy="2095792"/>
        </a:xfrm>
        <a:prstGeom prst="rect">
          <a:avLst/>
        </a:prstGeom>
      </xdr:spPr>
    </xdr:pic>
    <xdr:clientData/>
  </xdr:twoCellAnchor>
  <xdr:twoCellAnchor>
    <xdr:from>
      <xdr:col>7</xdr:col>
      <xdr:colOff>214312</xdr:colOff>
      <xdr:row>1</xdr:row>
      <xdr:rowOff>80962</xdr:rowOff>
    </xdr:from>
    <xdr:to>
      <xdr:col>13</xdr:col>
      <xdr:colOff>671512</xdr:colOff>
      <xdr:row>14</xdr:row>
      <xdr:rowOff>100012</xdr:rowOff>
    </xdr:to>
    <xdr:graphicFrame macro="">
      <xdr:nvGraphicFramePr>
        <xdr:cNvPr id="3" name="차트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214312</xdr:colOff>
      <xdr:row>15</xdr:row>
      <xdr:rowOff>4762</xdr:rowOff>
    </xdr:from>
    <xdr:to>
      <xdr:col>13</xdr:col>
      <xdr:colOff>671512</xdr:colOff>
      <xdr:row>28</xdr:row>
      <xdr:rowOff>23812</xdr:rowOff>
    </xdr:to>
    <xdr:graphicFrame macro="">
      <xdr:nvGraphicFramePr>
        <xdr:cNvPr id="4" name="차트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528637</xdr:colOff>
      <xdr:row>29</xdr:row>
      <xdr:rowOff>138112</xdr:rowOff>
    </xdr:from>
    <xdr:to>
      <xdr:col>15</xdr:col>
      <xdr:colOff>300037</xdr:colOff>
      <xdr:row>42</xdr:row>
      <xdr:rowOff>157162</xdr:rowOff>
    </xdr:to>
    <xdr:graphicFrame macro="">
      <xdr:nvGraphicFramePr>
        <xdr:cNvPr id="5" name="차트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157162</xdr:colOff>
      <xdr:row>43</xdr:row>
      <xdr:rowOff>80962</xdr:rowOff>
    </xdr:from>
    <xdr:to>
      <xdr:col>11</xdr:col>
      <xdr:colOff>614362</xdr:colOff>
      <xdr:row>56</xdr:row>
      <xdr:rowOff>100012</xdr:rowOff>
    </xdr:to>
    <xdr:graphicFrame macro="">
      <xdr:nvGraphicFramePr>
        <xdr:cNvPr id="6" name="차트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157162</xdr:colOff>
      <xdr:row>43</xdr:row>
      <xdr:rowOff>80962</xdr:rowOff>
    </xdr:from>
    <xdr:to>
      <xdr:col>18</xdr:col>
      <xdr:colOff>614362</xdr:colOff>
      <xdr:row>56</xdr:row>
      <xdr:rowOff>100012</xdr:rowOff>
    </xdr:to>
    <xdr:graphicFrame macro="">
      <xdr:nvGraphicFramePr>
        <xdr:cNvPr id="7" name="차트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19</xdr:col>
      <xdr:colOff>114300</xdr:colOff>
      <xdr:row>31</xdr:row>
      <xdr:rowOff>38100</xdr:rowOff>
    </xdr:from>
    <xdr:to>
      <xdr:col>26</xdr:col>
      <xdr:colOff>530962</xdr:colOff>
      <xdr:row>55</xdr:row>
      <xdr:rowOff>171957</xdr:rowOff>
    </xdr:to>
    <xdr:pic>
      <xdr:nvPicPr>
        <xdr:cNvPr id="8" name="그림 7"/>
        <xdr:cNvPicPr>
          <a:picLocks noChangeAspect="1"/>
        </xdr:cNvPicPr>
      </xdr:nvPicPr>
      <xdr:blipFill>
        <a:blip xmlns:r="http://schemas.openxmlformats.org/officeDocument/2006/relationships" r:embed="rId7"/>
        <a:stretch>
          <a:fillRect/>
        </a:stretch>
      </xdr:blipFill>
      <xdr:spPr>
        <a:xfrm>
          <a:off x="13144500" y="6534150"/>
          <a:ext cx="5217262" cy="5163057"/>
        </a:xfrm>
        <a:prstGeom prst="rect">
          <a:avLst/>
        </a:prstGeom>
      </xdr:spPr>
    </xdr:pic>
    <xdr:clientData/>
  </xdr:twoCellAnchor>
  <xdr:twoCellAnchor>
    <xdr:from>
      <xdr:col>16</xdr:col>
      <xdr:colOff>376237</xdr:colOff>
      <xdr:row>60</xdr:row>
      <xdr:rowOff>176212</xdr:rowOff>
    </xdr:from>
    <xdr:to>
      <xdr:col>23</xdr:col>
      <xdr:colOff>147637</xdr:colOff>
      <xdr:row>73</xdr:row>
      <xdr:rowOff>195262</xdr:rowOff>
    </xdr:to>
    <xdr:graphicFrame macro="">
      <xdr:nvGraphicFramePr>
        <xdr:cNvPr id="9" name="차트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538162</xdr:colOff>
      <xdr:row>75</xdr:row>
      <xdr:rowOff>33337</xdr:rowOff>
    </xdr:from>
    <xdr:to>
      <xdr:col>16</xdr:col>
      <xdr:colOff>309562</xdr:colOff>
      <xdr:row>88</xdr:row>
      <xdr:rowOff>52387</xdr:rowOff>
    </xdr:to>
    <xdr:graphicFrame macro="">
      <xdr:nvGraphicFramePr>
        <xdr:cNvPr id="10" name="차트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533400</xdr:colOff>
      <xdr:row>60</xdr:row>
      <xdr:rowOff>171450</xdr:rowOff>
    </xdr:from>
    <xdr:to>
      <xdr:col>16</xdr:col>
      <xdr:colOff>304800</xdr:colOff>
      <xdr:row>73</xdr:row>
      <xdr:rowOff>190500</xdr:rowOff>
    </xdr:to>
    <xdr:graphicFrame macro="">
      <xdr:nvGraphicFramePr>
        <xdr:cNvPr id="11" name="차트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376237</xdr:colOff>
      <xdr:row>75</xdr:row>
      <xdr:rowOff>14287</xdr:rowOff>
    </xdr:from>
    <xdr:to>
      <xdr:col>23</xdr:col>
      <xdr:colOff>147637</xdr:colOff>
      <xdr:row>88</xdr:row>
      <xdr:rowOff>33337</xdr:rowOff>
    </xdr:to>
    <xdr:graphicFrame macro="">
      <xdr:nvGraphicFramePr>
        <xdr:cNvPr id="12" name="차트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23</xdr:col>
      <xdr:colOff>478843</xdr:colOff>
      <xdr:row>60</xdr:row>
      <xdr:rowOff>190501</xdr:rowOff>
    </xdr:from>
    <xdr:to>
      <xdr:col>31</xdr:col>
      <xdr:colOff>657225</xdr:colOff>
      <xdr:row>87</xdr:row>
      <xdr:rowOff>1</xdr:rowOff>
    </xdr:to>
    <xdr:pic>
      <xdr:nvPicPr>
        <xdr:cNvPr id="13" name="그림 12"/>
        <xdr:cNvPicPr>
          <a:picLocks noChangeAspect="1"/>
        </xdr:cNvPicPr>
      </xdr:nvPicPr>
      <xdr:blipFill>
        <a:blip xmlns:r="http://schemas.openxmlformats.org/officeDocument/2006/relationships" r:embed="rId12"/>
        <a:stretch>
          <a:fillRect/>
        </a:stretch>
      </xdr:blipFill>
      <xdr:spPr>
        <a:xfrm>
          <a:off x="16252243" y="12763501"/>
          <a:ext cx="5664782" cy="5467350"/>
        </a:xfrm>
        <a:prstGeom prst="rect">
          <a:avLst/>
        </a:prstGeom>
      </xdr:spPr>
    </xdr:pic>
    <xdr:clientData/>
  </xdr:twoCellAnchor>
  <xdr:twoCellAnchor>
    <xdr:from>
      <xdr:col>6</xdr:col>
      <xdr:colOff>161925</xdr:colOff>
      <xdr:row>93</xdr:row>
      <xdr:rowOff>161925</xdr:rowOff>
    </xdr:from>
    <xdr:to>
      <xdr:col>12</xdr:col>
      <xdr:colOff>619125</xdr:colOff>
      <xdr:row>106</xdr:row>
      <xdr:rowOff>180975</xdr:rowOff>
    </xdr:to>
    <xdr:graphicFrame macro="">
      <xdr:nvGraphicFramePr>
        <xdr:cNvPr id="14" name="차트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147637</xdr:colOff>
      <xdr:row>93</xdr:row>
      <xdr:rowOff>185737</xdr:rowOff>
    </xdr:from>
    <xdr:to>
      <xdr:col>19</xdr:col>
      <xdr:colOff>604837</xdr:colOff>
      <xdr:row>106</xdr:row>
      <xdr:rowOff>204787</xdr:rowOff>
    </xdr:to>
    <xdr:graphicFrame macro="">
      <xdr:nvGraphicFramePr>
        <xdr:cNvPr id="15" name="차트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6</xdr:col>
      <xdr:colOff>157162</xdr:colOff>
      <xdr:row>107</xdr:row>
      <xdr:rowOff>147637</xdr:rowOff>
    </xdr:from>
    <xdr:to>
      <xdr:col>12</xdr:col>
      <xdr:colOff>614362</xdr:colOff>
      <xdr:row>120</xdr:row>
      <xdr:rowOff>166687</xdr:rowOff>
    </xdr:to>
    <xdr:graphicFrame macro="">
      <xdr:nvGraphicFramePr>
        <xdr:cNvPr id="16" name="차트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1</xdr:col>
      <xdr:colOff>123825</xdr:colOff>
      <xdr:row>126</xdr:row>
      <xdr:rowOff>123825</xdr:rowOff>
    </xdr:from>
    <xdr:to>
      <xdr:col>10</xdr:col>
      <xdr:colOff>677214</xdr:colOff>
      <xdr:row>142</xdr:row>
      <xdr:rowOff>86188</xdr:rowOff>
    </xdr:to>
    <xdr:pic>
      <xdr:nvPicPr>
        <xdr:cNvPr id="17" name="그림 16"/>
        <xdr:cNvPicPr>
          <a:picLocks noChangeAspect="1"/>
        </xdr:cNvPicPr>
      </xdr:nvPicPr>
      <xdr:blipFill>
        <a:blip xmlns:r="http://schemas.openxmlformats.org/officeDocument/2006/relationships" r:embed="rId16"/>
        <a:stretch>
          <a:fillRect/>
        </a:stretch>
      </xdr:blipFill>
      <xdr:spPr>
        <a:xfrm>
          <a:off x="809625" y="26527125"/>
          <a:ext cx="6725589" cy="3315163"/>
        </a:xfrm>
        <a:prstGeom prst="rect">
          <a:avLst/>
        </a:prstGeom>
      </xdr:spPr>
    </xdr:pic>
    <xdr:clientData/>
  </xdr:twoCellAnchor>
  <xdr:twoCellAnchor>
    <xdr:from>
      <xdr:col>14</xdr:col>
      <xdr:colOff>366712</xdr:colOff>
      <xdr:row>127</xdr:row>
      <xdr:rowOff>128587</xdr:rowOff>
    </xdr:from>
    <xdr:to>
      <xdr:col>19</xdr:col>
      <xdr:colOff>595312</xdr:colOff>
      <xdr:row>140</xdr:row>
      <xdr:rowOff>147637</xdr:rowOff>
    </xdr:to>
    <xdr:graphicFrame macro="">
      <xdr:nvGraphicFramePr>
        <xdr:cNvPr id="18" name="차트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25</xdr:col>
      <xdr:colOff>404812</xdr:colOff>
      <xdr:row>129</xdr:row>
      <xdr:rowOff>157161</xdr:rowOff>
    </xdr:from>
    <xdr:to>
      <xdr:col>32</xdr:col>
      <xdr:colOff>176212</xdr:colOff>
      <xdr:row>159</xdr:row>
      <xdr:rowOff>171450</xdr:rowOff>
    </xdr:to>
    <xdr:graphicFrame macro="">
      <xdr:nvGraphicFramePr>
        <xdr:cNvPr id="19" name="차트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35</xdr:col>
      <xdr:colOff>242887</xdr:colOff>
      <xdr:row>129</xdr:row>
      <xdr:rowOff>180975</xdr:rowOff>
    </xdr:from>
    <xdr:to>
      <xdr:col>42</xdr:col>
      <xdr:colOff>14287</xdr:colOff>
      <xdr:row>159</xdr:row>
      <xdr:rowOff>171450</xdr:rowOff>
    </xdr:to>
    <xdr:graphicFrame macro="">
      <xdr:nvGraphicFramePr>
        <xdr:cNvPr id="20" name="차트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485775</xdr:colOff>
      <xdr:row>1</xdr:row>
      <xdr:rowOff>133350</xdr:rowOff>
    </xdr:from>
    <xdr:to>
      <xdr:col>10</xdr:col>
      <xdr:colOff>371475</xdr:colOff>
      <xdr:row>19</xdr:row>
      <xdr:rowOff>158051</xdr:rowOff>
    </xdr:to>
    <xdr:pic>
      <xdr:nvPicPr>
        <xdr:cNvPr id="2" name="그림 1"/>
        <xdr:cNvPicPr>
          <a:picLocks noChangeAspect="1"/>
        </xdr:cNvPicPr>
      </xdr:nvPicPr>
      <xdr:blipFill>
        <a:blip xmlns:r="http://schemas.openxmlformats.org/officeDocument/2006/relationships" r:embed="rId1"/>
        <a:stretch>
          <a:fillRect/>
        </a:stretch>
      </xdr:blipFill>
      <xdr:spPr>
        <a:xfrm>
          <a:off x="1171575" y="342900"/>
          <a:ext cx="6057900" cy="379660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638174</xdr:colOff>
      <xdr:row>1</xdr:row>
      <xdr:rowOff>180975</xdr:rowOff>
    </xdr:from>
    <xdr:to>
      <xdr:col>15</xdr:col>
      <xdr:colOff>222951</xdr:colOff>
      <xdr:row>7</xdr:row>
      <xdr:rowOff>114300</xdr:rowOff>
    </xdr:to>
    <xdr:pic>
      <xdr:nvPicPr>
        <xdr:cNvPr id="21" name="그림 20"/>
        <xdr:cNvPicPr>
          <a:picLocks noChangeAspect="1"/>
        </xdr:cNvPicPr>
      </xdr:nvPicPr>
      <xdr:blipFill>
        <a:blip xmlns:r="http://schemas.openxmlformats.org/officeDocument/2006/relationships" r:embed="rId1"/>
        <a:stretch>
          <a:fillRect/>
        </a:stretch>
      </xdr:blipFill>
      <xdr:spPr>
        <a:xfrm>
          <a:off x="6810374" y="390525"/>
          <a:ext cx="4260431" cy="1190625"/>
        </a:xfrm>
        <a:prstGeom prst="rect">
          <a:avLst/>
        </a:prstGeom>
      </xdr:spPr>
    </xdr:pic>
    <xdr:clientData/>
  </xdr:twoCellAnchor>
  <xdr:twoCellAnchor>
    <xdr:from>
      <xdr:col>3</xdr:col>
      <xdr:colOff>119062</xdr:colOff>
      <xdr:row>8</xdr:row>
      <xdr:rowOff>9525</xdr:rowOff>
    </xdr:from>
    <xdr:to>
      <xdr:col>9</xdr:col>
      <xdr:colOff>576262</xdr:colOff>
      <xdr:row>22</xdr:row>
      <xdr:rowOff>176212</xdr:rowOff>
    </xdr:to>
    <xdr:graphicFrame macro="">
      <xdr:nvGraphicFramePr>
        <xdr:cNvPr id="23" name="차트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57150</xdr:colOff>
      <xdr:row>8</xdr:row>
      <xdr:rowOff>95250</xdr:rowOff>
    </xdr:from>
    <xdr:to>
      <xdr:col>19</xdr:col>
      <xdr:colOff>220098</xdr:colOff>
      <xdr:row>14</xdr:row>
      <xdr:rowOff>88596</xdr:rowOff>
    </xdr:to>
    <xdr:pic>
      <xdr:nvPicPr>
        <xdr:cNvPr id="24" name="그림 23"/>
        <xdr:cNvPicPr>
          <a:picLocks noChangeAspect="1"/>
        </xdr:cNvPicPr>
      </xdr:nvPicPr>
      <xdr:blipFill>
        <a:blip xmlns:r="http://schemas.openxmlformats.org/officeDocument/2006/relationships" r:embed="rId3"/>
        <a:stretch>
          <a:fillRect/>
        </a:stretch>
      </xdr:blipFill>
      <xdr:spPr>
        <a:xfrm>
          <a:off x="6915150" y="1771650"/>
          <a:ext cx="7810402" cy="1250646"/>
        </a:xfrm>
        <a:prstGeom prst="rect">
          <a:avLst/>
        </a:prstGeom>
      </xdr:spPr>
    </xdr:pic>
    <xdr:clientData/>
  </xdr:twoCellAnchor>
  <xdr:twoCellAnchor>
    <xdr:from>
      <xdr:col>3</xdr:col>
      <xdr:colOff>140074</xdr:colOff>
      <xdr:row>25</xdr:row>
      <xdr:rowOff>90767</xdr:rowOff>
    </xdr:from>
    <xdr:to>
      <xdr:col>9</xdr:col>
      <xdr:colOff>610721</xdr:colOff>
      <xdr:row>38</xdr:row>
      <xdr:rowOff>66114</xdr:rowOff>
    </xdr:to>
    <xdr:graphicFrame macro="">
      <xdr:nvGraphicFramePr>
        <xdr:cNvPr id="25" name="차트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78440</xdr:colOff>
      <xdr:row>50</xdr:row>
      <xdr:rowOff>78442</xdr:rowOff>
    </xdr:from>
    <xdr:to>
      <xdr:col>11</xdr:col>
      <xdr:colOff>216125</xdr:colOff>
      <xdr:row>68</xdr:row>
      <xdr:rowOff>18456</xdr:rowOff>
    </xdr:to>
    <xdr:pic>
      <xdr:nvPicPr>
        <xdr:cNvPr id="2" name="그림 1"/>
        <xdr:cNvPicPr>
          <a:picLocks noChangeAspect="1"/>
        </xdr:cNvPicPr>
      </xdr:nvPicPr>
      <xdr:blipFill>
        <a:blip xmlns:r="http://schemas.openxmlformats.org/officeDocument/2006/relationships" r:embed="rId5"/>
        <a:stretch>
          <a:fillRect/>
        </a:stretch>
      </xdr:blipFill>
      <xdr:spPr>
        <a:xfrm>
          <a:off x="761999" y="10724030"/>
          <a:ext cx="6973273" cy="3772426"/>
        </a:xfrm>
        <a:prstGeom prst="rect">
          <a:avLst/>
        </a:prstGeom>
      </xdr:spPr>
    </xdr:pic>
    <xdr:clientData/>
  </xdr:twoCellAnchor>
  <xdr:twoCellAnchor editAs="oneCell">
    <xdr:from>
      <xdr:col>1</xdr:col>
      <xdr:colOff>459442</xdr:colOff>
      <xdr:row>73</xdr:row>
      <xdr:rowOff>11206</xdr:rowOff>
    </xdr:from>
    <xdr:to>
      <xdr:col>12</xdr:col>
      <xdr:colOff>190014</xdr:colOff>
      <xdr:row>97</xdr:row>
      <xdr:rowOff>107144</xdr:rowOff>
    </xdr:to>
    <xdr:pic>
      <xdr:nvPicPr>
        <xdr:cNvPr id="8" name="그림 7"/>
        <xdr:cNvPicPr>
          <a:picLocks noChangeAspect="1"/>
        </xdr:cNvPicPr>
      </xdr:nvPicPr>
      <xdr:blipFill>
        <a:blip xmlns:r="http://schemas.openxmlformats.org/officeDocument/2006/relationships" r:embed="rId6"/>
        <a:stretch>
          <a:fillRect/>
        </a:stretch>
      </xdr:blipFill>
      <xdr:spPr>
        <a:xfrm>
          <a:off x="1143001" y="15553765"/>
          <a:ext cx="7249719" cy="5205820"/>
        </a:xfrm>
        <a:prstGeom prst="rect">
          <a:avLst/>
        </a:prstGeom>
      </xdr:spPr>
    </xdr:pic>
    <xdr:clientData/>
  </xdr:twoCellAnchor>
  <xdr:twoCellAnchor>
    <xdr:from>
      <xdr:col>18</xdr:col>
      <xdr:colOff>157370</xdr:colOff>
      <xdr:row>78</xdr:row>
      <xdr:rowOff>139975</xdr:rowOff>
    </xdr:from>
    <xdr:to>
      <xdr:col>24</xdr:col>
      <xdr:colOff>289891</xdr:colOff>
      <xdr:row>91</xdr:row>
      <xdr:rowOff>191327</xdr:rowOff>
    </xdr:to>
    <xdr:graphicFrame macro="">
      <xdr:nvGraphicFramePr>
        <xdr:cNvPr id="9" name="차트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356153</xdr:colOff>
      <xdr:row>94</xdr:row>
      <xdr:rowOff>198783</xdr:rowOff>
    </xdr:from>
    <xdr:to>
      <xdr:col>10</xdr:col>
      <xdr:colOff>422414</xdr:colOff>
      <xdr:row>97</xdr:row>
      <xdr:rowOff>8282</xdr:rowOff>
    </xdr:to>
    <xdr:sp macro="" textlink="">
      <xdr:nvSpPr>
        <xdr:cNvPr id="10" name="TextBox 9"/>
        <xdr:cNvSpPr txBox="1"/>
      </xdr:nvSpPr>
      <xdr:spPr>
        <a:xfrm>
          <a:off x="6528353" y="26392533"/>
          <a:ext cx="752061" cy="4381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ko-KR" altLang="en-US" sz="1100"/>
            <a:t>예측값</a:t>
          </a:r>
        </a:p>
      </xdr:txBody>
    </xdr:sp>
    <xdr:clientData/>
  </xdr:twoCellAnchor>
  <xdr:twoCellAnchor>
    <xdr:from>
      <xdr:col>1</xdr:col>
      <xdr:colOff>662610</xdr:colOff>
      <xdr:row>77</xdr:row>
      <xdr:rowOff>107675</xdr:rowOff>
    </xdr:from>
    <xdr:to>
      <xdr:col>3</xdr:col>
      <xdr:colOff>41414</xdr:colOff>
      <xdr:row>79</xdr:row>
      <xdr:rowOff>124239</xdr:rowOff>
    </xdr:to>
    <xdr:sp macro="" textlink="">
      <xdr:nvSpPr>
        <xdr:cNvPr id="11" name="TextBox 10"/>
        <xdr:cNvSpPr txBox="1"/>
      </xdr:nvSpPr>
      <xdr:spPr>
        <a:xfrm>
          <a:off x="1348410" y="22739075"/>
          <a:ext cx="750404" cy="43566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ko-KR" altLang="en-US" sz="1100"/>
            <a:t>오차</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10</xdr:col>
      <xdr:colOff>9524</xdr:colOff>
      <xdr:row>0</xdr:row>
      <xdr:rowOff>147637</xdr:rowOff>
    </xdr:from>
    <xdr:to>
      <xdr:col>17</xdr:col>
      <xdr:colOff>152399</xdr:colOff>
      <xdr:row>13</xdr:row>
      <xdr:rowOff>166687</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371475</xdr:colOff>
      <xdr:row>2</xdr:row>
      <xdr:rowOff>133351</xdr:rowOff>
    </xdr:from>
    <xdr:to>
      <xdr:col>16</xdr:col>
      <xdr:colOff>438150</xdr:colOff>
      <xdr:row>6</xdr:row>
      <xdr:rowOff>171450</xdr:rowOff>
    </xdr:to>
    <xdr:cxnSp macro="">
      <xdr:nvCxnSpPr>
        <xdr:cNvPr id="4" name="직선 연결선 3"/>
        <xdr:cNvCxnSpPr/>
      </xdr:nvCxnSpPr>
      <xdr:spPr>
        <a:xfrm flipV="1">
          <a:off x="8886825" y="552451"/>
          <a:ext cx="4181475" cy="108584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19050</xdr:colOff>
      <xdr:row>34</xdr:row>
      <xdr:rowOff>28575</xdr:rowOff>
    </xdr:from>
    <xdr:to>
      <xdr:col>11</xdr:col>
      <xdr:colOff>600075</xdr:colOff>
      <xdr:row>52</xdr:row>
      <xdr:rowOff>51189</xdr:rowOff>
    </xdr:to>
    <xdr:pic>
      <xdr:nvPicPr>
        <xdr:cNvPr id="15" name="그림 14"/>
        <xdr:cNvPicPr>
          <a:picLocks noChangeAspect="1"/>
        </xdr:cNvPicPr>
      </xdr:nvPicPr>
      <xdr:blipFill>
        <a:blip xmlns:r="http://schemas.openxmlformats.org/officeDocument/2006/relationships" r:embed="rId2"/>
        <a:stretch>
          <a:fillRect/>
        </a:stretch>
      </xdr:blipFill>
      <xdr:spPr>
        <a:xfrm>
          <a:off x="876300" y="7372350"/>
          <a:ext cx="8924925" cy="3794514"/>
        </a:xfrm>
        <a:prstGeom prst="rect">
          <a:avLst/>
        </a:prstGeom>
      </xdr:spPr>
    </xdr:pic>
    <xdr:clientData/>
  </xdr:twoCellAnchor>
  <xdr:twoCellAnchor>
    <xdr:from>
      <xdr:col>16</xdr:col>
      <xdr:colOff>57150</xdr:colOff>
      <xdr:row>38</xdr:row>
      <xdr:rowOff>71437</xdr:rowOff>
    </xdr:from>
    <xdr:to>
      <xdr:col>20</xdr:col>
      <xdr:colOff>600075</xdr:colOff>
      <xdr:row>51</xdr:row>
      <xdr:rowOff>90487</xdr:rowOff>
    </xdr:to>
    <xdr:graphicFrame macro="">
      <xdr:nvGraphicFramePr>
        <xdr:cNvPr id="16" name="차트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38100</xdr:colOff>
      <xdr:row>61</xdr:row>
      <xdr:rowOff>23812</xdr:rowOff>
    </xdr:from>
    <xdr:to>
      <xdr:col>20</xdr:col>
      <xdr:colOff>561975</xdr:colOff>
      <xdr:row>74</xdr:row>
      <xdr:rowOff>42862</xdr:rowOff>
    </xdr:to>
    <xdr:graphicFrame macro="">
      <xdr:nvGraphicFramePr>
        <xdr:cNvPr id="17" name="차트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390526</xdr:colOff>
      <xdr:row>37</xdr:row>
      <xdr:rowOff>185737</xdr:rowOff>
    </xdr:from>
    <xdr:to>
      <xdr:col>28</xdr:col>
      <xdr:colOff>600076</xdr:colOff>
      <xdr:row>50</xdr:row>
      <xdr:rowOff>204787</xdr:rowOff>
    </xdr:to>
    <xdr:graphicFrame macro="">
      <xdr:nvGraphicFramePr>
        <xdr:cNvPr id="19" name="차트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561975</xdr:colOff>
      <xdr:row>62</xdr:row>
      <xdr:rowOff>9525</xdr:rowOff>
    </xdr:from>
    <xdr:to>
      <xdr:col>30</xdr:col>
      <xdr:colOff>219075</xdr:colOff>
      <xdr:row>82</xdr:row>
      <xdr:rowOff>200025</xdr:rowOff>
    </xdr:to>
    <xdr:graphicFrame macro="">
      <xdr:nvGraphicFramePr>
        <xdr:cNvPr id="21" name="차트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214679</xdr:colOff>
      <xdr:row>94</xdr:row>
      <xdr:rowOff>123093</xdr:rowOff>
    </xdr:from>
    <xdr:to>
      <xdr:col>11</xdr:col>
      <xdr:colOff>330444</xdr:colOff>
      <xdr:row>112</xdr:row>
      <xdr:rowOff>176579</xdr:rowOff>
    </xdr:to>
    <mc:AlternateContent xmlns:mc="http://schemas.openxmlformats.org/markup-compatibility/2006">
      <mc:Choice xmlns:cx="http://schemas.microsoft.com/office/drawing/2014/chartex" Requires="cx">
        <xdr:graphicFrame macro="">
          <xdr:nvGraphicFramePr>
            <xdr:cNvPr id="2" name="차트 1"/>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ko-KR" altLang="en-US" sz="1100"/>
                <a:t>Excel 버전에서는 이 차트를 사용할 수 없습니다.
이 도형 편집하거나 이 통합 문서를 다른 파일 형식으로 저장하면 차트가 영구적으로 손상됩니다.</a:t>
              </a:r>
            </a:p>
          </xdr:txBody>
        </xdr:sp>
      </mc:Fallback>
    </mc:AlternateContent>
    <xdr:clientData/>
  </xdr:twoCellAnchor>
  <xdr:twoCellAnchor>
    <xdr:from>
      <xdr:col>4</xdr:col>
      <xdr:colOff>210282</xdr:colOff>
      <xdr:row>130</xdr:row>
      <xdr:rowOff>205886</xdr:rowOff>
    </xdr:from>
    <xdr:to>
      <xdr:col>10</xdr:col>
      <xdr:colOff>646967</xdr:colOff>
      <xdr:row>143</xdr:row>
      <xdr:rowOff>186836</xdr:rowOff>
    </xdr:to>
    <mc:AlternateContent xmlns:mc="http://schemas.openxmlformats.org/markup-compatibility/2006">
      <mc:Choice xmlns:cx="http://schemas.microsoft.com/office/drawing/2014/chartex" Requires="cx">
        <xdr:graphicFrame macro="">
          <xdr:nvGraphicFramePr>
            <xdr:cNvPr id="3" name="차트 2"/>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ko-KR" altLang="en-US" sz="1100"/>
                <a:t>Excel 버전에서는 이 차트를 사용할 수 없습니다.
이 도형 편집하거나 이 통합 문서를 다른 파일 형식으로 저장하면 차트가 영구적으로 손상됩니다.</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8</xdr:col>
      <xdr:colOff>19050</xdr:colOff>
      <xdr:row>1</xdr:row>
      <xdr:rowOff>52387</xdr:rowOff>
    </xdr:from>
    <xdr:to>
      <xdr:col>14</xdr:col>
      <xdr:colOff>476250</xdr:colOff>
      <xdr:row>14</xdr:row>
      <xdr:rowOff>71437</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ysj\&#53685;&#44228;&#44592;&#52488;\source\&#51456;&#48708;&#54028;&#51068;\3&#51109;_&#49345;&#51088;&#49688;&#50684;&#44536;&#4754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ysj\Desktop\&#49688;&#54617;_&#45936;&#51060;&#53552;_&#44592;&#52488;&#51088;&#473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이상치가없는경우"/>
      <sheetName val="이상치가있는경우"/>
    </sheetNames>
    <sheetDataSet>
      <sheetData sheetId="0">
        <row r="2">
          <cell r="B2">
            <v>171</v>
          </cell>
        </row>
        <row r="3">
          <cell r="B3">
            <v>152</v>
          </cell>
        </row>
        <row r="4">
          <cell r="B4">
            <v>171</v>
          </cell>
        </row>
        <row r="5">
          <cell r="B5">
            <v>142</v>
          </cell>
        </row>
        <row r="6">
          <cell r="B6">
            <v>153</v>
          </cell>
        </row>
        <row r="7">
          <cell r="B7">
            <v>168</v>
          </cell>
        </row>
        <row r="8">
          <cell r="B8">
            <v>150</v>
          </cell>
        </row>
        <row r="9">
          <cell r="B9">
            <v>160</v>
          </cell>
        </row>
        <row r="10">
          <cell r="B10">
            <v>170</v>
          </cell>
        </row>
        <row r="11">
          <cell r="B11">
            <v>143</v>
          </cell>
        </row>
        <row r="12">
          <cell r="B12">
            <v>144</v>
          </cell>
        </row>
        <row r="13">
          <cell r="B13">
            <v>181</v>
          </cell>
        </row>
        <row r="14">
          <cell r="B14">
            <v>178</v>
          </cell>
        </row>
        <row r="15">
          <cell r="B15">
            <v>175</v>
          </cell>
        </row>
        <row r="16">
          <cell r="B16">
            <v>170</v>
          </cell>
        </row>
        <row r="17">
          <cell r="B17">
            <v>157</v>
          </cell>
        </row>
        <row r="18">
          <cell r="B18">
            <v>150</v>
          </cell>
        </row>
        <row r="19">
          <cell r="B19">
            <v>176</v>
          </cell>
        </row>
        <row r="20">
          <cell r="B20">
            <v>154</v>
          </cell>
        </row>
        <row r="21">
          <cell r="B21">
            <v>150</v>
          </cell>
        </row>
        <row r="22">
          <cell r="B22">
            <v>170</v>
          </cell>
        </row>
        <row r="23">
          <cell r="B23">
            <v>177</v>
          </cell>
        </row>
        <row r="24">
          <cell r="B24">
            <v>173</v>
          </cell>
        </row>
        <row r="25">
          <cell r="B25">
            <v>172</v>
          </cell>
        </row>
        <row r="26">
          <cell r="B26">
            <v>143</v>
          </cell>
        </row>
        <row r="27">
          <cell r="B27">
            <v>182</v>
          </cell>
        </row>
        <row r="28">
          <cell r="B28">
            <v>143</v>
          </cell>
        </row>
        <row r="29">
          <cell r="B29">
            <v>149</v>
          </cell>
        </row>
        <row r="30">
          <cell r="B30">
            <v>153</v>
          </cell>
        </row>
        <row r="31">
          <cell r="B31">
            <v>147</v>
          </cell>
        </row>
      </sheetData>
      <sheetData sheetId="1">
        <row r="2">
          <cell r="B2">
            <v>171</v>
          </cell>
        </row>
        <row r="3">
          <cell r="B3">
            <v>152</v>
          </cell>
        </row>
        <row r="4">
          <cell r="B4">
            <v>171</v>
          </cell>
        </row>
        <row r="5">
          <cell r="B5">
            <v>142</v>
          </cell>
        </row>
        <row r="6">
          <cell r="B6">
            <v>153</v>
          </cell>
        </row>
        <row r="7">
          <cell r="B7">
            <v>168</v>
          </cell>
        </row>
        <row r="8">
          <cell r="B8">
            <v>150</v>
          </cell>
        </row>
        <row r="9">
          <cell r="B9">
            <v>500</v>
          </cell>
        </row>
        <row r="10">
          <cell r="B10">
            <v>170</v>
          </cell>
        </row>
        <row r="11">
          <cell r="B11">
            <v>143</v>
          </cell>
        </row>
        <row r="12">
          <cell r="B12">
            <v>144</v>
          </cell>
        </row>
        <row r="13">
          <cell r="B13">
            <v>181</v>
          </cell>
        </row>
        <row r="14">
          <cell r="B14">
            <v>178</v>
          </cell>
        </row>
        <row r="15">
          <cell r="B15">
            <v>175</v>
          </cell>
        </row>
        <row r="16">
          <cell r="B16">
            <v>170</v>
          </cell>
        </row>
        <row r="17">
          <cell r="B17">
            <v>157</v>
          </cell>
        </row>
        <row r="18">
          <cell r="B18">
            <v>150</v>
          </cell>
        </row>
        <row r="19">
          <cell r="B19">
            <v>176</v>
          </cell>
        </row>
        <row r="20">
          <cell r="B20">
            <v>154</v>
          </cell>
        </row>
        <row r="21">
          <cell r="B21">
            <v>150</v>
          </cell>
        </row>
        <row r="22">
          <cell r="B22">
            <v>170</v>
          </cell>
        </row>
        <row r="23">
          <cell r="B23">
            <v>177</v>
          </cell>
        </row>
        <row r="24">
          <cell r="B24">
            <v>173</v>
          </cell>
        </row>
        <row r="25">
          <cell r="B25">
            <v>172</v>
          </cell>
        </row>
        <row r="26">
          <cell r="B26">
            <v>143</v>
          </cell>
        </row>
        <row r="27">
          <cell r="B27">
            <v>182</v>
          </cell>
        </row>
        <row r="28">
          <cell r="B28">
            <v>143</v>
          </cell>
        </row>
        <row r="29">
          <cell r="B29">
            <v>149</v>
          </cell>
        </row>
        <row r="30">
          <cell r="B30">
            <v>153</v>
          </cell>
        </row>
        <row r="31">
          <cell r="B31">
            <v>147</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기초수학"/>
      <sheetName val="자연상수"/>
      <sheetName val="선형대수"/>
      <sheetName val="기하학"/>
      <sheetName val="지수함수"/>
      <sheetName val="로그함수"/>
      <sheetName val="로그함수2"/>
      <sheetName val="머신러닝기초"/>
      <sheetName val="MNIST데이터셋"/>
      <sheetName val="EDA"/>
      <sheetName val="pivot_table"/>
      <sheetName val="상관_회귀"/>
    </sheetNames>
    <sheetDataSet>
      <sheetData sheetId="0" refreshError="1"/>
      <sheetData sheetId="1" refreshError="1"/>
      <sheetData sheetId="2" refreshError="1"/>
      <sheetData sheetId="3" refreshError="1"/>
      <sheetData sheetId="4" refreshError="1"/>
      <sheetData sheetId="5" refreshError="1"/>
      <sheetData sheetId="6">
        <row r="114">
          <cell r="O114">
            <v>-0.2</v>
          </cell>
          <cell r="Q114">
            <v>-7.9181246047624818E-2</v>
          </cell>
        </row>
        <row r="115">
          <cell r="O115">
            <v>-0.1</v>
          </cell>
          <cell r="Q115">
            <v>-4.1392685158225077E-2</v>
          </cell>
        </row>
        <row r="116">
          <cell r="O116">
            <v>0</v>
          </cell>
          <cell r="Q116">
            <v>0</v>
          </cell>
        </row>
        <row r="117">
          <cell r="O117">
            <v>0.1</v>
          </cell>
          <cell r="Q117">
            <v>4.5757490560675115E-2</v>
          </cell>
          <cell r="R117">
            <v>1</v>
          </cell>
        </row>
        <row r="118">
          <cell r="O118">
            <v>0.2</v>
          </cell>
          <cell r="Q118">
            <v>9.6910013008056392E-2</v>
          </cell>
          <cell r="R118">
            <v>0.69897000433601875</v>
          </cell>
        </row>
        <row r="119">
          <cell r="O119">
            <v>0.3</v>
          </cell>
          <cell r="Q119">
            <v>0.15490195998574319</v>
          </cell>
          <cell r="R119">
            <v>0.52287874528033762</v>
          </cell>
        </row>
        <row r="120">
          <cell r="O120">
            <v>0.4</v>
          </cell>
          <cell r="Q120">
            <v>0.22184874961635639</v>
          </cell>
          <cell r="R120">
            <v>0.3979400086720376</v>
          </cell>
        </row>
        <row r="121">
          <cell r="O121">
            <v>0.5</v>
          </cell>
          <cell r="Q121">
            <v>0.3010299956639812</v>
          </cell>
          <cell r="R121">
            <v>0.3010299956639812</v>
          </cell>
        </row>
        <row r="122">
          <cell r="O122">
            <v>0.6</v>
          </cell>
          <cell r="Q122">
            <v>0.3979400086720376</v>
          </cell>
          <cell r="R122">
            <v>0.22184874961635639</v>
          </cell>
        </row>
        <row r="123">
          <cell r="O123">
            <v>0.7</v>
          </cell>
          <cell r="Q123">
            <v>0.52287874528033751</v>
          </cell>
          <cell r="R123">
            <v>0.15490195998574319</v>
          </cell>
        </row>
        <row r="124">
          <cell r="O124">
            <v>0.8</v>
          </cell>
          <cell r="Q124">
            <v>0.69897000433601886</v>
          </cell>
          <cell r="R124">
            <v>9.6910013008056392E-2</v>
          </cell>
        </row>
        <row r="125">
          <cell r="O125">
            <v>0.9</v>
          </cell>
          <cell r="Q125">
            <v>1</v>
          </cell>
          <cell r="R125">
            <v>4.5757490560675115E-2</v>
          </cell>
        </row>
        <row r="126">
          <cell r="O126">
            <v>1</v>
          </cell>
          <cell r="R126">
            <v>0</v>
          </cell>
        </row>
        <row r="127">
          <cell r="O127">
            <v>1.1000000000000001</v>
          </cell>
          <cell r="R127">
            <v>-4.1392685158225077E-2</v>
          </cell>
        </row>
        <row r="128">
          <cell r="O128">
            <v>1.2</v>
          </cell>
          <cell r="R128">
            <v>-7.9181246047624818E-2</v>
          </cell>
        </row>
        <row r="129">
          <cell r="O129">
            <v>1.3</v>
          </cell>
          <cell r="R129">
            <v>-0.11394335230683679</v>
          </cell>
        </row>
      </sheetData>
      <sheetData sheetId="7" refreshError="1"/>
      <sheetData sheetId="8" refreshError="1"/>
      <sheetData sheetId="9" refreshError="1"/>
      <sheetData sheetId="10" refreshError="1"/>
      <sheetData sheetId="11" refreshError="1"/>
    </sheetDataSet>
  </externalBook>
</externalLink>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49688;&#54617;&#44592;&#52488;&#51088;&#47308;.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microsoft.com/office/2006/relationships/xlExternalLinkPath/xlPathMissing" Target="&#49688;&#54617;&#44592;&#52488;&#51088;&#47308;.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만든 이" refreshedDate="45512.513328819441" createdVersion="6" refreshedVersion="6" minRefreshableVersion="3" recordCount="5">
  <cacheSource type="worksheet">
    <worksheetSource ref="A1:D6" sheet="pivot_table" r:id="rId2"/>
  </cacheSource>
  <cacheFields count="4">
    <cacheField name="학생" numFmtId="0">
      <sharedItems count="5">
        <s v="A"/>
        <s v="B"/>
        <s v="C"/>
        <s v="D"/>
        <s v="E"/>
      </sharedItems>
    </cacheField>
    <cacheField name="국" numFmtId="0">
      <sharedItems containsSemiMixedTypes="0" containsString="0" containsNumber="1" containsInteger="1" minValue="70" maxValue="95" count="5">
        <n v="80"/>
        <n v="90"/>
        <n v="95"/>
        <n v="70"/>
        <n v="75"/>
      </sharedItems>
    </cacheField>
    <cacheField name="영" numFmtId="0">
      <sharedItems containsSemiMixedTypes="0" containsString="0" containsNumber="1" containsInteger="1" minValue="70" maxValue="95" count="4">
        <n v="90"/>
        <n v="95"/>
        <n v="70"/>
        <n v="85"/>
      </sharedItems>
    </cacheField>
    <cacheField name="수" numFmtId="0">
      <sharedItems containsSemiMixedTypes="0" containsString="0" containsNumber="1" containsInteger="1" minValue="75" maxValue="95" count="4">
        <n v="85"/>
        <n v="95"/>
        <n v="75"/>
        <n v="8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만든 이" refreshedDate="45512.517191550927" createdVersion="6" refreshedVersion="6" minRefreshableVersion="3" recordCount="3">
  <cacheSource type="worksheet">
    <worksheetSource ref="A11:F14" sheet="pivot_table" r:id="rId2"/>
  </cacheSource>
  <cacheFields count="6">
    <cacheField name="과목" numFmtId="0">
      <sharedItems count="3">
        <s v="국"/>
        <s v="영"/>
        <s v="수"/>
      </sharedItems>
    </cacheField>
    <cacheField name="A" numFmtId="0">
      <sharedItems containsSemiMixedTypes="0" containsString="0" containsNumber="1" containsInteger="1" minValue="80" maxValue="90"/>
    </cacheField>
    <cacheField name="B" numFmtId="0">
      <sharedItems containsSemiMixedTypes="0" containsString="0" containsNumber="1" containsInteger="1" minValue="90" maxValue="95"/>
    </cacheField>
    <cacheField name="C" numFmtId="0">
      <sharedItems containsSemiMixedTypes="0" containsString="0" containsNumber="1" containsInteger="1" minValue="70" maxValue="95"/>
    </cacheField>
    <cacheField name="D" numFmtId="0">
      <sharedItems containsSemiMixedTypes="0" containsString="0" containsNumber="1" containsInteger="1" minValue="70" maxValue="85"/>
    </cacheField>
    <cacheField name="E" numFmtId="0">
      <sharedItems containsSemiMixedTypes="0" containsString="0" containsNumber="1" containsInteger="1" minValue="75" maxValue="9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
  <r>
    <x v="0"/>
    <x v="0"/>
    <x v="0"/>
    <x v="0"/>
  </r>
  <r>
    <x v="1"/>
    <x v="1"/>
    <x v="1"/>
    <x v="1"/>
  </r>
  <r>
    <x v="2"/>
    <x v="2"/>
    <x v="2"/>
    <x v="2"/>
  </r>
  <r>
    <x v="3"/>
    <x v="3"/>
    <x v="3"/>
    <x v="3"/>
  </r>
  <r>
    <x v="4"/>
    <x v="4"/>
    <x v="0"/>
    <x v="0"/>
  </r>
</pivotCacheRecords>
</file>

<file path=xl/pivotCache/pivotCacheRecords2.xml><?xml version="1.0" encoding="utf-8"?>
<pivotCacheRecords xmlns="http://schemas.openxmlformats.org/spreadsheetml/2006/main" xmlns:r="http://schemas.openxmlformats.org/officeDocument/2006/relationships" count="3">
  <r>
    <x v="0"/>
    <n v="80"/>
    <n v="90"/>
    <n v="95"/>
    <n v="70"/>
    <n v="75"/>
  </r>
  <r>
    <x v="1"/>
    <n v="90"/>
    <n v="95"/>
    <n v="70"/>
    <n v="85"/>
    <n v="90"/>
  </r>
  <r>
    <x v="2"/>
    <n v="85"/>
    <n v="95"/>
    <n v="75"/>
    <n v="80"/>
    <n v="8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피벗 테이블1" cacheId="0" applyNumberFormats="0" applyBorderFormats="0" applyFontFormats="0" applyPatternFormats="0" applyAlignmentFormats="0" applyWidthHeightFormats="1" dataCaption="값" updatedVersion="6" minRefreshableVersion="3" useAutoFormatting="1" itemPrintTitles="1" createdVersion="6" indent="0" outline="1" outlineData="1" multipleFieldFilters="0">
  <location ref="I1:L7" firstHeaderRow="0" firstDataRow="1" firstDataCol="1"/>
  <pivotFields count="4">
    <pivotField axis="axisRow" showAll="0">
      <items count="6">
        <item x="0"/>
        <item x="1"/>
        <item x="2"/>
        <item x="3"/>
        <item x="4"/>
        <item t="default"/>
      </items>
    </pivotField>
    <pivotField dataField="1" showAll="0"/>
    <pivotField dataField="1" showAll="0"/>
    <pivotField dataField="1" showAll="0"/>
  </pivotFields>
  <rowFields count="1">
    <field x="0"/>
  </rowFields>
  <rowItems count="6">
    <i>
      <x/>
    </i>
    <i>
      <x v="1"/>
    </i>
    <i>
      <x v="2"/>
    </i>
    <i>
      <x v="3"/>
    </i>
    <i>
      <x v="4"/>
    </i>
    <i t="grand">
      <x/>
    </i>
  </rowItems>
  <colFields count="1">
    <field x="-2"/>
  </colFields>
  <colItems count="3">
    <i>
      <x/>
    </i>
    <i i="1">
      <x v="1"/>
    </i>
    <i i="2">
      <x v="2"/>
    </i>
  </colItems>
  <dataFields count="3">
    <dataField name="평균 : 국" fld="1" subtotal="average" baseField="0" baseItem="0"/>
    <dataField name="평균 : 영" fld="2" subtotal="average" baseField="0" baseItem="0"/>
    <dataField name="평균 : 수" fld="3"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피벗 테이블5" cacheId="1" applyNumberFormats="0" applyBorderFormats="0" applyFontFormats="0" applyPatternFormats="0" applyAlignmentFormats="0" applyWidthHeightFormats="1" dataCaption="값" updatedVersion="6" minRefreshableVersion="3" useAutoFormatting="1" itemPrintTitles="1" createdVersion="6" indent="0" outline="1" outlineData="1" multipleFieldFilters="0">
  <location ref="I11:N15" firstHeaderRow="0" firstDataRow="1" firstDataCol="1"/>
  <pivotFields count="6">
    <pivotField axis="axisRow" showAll="0">
      <items count="4">
        <item x="2"/>
        <item x="0"/>
        <item x="1"/>
        <item t="default"/>
      </items>
    </pivotField>
    <pivotField dataField="1" showAll="0"/>
    <pivotField dataField="1" showAll="0"/>
    <pivotField dataField="1" showAll="0"/>
    <pivotField dataField="1" showAll="0"/>
    <pivotField dataField="1" showAll="0"/>
  </pivotFields>
  <rowFields count="1">
    <field x="0"/>
  </rowFields>
  <rowItems count="4">
    <i>
      <x/>
    </i>
    <i>
      <x v="1"/>
    </i>
    <i>
      <x v="2"/>
    </i>
    <i t="grand">
      <x/>
    </i>
  </rowItems>
  <colFields count="1">
    <field x="-2"/>
  </colFields>
  <colItems count="5">
    <i>
      <x/>
    </i>
    <i i="1">
      <x v="1"/>
    </i>
    <i i="2">
      <x v="2"/>
    </i>
    <i i="3">
      <x v="3"/>
    </i>
    <i i="4">
      <x v="4"/>
    </i>
  </colItems>
  <dataFields count="5">
    <dataField name="평균 : A" fld="1" subtotal="average" baseField="0" baseItem="0"/>
    <dataField name="평균 : B" fld="2" subtotal="average" baseField="0" baseItem="0"/>
    <dataField name="평균 : C" fld="3" subtotal="average" baseField="0" baseItem="0"/>
    <dataField name="평균 : D" fld="4" subtotal="average" baseField="0" baseItem="0"/>
    <dataField name="평균 : E" fld="5"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olab.research.google.com/drive/1bftNkhYWUaZJa0p-T1hfhgb8yycWZe5O"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9.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0.bin"/></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1.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14.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42.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s://www.nvidia.com/en-us/geforce/graphics-cards/30-series/rtx-3060-3060ti/" TargetMode="Externa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17.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Z122"/>
  <sheetViews>
    <sheetView topLeftCell="A91" zoomScale="145" zoomScaleNormal="145" workbookViewId="0">
      <selection activeCell="M113" sqref="M113"/>
    </sheetView>
  </sheetViews>
  <sheetFormatPr defaultRowHeight="16.5"/>
  <sheetData>
    <row r="3" spans="2:8" s="1" customFormat="1">
      <c r="B3" s="1" t="s">
        <v>0</v>
      </c>
    </row>
    <row r="5" spans="2:8">
      <c r="B5" t="s">
        <v>1</v>
      </c>
    </row>
    <row r="7" spans="2:8">
      <c r="B7" t="s">
        <v>2</v>
      </c>
      <c r="E7" t="s">
        <v>3</v>
      </c>
      <c r="F7" t="s">
        <v>7</v>
      </c>
    </row>
    <row r="8" spans="2:8">
      <c r="B8" t="s">
        <v>4</v>
      </c>
      <c r="E8" t="s">
        <v>5</v>
      </c>
      <c r="H8" t="s">
        <v>6</v>
      </c>
    </row>
    <row r="9" spans="2:8">
      <c r="E9" t="s">
        <v>8</v>
      </c>
    </row>
    <row r="11" spans="2:8" s="1" customFormat="1">
      <c r="B11" s="1" t="s">
        <v>9</v>
      </c>
    </row>
    <row r="12" spans="2:8">
      <c r="B12" t="s">
        <v>10</v>
      </c>
    </row>
    <row r="13" spans="2:8">
      <c r="D13" t="s">
        <v>11</v>
      </c>
    </row>
    <row r="16" spans="2:8" s="1" customFormat="1">
      <c r="B16" s="1" t="s">
        <v>12</v>
      </c>
      <c r="C16" s="1" t="s">
        <v>13</v>
      </c>
    </row>
    <row r="18" spans="3:3">
      <c r="C18" t="s">
        <v>14</v>
      </c>
    </row>
    <row r="34" spans="2:3">
      <c r="C34" s="2" t="s">
        <v>15</v>
      </c>
    </row>
    <row r="35" spans="2:3">
      <c r="C35" s="2" t="s">
        <v>16</v>
      </c>
    </row>
    <row r="38" spans="2:3" s="1" customFormat="1">
      <c r="B38" s="1" t="s">
        <v>17</v>
      </c>
    </row>
    <row r="40" spans="2:3">
      <c r="B40" t="s">
        <v>18</v>
      </c>
      <c r="C40" t="s">
        <v>19</v>
      </c>
    </row>
    <row r="41" spans="2:3">
      <c r="B41" t="s">
        <v>20</v>
      </c>
      <c r="C41" t="s">
        <v>21</v>
      </c>
    </row>
    <row r="48" spans="2:3" s="1" customFormat="1">
      <c r="B48" s="1" t="s">
        <v>22</v>
      </c>
    </row>
    <row r="50" spans="2:6">
      <c r="B50" s="3" t="s">
        <v>23</v>
      </c>
    </row>
    <row r="51" spans="2:6">
      <c r="B51" t="s">
        <v>24</v>
      </c>
    </row>
    <row r="52" spans="2:6">
      <c r="B52" t="s">
        <v>25</v>
      </c>
    </row>
    <row r="53" spans="2:6">
      <c r="B53" s="2" t="s">
        <v>26</v>
      </c>
    </row>
    <row r="57" spans="2:6">
      <c r="F57" t="s">
        <v>27</v>
      </c>
    </row>
    <row r="58" spans="2:6">
      <c r="F58" t="s">
        <v>28</v>
      </c>
    </row>
    <row r="64" spans="2:6" s="1" customFormat="1">
      <c r="B64" s="1" t="s">
        <v>29</v>
      </c>
    </row>
    <row r="66" spans="2:2">
      <c r="B66" t="s">
        <v>30</v>
      </c>
    </row>
    <row r="68" spans="2:2">
      <c r="B68" s="4" t="s">
        <v>31</v>
      </c>
    </row>
    <row r="70" spans="2:2" s="1" customFormat="1">
      <c r="B70" s="1" t="s">
        <v>32</v>
      </c>
    </row>
    <row r="80" spans="2:2" s="1" customFormat="1">
      <c r="B80" s="1" t="s">
        <v>36</v>
      </c>
    </row>
    <row r="114" spans="1:26" ht="17.25" thickBot="1"/>
    <row r="115" spans="1:26" ht="17.25" thickBot="1">
      <c r="A115" s="5"/>
      <c r="B115" s="5"/>
      <c r="C115" s="6" t="s">
        <v>33</v>
      </c>
      <c r="D115" s="5"/>
      <c r="E115" s="5"/>
      <c r="F115" s="5"/>
      <c r="G115" s="5"/>
      <c r="H115" s="5"/>
      <c r="I115" s="5"/>
      <c r="J115" s="5"/>
      <c r="K115" s="5"/>
      <c r="L115" s="5"/>
      <c r="M115" s="5"/>
      <c r="N115" s="5"/>
      <c r="O115" s="5"/>
      <c r="P115" s="5"/>
      <c r="Q115" s="5"/>
      <c r="R115" s="5"/>
      <c r="S115" s="5"/>
      <c r="T115" s="5"/>
      <c r="U115" s="5"/>
      <c r="V115" s="5"/>
      <c r="W115" s="5"/>
      <c r="X115" s="5"/>
      <c r="Y115" s="5"/>
      <c r="Z115" s="5"/>
    </row>
    <row r="116" spans="1:26" ht="17.25" thickBot="1">
      <c r="A116" s="7"/>
      <c r="B116" s="7"/>
      <c r="C116" s="7"/>
      <c r="D116" s="7"/>
      <c r="E116" s="8"/>
      <c r="F116" s="7"/>
      <c r="G116" s="7"/>
      <c r="H116" s="7"/>
      <c r="I116" s="7"/>
      <c r="J116" s="7"/>
      <c r="K116" s="7"/>
      <c r="L116" s="7"/>
      <c r="M116" s="7"/>
      <c r="N116" s="7"/>
      <c r="O116" s="7"/>
      <c r="P116" s="7"/>
      <c r="Q116" s="7"/>
      <c r="R116" s="7"/>
      <c r="S116" s="7"/>
      <c r="T116" s="7"/>
      <c r="U116" s="7"/>
      <c r="V116" s="7"/>
      <c r="W116" s="7"/>
      <c r="X116" s="7"/>
      <c r="Y116" s="7"/>
      <c r="Z116" s="7"/>
    </row>
    <row r="117" spans="1:26" ht="17.25" thickBot="1">
      <c r="A117" s="7"/>
      <c r="B117" s="7"/>
      <c r="C117" s="8" t="s">
        <v>34</v>
      </c>
      <c r="D117" s="7"/>
      <c r="E117" s="7"/>
      <c r="F117" s="7"/>
      <c r="G117" s="7"/>
      <c r="H117" s="7"/>
      <c r="I117" s="7"/>
      <c r="J117" s="7"/>
      <c r="K117" s="7"/>
      <c r="L117" s="7"/>
      <c r="N117" s="7"/>
      <c r="O117" s="7"/>
      <c r="P117" s="7"/>
      <c r="Q117" s="7"/>
      <c r="R117" s="7"/>
      <c r="S117" s="7"/>
      <c r="T117" s="7"/>
      <c r="U117" s="7"/>
      <c r="V117" s="7"/>
      <c r="W117" s="7"/>
      <c r="X117" s="7"/>
      <c r="Y117" s="7"/>
      <c r="Z117" s="7"/>
    </row>
    <row r="118" spans="1:26" ht="17.25" thickBot="1">
      <c r="A118" s="7"/>
      <c r="B118" s="7"/>
      <c r="C118" s="7"/>
      <c r="D118" s="7"/>
      <c r="E118" s="7"/>
      <c r="F118" s="7"/>
      <c r="G118" s="7"/>
      <c r="H118" s="7"/>
      <c r="I118" s="7"/>
      <c r="J118" s="7"/>
      <c r="K118" s="7"/>
      <c r="L118" s="7"/>
      <c r="M118" s="7"/>
      <c r="N118" s="7" t="s">
        <v>35</v>
      </c>
      <c r="O118" s="7"/>
      <c r="P118" s="7"/>
      <c r="Q118" s="7"/>
      <c r="R118" s="7"/>
      <c r="S118" s="7"/>
      <c r="T118" s="7"/>
      <c r="U118" s="7"/>
      <c r="V118" s="7"/>
      <c r="W118" s="7"/>
      <c r="X118" s="7"/>
      <c r="Y118" s="7"/>
      <c r="Z118" s="7"/>
    </row>
    <row r="119" spans="1:26" ht="17.25" thickBo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7.25" thickBot="1">
      <c r="A120" s="7"/>
      <c r="B120" s="7"/>
      <c r="C120" s="9">
        <v>1</v>
      </c>
      <c r="D120" s="9">
        <v>1</v>
      </c>
      <c r="E120" s="9">
        <v>2</v>
      </c>
      <c r="F120" s="9">
        <v>3</v>
      </c>
      <c r="G120" s="9">
        <v>5</v>
      </c>
      <c r="H120" s="9">
        <v>8</v>
      </c>
      <c r="I120" s="9">
        <v>13</v>
      </c>
      <c r="J120" s="9">
        <v>21</v>
      </c>
      <c r="K120" s="9">
        <v>34</v>
      </c>
      <c r="L120" s="9">
        <v>55</v>
      </c>
      <c r="M120" s="7"/>
      <c r="N120" s="7"/>
      <c r="O120" s="7"/>
      <c r="P120" s="7"/>
      <c r="Q120" s="7"/>
      <c r="R120" s="7"/>
      <c r="S120" s="7"/>
      <c r="T120" s="7"/>
      <c r="U120" s="7"/>
      <c r="V120" s="7"/>
      <c r="W120" s="7"/>
      <c r="X120" s="7"/>
      <c r="Y120" s="7"/>
      <c r="Z120" s="7"/>
    </row>
    <row r="121" spans="1:26" ht="17.25" thickBo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7.25" thickBot="1">
      <c r="A122" s="7"/>
      <c r="B122" s="7"/>
      <c r="C122" s="7">
        <v>1</v>
      </c>
      <c r="D122" s="7">
        <v>1</v>
      </c>
      <c r="E122" s="7">
        <f>D122+C122</f>
        <v>2</v>
      </c>
      <c r="F122" s="7">
        <f t="shared" ref="F122:L122" si="0">E122+D122</f>
        <v>3</v>
      </c>
      <c r="G122" s="7">
        <f t="shared" si="0"/>
        <v>5</v>
      </c>
      <c r="H122" s="7">
        <f t="shared" si="0"/>
        <v>8</v>
      </c>
      <c r="I122" s="7">
        <f t="shared" si="0"/>
        <v>13</v>
      </c>
      <c r="J122" s="7">
        <f t="shared" si="0"/>
        <v>21</v>
      </c>
      <c r="K122" s="7">
        <f t="shared" si="0"/>
        <v>34</v>
      </c>
      <c r="L122" s="7">
        <f t="shared" si="0"/>
        <v>55</v>
      </c>
      <c r="M122" s="7"/>
      <c r="N122" s="7"/>
      <c r="O122" s="7"/>
      <c r="P122" s="7"/>
      <c r="Q122" s="7"/>
      <c r="R122" s="7"/>
      <c r="S122" s="7"/>
      <c r="T122" s="7"/>
      <c r="U122" s="7"/>
      <c r="V122" s="7"/>
      <c r="W122" s="7"/>
      <c r="X122" s="7"/>
      <c r="Y122" s="7"/>
      <c r="Z122" s="7"/>
    </row>
  </sheetData>
  <phoneticPr fontId="5" type="noConversion"/>
  <hyperlinks>
    <hyperlink ref="B68" r:id="rId1" location="scrollTo=_Dt-Fv8CDnRs"/>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8"/>
  <sheetViews>
    <sheetView topLeftCell="A5" workbookViewId="0">
      <selection activeCell="B4" sqref="B4"/>
    </sheetView>
  </sheetViews>
  <sheetFormatPr defaultRowHeight="16.5"/>
  <cols>
    <col min="1" max="28" width="3.25" style="24" customWidth="1"/>
  </cols>
  <sheetData>
    <row r="1" spans="1:32">
      <c r="A1" s="23">
        <v>0</v>
      </c>
      <c r="B1" s="23"/>
      <c r="C1" s="23"/>
      <c r="D1" s="23"/>
      <c r="E1" s="23"/>
      <c r="F1" s="23"/>
      <c r="G1" s="23"/>
      <c r="H1" s="23"/>
      <c r="I1" s="23"/>
      <c r="J1" s="23"/>
      <c r="K1" s="23"/>
      <c r="L1" s="23"/>
      <c r="M1" s="23"/>
      <c r="N1" s="23"/>
      <c r="O1" s="23"/>
      <c r="P1" s="23"/>
      <c r="Q1" s="23"/>
      <c r="R1" s="23"/>
      <c r="S1" s="23"/>
      <c r="T1" s="23"/>
      <c r="U1" s="23"/>
      <c r="V1" s="23"/>
      <c r="W1" s="23"/>
      <c r="X1" s="23"/>
      <c r="Y1" s="23"/>
      <c r="Z1" s="23"/>
      <c r="AA1" s="23"/>
      <c r="AB1" s="23"/>
    </row>
    <row r="2" spans="1:32">
      <c r="A2" s="23"/>
      <c r="B2" s="23"/>
      <c r="C2" s="23"/>
      <c r="D2" s="23"/>
      <c r="E2" s="23"/>
      <c r="F2" s="23"/>
      <c r="G2" s="23"/>
      <c r="H2" s="23"/>
      <c r="I2" s="23"/>
      <c r="J2" s="23"/>
      <c r="K2" s="23"/>
      <c r="L2" s="23"/>
      <c r="M2" s="23"/>
      <c r="N2" s="23"/>
      <c r="O2" s="23"/>
      <c r="P2" s="23"/>
      <c r="Q2" s="23"/>
      <c r="R2" s="23"/>
      <c r="S2" s="23"/>
      <c r="T2" s="23"/>
      <c r="U2" s="23"/>
      <c r="V2" s="23"/>
      <c r="W2" s="23"/>
      <c r="X2" s="23"/>
      <c r="Y2" s="23"/>
      <c r="Z2" s="23"/>
      <c r="AA2" s="23"/>
      <c r="AB2" s="23"/>
    </row>
    <row r="3" spans="1:32">
      <c r="A3" s="23"/>
      <c r="B3" s="23">
        <v>0</v>
      </c>
      <c r="C3" s="23"/>
      <c r="D3" s="23"/>
      <c r="E3" s="23"/>
      <c r="F3" s="23"/>
      <c r="G3" s="23"/>
      <c r="H3" s="23"/>
      <c r="I3" s="23"/>
      <c r="J3" s="23"/>
      <c r="K3" s="23"/>
      <c r="L3" s="23"/>
      <c r="M3" s="23"/>
      <c r="N3" s="23"/>
      <c r="O3" s="23"/>
      <c r="P3" s="23"/>
      <c r="Q3" s="23"/>
      <c r="R3" s="23"/>
      <c r="S3" s="23"/>
      <c r="T3" s="23"/>
      <c r="U3" s="23"/>
      <c r="V3" s="23"/>
      <c r="W3" s="23"/>
      <c r="X3" s="23"/>
      <c r="Y3" s="23"/>
      <c r="Z3" s="23"/>
      <c r="AA3" s="23"/>
      <c r="AB3" s="23"/>
    </row>
    <row r="4" spans="1:32">
      <c r="A4" s="23"/>
      <c r="B4" s="23"/>
      <c r="C4" s="23"/>
      <c r="D4" s="23"/>
      <c r="E4" s="23"/>
      <c r="F4" s="23"/>
      <c r="G4" s="23"/>
      <c r="H4" s="23"/>
      <c r="I4" s="23"/>
      <c r="J4" s="23"/>
      <c r="K4" s="23"/>
      <c r="L4" s="23"/>
      <c r="M4" s="23"/>
      <c r="N4" s="23"/>
      <c r="O4" s="23"/>
      <c r="P4" s="23"/>
      <c r="Q4" s="23"/>
      <c r="R4" s="23"/>
      <c r="S4" s="23"/>
      <c r="T4" s="23"/>
      <c r="U4" s="23"/>
      <c r="V4" s="23"/>
      <c r="W4" s="23"/>
      <c r="X4" s="23"/>
      <c r="Y4" s="23"/>
      <c r="Z4" s="23"/>
      <c r="AA4" s="23"/>
      <c r="AB4" s="23"/>
    </row>
    <row r="5" spans="1:32">
      <c r="A5" s="23"/>
      <c r="B5" s="23"/>
      <c r="C5" s="23"/>
      <c r="D5" s="23"/>
      <c r="E5" s="23"/>
      <c r="F5" s="23"/>
      <c r="G5" s="23"/>
      <c r="H5" s="23"/>
      <c r="I5" s="23"/>
      <c r="J5" s="23"/>
      <c r="K5" s="23"/>
      <c r="L5" s="23"/>
      <c r="M5" s="23"/>
      <c r="N5" s="23"/>
      <c r="O5" s="23"/>
      <c r="P5" s="23"/>
      <c r="Q5" s="23"/>
      <c r="R5" s="23"/>
      <c r="S5" s="23"/>
      <c r="T5" s="23"/>
      <c r="U5" s="23"/>
      <c r="V5" s="23"/>
      <c r="W5" s="23"/>
      <c r="X5" s="23"/>
      <c r="Y5" s="23"/>
      <c r="Z5" s="23"/>
      <c r="AA5" s="23"/>
      <c r="AB5" s="23"/>
    </row>
    <row r="6" spans="1:32">
      <c r="A6" s="23"/>
      <c r="B6" s="23"/>
      <c r="C6" s="23"/>
      <c r="D6" s="23"/>
      <c r="E6" s="23"/>
      <c r="F6" s="23"/>
      <c r="G6" s="23"/>
      <c r="H6" s="23"/>
      <c r="I6" s="23"/>
      <c r="J6" s="23"/>
      <c r="K6" s="23"/>
      <c r="L6" s="23"/>
      <c r="M6" s="23"/>
      <c r="N6" s="23"/>
      <c r="O6" s="23"/>
      <c r="P6" s="23"/>
      <c r="Q6" s="23"/>
      <c r="R6" s="23"/>
      <c r="S6" s="23"/>
      <c r="T6" s="23"/>
      <c r="U6" s="23"/>
      <c r="V6" s="23"/>
      <c r="W6" s="23"/>
      <c r="X6" s="23"/>
      <c r="Y6" s="23"/>
      <c r="Z6" s="23"/>
      <c r="AA6" s="23"/>
      <c r="AB6" s="23"/>
    </row>
    <row r="7" spans="1:32">
      <c r="A7" s="23"/>
      <c r="B7" s="23"/>
      <c r="C7" s="23"/>
      <c r="D7" s="23"/>
      <c r="E7" s="23"/>
      <c r="F7" s="23"/>
      <c r="G7" s="23"/>
      <c r="H7" s="23"/>
      <c r="I7" s="23"/>
      <c r="J7" s="23"/>
      <c r="K7" s="23"/>
      <c r="L7" s="23"/>
      <c r="M7" s="23"/>
      <c r="N7" s="23"/>
      <c r="O7" s="23"/>
      <c r="P7" s="23"/>
      <c r="Q7" s="23"/>
      <c r="R7" s="23"/>
      <c r="S7" s="23"/>
      <c r="T7" s="23"/>
      <c r="U7" s="23"/>
      <c r="V7" s="23"/>
      <c r="W7" s="23"/>
      <c r="X7" s="23"/>
      <c r="Y7" s="23"/>
      <c r="Z7" s="23"/>
      <c r="AA7" s="23"/>
      <c r="AB7" s="23"/>
    </row>
    <row r="8" spans="1:32">
      <c r="A8" s="23"/>
      <c r="B8" s="23"/>
      <c r="C8" s="23"/>
      <c r="D8" s="23"/>
      <c r="E8" s="23"/>
      <c r="F8" s="23"/>
      <c r="G8" s="23"/>
      <c r="H8" s="23"/>
      <c r="I8" s="23"/>
      <c r="J8" s="23"/>
      <c r="K8" s="23"/>
      <c r="L8" s="23"/>
      <c r="M8" s="23"/>
      <c r="N8" s="23"/>
      <c r="O8" s="23"/>
      <c r="P8" s="23"/>
      <c r="Q8" s="23"/>
      <c r="R8" s="23"/>
      <c r="S8" s="23"/>
      <c r="T8" s="23"/>
      <c r="U8" s="23"/>
      <c r="V8" s="23"/>
      <c r="W8" s="23"/>
      <c r="X8" s="23"/>
      <c r="Y8" s="23"/>
      <c r="Z8" s="23"/>
      <c r="AA8" s="23"/>
      <c r="AB8" s="23"/>
    </row>
    <row r="9" spans="1:32">
      <c r="A9" s="23"/>
      <c r="B9" s="23"/>
      <c r="C9" s="23"/>
      <c r="D9" s="23"/>
      <c r="E9" s="23"/>
      <c r="F9" s="23"/>
      <c r="G9" s="23"/>
      <c r="H9" s="23"/>
      <c r="I9" s="23"/>
      <c r="J9" s="23"/>
      <c r="K9" s="23"/>
      <c r="L9" s="23"/>
      <c r="M9" s="25">
        <v>1</v>
      </c>
      <c r="N9" s="25"/>
      <c r="O9" s="25"/>
      <c r="P9" s="25"/>
      <c r="Q9" s="23"/>
      <c r="R9" s="23"/>
      <c r="S9" s="23"/>
      <c r="T9" s="23"/>
      <c r="U9" s="23"/>
      <c r="V9" s="23"/>
      <c r="W9" s="23"/>
      <c r="X9" s="23"/>
      <c r="Y9" s="23"/>
      <c r="Z9" s="23"/>
      <c r="AA9" s="23"/>
      <c r="AB9" s="23"/>
    </row>
    <row r="10" spans="1:32">
      <c r="A10" s="23"/>
      <c r="B10" s="23"/>
      <c r="C10" s="23"/>
      <c r="D10" s="23"/>
      <c r="E10" s="23"/>
      <c r="F10" s="23"/>
      <c r="G10" s="23"/>
      <c r="H10" s="23"/>
      <c r="I10" s="23"/>
      <c r="J10" s="23"/>
      <c r="K10" s="23"/>
      <c r="L10" s="25"/>
      <c r="M10" s="23"/>
      <c r="N10" s="23"/>
      <c r="O10" s="23"/>
      <c r="P10" s="23"/>
      <c r="Q10" s="25"/>
      <c r="R10" s="25"/>
      <c r="S10" s="23"/>
      <c r="T10" s="23"/>
      <c r="U10" s="23"/>
      <c r="V10" s="23"/>
      <c r="W10" s="23"/>
      <c r="X10" s="23"/>
      <c r="Y10" s="23"/>
      <c r="Z10" s="23"/>
      <c r="AA10" s="23"/>
      <c r="AB10" s="23"/>
    </row>
    <row r="11" spans="1:32">
      <c r="A11" s="23"/>
      <c r="B11" s="23"/>
      <c r="C11" s="23"/>
      <c r="D11" s="23"/>
      <c r="E11" s="23"/>
      <c r="F11" s="23"/>
      <c r="G11" s="23"/>
      <c r="H11" s="23"/>
      <c r="I11" s="23"/>
      <c r="J11" s="23"/>
      <c r="K11" s="25"/>
      <c r="L11" s="23"/>
      <c r="M11" s="23"/>
      <c r="N11" s="23"/>
      <c r="O11" s="23"/>
      <c r="P11" s="23"/>
      <c r="Q11" s="23"/>
      <c r="R11" s="23"/>
      <c r="S11" s="25"/>
      <c r="T11" s="23"/>
      <c r="U11" s="23"/>
      <c r="V11" s="23"/>
      <c r="W11" s="23"/>
      <c r="X11" s="23"/>
      <c r="Y11" s="23"/>
      <c r="Z11" s="23"/>
      <c r="AA11" s="23"/>
      <c r="AB11" s="23"/>
    </row>
    <row r="12" spans="1:32">
      <c r="A12" s="23"/>
      <c r="B12" s="23"/>
      <c r="C12" s="23"/>
      <c r="D12" s="23"/>
      <c r="E12" s="23"/>
      <c r="F12" s="23"/>
      <c r="G12" s="23"/>
      <c r="H12" s="23"/>
      <c r="I12" s="23"/>
      <c r="J12" s="23"/>
      <c r="K12" s="25"/>
      <c r="L12" s="23"/>
      <c r="M12" s="23"/>
      <c r="N12" s="23"/>
      <c r="O12" s="23"/>
      <c r="P12" s="23"/>
      <c r="Q12" s="23"/>
      <c r="R12" s="23"/>
      <c r="S12" s="25"/>
      <c r="T12" s="23"/>
      <c r="U12" s="23"/>
      <c r="V12" s="23"/>
      <c r="W12" s="23"/>
      <c r="X12" s="23"/>
      <c r="Y12" s="23"/>
      <c r="Z12" s="23"/>
      <c r="AA12" s="23"/>
      <c r="AB12" s="23"/>
      <c r="AD12" s="24"/>
      <c r="AE12" s="24"/>
      <c r="AF12" s="24"/>
    </row>
    <row r="13" spans="1:32">
      <c r="A13" s="23"/>
      <c r="B13" s="23"/>
      <c r="C13" s="23"/>
      <c r="D13" s="23"/>
      <c r="E13" s="23"/>
      <c r="F13" s="23"/>
      <c r="G13" s="23"/>
      <c r="H13" s="23"/>
      <c r="I13" s="23"/>
      <c r="J13" s="25"/>
      <c r="K13" s="23"/>
      <c r="L13" s="23"/>
      <c r="M13" s="23"/>
      <c r="N13" s="23"/>
      <c r="O13" s="23"/>
      <c r="P13" s="23"/>
      <c r="Q13" s="23"/>
      <c r="R13" s="23"/>
      <c r="S13" s="25"/>
      <c r="T13" s="25"/>
      <c r="U13" s="23"/>
      <c r="V13" s="23"/>
      <c r="W13" s="23"/>
      <c r="X13" s="23"/>
      <c r="Y13" s="23"/>
      <c r="Z13" s="23"/>
      <c r="AA13" s="23"/>
      <c r="AB13" s="23"/>
    </row>
    <row r="14" spans="1:32">
      <c r="A14" s="23"/>
      <c r="B14" s="23"/>
      <c r="C14" s="23"/>
      <c r="D14" s="23"/>
      <c r="E14" s="23"/>
      <c r="F14" s="23"/>
      <c r="G14" s="23"/>
      <c r="H14" s="23"/>
      <c r="I14" s="23"/>
      <c r="J14" s="25"/>
      <c r="K14" s="23"/>
      <c r="L14" s="23"/>
      <c r="M14" s="23"/>
      <c r="N14" s="23"/>
      <c r="O14" s="23"/>
      <c r="P14" s="23"/>
      <c r="Q14" s="23"/>
      <c r="R14" s="23"/>
      <c r="S14" s="23"/>
      <c r="T14" s="25"/>
      <c r="U14" s="23"/>
      <c r="V14" s="23"/>
      <c r="W14" s="23"/>
      <c r="X14" s="23"/>
      <c r="Y14" s="23"/>
      <c r="Z14" s="23"/>
      <c r="AA14" s="23"/>
      <c r="AB14" s="23"/>
    </row>
    <row r="15" spans="1:32">
      <c r="A15" s="23"/>
      <c r="B15" s="23"/>
      <c r="C15" s="23"/>
      <c r="D15" s="23"/>
      <c r="E15" s="23"/>
      <c r="F15" s="23"/>
      <c r="G15" s="23"/>
      <c r="H15" s="23"/>
      <c r="I15" s="25"/>
      <c r="J15" s="23"/>
      <c r="K15" s="23"/>
      <c r="L15" s="23"/>
      <c r="M15" s="23"/>
      <c r="N15" s="23"/>
      <c r="O15" s="23"/>
      <c r="P15" s="23"/>
      <c r="Q15" s="23"/>
      <c r="R15" s="23"/>
      <c r="S15" s="23"/>
      <c r="T15" s="25"/>
      <c r="U15" s="23"/>
      <c r="V15" s="23"/>
      <c r="W15" s="23"/>
      <c r="X15" s="23"/>
      <c r="Y15" s="23"/>
      <c r="Z15" s="23"/>
      <c r="AA15" s="23"/>
      <c r="AB15" s="23"/>
    </row>
    <row r="16" spans="1:32">
      <c r="A16" s="23"/>
      <c r="B16" s="23"/>
      <c r="C16" s="23"/>
      <c r="D16" s="23"/>
      <c r="E16" s="23"/>
      <c r="F16" s="23"/>
      <c r="G16" s="23"/>
      <c r="H16" s="23"/>
      <c r="I16" s="25"/>
      <c r="J16" s="23"/>
      <c r="K16" s="23"/>
      <c r="L16" s="23"/>
      <c r="M16" s="23"/>
      <c r="N16" s="23"/>
      <c r="O16" s="23"/>
      <c r="P16" s="23"/>
      <c r="Q16" s="23"/>
      <c r="R16" s="23"/>
      <c r="S16" s="23"/>
      <c r="T16" s="25"/>
      <c r="U16" s="23"/>
      <c r="V16" s="23"/>
      <c r="W16" s="23"/>
      <c r="X16" s="23"/>
      <c r="Y16" s="23"/>
      <c r="Z16" s="23"/>
      <c r="AA16" s="23"/>
      <c r="AB16" s="23"/>
    </row>
    <row r="17" spans="1:28">
      <c r="A17" s="23"/>
      <c r="B17" s="23"/>
      <c r="C17" s="23"/>
      <c r="D17" s="23"/>
      <c r="E17" s="23"/>
      <c r="F17" s="23"/>
      <c r="G17" s="23"/>
      <c r="H17" s="23"/>
      <c r="I17" s="23"/>
      <c r="J17" s="25"/>
      <c r="K17" s="23"/>
      <c r="L17" s="23"/>
      <c r="M17" s="23"/>
      <c r="N17" s="23"/>
      <c r="O17" s="23"/>
      <c r="P17" s="23"/>
      <c r="Q17" s="23"/>
      <c r="R17" s="23"/>
      <c r="S17" s="23"/>
      <c r="T17" s="25"/>
      <c r="U17" s="23"/>
      <c r="V17" s="23"/>
      <c r="W17" s="23"/>
      <c r="X17" s="23"/>
      <c r="Y17" s="23"/>
      <c r="Z17" s="23"/>
      <c r="AA17" s="23"/>
      <c r="AB17" s="23"/>
    </row>
    <row r="18" spans="1:28">
      <c r="A18" s="23"/>
      <c r="B18" s="23"/>
      <c r="C18" s="23"/>
      <c r="D18" s="23"/>
      <c r="E18" s="23"/>
      <c r="F18" s="23"/>
      <c r="G18" s="23"/>
      <c r="H18" s="23"/>
      <c r="I18" s="23"/>
      <c r="J18" s="25"/>
      <c r="K18" s="23"/>
      <c r="L18" s="23"/>
      <c r="M18" s="23"/>
      <c r="N18" s="23"/>
      <c r="O18" s="23"/>
      <c r="P18" s="23"/>
      <c r="Q18" s="23"/>
      <c r="R18" s="23"/>
      <c r="S18" s="23"/>
      <c r="T18" s="25"/>
      <c r="U18" s="23"/>
      <c r="V18" s="23"/>
      <c r="W18" s="23"/>
      <c r="X18" s="23"/>
      <c r="Y18" s="23"/>
      <c r="Z18" s="23"/>
      <c r="AA18" s="23"/>
      <c r="AB18" s="23"/>
    </row>
    <row r="19" spans="1:28">
      <c r="A19" s="23"/>
      <c r="B19" s="23"/>
      <c r="C19" s="23"/>
      <c r="D19" s="23"/>
      <c r="E19" s="23"/>
      <c r="F19" s="23"/>
      <c r="G19" s="23"/>
      <c r="H19" s="23"/>
      <c r="I19" s="23"/>
      <c r="J19" s="25"/>
      <c r="K19" s="23"/>
      <c r="L19" s="23"/>
      <c r="M19" s="23"/>
      <c r="N19" s="23"/>
      <c r="O19" s="23"/>
      <c r="P19" s="23"/>
      <c r="Q19" s="23"/>
      <c r="R19" s="23"/>
      <c r="S19" s="23"/>
      <c r="T19" s="25"/>
      <c r="U19" s="23"/>
      <c r="V19" s="23"/>
      <c r="W19" s="23"/>
      <c r="X19" s="23"/>
      <c r="Y19" s="23"/>
      <c r="Z19" s="23"/>
      <c r="AA19" s="23"/>
      <c r="AB19" s="23"/>
    </row>
    <row r="20" spans="1:28">
      <c r="A20" s="23"/>
      <c r="B20" s="23"/>
      <c r="C20" s="23"/>
      <c r="D20" s="23"/>
      <c r="E20" s="23"/>
      <c r="F20" s="23"/>
      <c r="G20" s="23"/>
      <c r="H20" s="23"/>
      <c r="I20" s="23"/>
      <c r="J20" s="25"/>
      <c r="K20" s="23"/>
      <c r="L20" s="23"/>
      <c r="M20" s="23"/>
      <c r="N20" s="23"/>
      <c r="O20" s="23"/>
      <c r="P20" s="23"/>
      <c r="Q20" s="23"/>
      <c r="R20" s="23"/>
      <c r="S20" s="23"/>
      <c r="T20" s="25"/>
      <c r="U20" s="23"/>
      <c r="V20" s="23"/>
      <c r="W20" s="23"/>
      <c r="X20" s="23"/>
      <c r="Y20" s="23"/>
      <c r="Z20" s="23"/>
      <c r="AA20" s="23"/>
      <c r="AB20" s="23"/>
    </row>
    <row r="21" spans="1:28">
      <c r="A21" s="23"/>
      <c r="B21" s="23"/>
      <c r="C21" s="23"/>
      <c r="D21" s="23"/>
      <c r="E21" s="23"/>
      <c r="F21" s="23"/>
      <c r="G21" s="23"/>
      <c r="H21" s="23"/>
      <c r="I21" s="23"/>
      <c r="J21" s="25"/>
      <c r="K21" s="25"/>
      <c r="L21" s="23"/>
      <c r="M21" s="23"/>
      <c r="N21" s="23"/>
      <c r="O21" s="23"/>
      <c r="P21" s="23"/>
      <c r="Q21" s="23"/>
      <c r="R21" s="23"/>
      <c r="S21" s="23"/>
      <c r="T21" s="25"/>
      <c r="U21" s="23"/>
      <c r="V21" s="23"/>
      <c r="W21" s="23"/>
      <c r="X21" s="23"/>
      <c r="Y21" s="23"/>
      <c r="Z21" s="23"/>
      <c r="AA21" s="23"/>
      <c r="AB21" s="23"/>
    </row>
    <row r="22" spans="1:28">
      <c r="A22" s="23"/>
      <c r="B22" s="23"/>
      <c r="C22" s="23"/>
      <c r="D22" s="23"/>
      <c r="E22" s="23"/>
      <c r="F22" s="23"/>
      <c r="G22" s="23"/>
      <c r="H22" s="23"/>
      <c r="I22" s="23"/>
      <c r="J22" s="23"/>
      <c r="K22" s="23"/>
      <c r="L22" s="25"/>
      <c r="M22" s="25"/>
      <c r="N22" s="23"/>
      <c r="O22" s="23"/>
      <c r="P22" s="23"/>
      <c r="Q22" s="23"/>
      <c r="R22" s="23"/>
      <c r="S22" s="25"/>
      <c r="T22" s="25"/>
      <c r="U22" s="23"/>
      <c r="V22" s="23"/>
      <c r="W22" s="23"/>
      <c r="X22" s="23"/>
      <c r="Y22" s="23"/>
      <c r="Z22" s="23"/>
      <c r="AA22" s="23"/>
      <c r="AB22" s="23"/>
    </row>
    <row r="23" spans="1:28">
      <c r="A23" s="23"/>
      <c r="B23" s="23"/>
      <c r="C23" s="23"/>
      <c r="D23" s="23"/>
      <c r="E23" s="23"/>
      <c r="F23" s="23"/>
      <c r="G23" s="23"/>
      <c r="H23" s="23"/>
      <c r="I23" s="23"/>
      <c r="J23" s="23"/>
      <c r="K23" s="23"/>
      <c r="L23" s="23"/>
      <c r="M23" s="25"/>
      <c r="N23" s="25"/>
      <c r="O23" s="23"/>
      <c r="P23" s="23"/>
      <c r="Q23" s="25"/>
      <c r="R23" s="25"/>
      <c r="S23" s="25"/>
      <c r="T23" s="23"/>
      <c r="U23" s="23"/>
      <c r="V23" s="23"/>
      <c r="W23" s="23"/>
      <c r="X23" s="23"/>
      <c r="Y23" s="23"/>
      <c r="Z23" s="23"/>
      <c r="AA23" s="23"/>
      <c r="AB23" s="23"/>
    </row>
    <row r="24" spans="1:28">
      <c r="A24" s="23"/>
      <c r="B24" s="23"/>
      <c r="C24" s="23"/>
      <c r="D24" s="23"/>
      <c r="E24" s="23"/>
      <c r="F24" s="23"/>
      <c r="G24" s="23"/>
      <c r="H24" s="23"/>
      <c r="I24" s="23"/>
      <c r="J24" s="23"/>
      <c r="K24" s="23"/>
      <c r="L24" s="23"/>
      <c r="M24" s="23"/>
      <c r="N24" s="23"/>
      <c r="O24" s="25"/>
      <c r="P24" s="25"/>
      <c r="Q24" s="25"/>
      <c r="R24" s="25"/>
      <c r="S24" s="23"/>
      <c r="T24" s="23"/>
      <c r="U24" s="23"/>
      <c r="V24" s="23"/>
      <c r="W24" s="23"/>
      <c r="X24" s="23"/>
      <c r="Y24" s="23"/>
      <c r="Z24" s="23"/>
      <c r="AA24" s="23"/>
      <c r="AB24" s="23"/>
    </row>
    <row r="25" spans="1:28">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row>
    <row r="26" spans="1:28">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row>
    <row r="27" spans="1:28">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row>
    <row r="28" spans="1:28">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row>
  </sheetData>
  <phoneticPr fontId="5"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158"/>
  <sheetViews>
    <sheetView topLeftCell="A58" workbookViewId="0">
      <selection activeCell="G87" sqref="G87"/>
    </sheetView>
  </sheetViews>
  <sheetFormatPr defaultRowHeight="16.5"/>
  <cols>
    <col min="2" max="2" width="20.25" customWidth="1"/>
    <col min="6" max="6" width="13.25" customWidth="1"/>
    <col min="7" max="7" width="19.75" customWidth="1"/>
    <col min="9" max="9" width="18.125" customWidth="1"/>
    <col min="13" max="13" width="14.375" customWidth="1"/>
  </cols>
  <sheetData>
    <row r="2" spans="2:11" s="1" customFormat="1">
      <c r="B2" s="1" t="s">
        <v>143</v>
      </c>
    </row>
    <row r="4" spans="2:11">
      <c r="B4" s="45" t="s">
        <v>144</v>
      </c>
      <c r="C4" s="45" t="s">
        <v>145</v>
      </c>
      <c r="D4" s="31"/>
      <c r="E4" s="47" t="s">
        <v>146</v>
      </c>
      <c r="F4" s="47" t="s">
        <v>147</v>
      </c>
      <c r="H4" s="43" t="s">
        <v>148</v>
      </c>
    </row>
    <row r="5" spans="2:11">
      <c r="B5" s="46">
        <v>95</v>
      </c>
      <c r="C5" s="46">
        <v>91</v>
      </c>
      <c r="E5" s="48">
        <v>87</v>
      </c>
      <c r="F5" s="48">
        <v>85</v>
      </c>
      <c r="H5" s="44">
        <v>100</v>
      </c>
    </row>
    <row r="6" spans="2:11">
      <c r="B6" s="46">
        <v>92</v>
      </c>
      <c r="C6" s="46">
        <v>93</v>
      </c>
      <c r="E6" s="48">
        <v>89</v>
      </c>
      <c r="F6" s="48">
        <v>90</v>
      </c>
      <c r="H6" s="44">
        <v>100</v>
      </c>
    </row>
    <row r="7" spans="2:11">
      <c r="B7" s="46">
        <v>98</v>
      </c>
      <c r="C7" s="46">
        <v>97</v>
      </c>
      <c r="H7" s="44">
        <v>100</v>
      </c>
    </row>
    <row r="8" spans="2:11">
      <c r="B8" s="46">
        <v>100</v>
      </c>
      <c r="C8" s="46">
        <v>99</v>
      </c>
      <c r="H8" s="44">
        <v>100</v>
      </c>
    </row>
    <row r="10" spans="2:11">
      <c r="B10" s="33" t="s">
        <v>163</v>
      </c>
    </row>
    <row r="12" spans="2:11">
      <c r="B12" s="45" t="s">
        <v>144</v>
      </c>
      <c r="C12" s="45" t="s">
        <v>145</v>
      </c>
      <c r="D12" s="43" t="s">
        <v>148</v>
      </c>
    </row>
    <row r="13" spans="2:11">
      <c r="B13" s="46">
        <v>95</v>
      </c>
      <c r="C13" s="46">
        <v>91</v>
      </c>
      <c r="D13" s="44">
        <v>100</v>
      </c>
    </row>
    <row r="14" spans="2:11">
      <c r="B14" s="46">
        <v>92</v>
      </c>
      <c r="C14" s="46">
        <v>93</v>
      </c>
      <c r="D14" s="44">
        <v>100</v>
      </c>
    </row>
    <row r="15" spans="2:11">
      <c r="B15" s="46">
        <v>98</v>
      </c>
      <c r="C15" s="46">
        <v>97</v>
      </c>
      <c r="D15" s="44">
        <v>100</v>
      </c>
    </row>
    <row r="16" spans="2:11">
      <c r="B16" s="46">
        <v>100</v>
      </c>
      <c r="C16" s="46">
        <v>99</v>
      </c>
      <c r="D16" s="44">
        <v>100</v>
      </c>
      <c r="K16" s="2"/>
    </row>
    <row r="17" spans="2:20">
      <c r="N17" t="str">
        <f>CONCATENATE(N13,N14,N15,N16)</f>
        <v/>
      </c>
      <c r="O17" t="str">
        <f>CONCATENATE(O13,O14,O15,O16)</f>
        <v/>
      </c>
      <c r="P17" t="str">
        <f>CONCATENATE(P13,P14,P15,P16)</f>
        <v/>
      </c>
      <c r="Q17" t="str">
        <f>CONCATENATE(Q13,Q14,Q15,Q16)</f>
        <v/>
      </c>
      <c r="R17" t="str">
        <f>CONCATENATE(R13,R14,R15,R16)</f>
        <v/>
      </c>
    </row>
    <row r="18" spans="2:20">
      <c r="B18" s="33" t="s">
        <v>164</v>
      </c>
      <c r="N18" t="str">
        <f>CONCATENATE(N14,N15,N16,N17)</f>
        <v/>
      </c>
      <c r="O18" t="str">
        <f>CONCATENATE(O14,O15,O16,O17)</f>
        <v/>
      </c>
      <c r="P18" t="s">
        <v>169</v>
      </c>
      <c r="Q18" t="s">
        <v>170</v>
      </c>
      <c r="R18" t="s">
        <v>171</v>
      </c>
      <c r="S18" t="s">
        <v>172</v>
      </c>
      <c r="T18" t="s">
        <v>173</v>
      </c>
    </row>
    <row r="19" spans="2:20">
      <c r="B19" s="33"/>
    </row>
    <row r="20" spans="2:20">
      <c r="B20" s="45" t="s">
        <v>144</v>
      </c>
      <c r="C20" s="45" t="s">
        <v>145</v>
      </c>
    </row>
    <row r="21" spans="2:20">
      <c r="B21" s="46">
        <v>95</v>
      </c>
      <c r="C21" s="46">
        <v>91</v>
      </c>
      <c r="I21" s="2" t="s">
        <v>167</v>
      </c>
      <c r="J21" t="s">
        <v>136</v>
      </c>
      <c r="K21" s="2" t="s">
        <v>167</v>
      </c>
      <c r="L21" t="s">
        <v>168</v>
      </c>
      <c r="M21" t="str">
        <f>CONCATENATE(I21,J21,K21,L21)</f>
        <v>'Harry Potter',</v>
      </c>
      <c r="O21" t="s">
        <v>169</v>
      </c>
    </row>
    <row r="22" spans="2:20">
      <c r="B22" s="46">
        <v>92</v>
      </c>
      <c r="C22" s="46">
        <v>93</v>
      </c>
      <c r="I22" s="2" t="s">
        <v>167</v>
      </c>
      <c r="J22" t="s">
        <v>138</v>
      </c>
      <c r="K22" s="2" t="s">
        <v>167</v>
      </c>
      <c r="L22" t="s">
        <v>168</v>
      </c>
      <c r="M22" t="str">
        <f>CONCATENATE(I22,J22,K22,L22)</f>
        <v>'David Baker',</v>
      </c>
      <c r="O22" t="s">
        <v>170</v>
      </c>
    </row>
    <row r="23" spans="2:20">
      <c r="B23" s="46">
        <v>98</v>
      </c>
      <c r="C23" s="46">
        <v>97</v>
      </c>
      <c r="I23" s="2" t="s">
        <v>167</v>
      </c>
      <c r="J23" t="s">
        <v>139</v>
      </c>
      <c r="K23" s="2" t="s">
        <v>167</v>
      </c>
      <c r="L23" t="s">
        <v>168</v>
      </c>
      <c r="M23" t="str">
        <f>CONCATENATE(I23,J23,K23,L23)</f>
        <v>'John Smith',</v>
      </c>
      <c r="O23" t="s">
        <v>171</v>
      </c>
    </row>
    <row r="24" spans="2:20">
      <c r="B24" s="46">
        <v>100</v>
      </c>
      <c r="C24" s="46">
        <v>99</v>
      </c>
      <c r="I24" s="2" t="s">
        <v>167</v>
      </c>
      <c r="J24" t="s">
        <v>140</v>
      </c>
      <c r="K24" s="2" t="s">
        <v>167</v>
      </c>
      <c r="L24" t="s">
        <v>168</v>
      </c>
      <c r="M24" t="str">
        <f>CONCATENATE(I24,J24,K24,L24)</f>
        <v>'Juan Martinez',</v>
      </c>
      <c r="O24" t="s">
        <v>172</v>
      </c>
    </row>
    <row r="25" spans="2:20">
      <c r="B25" s="48">
        <v>87</v>
      </c>
      <c r="C25" s="48">
        <v>85</v>
      </c>
      <c r="I25" s="2" t="s">
        <v>167</v>
      </c>
      <c r="J25" t="s">
        <v>141</v>
      </c>
      <c r="K25" s="2" t="s">
        <v>167</v>
      </c>
      <c r="L25" t="s">
        <v>168</v>
      </c>
      <c r="M25" t="str">
        <f>CONCATENATE(I25,J25,K25,L25)</f>
        <v>'Jane Connor',</v>
      </c>
      <c r="O25" t="s">
        <v>173</v>
      </c>
    </row>
    <row r="26" spans="2:20">
      <c r="B26" s="48">
        <v>89</v>
      </c>
      <c r="C26" s="48">
        <v>90</v>
      </c>
    </row>
    <row r="27" spans="2:20">
      <c r="B27" s="33"/>
    </row>
    <row r="29" spans="2:20" s="1" customFormat="1">
      <c r="B29" s="1" t="s">
        <v>149</v>
      </c>
    </row>
    <row r="30" spans="2:20">
      <c r="H30" t="s">
        <v>166</v>
      </c>
    </row>
    <row r="31" spans="2:20">
      <c r="B31" s="50" t="s">
        <v>150</v>
      </c>
      <c r="C31" s="50" t="s">
        <v>156</v>
      </c>
      <c r="D31" s="50" t="s">
        <v>162</v>
      </c>
      <c r="E31" s="30"/>
      <c r="H31" s="50" t="s">
        <v>150</v>
      </c>
      <c r="I31" s="50" t="s">
        <v>156</v>
      </c>
      <c r="J31" s="50" t="s">
        <v>162</v>
      </c>
      <c r="L31" t="s">
        <v>165</v>
      </c>
    </row>
    <row r="32" spans="2:20">
      <c r="B32" s="49" t="s">
        <v>151</v>
      </c>
      <c r="C32" s="30" t="s">
        <v>157</v>
      </c>
      <c r="D32" s="30">
        <v>166</v>
      </c>
      <c r="E32" s="30"/>
      <c r="L32" s="49" t="s">
        <v>151</v>
      </c>
    </row>
    <row r="33" spans="2:12">
      <c r="B33" s="49" t="s">
        <v>152</v>
      </c>
      <c r="C33" s="30" t="s">
        <v>158</v>
      </c>
      <c r="D33" s="30">
        <v>168</v>
      </c>
      <c r="E33" s="30"/>
      <c r="L33" s="49" t="s">
        <v>152</v>
      </c>
    </row>
    <row r="34" spans="2:12">
      <c r="B34" s="49" t="s">
        <v>153</v>
      </c>
      <c r="C34" s="30" t="s">
        <v>159</v>
      </c>
      <c r="D34" s="30">
        <v>170</v>
      </c>
      <c r="E34" s="30"/>
      <c r="L34" s="49" t="s">
        <v>153</v>
      </c>
    </row>
    <row r="35" spans="2:12">
      <c r="B35" s="49" t="s">
        <v>154</v>
      </c>
      <c r="C35" s="30" t="s">
        <v>160</v>
      </c>
      <c r="D35" s="30">
        <v>172</v>
      </c>
      <c r="E35" s="30"/>
      <c r="L35" s="49" t="s">
        <v>154</v>
      </c>
    </row>
    <row r="36" spans="2:12">
      <c r="B36" s="49" t="s">
        <v>155</v>
      </c>
      <c r="C36" s="30" t="s">
        <v>161</v>
      </c>
      <c r="D36" s="30">
        <v>174</v>
      </c>
      <c r="E36" s="30"/>
      <c r="L36" s="49" t="s">
        <v>155</v>
      </c>
    </row>
    <row r="40" spans="2:12" ht="17.25" thickBot="1">
      <c r="B40" s="258"/>
      <c r="C40" s="259"/>
      <c r="D40" s="259"/>
      <c r="F40" s="258"/>
      <c r="G40" s="259"/>
      <c r="H40" s="259"/>
    </row>
    <row r="41" spans="2:12" ht="18.75" thickBot="1">
      <c r="B41" s="34" t="s">
        <v>133</v>
      </c>
      <c r="C41" s="35" t="s">
        <v>134</v>
      </c>
      <c r="D41" s="36" t="s">
        <v>135</v>
      </c>
      <c r="F41" s="51" t="s">
        <v>133</v>
      </c>
      <c r="G41" s="52" t="s">
        <v>174</v>
      </c>
      <c r="H41" s="53" t="s">
        <v>175</v>
      </c>
      <c r="K41" s="54"/>
    </row>
    <row r="42" spans="2:12" ht="17.25" thickBot="1">
      <c r="B42" s="37" t="s">
        <v>136</v>
      </c>
      <c r="C42" s="38" t="s">
        <v>137</v>
      </c>
      <c r="D42" s="39">
        <v>23</v>
      </c>
      <c r="F42" s="40" t="s">
        <v>177</v>
      </c>
      <c r="G42" s="41" t="s">
        <v>181</v>
      </c>
      <c r="H42" s="42">
        <v>25000</v>
      </c>
    </row>
    <row r="43" spans="2:12" ht="17.25" thickBot="1">
      <c r="B43" s="37" t="s">
        <v>138</v>
      </c>
      <c r="C43" s="38" t="s">
        <v>137</v>
      </c>
      <c r="D43" s="39">
        <v>31</v>
      </c>
      <c r="F43" s="37" t="s">
        <v>178</v>
      </c>
      <c r="G43" s="38" t="s">
        <v>182</v>
      </c>
      <c r="H43" s="39">
        <v>75000</v>
      </c>
    </row>
    <row r="44" spans="2:12" ht="33.75" thickBot="1">
      <c r="B44" s="40" t="s">
        <v>139</v>
      </c>
      <c r="C44" s="41" t="s">
        <v>137</v>
      </c>
      <c r="D44" s="42">
        <v>22</v>
      </c>
      <c r="F44" s="37" t="s">
        <v>179</v>
      </c>
      <c r="G44" s="38" t="s">
        <v>183</v>
      </c>
      <c r="H44" s="39">
        <v>90000</v>
      </c>
    </row>
    <row r="45" spans="2:12" ht="17.25" thickBot="1">
      <c r="B45" s="37" t="s">
        <v>140</v>
      </c>
      <c r="C45" s="38" t="s">
        <v>137</v>
      </c>
      <c r="D45" s="39">
        <v>36</v>
      </c>
      <c r="F45" s="40" t="s">
        <v>180</v>
      </c>
      <c r="G45" s="41" t="s">
        <v>176</v>
      </c>
      <c r="H45" s="42">
        <v>70000</v>
      </c>
    </row>
    <row r="46" spans="2:12" ht="17.25" thickBot="1">
      <c r="B46" s="40" t="s">
        <v>141</v>
      </c>
      <c r="C46" s="41" t="s">
        <v>142</v>
      </c>
      <c r="D46" s="42">
        <v>30</v>
      </c>
    </row>
    <row r="53" spans="2:12" s="1" customFormat="1">
      <c r="B53" s="1" t="s">
        <v>230</v>
      </c>
    </row>
    <row r="55" spans="2:12">
      <c r="B55" t="s">
        <v>231</v>
      </c>
      <c r="C55" t="s">
        <v>232</v>
      </c>
    </row>
    <row r="56" spans="2:12">
      <c r="B56" t="s">
        <v>233</v>
      </c>
      <c r="F56" t="s">
        <v>237</v>
      </c>
      <c r="G56" t="s">
        <v>238</v>
      </c>
      <c r="H56">
        <f>MAX(B62:B65)</f>
        <v>1</v>
      </c>
      <c r="J56" t="s">
        <v>243</v>
      </c>
      <c r="K56" t="s">
        <v>238</v>
      </c>
      <c r="L56">
        <f>MAX(C62:C65)</f>
        <v>18</v>
      </c>
    </row>
    <row r="57" spans="2:12">
      <c r="G57" t="s">
        <v>239</v>
      </c>
      <c r="H57">
        <f>MIN(B62:B65)</f>
        <v>-1</v>
      </c>
      <c r="K57" t="s">
        <v>239</v>
      </c>
      <c r="L57">
        <f>MIN(C62:C65)</f>
        <v>2</v>
      </c>
    </row>
    <row r="58" spans="2:12">
      <c r="B58" s="60" t="s">
        <v>234</v>
      </c>
      <c r="G58" s="32" t="s">
        <v>240</v>
      </c>
    </row>
    <row r="59" spans="2:12">
      <c r="G59" s="58" t="s">
        <v>241</v>
      </c>
    </row>
    <row r="61" spans="2:12">
      <c r="B61" s="59" t="s">
        <v>235</v>
      </c>
      <c r="C61" s="59" t="s">
        <v>236</v>
      </c>
      <c r="F61" s="59" t="s">
        <v>242</v>
      </c>
      <c r="G61" s="59" t="s">
        <v>244</v>
      </c>
    </row>
    <row r="62" spans="2:12">
      <c r="B62" s="59">
        <v>-1</v>
      </c>
      <c r="C62" s="59">
        <v>2</v>
      </c>
      <c r="F62">
        <f>(B62-$H$57) / ($H$56-$H$57)</f>
        <v>0</v>
      </c>
      <c r="G62">
        <f>(C62-$L$57) / ($L$56-$L$57)</f>
        <v>0</v>
      </c>
    </row>
    <row r="63" spans="2:12">
      <c r="B63" s="59">
        <v>-0.5</v>
      </c>
      <c r="C63" s="59">
        <v>6</v>
      </c>
      <c r="F63">
        <f>(B63-$H$57) / ($H$56-$H$57)</f>
        <v>0.25</v>
      </c>
      <c r="G63">
        <f>(C63-$L$57) / ($L$56-$L$57)</f>
        <v>0.25</v>
      </c>
    </row>
    <row r="64" spans="2:12">
      <c r="B64" s="59">
        <v>0</v>
      </c>
      <c r="C64" s="59">
        <v>10</v>
      </c>
      <c r="F64">
        <f>(B64-$H$57) / ($H$56-$H$57)</f>
        <v>0.5</v>
      </c>
      <c r="G64">
        <f>(C64-$L$57) / ($L$56-$L$57)</f>
        <v>0.5</v>
      </c>
    </row>
    <row r="65" spans="2:10">
      <c r="B65" s="59">
        <v>1</v>
      </c>
      <c r="C65" s="59">
        <v>18</v>
      </c>
      <c r="F65">
        <f>(B65-$H$57) / ($H$56-$H$57)</f>
        <v>1</v>
      </c>
      <c r="G65">
        <f>(C65-$L$57) / ($L$56-$L$57)</f>
        <v>1</v>
      </c>
    </row>
    <row r="66" spans="2:10">
      <c r="B66" s="59"/>
      <c r="C66" s="59"/>
    </row>
    <row r="67" spans="2:10">
      <c r="B67" s="59"/>
      <c r="C67" s="56" t="s">
        <v>247</v>
      </c>
    </row>
    <row r="68" spans="2:10">
      <c r="B68" s="59"/>
      <c r="C68" s="56" t="s">
        <v>248</v>
      </c>
    </row>
    <row r="69" spans="2:10">
      <c r="B69" s="59"/>
      <c r="C69" s="59"/>
    </row>
    <row r="70" spans="2:10">
      <c r="B70" s="59"/>
      <c r="C70" s="59"/>
    </row>
    <row r="71" spans="2:10">
      <c r="B71" s="59"/>
      <c r="C71" s="59"/>
    </row>
    <row r="72" spans="2:10">
      <c r="B72" s="59"/>
      <c r="C72" s="59"/>
    </row>
    <row r="74" spans="2:10">
      <c r="B74" t="s">
        <v>245</v>
      </c>
    </row>
    <row r="75" spans="2:10">
      <c r="B75" t="s">
        <v>246</v>
      </c>
      <c r="F75" t="s">
        <v>251</v>
      </c>
      <c r="G75">
        <f>AVERAGE(B77:B81)</f>
        <v>170</v>
      </c>
      <c r="I75" t="s">
        <v>258</v>
      </c>
      <c r="J75">
        <f>AVERAGE(C77:C81)</f>
        <v>69</v>
      </c>
    </row>
    <row r="76" spans="2:10">
      <c r="B76" s="59" t="s">
        <v>249</v>
      </c>
      <c r="C76" s="59" t="s">
        <v>250</v>
      </c>
      <c r="F76" t="s">
        <v>252</v>
      </c>
      <c r="G76">
        <f>_xlfn.STDEV.S(B77:B81)</f>
        <v>3.1622776601683795</v>
      </c>
      <c r="I76" t="s">
        <v>255</v>
      </c>
      <c r="J76">
        <f>_xlfn.STDEV.S(C77:C81)</f>
        <v>21.201415047114189</v>
      </c>
    </row>
    <row r="77" spans="2:10">
      <c r="B77" s="59">
        <v>166</v>
      </c>
      <c r="C77" s="59">
        <v>55</v>
      </c>
      <c r="F77" s="252" t="s">
        <v>256</v>
      </c>
      <c r="G77" s="61" t="s">
        <v>254</v>
      </c>
    </row>
    <row r="78" spans="2:10">
      <c r="B78" s="59">
        <v>168</v>
      </c>
      <c r="C78" s="59">
        <v>40</v>
      </c>
      <c r="F78" s="252"/>
      <c r="G78" s="59" t="s">
        <v>255</v>
      </c>
    </row>
    <row r="79" spans="2:10">
      <c r="B79" s="59">
        <v>170</v>
      </c>
      <c r="C79" s="59">
        <v>80</v>
      </c>
      <c r="F79" s="252" t="s">
        <v>253</v>
      </c>
      <c r="I79" s="252" t="s">
        <v>257</v>
      </c>
    </row>
    <row r="80" spans="2:10">
      <c r="B80" s="59">
        <v>172</v>
      </c>
      <c r="C80" s="59">
        <v>93</v>
      </c>
      <c r="F80" s="252"/>
      <c r="I80" s="252"/>
    </row>
    <row r="81" spans="2:14">
      <c r="B81" s="59">
        <v>174</v>
      </c>
      <c r="C81" s="59">
        <v>77</v>
      </c>
      <c r="F81" s="59">
        <f>(B77-$G$75) / $G$76</f>
        <v>-1.2649110640673518</v>
      </c>
      <c r="G81">
        <f>F81^2</f>
        <v>1.6</v>
      </c>
      <c r="I81">
        <f>(C77-$J$75) / $J$76</f>
        <v>-0.66033328289120952</v>
      </c>
    </row>
    <row r="82" spans="2:14">
      <c r="B82" s="59"/>
      <c r="C82" s="59"/>
      <c r="F82" s="59">
        <f>(B78-$G$75) / $G$76</f>
        <v>-0.63245553203367588</v>
      </c>
      <c r="G82" s="130">
        <f>F82^2</f>
        <v>0.4</v>
      </c>
      <c r="I82">
        <f>(C78-$J$75) / $J$76</f>
        <v>-1.3678332288460768</v>
      </c>
    </row>
    <row r="83" spans="2:14">
      <c r="F83" s="59">
        <f>(B79-$G$75) / $G$76</f>
        <v>0</v>
      </c>
      <c r="G83" s="130">
        <f>F83^2</f>
        <v>0</v>
      </c>
      <c r="I83">
        <f>(C79-$J$75) / $J$76</f>
        <v>0.51883329370023601</v>
      </c>
    </row>
    <row r="84" spans="2:14">
      <c r="F84" s="59">
        <f>(B80-$G$75) / $G$76</f>
        <v>0.63245553203367588</v>
      </c>
      <c r="G84" s="130">
        <f>F84^2</f>
        <v>0.4</v>
      </c>
      <c r="I84">
        <f>(C80-$J$75) / $J$76</f>
        <v>1.1319999135277878</v>
      </c>
    </row>
    <row r="85" spans="2:14">
      <c r="F85" s="59">
        <f>(B81-$G$75) / $G$76</f>
        <v>1.2649110640673518</v>
      </c>
      <c r="G85" s="130">
        <f>F85^2</f>
        <v>1.6</v>
      </c>
      <c r="I85">
        <f>(C81-$J$75) / $J$76</f>
        <v>0.37733330450926261</v>
      </c>
    </row>
    <row r="86" spans="2:14">
      <c r="G86">
        <f>SUM(G81:G85)</f>
        <v>4</v>
      </c>
    </row>
    <row r="88" spans="2:14" s="1" customFormat="1">
      <c r="B88" s="1" t="s">
        <v>259</v>
      </c>
    </row>
    <row r="90" spans="2:14">
      <c r="B90" t="s">
        <v>268</v>
      </c>
    </row>
    <row r="92" spans="2:14">
      <c r="B92" s="62" t="s">
        <v>260</v>
      </c>
      <c r="C92" s="62" t="s">
        <v>261</v>
      </c>
      <c r="D92" s="63"/>
      <c r="E92" s="63"/>
      <c r="F92" s="63"/>
      <c r="G92" s="63"/>
      <c r="H92" s="63"/>
      <c r="I92" s="63"/>
      <c r="J92" s="63"/>
      <c r="K92" s="63"/>
      <c r="L92" s="63"/>
      <c r="M92" s="63"/>
      <c r="N92" s="63"/>
    </row>
    <row r="93" spans="2:14">
      <c r="B93" s="64">
        <v>1</v>
      </c>
      <c r="C93" s="64">
        <v>171</v>
      </c>
      <c r="D93" s="63"/>
      <c r="E93" s="63"/>
      <c r="F93" s="63"/>
      <c r="G93" s="63"/>
      <c r="H93" s="63"/>
      <c r="I93" s="63"/>
      <c r="J93" s="63"/>
      <c r="K93" s="63"/>
      <c r="L93" s="63"/>
      <c r="M93" s="63"/>
      <c r="N93" s="63"/>
    </row>
    <row r="94" spans="2:14">
      <c r="B94" s="64">
        <v>2</v>
      </c>
      <c r="C94" s="64">
        <v>152</v>
      </c>
      <c r="D94" s="63"/>
      <c r="E94" s="63"/>
      <c r="F94" s="63"/>
      <c r="G94" s="63"/>
      <c r="H94" s="63"/>
      <c r="I94" s="63"/>
      <c r="J94" s="63"/>
      <c r="K94" s="63"/>
      <c r="L94" s="63"/>
      <c r="M94" s="63"/>
      <c r="N94" s="63"/>
    </row>
    <row r="95" spans="2:14">
      <c r="B95" s="64">
        <v>3</v>
      </c>
      <c r="C95" s="64">
        <v>171</v>
      </c>
      <c r="D95" s="63"/>
      <c r="E95" s="63"/>
      <c r="F95" s="63"/>
      <c r="G95" s="63"/>
      <c r="H95" s="63"/>
      <c r="I95" s="63"/>
      <c r="J95" s="63"/>
      <c r="K95" s="63"/>
      <c r="L95" s="63"/>
      <c r="M95" s="63"/>
      <c r="N95" s="63"/>
    </row>
    <row r="96" spans="2:14">
      <c r="B96" s="64">
        <v>4</v>
      </c>
      <c r="C96" s="64">
        <v>142</v>
      </c>
      <c r="D96" s="63"/>
      <c r="E96" s="63"/>
      <c r="F96" s="63"/>
      <c r="G96" s="63"/>
      <c r="H96" s="63"/>
      <c r="I96" s="63"/>
      <c r="J96" s="63"/>
      <c r="K96" s="63"/>
      <c r="L96" s="63"/>
      <c r="M96" s="63"/>
      <c r="N96" s="63"/>
    </row>
    <row r="97" spans="2:14">
      <c r="B97" s="64">
        <v>5</v>
      </c>
      <c r="C97" s="64">
        <v>153</v>
      </c>
      <c r="D97" s="63"/>
      <c r="E97" s="63"/>
      <c r="F97" s="63"/>
      <c r="G97" s="63"/>
      <c r="H97" s="63"/>
      <c r="I97" s="63"/>
      <c r="J97" s="63"/>
      <c r="K97" s="63"/>
      <c r="L97" s="63"/>
      <c r="M97" s="63"/>
      <c r="N97" s="63"/>
    </row>
    <row r="98" spans="2:14">
      <c r="B98" s="64">
        <v>6</v>
      </c>
      <c r="C98" s="64">
        <v>168</v>
      </c>
      <c r="D98" s="63"/>
      <c r="E98" s="63"/>
      <c r="F98" s="63"/>
      <c r="G98" s="63"/>
      <c r="H98" s="63"/>
      <c r="I98" s="63"/>
      <c r="J98" s="63"/>
      <c r="K98" s="63"/>
      <c r="L98" s="63"/>
      <c r="M98" s="63"/>
      <c r="N98" s="63"/>
    </row>
    <row r="99" spans="2:14">
      <c r="B99" s="64">
        <v>7</v>
      </c>
      <c r="C99" s="64">
        <v>150</v>
      </c>
      <c r="D99" s="63"/>
      <c r="E99" s="63"/>
      <c r="F99" s="63"/>
      <c r="G99" s="63"/>
      <c r="H99" s="63"/>
      <c r="I99" s="63"/>
      <c r="J99" s="63"/>
      <c r="K99" s="63"/>
      <c r="L99" s="63"/>
      <c r="M99" s="63"/>
      <c r="N99" s="63"/>
    </row>
    <row r="100" spans="2:14">
      <c r="B100" s="64">
        <v>8</v>
      </c>
      <c r="C100" s="64">
        <v>160</v>
      </c>
      <c r="D100" s="63"/>
      <c r="E100" s="63"/>
      <c r="F100" s="63"/>
      <c r="G100" s="63"/>
      <c r="H100" s="63"/>
      <c r="I100" s="63"/>
      <c r="J100" s="63"/>
      <c r="K100" s="63"/>
      <c r="L100" s="63"/>
      <c r="M100" s="63"/>
      <c r="N100" s="63"/>
    </row>
    <row r="101" spans="2:14">
      <c r="B101" s="64">
        <v>9</v>
      </c>
      <c r="C101" s="64">
        <v>170</v>
      </c>
      <c r="D101" s="63"/>
      <c r="E101" s="63"/>
      <c r="F101" s="63"/>
      <c r="G101" s="63"/>
      <c r="H101" s="63"/>
      <c r="I101" s="63"/>
      <c r="J101" s="63"/>
      <c r="K101" s="63"/>
      <c r="L101" s="63"/>
      <c r="M101" s="63"/>
      <c r="N101" s="63"/>
    </row>
    <row r="102" spans="2:14">
      <c r="B102" s="64">
        <v>10</v>
      </c>
      <c r="C102" s="64">
        <v>143</v>
      </c>
      <c r="D102" s="63"/>
      <c r="E102" s="63"/>
      <c r="F102" s="63"/>
      <c r="G102" s="63"/>
      <c r="H102" s="63"/>
      <c r="I102" s="63"/>
      <c r="J102" s="63"/>
      <c r="K102" s="63"/>
      <c r="L102" s="63"/>
      <c r="M102" s="63"/>
      <c r="N102" s="63"/>
    </row>
    <row r="103" spans="2:14">
      <c r="B103" s="64">
        <v>11</v>
      </c>
      <c r="C103" s="64">
        <v>144</v>
      </c>
      <c r="D103" s="63"/>
      <c r="E103" s="63"/>
      <c r="F103" s="63"/>
      <c r="G103" s="63"/>
      <c r="H103" s="63"/>
      <c r="I103" s="63"/>
      <c r="J103" s="63"/>
      <c r="K103" s="63"/>
      <c r="L103" s="63"/>
      <c r="M103" s="63"/>
      <c r="N103" s="63"/>
    </row>
    <row r="104" spans="2:14">
      <c r="B104" s="64">
        <v>12</v>
      </c>
      <c r="C104" s="64">
        <v>181</v>
      </c>
      <c r="D104" s="63"/>
      <c r="E104" s="63"/>
      <c r="F104" s="63"/>
      <c r="G104" s="63"/>
      <c r="H104" s="63"/>
      <c r="I104" s="63"/>
      <c r="J104" s="63"/>
      <c r="K104" s="63"/>
      <c r="L104" s="63"/>
      <c r="M104" s="63"/>
      <c r="N104" s="63"/>
    </row>
    <row r="105" spans="2:14">
      <c r="B105" s="64">
        <v>13</v>
      </c>
      <c r="C105" s="64">
        <v>178</v>
      </c>
      <c r="D105" s="63"/>
      <c r="E105" s="63"/>
      <c r="F105" s="63"/>
      <c r="G105" s="63"/>
      <c r="H105" s="63"/>
      <c r="I105" s="63"/>
      <c r="J105" s="63"/>
      <c r="K105" s="63"/>
      <c r="L105" s="63"/>
      <c r="M105" s="63"/>
      <c r="N105" s="63"/>
    </row>
    <row r="106" spans="2:14">
      <c r="B106" s="64">
        <v>14</v>
      </c>
      <c r="C106" s="64">
        <v>175</v>
      </c>
      <c r="D106" s="63"/>
      <c r="E106" s="63"/>
      <c r="F106" s="63"/>
      <c r="G106" s="63"/>
      <c r="H106" s="63"/>
      <c r="I106" s="63"/>
      <c r="J106" s="63"/>
      <c r="K106" s="63"/>
      <c r="L106" s="63"/>
      <c r="M106" s="63"/>
      <c r="N106" s="63"/>
    </row>
    <row r="107" spans="2:14">
      <c r="B107" s="64">
        <v>15</v>
      </c>
      <c r="C107" s="64">
        <v>170</v>
      </c>
      <c r="D107" s="63"/>
      <c r="E107" s="63"/>
      <c r="F107" s="63"/>
      <c r="G107" s="63"/>
      <c r="H107" s="63"/>
      <c r="I107" s="63"/>
      <c r="J107" s="63"/>
      <c r="K107" s="63"/>
      <c r="L107" s="63"/>
      <c r="M107" s="63"/>
      <c r="N107" s="63"/>
    </row>
    <row r="108" spans="2:14">
      <c r="B108" s="64">
        <v>16</v>
      </c>
      <c r="C108" s="64">
        <v>157</v>
      </c>
      <c r="D108" s="63"/>
      <c r="E108" s="63"/>
      <c r="F108" s="63"/>
      <c r="G108" s="63"/>
      <c r="H108" s="63"/>
      <c r="I108" s="63"/>
      <c r="J108" s="63"/>
      <c r="K108" s="63"/>
      <c r="L108" s="63"/>
      <c r="M108" s="63"/>
      <c r="N108" s="63"/>
    </row>
    <row r="109" spans="2:14">
      <c r="B109" s="64">
        <v>17</v>
      </c>
      <c r="C109" s="64">
        <v>150</v>
      </c>
      <c r="D109" s="63"/>
      <c r="E109" s="63"/>
      <c r="F109" s="63"/>
      <c r="G109" s="63"/>
      <c r="H109" s="63"/>
      <c r="I109" s="63"/>
      <c r="J109" s="63"/>
      <c r="K109" s="63"/>
      <c r="L109" s="63"/>
      <c r="M109" s="63"/>
      <c r="N109" s="63"/>
    </row>
    <row r="110" spans="2:14">
      <c r="B110" s="64">
        <v>18</v>
      </c>
      <c r="C110" s="64">
        <v>176</v>
      </c>
      <c r="D110" s="63"/>
      <c r="E110" s="63"/>
      <c r="F110" s="63"/>
      <c r="G110" s="63"/>
      <c r="H110" s="63"/>
      <c r="I110" s="63"/>
      <c r="J110" s="63"/>
      <c r="K110" s="63"/>
      <c r="L110" s="63"/>
      <c r="M110" s="63"/>
      <c r="N110" s="63"/>
    </row>
    <row r="111" spans="2:14">
      <c r="B111" s="64">
        <v>19</v>
      </c>
      <c r="C111" s="64">
        <v>154</v>
      </c>
      <c r="D111" s="63"/>
      <c r="E111" s="63"/>
      <c r="F111" s="63"/>
      <c r="G111" s="63"/>
      <c r="H111" s="63"/>
      <c r="I111" s="63"/>
      <c r="J111" s="63"/>
      <c r="K111" s="63"/>
      <c r="L111" s="63"/>
      <c r="M111" s="63"/>
      <c r="N111" s="63"/>
    </row>
    <row r="112" spans="2:14">
      <c r="B112" s="64">
        <v>20</v>
      </c>
      <c r="C112" s="64">
        <v>150</v>
      </c>
      <c r="D112" s="63"/>
      <c r="E112" s="63"/>
      <c r="F112" s="63"/>
      <c r="G112" s="63"/>
      <c r="H112" s="63"/>
      <c r="I112" s="63"/>
      <c r="J112" s="63"/>
      <c r="K112" s="63"/>
      <c r="L112" s="63"/>
      <c r="M112" s="63"/>
      <c r="N112" s="63"/>
    </row>
    <row r="113" spans="2:14">
      <c r="B113" s="64">
        <v>21</v>
      </c>
      <c r="C113" s="64">
        <v>170</v>
      </c>
      <c r="D113" s="63"/>
      <c r="E113" s="63"/>
      <c r="F113" s="63"/>
      <c r="G113" s="63"/>
      <c r="H113" s="63"/>
      <c r="I113" s="63"/>
      <c r="J113" s="63"/>
      <c r="K113" s="63"/>
      <c r="L113" s="63"/>
      <c r="M113" s="63"/>
      <c r="N113" s="63"/>
    </row>
    <row r="114" spans="2:14">
      <c r="B114" s="64">
        <v>22</v>
      </c>
      <c r="C114" s="64">
        <v>177</v>
      </c>
      <c r="D114" s="63"/>
      <c r="E114" s="63"/>
      <c r="F114" s="63"/>
      <c r="G114" s="63"/>
      <c r="H114" s="63"/>
      <c r="I114" s="63"/>
      <c r="J114" s="63"/>
      <c r="K114" s="63"/>
      <c r="L114" s="63"/>
      <c r="M114" s="63"/>
      <c r="N114" s="63"/>
    </row>
    <row r="115" spans="2:14">
      <c r="B115" s="64">
        <v>23</v>
      </c>
      <c r="C115" s="64">
        <v>173</v>
      </c>
      <c r="D115" s="63"/>
      <c r="E115" s="64" t="s">
        <v>262</v>
      </c>
      <c r="F115" s="65">
        <f>MAX(C93:C122)</f>
        <v>182</v>
      </c>
      <c r="G115" s="63"/>
      <c r="H115" s="63"/>
      <c r="I115" s="63"/>
      <c r="J115" s="63"/>
      <c r="K115" s="63"/>
      <c r="L115" s="63"/>
      <c r="M115" s="63"/>
      <c r="N115" s="63"/>
    </row>
    <row r="116" spans="2:14">
      <c r="B116" s="64">
        <v>24</v>
      </c>
      <c r="C116" s="64">
        <v>172</v>
      </c>
      <c r="D116" s="63"/>
      <c r="E116" s="64" t="s">
        <v>263</v>
      </c>
      <c r="F116" s="65">
        <f>_xlfn.QUARTILE.EXC(C93:C122,3)</f>
        <v>172.25</v>
      </c>
      <c r="G116" s="63"/>
      <c r="H116" s="63"/>
      <c r="I116" s="63"/>
      <c r="J116" s="63"/>
      <c r="K116" s="63"/>
      <c r="L116" s="63"/>
      <c r="M116" s="63"/>
      <c r="N116" s="63"/>
    </row>
    <row r="117" spans="2:14">
      <c r="B117" s="64">
        <v>25</v>
      </c>
      <c r="C117" s="64">
        <v>143</v>
      </c>
      <c r="D117" s="63"/>
      <c r="E117" s="64" t="s">
        <v>264</v>
      </c>
      <c r="F117" s="65">
        <f>AVERAGE(C93:C122)</f>
        <v>160.80000000000001</v>
      </c>
      <c r="G117" s="63"/>
      <c r="H117" s="63"/>
      <c r="I117" s="63"/>
      <c r="J117" s="63"/>
      <c r="K117" s="63"/>
      <c r="L117" s="63"/>
      <c r="M117" s="63"/>
      <c r="N117" s="63"/>
    </row>
    <row r="118" spans="2:14">
      <c r="B118" s="64">
        <v>26</v>
      </c>
      <c r="C118" s="64">
        <v>182</v>
      </c>
      <c r="D118" s="63"/>
      <c r="E118" s="66" t="s">
        <v>265</v>
      </c>
      <c r="F118" s="67">
        <f>MEDIAN(C93:C122)</f>
        <v>158.5</v>
      </c>
      <c r="G118" s="21"/>
      <c r="H118" s="21">
        <f>_xlfn.QUARTILE.EXC(C93:C122,2)</f>
        <v>158.5</v>
      </c>
      <c r="I118" s="63"/>
      <c r="J118" s="63"/>
      <c r="K118" s="63"/>
      <c r="L118" s="63"/>
      <c r="M118" s="63"/>
      <c r="N118" s="63"/>
    </row>
    <row r="119" spans="2:14">
      <c r="B119" s="64">
        <v>27</v>
      </c>
      <c r="C119" s="64">
        <v>143</v>
      </c>
      <c r="D119" s="63"/>
      <c r="E119" s="64" t="s">
        <v>266</v>
      </c>
      <c r="F119" s="65">
        <f>_xlfn.QUARTILE.EXC(C93:C122,1)</f>
        <v>149.75</v>
      </c>
      <c r="G119" s="63"/>
      <c r="H119" s="63"/>
      <c r="I119" s="63"/>
      <c r="J119" s="63"/>
      <c r="K119" s="63"/>
      <c r="L119" s="63"/>
      <c r="M119" s="63"/>
      <c r="N119" s="63"/>
    </row>
    <row r="120" spans="2:14">
      <c r="B120" s="64">
        <v>28</v>
      </c>
      <c r="C120" s="64">
        <v>149</v>
      </c>
      <c r="D120" s="63"/>
      <c r="E120" s="64" t="s">
        <v>267</v>
      </c>
      <c r="F120" s="65">
        <f>MIN(C93:C122)</f>
        <v>142</v>
      </c>
      <c r="G120" s="63"/>
      <c r="H120" s="63"/>
      <c r="I120" s="63"/>
      <c r="J120" s="63"/>
      <c r="K120" s="63"/>
      <c r="L120" s="63"/>
      <c r="M120" s="63"/>
      <c r="N120" s="63"/>
    </row>
    <row r="121" spans="2:14">
      <c r="B121" s="64">
        <v>29</v>
      </c>
      <c r="C121" s="64">
        <v>153</v>
      </c>
      <c r="D121" s="63"/>
      <c r="E121" s="63"/>
      <c r="F121" s="63"/>
      <c r="G121" s="63"/>
      <c r="H121" s="63"/>
      <c r="I121" s="63"/>
      <c r="J121" s="63"/>
      <c r="K121" s="63"/>
      <c r="L121" s="63"/>
      <c r="M121" s="63"/>
      <c r="N121" s="63"/>
    </row>
    <row r="122" spans="2:14">
      <c r="B122" s="64">
        <v>30</v>
      </c>
      <c r="C122" s="64">
        <v>147</v>
      </c>
      <c r="D122" s="63"/>
      <c r="E122" s="63"/>
      <c r="F122" s="63"/>
      <c r="G122" s="63"/>
      <c r="H122" s="63"/>
      <c r="I122" s="63"/>
      <c r="J122" s="63"/>
      <c r="K122" s="63"/>
      <c r="L122" s="63"/>
      <c r="M122" s="63"/>
      <c r="N122" s="63"/>
    </row>
    <row r="123" spans="2:14">
      <c r="B123" s="58"/>
      <c r="C123" s="58"/>
      <c r="D123" s="63"/>
      <c r="E123" s="63"/>
      <c r="F123" s="63"/>
      <c r="G123" s="63"/>
      <c r="H123" s="63"/>
      <c r="I123" s="63"/>
      <c r="J123" s="63"/>
      <c r="K123" s="63"/>
      <c r="L123" s="63"/>
      <c r="M123" s="63"/>
      <c r="N123" s="63"/>
    </row>
    <row r="124" spans="2:14">
      <c r="B124" t="s">
        <v>273</v>
      </c>
    </row>
    <row r="126" spans="2:14">
      <c r="B126" s="62" t="s">
        <v>260</v>
      </c>
      <c r="C126" s="62" t="s">
        <v>269</v>
      </c>
      <c r="D126" s="63"/>
      <c r="E126" s="63"/>
      <c r="F126" s="63"/>
      <c r="G126" s="63"/>
      <c r="H126" s="63"/>
      <c r="I126" s="63"/>
      <c r="J126" s="63"/>
      <c r="K126" s="63"/>
      <c r="L126" s="63"/>
      <c r="M126" s="63"/>
      <c r="N126" s="63"/>
    </row>
    <row r="127" spans="2:14">
      <c r="B127" s="64">
        <v>1</v>
      </c>
      <c r="C127" s="64">
        <v>171</v>
      </c>
      <c r="D127" s="63"/>
      <c r="E127" s="63"/>
      <c r="F127" s="63"/>
      <c r="G127" s="63"/>
      <c r="H127" s="63"/>
      <c r="I127" s="63"/>
      <c r="J127" s="63"/>
      <c r="K127" s="63"/>
      <c r="L127" s="63"/>
      <c r="M127" s="63"/>
      <c r="N127" s="63"/>
    </row>
    <row r="128" spans="2:14">
      <c r="B128" s="64">
        <v>2</v>
      </c>
      <c r="C128" s="64">
        <v>152</v>
      </c>
      <c r="D128" s="63"/>
      <c r="E128" s="63"/>
      <c r="F128" s="63"/>
      <c r="G128" s="63"/>
      <c r="H128" s="63"/>
      <c r="I128" s="63"/>
      <c r="J128" s="63"/>
      <c r="K128" s="63"/>
      <c r="L128" s="63"/>
      <c r="M128" s="63"/>
      <c r="N128" s="63"/>
    </row>
    <row r="129" spans="2:14">
      <c r="B129" s="64">
        <v>3</v>
      </c>
      <c r="C129" s="64">
        <v>171</v>
      </c>
      <c r="D129" s="63"/>
      <c r="E129" s="63"/>
      <c r="F129" s="63"/>
      <c r="G129" s="63"/>
      <c r="H129" s="63"/>
      <c r="I129" s="63"/>
      <c r="J129" s="63"/>
      <c r="K129" s="63"/>
      <c r="L129" s="63"/>
      <c r="M129" s="63"/>
      <c r="N129" s="63"/>
    </row>
    <row r="130" spans="2:14">
      <c r="B130" s="64">
        <v>4</v>
      </c>
      <c r="C130" s="64">
        <v>142</v>
      </c>
      <c r="D130" s="63"/>
      <c r="E130" s="63"/>
      <c r="F130" s="63"/>
      <c r="G130" s="63"/>
      <c r="H130" s="63"/>
      <c r="I130" s="63"/>
      <c r="J130" s="63"/>
      <c r="K130" s="63"/>
      <c r="L130" s="63"/>
      <c r="M130" s="63"/>
      <c r="N130" s="63"/>
    </row>
    <row r="131" spans="2:14">
      <c r="B131" s="64">
        <v>5</v>
      </c>
      <c r="C131" s="64">
        <v>153</v>
      </c>
      <c r="D131" s="63"/>
      <c r="E131" s="63"/>
      <c r="F131" s="63"/>
      <c r="G131" s="63"/>
      <c r="H131" s="63"/>
      <c r="I131" s="63"/>
      <c r="J131" s="63"/>
      <c r="K131" s="63"/>
      <c r="L131" s="63"/>
      <c r="M131" s="63"/>
      <c r="N131" s="63"/>
    </row>
    <row r="132" spans="2:14">
      <c r="B132" s="64">
        <v>6</v>
      </c>
      <c r="C132" s="64">
        <v>168</v>
      </c>
      <c r="D132" s="63"/>
      <c r="E132" s="63"/>
      <c r="F132" s="63"/>
      <c r="G132" s="63"/>
      <c r="H132" s="63"/>
      <c r="I132" s="63"/>
      <c r="J132" s="63"/>
      <c r="K132" s="63"/>
      <c r="L132" s="63"/>
      <c r="M132" s="63"/>
      <c r="N132" s="63"/>
    </row>
    <row r="133" spans="2:14">
      <c r="B133" s="64">
        <v>7</v>
      </c>
      <c r="C133" s="64">
        <v>150</v>
      </c>
      <c r="D133" s="63"/>
      <c r="E133" s="63"/>
      <c r="F133" s="63"/>
      <c r="G133" s="63"/>
      <c r="H133" s="63"/>
      <c r="I133" s="63"/>
      <c r="J133" s="63"/>
      <c r="K133" s="63"/>
      <c r="L133" s="63"/>
      <c r="M133" s="63"/>
      <c r="N133" s="63"/>
    </row>
    <row r="134" spans="2:14">
      <c r="B134" s="64">
        <v>8</v>
      </c>
      <c r="C134" s="64">
        <v>500</v>
      </c>
      <c r="D134" s="63"/>
      <c r="E134" s="63"/>
      <c r="F134" s="63"/>
      <c r="G134" s="63"/>
      <c r="H134" s="63"/>
      <c r="I134" s="63"/>
      <c r="J134" s="63"/>
      <c r="K134" s="63"/>
      <c r="L134" s="63"/>
      <c r="M134" s="63"/>
      <c r="N134" s="63"/>
    </row>
    <row r="135" spans="2:14">
      <c r="B135" s="64">
        <v>9</v>
      </c>
      <c r="C135" s="64">
        <v>170</v>
      </c>
      <c r="D135" s="63"/>
      <c r="E135" s="63"/>
      <c r="F135" s="63"/>
      <c r="G135" s="63"/>
      <c r="H135" s="63"/>
      <c r="I135" s="63"/>
      <c r="J135" s="63"/>
      <c r="K135" s="63"/>
      <c r="L135" s="63"/>
      <c r="M135" s="63"/>
      <c r="N135" s="63"/>
    </row>
    <row r="136" spans="2:14">
      <c r="B136" s="64">
        <v>10</v>
      </c>
      <c r="C136" s="64">
        <v>143</v>
      </c>
      <c r="D136" s="63"/>
      <c r="E136" s="63"/>
      <c r="F136" s="63"/>
      <c r="G136" s="63"/>
      <c r="H136" s="63"/>
      <c r="I136" s="63"/>
      <c r="J136" s="63"/>
      <c r="K136" s="63"/>
      <c r="L136" s="63"/>
      <c r="M136" s="63"/>
      <c r="N136" s="63"/>
    </row>
    <row r="137" spans="2:14">
      <c r="B137" s="64">
        <v>11</v>
      </c>
      <c r="C137" s="64">
        <v>144</v>
      </c>
      <c r="D137" s="63"/>
      <c r="E137" s="63"/>
      <c r="F137" s="63"/>
      <c r="G137" s="63"/>
      <c r="H137" s="63"/>
      <c r="I137" s="63"/>
      <c r="J137" s="63"/>
      <c r="K137" s="63"/>
      <c r="L137" s="63"/>
      <c r="M137" s="63"/>
      <c r="N137" s="63"/>
    </row>
    <row r="138" spans="2:14">
      <c r="B138" s="64">
        <v>12</v>
      </c>
      <c r="C138" s="64">
        <v>181</v>
      </c>
      <c r="D138" s="63"/>
      <c r="E138" s="63"/>
      <c r="F138" s="63"/>
      <c r="G138" s="63"/>
      <c r="H138" s="63"/>
      <c r="I138" s="63"/>
      <c r="J138" s="63"/>
      <c r="K138" s="63"/>
      <c r="L138" s="63"/>
      <c r="M138" s="63"/>
      <c r="N138" s="63"/>
    </row>
    <row r="139" spans="2:14">
      <c r="B139" s="64">
        <v>13</v>
      </c>
      <c r="C139" s="64">
        <v>178</v>
      </c>
      <c r="D139" s="63"/>
      <c r="E139" s="63"/>
      <c r="F139" s="63"/>
      <c r="G139" s="63"/>
      <c r="H139" s="63"/>
      <c r="I139" s="63"/>
      <c r="J139" s="63"/>
      <c r="K139" s="63"/>
      <c r="L139" s="63"/>
      <c r="M139" s="63"/>
      <c r="N139" s="63"/>
    </row>
    <row r="140" spans="2:14">
      <c r="B140" s="64">
        <v>14</v>
      </c>
      <c r="C140" s="64">
        <v>175</v>
      </c>
      <c r="D140" s="63"/>
      <c r="E140" s="63"/>
      <c r="F140" s="63"/>
      <c r="G140" s="63"/>
      <c r="H140" s="63"/>
      <c r="I140" s="63"/>
      <c r="J140" s="63"/>
      <c r="K140" s="63"/>
      <c r="L140" s="63"/>
      <c r="M140" s="63"/>
      <c r="N140" s="63"/>
    </row>
    <row r="141" spans="2:14">
      <c r="B141" s="64">
        <v>15</v>
      </c>
      <c r="C141" s="64">
        <v>170</v>
      </c>
      <c r="D141" s="63"/>
      <c r="E141" s="63"/>
      <c r="F141" s="63"/>
      <c r="G141" s="63"/>
      <c r="H141" s="63"/>
      <c r="I141" s="63"/>
      <c r="J141" s="63"/>
      <c r="K141" s="63"/>
      <c r="L141" s="63"/>
      <c r="M141" s="63"/>
      <c r="N141" s="63"/>
    </row>
    <row r="142" spans="2:14">
      <c r="B142" s="64">
        <v>16</v>
      </c>
      <c r="C142" s="64">
        <v>157</v>
      </c>
      <c r="D142" s="63"/>
      <c r="E142" s="63"/>
      <c r="F142" s="63"/>
      <c r="G142" s="63"/>
      <c r="H142" s="63"/>
      <c r="I142" s="63"/>
      <c r="J142" s="63"/>
      <c r="K142" s="63"/>
      <c r="L142" s="63"/>
      <c r="M142" s="63"/>
      <c r="N142" s="63"/>
    </row>
    <row r="143" spans="2:14">
      <c r="B143" s="64">
        <v>17</v>
      </c>
      <c r="C143" s="64">
        <v>150</v>
      </c>
      <c r="D143" s="63"/>
      <c r="E143" s="63"/>
      <c r="F143" s="63"/>
      <c r="G143" s="63"/>
      <c r="H143" s="63"/>
      <c r="I143" s="63"/>
      <c r="J143" s="63"/>
      <c r="K143" s="63"/>
      <c r="L143" s="63"/>
      <c r="M143" s="63"/>
      <c r="N143" s="63"/>
    </row>
    <row r="144" spans="2:14">
      <c r="B144" s="64">
        <v>18</v>
      </c>
      <c r="C144" s="64">
        <v>176</v>
      </c>
      <c r="D144" s="63"/>
      <c r="E144" s="63"/>
      <c r="F144" s="63"/>
      <c r="G144" s="63"/>
      <c r="H144" s="63"/>
      <c r="I144" s="63"/>
      <c r="J144" s="63"/>
      <c r="K144" s="63"/>
      <c r="L144" s="63"/>
      <c r="M144" s="63"/>
      <c r="N144" s="63"/>
    </row>
    <row r="145" spans="2:14">
      <c r="B145" s="64">
        <v>19</v>
      </c>
      <c r="C145" s="64">
        <v>154</v>
      </c>
      <c r="D145" s="63"/>
      <c r="E145" s="63"/>
      <c r="F145" s="63"/>
      <c r="G145" s="63"/>
      <c r="H145" s="63"/>
      <c r="I145" s="63"/>
      <c r="J145" s="63"/>
      <c r="K145" s="63"/>
      <c r="L145" s="63"/>
      <c r="M145" s="63"/>
      <c r="N145" s="63"/>
    </row>
    <row r="146" spans="2:14">
      <c r="B146" s="64">
        <v>20</v>
      </c>
      <c r="C146" s="64">
        <v>150</v>
      </c>
      <c r="D146" s="63"/>
      <c r="E146" s="63"/>
      <c r="F146" s="63"/>
      <c r="G146" s="63"/>
      <c r="H146" s="63"/>
      <c r="I146" s="63"/>
      <c r="J146" s="63"/>
      <c r="K146" s="63"/>
      <c r="L146" s="63"/>
      <c r="M146" s="63"/>
      <c r="N146" s="63"/>
    </row>
    <row r="147" spans="2:14">
      <c r="B147" s="64">
        <v>21</v>
      </c>
      <c r="C147" s="64">
        <v>170</v>
      </c>
      <c r="D147" s="63"/>
      <c r="E147" s="63"/>
      <c r="F147" s="63"/>
      <c r="G147" s="63"/>
      <c r="H147" s="63"/>
      <c r="I147" s="63"/>
      <c r="J147" s="63"/>
      <c r="K147" s="63"/>
      <c r="L147" s="63"/>
      <c r="M147" s="63"/>
      <c r="N147" s="63"/>
    </row>
    <row r="148" spans="2:14">
      <c r="B148" s="64">
        <v>22</v>
      </c>
      <c r="C148" s="64">
        <v>177</v>
      </c>
      <c r="D148" s="63"/>
      <c r="E148" s="63"/>
      <c r="F148" s="63"/>
      <c r="G148" s="63"/>
      <c r="H148" s="63"/>
      <c r="I148" s="63"/>
      <c r="J148" s="63"/>
      <c r="K148" s="63"/>
      <c r="L148" s="63"/>
      <c r="M148" s="63"/>
      <c r="N148" s="63"/>
    </row>
    <row r="149" spans="2:14">
      <c r="B149" s="64">
        <v>23</v>
      </c>
      <c r="C149" s="64">
        <v>173</v>
      </c>
      <c r="D149" s="63"/>
      <c r="E149" s="64" t="s">
        <v>270</v>
      </c>
      <c r="F149" s="65">
        <f>MAX(C127:C156)</f>
        <v>500</v>
      </c>
      <c r="G149" s="63"/>
      <c r="H149" s="63"/>
      <c r="I149" s="63"/>
      <c r="J149" s="63"/>
      <c r="K149" s="63"/>
      <c r="L149" s="63"/>
      <c r="M149" s="63"/>
      <c r="N149" s="63"/>
    </row>
    <row r="150" spans="2:14">
      <c r="B150" s="64">
        <v>24</v>
      </c>
      <c r="C150" s="64">
        <v>172</v>
      </c>
      <c r="D150" s="63"/>
      <c r="E150" s="64" t="s">
        <v>271</v>
      </c>
      <c r="F150" s="65">
        <f>_xlfn.QUARTILE.EXC(C127:C156,3)</f>
        <v>173.5</v>
      </c>
      <c r="G150" s="63"/>
      <c r="H150" s="63"/>
      <c r="I150" s="63"/>
      <c r="J150" s="63"/>
      <c r="K150" s="63"/>
      <c r="L150" s="63"/>
      <c r="M150" s="63"/>
      <c r="N150" s="63"/>
    </row>
    <row r="151" spans="2:14">
      <c r="B151" s="64">
        <v>25</v>
      </c>
      <c r="C151" s="64">
        <v>143</v>
      </c>
      <c r="D151" s="63"/>
      <c r="E151" s="64" t="s">
        <v>272</v>
      </c>
      <c r="F151" s="65">
        <f>AVERAGE(C127:C156)</f>
        <v>172.13333333333333</v>
      </c>
      <c r="G151" s="63"/>
      <c r="H151" s="63"/>
      <c r="I151" s="63"/>
      <c r="J151" s="63"/>
      <c r="K151" s="63"/>
      <c r="L151" s="63"/>
      <c r="M151" s="63"/>
      <c r="N151" s="63"/>
    </row>
    <row r="152" spans="2:14">
      <c r="B152" s="64">
        <v>26</v>
      </c>
      <c r="C152" s="64">
        <v>182</v>
      </c>
      <c r="D152" s="63"/>
      <c r="E152" s="66" t="s">
        <v>265</v>
      </c>
      <c r="F152" s="67">
        <f>MEDIAN(C127:C156)</f>
        <v>162.5</v>
      </c>
      <c r="G152" s="21"/>
      <c r="H152" s="21">
        <f>_xlfn.QUARTILE.EXC(C127:C156,2)</f>
        <v>162.5</v>
      </c>
      <c r="I152" s="63"/>
      <c r="J152" s="63"/>
      <c r="K152" s="63"/>
      <c r="L152" s="63"/>
      <c r="M152" s="63"/>
      <c r="N152" s="63"/>
    </row>
    <row r="153" spans="2:14">
      <c r="B153" s="64">
        <v>27</v>
      </c>
      <c r="C153" s="64">
        <v>143</v>
      </c>
      <c r="D153" s="63"/>
      <c r="E153" s="64" t="s">
        <v>266</v>
      </c>
      <c r="F153" s="65">
        <f>_xlfn.QUARTILE.EXC(C127:C156,1)</f>
        <v>149.75</v>
      </c>
      <c r="G153" s="63"/>
      <c r="H153" s="63"/>
      <c r="I153" s="63"/>
      <c r="J153" s="63"/>
      <c r="K153" s="63"/>
      <c r="L153" s="63"/>
      <c r="M153" s="63"/>
      <c r="N153" s="63"/>
    </row>
    <row r="154" spans="2:14">
      <c r="B154" s="64">
        <v>28</v>
      </c>
      <c r="C154" s="64">
        <v>149</v>
      </c>
      <c r="D154" s="63"/>
      <c r="E154" s="64" t="s">
        <v>267</v>
      </c>
      <c r="F154" s="65">
        <f>MIN(C127:C156)</f>
        <v>142</v>
      </c>
      <c r="G154" s="63"/>
      <c r="H154" s="63"/>
      <c r="I154" s="63"/>
      <c r="J154" s="63"/>
      <c r="K154" s="63"/>
      <c r="L154" s="63"/>
      <c r="M154" s="63"/>
      <c r="N154" s="63"/>
    </row>
    <row r="155" spans="2:14">
      <c r="B155" s="64">
        <v>29</v>
      </c>
      <c r="C155" s="64">
        <v>153</v>
      </c>
      <c r="D155" s="63"/>
      <c r="E155" s="63"/>
      <c r="F155" s="63"/>
      <c r="G155" s="63"/>
      <c r="H155" s="63"/>
      <c r="I155" s="63"/>
      <c r="J155" s="63"/>
      <c r="K155" s="63"/>
      <c r="L155" s="63"/>
      <c r="M155" s="63"/>
      <c r="N155" s="63"/>
    </row>
    <row r="156" spans="2:14">
      <c r="B156" s="64">
        <v>30</v>
      </c>
      <c r="C156" s="64">
        <v>147</v>
      </c>
      <c r="D156" s="63"/>
      <c r="E156" s="63"/>
      <c r="F156" s="63"/>
      <c r="G156" s="63"/>
      <c r="H156" s="63"/>
      <c r="I156" s="63"/>
      <c r="J156" s="63"/>
      <c r="K156" s="63"/>
      <c r="L156" s="63"/>
      <c r="M156" s="63"/>
      <c r="N156" s="63"/>
    </row>
    <row r="157" spans="2:14">
      <c r="B157" s="58"/>
      <c r="C157" s="58"/>
      <c r="D157" s="63"/>
      <c r="E157" s="63"/>
      <c r="F157" s="63"/>
      <c r="G157" s="63"/>
      <c r="H157" s="63"/>
      <c r="I157" s="63"/>
      <c r="J157" s="63"/>
      <c r="K157" s="63"/>
      <c r="L157" s="63"/>
      <c r="M157" s="63"/>
      <c r="N157" s="63"/>
    </row>
    <row r="158" spans="2:14">
      <c r="B158" s="58"/>
      <c r="C158" s="58"/>
      <c r="D158" s="63"/>
      <c r="E158" s="63"/>
      <c r="F158" s="63"/>
      <c r="G158" s="63"/>
      <c r="H158" s="63"/>
      <c r="I158" s="63"/>
      <c r="J158" s="63"/>
      <c r="K158" s="63"/>
      <c r="L158" s="63"/>
      <c r="M158" s="63"/>
      <c r="N158" s="63"/>
    </row>
  </sheetData>
  <mergeCells count="5">
    <mergeCell ref="B40:D40"/>
    <mergeCell ref="F40:H40"/>
    <mergeCell ref="F79:F80"/>
    <mergeCell ref="F77:F78"/>
    <mergeCell ref="I79:I80"/>
  </mergeCells>
  <phoneticPr fontId="5" type="noConversion"/>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
  <sheetViews>
    <sheetView workbookViewId="0">
      <selection activeCell="A30" sqref="A30"/>
    </sheetView>
  </sheetViews>
  <sheetFormatPr defaultRowHeight="16.5"/>
  <cols>
    <col min="9" max="9" width="11.875" customWidth="1"/>
    <col min="10" max="10" width="8.625" customWidth="1"/>
    <col min="11" max="11" width="14.5" customWidth="1"/>
    <col min="12" max="12" width="8.5" customWidth="1"/>
    <col min="13" max="14" width="14.5" customWidth="1"/>
    <col min="15" max="21" width="11.875" customWidth="1"/>
    <col min="22" max="23" width="11.875" bestFit="1" customWidth="1"/>
    <col min="24" max="26" width="13.875" bestFit="1" customWidth="1"/>
  </cols>
  <sheetData>
    <row r="1" spans="1:14">
      <c r="A1" s="30" t="s">
        <v>184</v>
      </c>
      <c r="B1" s="30" t="s">
        <v>185</v>
      </c>
      <c r="C1" s="30" t="s">
        <v>186</v>
      </c>
      <c r="D1" s="30" t="s">
        <v>187</v>
      </c>
      <c r="I1" s="55" t="s">
        <v>193</v>
      </c>
      <c r="J1" t="s">
        <v>200</v>
      </c>
      <c r="K1" t="s">
        <v>201</v>
      </c>
      <c r="L1" t="s">
        <v>202</v>
      </c>
    </row>
    <row r="2" spans="1:14">
      <c r="A2" s="30" t="s">
        <v>188</v>
      </c>
      <c r="B2" s="30">
        <v>80</v>
      </c>
      <c r="C2" s="30">
        <v>90</v>
      </c>
      <c r="D2" s="30">
        <v>85</v>
      </c>
      <c r="I2" s="56" t="s">
        <v>194</v>
      </c>
      <c r="J2" s="57">
        <v>80</v>
      </c>
      <c r="K2" s="57">
        <v>90</v>
      </c>
      <c r="L2" s="57">
        <v>85</v>
      </c>
    </row>
    <row r="3" spans="1:14">
      <c r="A3" s="30" t="s">
        <v>189</v>
      </c>
      <c r="B3" s="30">
        <v>90</v>
      </c>
      <c r="C3" s="30">
        <v>95</v>
      </c>
      <c r="D3" s="30">
        <v>95</v>
      </c>
      <c r="I3" s="56" t="s">
        <v>195</v>
      </c>
      <c r="J3" s="57">
        <v>90</v>
      </c>
      <c r="K3" s="57">
        <v>95</v>
      </c>
      <c r="L3" s="57">
        <v>95</v>
      </c>
    </row>
    <row r="4" spans="1:14">
      <c r="A4" s="30" t="s">
        <v>190</v>
      </c>
      <c r="B4" s="30">
        <v>95</v>
      </c>
      <c r="C4" s="30">
        <v>70</v>
      </c>
      <c r="D4" s="30">
        <v>75</v>
      </c>
      <c r="I4" s="56" t="s">
        <v>196</v>
      </c>
      <c r="J4" s="57">
        <v>95</v>
      </c>
      <c r="K4" s="57">
        <v>70</v>
      </c>
      <c r="L4" s="57">
        <v>75</v>
      </c>
    </row>
    <row r="5" spans="1:14">
      <c r="A5" s="30" t="s">
        <v>191</v>
      </c>
      <c r="B5" s="30">
        <v>70</v>
      </c>
      <c r="C5" s="30">
        <v>85</v>
      </c>
      <c r="D5" s="30">
        <v>80</v>
      </c>
      <c r="I5" s="56" t="s">
        <v>197</v>
      </c>
      <c r="J5" s="57">
        <v>70</v>
      </c>
      <c r="K5" s="57">
        <v>85</v>
      </c>
      <c r="L5" s="57">
        <v>80</v>
      </c>
    </row>
    <row r="6" spans="1:14">
      <c r="A6" s="30" t="s">
        <v>192</v>
      </c>
      <c r="B6" s="30">
        <v>75</v>
      </c>
      <c r="C6" s="30">
        <v>90</v>
      </c>
      <c r="D6" s="30">
        <v>85</v>
      </c>
      <c r="I6" s="56" t="s">
        <v>198</v>
      </c>
      <c r="J6" s="57">
        <v>75</v>
      </c>
      <c r="K6" s="57">
        <v>90</v>
      </c>
      <c r="L6" s="57">
        <v>85</v>
      </c>
    </row>
    <row r="7" spans="1:14">
      <c r="I7" s="56" t="s">
        <v>199</v>
      </c>
      <c r="J7" s="57">
        <v>82</v>
      </c>
      <c r="K7" s="57">
        <v>86</v>
      </c>
      <c r="L7" s="57">
        <v>84</v>
      </c>
    </row>
    <row r="11" spans="1:14">
      <c r="A11" s="30" t="s">
        <v>203</v>
      </c>
      <c r="B11" s="30" t="s">
        <v>188</v>
      </c>
      <c r="C11" s="30" t="s">
        <v>189</v>
      </c>
      <c r="D11" s="30" t="s">
        <v>190</v>
      </c>
      <c r="E11" s="30" t="s">
        <v>191</v>
      </c>
      <c r="F11" s="30" t="s">
        <v>192</v>
      </c>
      <c r="I11" s="55" t="s">
        <v>193</v>
      </c>
      <c r="J11" t="s">
        <v>207</v>
      </c>
      <c r="K11" t="s">
        <v>208</v>
      </c>
      <c r="L11" t="s">
        <v>209</v>
      </c>
      <c r="M11" t="s">
        <v>210</v>
      </c>
      <c r="N11" t="s">
        <v>211</v>
      </c>
    </row>
    <row r="12" spans="1:14">
      <c r="A12" s="30" t="s">
        <v>185</v>
      </c>
      <c r="B12" s="30">
        <v>80</v>
      </c>
      <c r="C12" s="30">
        <v>90</v>
      </c>
      <c r="D12" s="30">
        <v>95</v>
      </c>
      <c r="E12" s="30">
        <v>70</v>
      </c>
      <c r="F12" s="30">
        <v>75</v>
      </c>
      <c r="I12" s="56" t="s">
        <v>204</v>
      </c>
      <c r="J12" s="57">
        <v>85</v>
      </c>
      <c r="K12" s="57">
        <v>95</v>
      </c>
      <c r="L12" s="57">
        <v>75</v>
      </c>
      <c r="M12" s="57">
        <v>80</v>
      </c>
      <c r="N12" s="57">
        <v>85</v>
      </c>
    </row>
    <row r="13" spans="1:14">
      <c r="A13" s="30" t="s">
        <v>186</v>
      </c>
      <c r="B13" s="30">
        <v>90</v>
      </c>
      <c r="C13" s="30">
        <v>95</v>
      </c>
      <c r="D13" s="30">
        <v>70</v>
      </c>
      <c r="E13" s="30">
        <v>85</v>
      </c>
      <c r="F13" s="30">
        <v>90</v>
      </c>
      <c r="I13" s="56" t="s">
        <v>205</v>
      </c>
      <c r="J13" s="57">
        <v>80</v>
      </c>
      <c r="K13" s="57">
        <v>90</v>
      </c>
      <c r="L13" s="57">
        <v>95</v>
      </c>
      <c r="M13" s="57">
        <v>70</v>
      </c>
      <c r="N13" s="57">
        <v>75</v>
      </c>
    </row>
    <row r="14" spans="1:14">
      <c r="A14" s="30" t="s">
        <v>187</v>
      </c>
      <c r="B14" s="30">
        <v>85</v>
      </c>
      <c r="C14" s="30">
        <v>95</v>
      </c>
      <c r="D14" s="30">
        <v>75</v>
      </c>
      <c r="E14" s="30">
        <v>80</v>
      </c>
      <c r="F14" s="30">
        <v>85</v>
      </c>
      <c r="H14" s="57"/>
      <c r="I14" s="56" t="s">
        <v>206</v>
      </c>
      <c r="J14" s="57">
        <v>90</v>
      </c>
      <c r="K14" s="57">
        <v>95</v>
      </c>
      <c r="L14" s="57">
        <v>70</v>
      </c>
      <c r="M14" s="57">
        <v>85</v>
      </c>
      <c r="N14" s="57">
        <v>90</v>
      </c>
    </row>
    <row r="15" spans="1:14">
      <c r="I15" s="56" t="s">
        <v>199</v>
      </c>
      <c r="J15" s="57">
        <v>85</v>
      </c>
      <c r="K15" s="57">
        <v>93.333333333333329</v>
      </c>
      <c r="L15" s="57">
        <v>80</v>
      </c>
      <c r="M15" s="57">
        <v>78.333333333333329</v>
      </c>
      <c r="N15" s="57">
        <v>83.333333333333329</v>
      </c>
    </row>
  </sheetData>
  <phoneticPr fontId="5"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7"/>
  <sheetViews>
    <sheetView workbookViewId="0">
      <selection activeCell="F22" sqref="F22"/>
    </sheetView>
  </sheetViews>
  <sheetFormatPr defaultRowHeight="16.5"/>
  <cols>
    <col min="1" max="1" width="18.25" customWidth="1"/>
    <col min="3" max="3" width="12.5" customWidth="1"/>
    <col min="4" max="4" width="14" customWidth="1"/>
    <col min="6" max="6" width="12.75" customWidth="1"/>
    <col min="7" max="7" width="28.125" customWidth="1"/>
    <col min="8" max="8" width="13.625" customWidth="1"/>
  </cols>
  <sheetData>
    <row r="1" spans="1:7">
      <c r="A1" s="31" t="s">
        <v>212</v>
      </c>
      <c r="B1" s="31" t="s">
        <v>213</v>
      </c>
      <c r="C1" s="31" t="s">
        <v>217</v>
      </c>
      <c r="D1" s="69" t="s">
        <v>304</v>
      </c>
      <c r="E1" s="31" t="s">
        <v>214</v>
      </c>
      <c r="F1" s="31" t="s">
        <v>218</v>
      </c>
      <c r="G1" s="31" t="s">
        <v>219</v>
      </c>
    </row>
    <row r="2" spans="1:7">
      <c r="A2" s="31">
        <v>2006</v>
      </c>
      <c r="B2" s="31">
        <v>13</v>
      </c>
      <c r="C2" s="31">
        <f>B2-$B$18</f>
        <v>-3.466666666666665</v>
      </c>
      <c r="D2" s="69">
        <f>C2^2</f>
        <v>12.017777777777766</v>
      </c>
      <c r="E2" s="31">
        <v>94</v>
      </c>
      <c r="F2">
        <f>E2-$B$19</f>
        <v>-4.9333333333333371</v>
      </c>
      <c r="G2">
        <f>C2*F2</f>
        <v>17.102222222222228</v>
      </c>
    </row>
    <row r="3" spans="1:7">
      <c r="A3" s="31">
        <v>2007</v>
      </c>
      <c r="B3" s="31">
        <v>8</v>
      </c>
      <c r="C3" s="31">
        <f t="shared" ref="C3:C16" si="0">B3-$B$18</f>
        <v>-8.466666666666665</v>
      </c>
      <c r="D3" s="69">
        <f t="shared" ref="D3:D16" si="1">C3^2</f>
        <v>71.684444444444409</v>
      </c>
      <c r="E3" s="31">
        <v>70</v>
      </c>
      <c r="F3">
        <f t="shared" ref="F3:F16" si="2">E3-$B$19</f>
        <v>-28.933333333333337</v>
      </c>
      <c r="G3">
        <f t="shared" ref="G3:G16" si="3">C3*F3</f>
        <v>244.96888888888887</v>
      </c>
    </row>
    <row r="4" spans="1:7">
      <c r="A4" s="31">
        <v>2008</v>
      </c>
      <c r="B4" s="31">
        <v>10</v>
      </c>
      <c r="C4" s="31">
        <f t="shared" si="0"/>
        <v>-6.466666666666665</v>
      </c>
      <c r="D4" s="69">
        <f t="shared" si="1"/>
        <v>41.817777777777756</v>
      </c>
      <c r="E4" s="31">
        <v>90</v>
      </c>
      <c r="F4">
        <f t="shared" si="2"/>
        <v>-8.9333333333333371</v>
      </c>
      <c r="G4">
        <f t="shared" si="3"/>
        <v>57.768888888888895</v>
      </c>
    </row>
    <row r="5" spans="1:7">
      <c r="A5" s="31">
        <v>2009</v>
      </c>
      <c r="B5" s="31">
        <v>15</v>
      </c>
      <c r="C5" s="31">
        <f t="shared" si="0"/>
        <v>-1.466666666666665</v>
      </c>
      <c r="D5" s="69">
        <f t="shared" si="1"/>
        <v>2.1511111111111063</v>
      </c>
      <c r="E5" s="31">
        <v>100</v>
      </c>
      <c r="F5">
        <f t="shared" si="2"/>
        <v>1.0666666666666629</v>
      </c>
      <c r="G5">
        <f t="shared" si="3"/>
        <v>-1.5644444444444372</v>
      </c>
    </row>
    <row r="6" spans="1:7">
      <c r="A6" s="31">
        <v>2010</v>
      </c>
      <c r="B6" s="31">
        <v>12</v>
      </c>
      <c r="C6" s="31">
        <f t="shared" si="0"/>
        <v>-4.466666666666665</v>
      </c>
      <c r="D6" s="69">
        <f t="shared" si="1"/>
        <v>19.951111111111096</v>
      </c>
      <c r="E6" s="31">
        <v>95</v>
      </c>
      <c r="F6">
        <f t="shared" si="2"/>
        <v>-3.9333333333333371</v>
      </c>
      <c r="G6">
        <f t="shared" si="3"/>
        <v>17.5688888888889</v>
      </c>
    </row>
    <row r="7" spans="1:7">
      <c r="A7" s="31">
        <v>2011</v>
      </c>
      <c r="B7" s="31">
        <v>15</v>
      </c>
      <c r="C7" s="31">
        <f t="shared" si="0"/>
        <v>-1.466666666666665</v>
      </c>
      <c r="D7" s="69">
        <f t="shared" si="1"/>
        <v>2.1511111111111063</v>
      </c>
      <c r="E7" s="31">
        <v>100</v>
      </c>
      <c r="F7">
        <f t="shared" si="2"/>
        <v>1.0666666666666629</v>
      </c>
      <c r="G7">
        <f t="shared" si="3"/>
        <v>-1.5644444444444372</v>
      </c>
    </row>
    <row r="8" spans="1:7">
      <c r="A8" s="31">
        <v>2012</v>
      </c>
      <c r="B8" s="31">
        <v>14</v>
      </c>
      <c r="C8" s="31">
        <f t="shared" si="0"/>
        <v>-2.466666666666665</v>
      </c>
      <c r="D8" s="69">
        <f t="shared" si="1"/>
        <v>6.0844444444444363</v>
      </c>
      <c r="E8" s="31">
        <v>85</v>
      </c>
      <c r="F8">
        <f t="shared" si="2"/>
        <v>-13.933333333333337</v>
      </c>
      <c r="G8">
        <f t="shared" si="3"/>
        <v>34.368888888888875</v>
      </c>
    </row>
    <row r="9" spans="1:7">
      <c r="A9" s="31">
        <v>2013</v>
      </c>
      <c r="B9" s="31">
        <v>15</v>
      </c>
      <c r="C9" s="31">
        <f t="shared" si="0"/>
        <v>-1.466666666666665</v>
      </c>
      <c r="D9" s="69">
        <f t="shared" si="1"/>
        <v>2.1511111111111063</v>
      </c>
      <c r="E9" s="31">
        <v>95</v>
      </c>
      <c r="F9">
        <f t="shared" si="2"/>
        <v>-3.9333333333333371</v>
      </c>
      <c r="G9">
        <f t="shared" si="3"/>
        <v>5.7688888888888883</v>
      </c>
    </row>
    <row r="10" spans="1:7">
      <c r="A10" s="31">
        <v>2014</v>
      </c>
      <c r="B10" s="31">
        <v>17</v>
      </c>
      <c r="C10" s="31">
        <f t="shared" si="0"/>
        <v>0.53333333333333499</v>
      </c>
      <c r="D10" s="69">
        <f t="shared" si="1"/>
        <v>0.28444444444444622</v>
      </c>
      <c r="E10" s="31">
        <v>105</v>
      </c>
      <c r="F10">
        <f t="shared" si="2"/>
        <v>6.0666666666666629</v>
      </c>
      <c r="G10">
        <f t="shared" si="3"/>
        <v>3.2355555555555635</v>
      </c>
    </row>
    <row r="11" spans="1:7">
      <c r="A11" s="31">
        <v>2015</v>
      </c>
      <c r="B11" s="31">
        <v>19</v>
      </c>
      <c r="C11" s="31">
        <f t="shared" si="0"/>
        <v>2.533333333333335</v>
      </c>
      <c r="D11" s="69">
        <f t="shared" si="1"/>
        <v>6.4177777777777862</v>
      </c>
      <c r="E11" s="31">
        <v>105</v>
      </c>
      <c r="F11">
        <f t="shared" si="2"/>
        <v>6.0666666666666629</v>
      </c>
      <c r="G11">
        <f t="shared" si="3"/>
        <v>15.36888888888889</v>
      </c>
    </row>
    <row r="12" spans="1:7">
      <c r="A12" s="31">
        <v>2016</v>
      </c>
      <c r="B12" s="31">
        <v>20</v>
      </c>
      <c r="C12" s="31">
        <f t="shared" si="0"/>
        <v>3.533333333333335</v>
      </c>
      <c r="D12" s="69">
        <f t="shared" si="1"/>
        <v>12.484444444444456</v>
      </c>
      <c r="E12" s="31">
        <v>110</v>
      </c>
      <c r="F12">
        <f t="shared" si="2"/>
        <v>11.066666666666663</v>
      </c>
      <c r="G12">
        <f t="shared" si="3"/>
        <v>39.102222222222224</v>
      </c>
    </row>
    <row r="13" spans="1:7">
      <c r="A13" s="31">
        <v>2017</v>
      </c>
      <c r="B13" s="31">
        <v>21</v>
      </c>
      <c r="C13" s="31">
        <f t="shared" si="0"/>
        <v>4.533333333333335</v>
      </c>
      <c r="D13" s="69">
        <f t="shared" si="1"/>
        <v>20.551111111111126</v>
      </c>
      <c r="E13" s="31">
        <v>105</v>
      </c>
      <c r="F13">
        <f t="shared" si="2"/>
        <v>6.0666666666666629</v>
      </c>
      <c r="G13">
        <f t="shared" si="3"/>
        <v>27.502222222222215</v>
      </c>
    </row>
    <row r="14" spans="1:7">
      <c r="A14" s="31">
        <v>2018</v>
      </c>
      <c r="B14" s="31">
        <v>22</v>
      </c>
      <c r="C14" s="31">
        <f t="shared" si="0"/>
        <v>5.533333333333335</v>
      </c>
      <c r="D14" s="69">
        <f t="shared" si="1"/>
        <v>30.617777777777796</v>
      </c>
      <c r="E14" s="31">
        <v>104</v>
      </c>
      <c r="F14">
        <f t="shared" si="2"/>
        <v>5.0666666666666629</v>
      </c>
      <c r="G14">
        <f t="shared" si="3"/>
        <v>28.035555555555543</v>
      </c>
    </row>
    <row r="15" spans="1:7">
      <c r="A15" s="31">
        <v>2019</v>
      </c>
      <c r="B15" s="31">
        <v>21</v>
      </c>
      <c r="C15" s="31">
        <f t="shared" si="0"/>
        <v>4.533333333333335</v>
      </c>
      <c r="D15" s="69">
        <f t="shared" si="1"/>
        <v>20.551111111111126</v>
      </c>
      <c r="E15" s="31">
        <v>105</v>
      </c>
      <c r="F15">
        <f t="shared" si="2"/>
        <v>6.0666666666666629</v>
      </c>
      <c r="G15">
        <f t="shared" si="3"/>
        <v>27.502222222222215</v>
      </c>
    </row>
    <row r="16" spans="1:7">
      <c r="A16" s="31">
        <v>2020</v>
      </c>
      <c r="B16" s="31">
        <v>25</v>
      </c>
      <c r="C16" s="31">
        <f t="shared" si="0"/>
        <v>8.533333333333335</v>
      </c>
      <c r="D16" s="69">
        <f t="shared" si="1"/>
        <v>72.817777777777806</v>
      </c>
      <c r="E16" s="31">
        <v>121</v>
      </c>
      <c r="F16">
        <f t="shared" si="2"/>
        <v>22.066666666666663</v>
      </c>
      <c r="G16">
        <f t="shared" si="3"/>
        <v>188.30222222222221</v>
      </c>
    </row>
    <row r="17" spans="1:15">
      <c r="D17" s="69">
        <f>SUM(D2:D16)</f>
        <v>321.73333333333329</v>
      </c>
      <c r="G17">
        <f>SUM(G2:G16)</f>
        <v>703.4666666666667</v>
      </c>
      <c r="I17" t="s">
        <v>223</v>
      </c>
      <c r="M17" t="s">
        <v>224</v>
      </c>
    </row>
    <row r="18" spans="1:15">
      <c r="A18" t="s">
        <v>215</v>
      </c>
      <c r="B18">
        <f>AVERAGE(B2:B16)</f>
        <v>16.466666666666665</v>
      </c>
      <c r="I18" s="252" t="s">
        <v>220</v>
      </c>
      <c r="J18" s="31">
        <v>703.4666666666667</v>
      </c>
      <c r="K18" s="252">
        <f>J18/J19</f>
        <v>46.897777777777783</v>
      </c>
      <c r="M18" s="252" t="s">
        <v>222</v>
      </c>
      <c r="N18" s="31">
        <v>703.4666666666667</v>
      </c>
      <c r="O18" s="252">
        <f>N18/N19</f>
        <v>50.247619047619047</v>
      </c>
    </row>
    <row r="19" spans="1:15">
      <c r="A19" t="s">
        <v>216</v>
      </c>
      <c r="B19">
        <f>AVERAGE(E2:E16)</f>
        <v>98.933333333333337</v>
      </c>
      <c r="I19" s="252"/>
      <c r="J19" s="31">
        <f>COUNT(B2:B16)</f>
        <v>15</v>
      </c>
      <c r="K19" s="252"/>
      <c r="M19" s="252"/>
      <c r="N19">
        <f>J19-1</f>
        <v>14</v>
      </c>
      <c r="O19" s="252"/>
    </row>
    <row r="21" spans="1:15">
      <c r="A21" t="s">
        <v>221</v>
      </c>
      <c r="B21">
        <f>_xlfn.STDEV.P(B2:B16)</f>
        <v>4.6312945154555747</v>
      </c>
      <c r="D21">
        <f>SQRT(D17/15)</f>
        <v>4.6312945154555747</v>
      </c>
      <c r="I21">
        <f>_xlfn.COVARIANCE.P(B2:B16,E2:E16)</f>
        <v>46.897777777777783</v>
      </c>
    </row>
    <row r="22" spans="1:15">
      <c r="A22" t="s">
        <v>227</v>
      </c>
      <c r="B22">
        <f>_xlfn.STDEV.S(B2:B16)</f>
        <v>4.7938452604305413</v>
      </c>
      <c r="D22">
        <f>SQRT(D17/14)</f>
        <v>4.793845260430543</v>
      </c>
      <c r="I22">
        <f>_xlfn.COVARIANCE.S(B2:B16,E2:E16)</f>
        <v>50.247619047619047</v>
      </c>
    </row>
    <row r="24" spans="1:15">
      <c r="A24" t="s">
        <v>225</v>
      </c>
      <c r="B24">
        <f>_xlfn.STDEV.P(E2:E16)</f>
        <v>11.404482549516318</v>
      </c>
    </row>
    <row r="25" spans="1:15">
      <c r="A25" t="s">
        <v>226</v>
      </c>
      <c r="B25">
        <f>_xlfn.STDEV.S(E2:E16)</f>
        <v>11.804760944313102</v>
      </c>
    </row>
    <row r="26" spans="1:15">
      <c r="I26" s="252" t="s">
        <v>228</v>
      </c>
      <c r="J26">
        <v>46.897777777777783</v>
      </c>
      <c r="K26" s="252">
        <f>J26/J27</f>
        <v>0.88792090224061171</v>
      </c>
      <c r="M26" s="252" t="s">
        <v>229</v>
      </c>
      <c r="N26">
        <v>50.247619047619047</v>
      </c>
      <c r="O26" s="252">
        <f>N26/N27</f>
        <v>0.88792090224061504</v>
      </c>
    </row>
    <row r="27" spans="1:15">
      <c r="I27" s="252"/>
      <c r="J27">
        <f>B21*B24</f>
        <v>52.817517483183735</v>
      </c>
      <c r="K27" s="252"/>
      <c r="M27" s="252"/>
      <c r="N27">
        <f>B22*B25</f>
        <v>56.590197303410925</v>
      </c>
      <c r="O27" s="252"/>
    </row>
  </sheetData>
  <mergeCells count="8">
    <mergeCell ref="I18:I19"/>
    <mergeCell ref="K18:K19"/>
    <mergeCell ref="M18:M19"/>
    <mergeCell ref="O18:O19"/>
    <mergeCell ref="I26:I27"/>
    <mergeCell ref="K26:K27"/>
    <mergeCell ref="M26:M27"/>
    <mergeCell ref="O26:O27"/>
  </mergeCells>
  <phoneticPr fontId="5" type="noConversion"/>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5:E21"/>
  <sheetViews>
    <sheetView topLeftCell="A25" workbookViewId="0">
      <selection activeCell="N48" sqref="N48"/>
    </sheetView>
  </sheetViews>
  <sheetFormatPr defaultRowHeight="16.5"/>
  <sheetData>
    <row r="15" spans="2:5">
      <c r="E15" t="s">
        <v>282</v>
      </c>
    </row>
    <row r="16" spans="2:5">
      <c r="B16" t="s">
        <v>274</v>
      </c>
      <c r="E16" t="s">
        <v>276</v>
      </c>
    </row>
    <row r="17" spans="2:5">
      <c r="B17" t="s">
        <v>275</v>
      </c>
      <c r="E17" t="s">
        <v>277</v>
      </c>
    </row>
    <row r="18" spans="2:5">
      <c r="E18" t="s">
        <v>278</v>
      </c>
    </row>
    <row r="19" spans="2:5">
      <c r="E19" t="s">
        <v>279</v>
      </c>
    </row>
    <row r="20" spans="2:5">
      <c r="E20" t="s">
        <v>280</v>
      </c>
    </row>
    <row r="21" spans="2:5">
      <c r="E21" t="s">
        <v>281</v>
      </c>
    </row>
  </sheetData>
  <phoneticPr fontId="5" type="noConversion"/>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0:M68"/>
  <sheetViews>
    <sheetView workbookViewId="0">
      <selection activeCell="O23" sqref="O23"/>
    </sheetView>
  </sheetViews>
  <sheetFormatPr defaultRowHeight="16.5"/>
  <cols>
    <col min="4" max="4" width="18.75" customWidth="1"/>
    <col min="5" max="5" width="15.125" customWidth="1"/>
    <col min="6" max="7" width="15.125" style="24" customWidth="1"/>
    <col min="11" max="11" width="19.125" customWidth="1"/>
    <col min="12" max="12" width="14" customWidth="1"/>
  </cols>
  <sheetData>
    <row r="10" spans="2:11" ht="36.75" customHeight="1">
      <c r="B10" s="75" t="s">
        <v>70</v>
      </c>
      <c r="C10" s="76" t="s">
        <v>310</v>
      </c>
      <c r="D10" s="77" t="s">
        <v>311</v>
      </c>
      <c r="E10" s="79" t="s">
        <v>313</v>
      </c>
      <c r="F10" s="78" t="s">
        <v>314</v>
      </c>
      <c r="G10" s="78" t="s">
        <v>315</v>
      </c>
      <c r="H10" s="76" t="s">
        <v>295</v>
      </c>
      <c r="I10" s="76" t="s">
        <v>299</v>
      </c>
      <c r="J10" s="76" t="s">
        <v>296</v>
      </c>
      <c r="K10" s="76" t="s">
        <v>298</v>
      </c>
    </row>
    <row r="11" spans="2:11">
      <c r="B11" s="69">
        <v>2</v>
      </c>
      <c r="C11" s="69">
        <f>$D$20*B11+$D$21</f>
        <v>83.6</v>
      </c>
      <c r="D11" s="69">
        <v>81</v>
      </c>
      <c r="E11" s="69">
        <f>D11-C11</f>
        <v>-2.5999999999999943</v>
      </c>
      <c r="F11" s="80">
        <f>ABS(E11)</f>
        <v>2.5999999999999943</v>
      </c>
      <c r="G11" s="80">
        <f>E11^2</f>
        <v>6.7599999999999705</v>
      </c>
      <c r="H11" s="69">
        <f>B11-$D$17</f>
        <v>-3</v>
      </c>
      <c r="I11" s="69">
        <f>H11^2</f>
        <v>9</v>
      </c>
      <c r="J11" s="69">
        <f>D11-$D$18</f>
        <v>-9.5</v>
      </c>
      <c r="K11" s="69">
        <f>H11*J11</f>
        <v>28.5</v>
      </c>
    </row>
    <row r="12" spans="2:11">
      <c r="B12" s="69">
        <v>4</v>
      </c>
      <c r="C12" s="69">
        <f>$D$20*B12+$D$21</f>
        <v>88.2</v>
      </c>
      <c r="D12" s="69">
        <v>93</v>
      </c>
      <c r="E12" s="69">
        <f>D12-C12</f>
        <v>4.7999999999999972</v>
      </c>
      <c r="F12" s="80">
        <f>ABS(E12)</f>
        <v>4.7999999999999972</v>
      </c>
      <c r="G12" s="80">
        <f>E12^2</f>
        <v>23.039999999999974</v>
      </c>
      <c r="H12" s="69">
        <f>B12-$D$17</f>
        <v>-1</v>
      </c>
      <c r="I12" s="69">
        <f>H12^2</f>
        <v>1</v>
      </c>
      <c r="J12" s="69">
        <f>D12-$D$18</f>
        <v>2.5</v>
      </c>
      <c r="K12" s="69">
        <f>H12*J12</f>
        <v>-2.5</v>
      </c>
    </row>
    <row r="13" spans="2:11">
      <c r="B13" s="69">
        <v>6</v>
      </c>
      <c r="C13" s="69">
        <f>$D$20*B13+$D$21</f>
        <v>92.8</v>
      </c>
      <c r="D13" s="69">
        <v>91</v>
      </c>
      <c r="E13" s="69">
        <f>D13-C13</f>
        <v>-1.7999999999999972</v>
      </c>
      <c r="F13" s="80">
        <f>ABS(E13)</f>
        <v>1.7999999999999972</v>
      </c>
      <c r="G13" s="80">
        <f>E13^2</f>
        <v>3.2399999999999896</v>
      </c>
      <c r="H13" s="69">
        <f>B13-$D$17</f>
        <v>1</v>
      </c>
      <c r="I13" s="69">
        <f>H13^2</f>
        <v>1</v>
      </c>
      <c r="J13" s="69">
        <f>D13-$D$18</f>
        <v>0.5</v>
      </c>
      <c r="K13" s="69">
        <f>H13*J13</f>
        <v>0.5</v>
      </c>
    </row>
    <row r="14" spans="2:11">
      <c r="B14" s="69">
        <v>8</v>
      </c>
      <c r="C14" s="69">
        <f>$D$20*B14+$D$21</f>
        <v>97.4</v>
      </c>
      <c r="D14" s="69">
        <v>97</v>
      </c>
      <c r="E14" s="69">
        <f>D14-C14</f>
        <v>-0.40000000000000568</v>
      </c>
      <c r="F14" s="80">
        <f>ABS(E14)</f>
        <v>0.40000000000000568</v>
      </c>
      <c r="G14" s="80">
        <f>E14^2</f>
        <v>0.16000000000000456</v>
      </c>
      <c r="H14" s="69">
        <f>B14-$D$17</f>
        <v>3</v>
      </c>
      <c r="I14" s="69">
        <f>H14^2</f>
        <v>9</v>
      </c>
      <c r="J14" s="69">
        <f>D14-$D$18</f>
        <v>6.5</v>
      </c>
      <c r="K14" s="69">
        <f>H14*J14</f>
        <v>19.5</v>
      </c>
    </row>
    <row r="15" spans="2:11">
      <c r="B15" s="69"/>
      <c r="C15" s="69"/>
      <c r="D15" s="69"/>
      <c r="E15" s="69"/>
      <c r="F15" s="80"/>
      <c r="G15" s="80"/>
      <c r="H15" s="69"/>
      <c r="I15" s="69">
        <f>SUM(I11:I14)</f>
        <v>20</v>
      </c>
      <c r="J15" s="69"/>
      <c r="K15" s="69">
        <f>SUM(K11:K14)</f>
        <v>46</v>
      </c>
    </row>
    <row r="17" spans="2:11">
      <c r="B17" t="s">
        <v>293</v>
      </c>
      <c r="D17">
        <f>AVERAGE(B11:B14)</f>
        <v>5</v>
      </c>
    </row>
    <row r="18" spans="2:11">
      <c r="B18" t="s">
        <v>294</v>
      </c>
      <c r="D18">
        <f>AVERAGE(D11:D14)</f>
        <v>90.5</v>
      </c>
    </row>
    <row r="19" spans="2:11" ht="26.25">
      <c r="J19" t="s">
        <v>309</v>
      </c>
      <c r="K19" s="74" t="s">
        <v>301</v>
      </c>
    </row>
    <row r="20" spans="2:11">
      <c r="B20" t="s">
        <v>297</v>
      </c>
      <c r="D20">
        <f>K15/I15</f>
        <v>2.2999999999999998</v>
      </c>
    </row>
    <row r="21" spans="2:11">
      <c r="B21" t="s">
        <v>300</v>
      </c>
      <c r="D21">
        <f>D18-(D17*D20)</f>
        <v>79</v>
      </c>
    </row>
    <row r="23" spans="2:11" ht="36.75" customHeight="1">
      <c r="D23" s="16" t="s">
        <v>312</v>
      </c>
      <c r="E23" s="68">
        <f>AVERAGE(F11:F14)</f>
        <v>2.3999999999999986</v>
      </c>
    </row>
    <row r="24" spans="2:11">
      <c r="D24" s="68"/>
    </row>
    <row r="25" spans="2:11">
      <c r="D25" s="68" t="s">
        <v>316</v>
      </c>
      <c r="E25" s="68">
        <f>AVERAGE(G11:G14)</f>
        <v>8.2999999999999847</v>
      </c>
    </row>
    <row r="26" spans="2:11" ht="33">
      <c r="D26" s="81" t="s">
        <v>317</v>
      </c>
      <c r="E26" s="82">
        <f>SQRT(E25)</f>
        <v>2.8809720581775839</v>
      </c>
    </row>
    <row r="31" spans="2:11">
      <c r="B31" t="s">
        <v>302</v>
      </c>
    </row>
    <row r="32" spans="2:11">
      <c r="B32" t="s">
        <v>303</v>
      </c>
    </row>
    <row r="35" spans="2:13">
      <c r="D35" t="s">
        <v>305</v>
      </c>
    </row>
    <row r="37" spans="2:13">
      <c r="I37" t="s">
        <v>306</v>
      </c>
      <c r="L37" t="s">
        <v>307</v>
      </c>
      <c r="M37">
        <v>3</v>
      </c>
    </row>
    <row r="38" spans="2:13">
      <c r="L38" t="s">
        <v>300</v>
      </c>
      <c r="M38">
        <v>76</v>
      </c>
    </row>
    <row r="39" spans="2:13">
      <c r="L39" t="s">
        <v>308</v>
      </c>
    </row>
    <row r="42" spans="2:13" ht="27">
      <c r="B42" s="75" t="s">
        <v>70</v>
      </c>
      <c r="C42" s="76" t="s">
        <v>310</v>
      </c>
      <c r="D42" s="77" t="s">
        <v>311</v>
      </c>
      <c r="E42" s="79" t="s">
        <v>313</v>
      </c>
      <c r="F42" s="78" t="s">
        <v>314</v>
      </c>
      <c r="G42" s="78" t="s">
        <v>315</v>
      </c>
    </row>
    <row r="43" spans="2:13">
      <c r="B43" s="69">
        <v>2</v>
      </c>
      <c r="C43" s="69">
        <f>$M$37*B43+$M$38</f>
        <v>82</v>
      </c>
      <c r="D43" s="69">
        <v>81</v>
      </c>
      <c r="E43" s="69">
        <f>D43-C43</f>
        <v>-1</v>
      </c>
      <c r="F43" s="80">
        <f>ABS(E43)</f>
        <v>1</v>
      </c>
      <c r="G43" s="80">
        <f>E43^2</f>
        <v>1</v>
      </c>
    </row>
    <row r="44" spans="2:13">
      <c r="B44" s="69">
        <v>4</v>
      </c>
      <c r="C44" s="69">
        <f>$M$37*B44+$M$38</f>
        <v>88</v>
      </c>
      <c r="D44" s="69">
        <v>93</v>
      </c>
      <c r="E44" s="69">
        <f>D44-C44</f>
        <v>5</v>
      </c>
      <c r="F44" s="80">
        <f>ABS(E44)</f>
        <v>5</v>
      </c>
      <c r="G44" s="80">
        <f>E44^2</f>
        <v>25</v>
      </c>
    </row>
    <row r="45" spans="2:13">
      <c r="B45" s="69">
        <v>6</v>
      </c>
      <c r="C45" s="69">
        <f>$M$37*B45+$M$38</f>
        <v>94</v>
      </c>
      <c r="D45" s="69">
        <v>91</v>
      </c>
      <c r="E45" s="69">
        <f>D45-C45</f>
        <v>-3</v>
      </c>
      <c r="F45" s="80">
        <f>ABS(E45)</f>
        <v>3</v>
      </c>
      <c r="G45" s="80">
        <f>E45^2</f>
        <v>9</v>
      </c>
    </row>
    <row r="46" spans="2:13">
      <c r="B46" s="69">
        <v>8</v>
      </c>
      <c r="C46" s="69">
        <f>$M$37*B46+$M$38</f>
        <v>100</v>
      </c>
      <c r="D46" s="69">
        <v>97</v>
      </c>
      <c r="E46" s="69">
        <f>D46-C46</f>
        <v>-3</v>
      </c>
      <c r="F46" s="80">
        <f>ABS(E46)</f>
        <v>3</v>
      </c>
      <c r="G46" s="80">
        <f>E46^2</f>
        <v>9</v>
      </c>
    </row>
    <row r="49" spans="2:10" ht="33">
      <c r="D49" s="16" t="s">
        <v>312</v>
      </c>
      <c r="E49" s="68">
        <f>AVERAGE(F43:F46)</f>
        <v>3</v>
      </c>
    </row>
    <row r="50" spans="2:10">
      <c r="D50" s="68"/>
    </row>
    <row r="51" spans="2:10">
      <c r="D51" s="68" t="s">
        <v>316</v>
      </c>
      <c r="E51" s="68">
        <f>AVERAGE(G43:G46)</f>
        <v>11</v>
      </c>
    </row>
    <row r="52" spans="2:10" ht="33">
      <c r="D52" s="81" t="s">
        <v>317</v>
      </c>
      <c r="E52" s="82">
        <f>SQRT(E51)</f>
        <v>3.3166247903553998</v>
      </c>
    </row>
    <row r="55" spans="2:10" ht="27">
      <c r="B55" s="75" t="s">
        <v>70</v>
      </c>
      <c r="C55" s="76" t="s">
        <v>310</v>
      </c>
      <c r="D55" s="77" t="s">
        <v>311</v>
      </c>
      <c r="E55" s="79" t="s">
        <v>313</v>
      </c>
      <c r="F55" s="78" t="s">
        <v>314</v>
      </c>
      <c r="G55" s="78" t="s">
        <v>315</v>
      </c>
      <c r="I55" s="68" t="s">
        <v>307</v>
      </c>
      <c r="J55" s="68">
        <v>2.5</v>
      </c>
    </row>
    <row r="56" spans="2:10">
      <c r="B56" s="69">
        <v>2</v>
      </c>
      <c r="C56" s="69">
        <f>$J$55*B56+$J$56</f>
        <v>82</v>
      </c>
      <c r="D56" s="69">
        <v>81</v>
      </c>
      <c r="E56" s="69">
        <f>D56-C56</f>
        <v>-1</v>
      </c>
      <c r="F56" s="80">
        <f>ABS(E56)</f>
        <v>1</v>
      </c>
      <c r="G56" s="80">
        <f>E56^2</f>
        <v>1</v>
      </c>
      <c r="I56" s="68" t="s">
        <v>300</v>
      </c>
      <c r="J56" s="68">
        <v>77</v>
      </c>
    </row>
    <row r="57" spans="2:10">
      <c r="B57" s="69">
        <v>4</v>
      </c>
      <c r="C57" s="69">
        <f>$J$55*B57+$J$56</f>
        <v>87</v>
      </c>
      <c r="D57" s="69">
        <v>93</v>
      </c>
      <c r="E57" s="69">
        <f>D57-C57</f>
        <v>6</v>
      </c>
      <c r="F57" s="80">
        <f>ABS(E57)</f>
        <v>6</v>
      </c>
      <c r="G57" s="80">
        <f>E57^2</f>
        <v>36</v>
      </c>
      <c r="I57" s="63" t="s">
        <v>318</v>
      </c>
      <c r="J57" s="68"/>
    </row>
    <row r="58" spans="2:10">
      <c r="B58" s="69">
        <v>6</v>
      </c>
      <c r="C58" s="69">
        <f>$J$55*B58+$J$56</f>
        <v>92</v>
      </c>
      <c r="D58" s="69">
        <v>91</v>
      </c>
      <c r="E58" s="69">
        <f>D58-C58</f>
        <v>-1</v>
      </c>
      <c r="F58" s="80">
        <f>ABS(E58)</f>
        <v>1</v>
      </c>
      <c r="G58" s="80">
        <f>E58^2</f>
        <v>1</v>
      </c>
    </row>
    <row r="59" spans="2:10">
      <c r="B59" s="69">
        <v>8</v>
      </c>
      <c r="C59" s="69">
        <f>$J$55*B59+$J$56</f>
        <v>97</v>
      </c>
      <c r="D59" s="69">
        <v>97</v>
      </c>
      <c r="E59" s="69">
        <f>D59-C59</f>
        <v>0</v>
      </c>
      <c r="F59" s="80">
        <f>ABS(E59)</f>
        <v>0</v>
      </c>
      <c r="G59" s="80">
        <f>E59^2</f>
        <v>0</v>
      </c>
    </row>
    <row r="62" spans="2:10" ht="33">
      <c r="D62" s="16" t="s">
        <v>312</v>
      </c>
      <c r="E62" s="68">
        <f>AVERAGE(F56:F59)</f>
        <v>2</v>
      </c>
    </row>
    <row r="63" spans="2:10">
      <c r="D63" s="68"/>
    </row>
    <row r="64" spans="2:10">
      <c r="D64" s="68" t="s">
        <v>316</v>
      </c>
      <c r="E64" s="68">
        <f>AVERAGE(G56:G59)</f>
        <v>9.5</v>
      </c>
    </row>
    <row r="65" spans="4:5" ht="33">
      <c r="D65" s="81" t="s">
        <v>317</v>
      </c>
      <c r="E65" s="82">
        <f>SQRT(E64)</f>
        <v>3.082207001484488</v>
      </c>
    </row>
    <row r="68" spans="4:5" s="1" customFormat="1">
      <c r="D68" s="1" t="s">
        <v>319</v>
      </c>
    </row>
  </sheetData>
  <phoneticPr fontId="5" type="noConversion"/>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89"/>
  <sheetViews>
    <sheetView workbookViewId="0">
      <selection activeCell="G74" sqref="G74"/>
    </sheetView>
  </sheetViews>
  <sheetFormatPr defaultRowHeight="16.5"/>
  <cols>
    <col min="11" max="11" width="13.625" customWidth="1"/>
    <col min="13" max="13" width="11" customWidth="1"/>
    <col min="15" max="15" width="10.875" customWidth="1"/>
    <col min="17" max="17" width="20.5" customWidth="1"/>
  </cols>
  <sheetData>
    <row r="2" spans="1:13" s="131" customFormat="1">
      <c r="B2" s="131" t="s">
        <v>545</v>
      </c>
    </row>
    <row r="3" spans="1:13">
      <c r="D3" t="s">
        <v>547</v>
      </c>
    </row>
    <row r="4" spans="1:13">
      <c r="B4" t="s">
        <v>546</v>
      </c>
      <c r="D4" t="s">
        <v>553</v>
      </c>
      <c r="H4" s="3" t="s">
        <v>554</v>
      </c>
    </row>
    <row r="5" spans="1:13">
      <c r="B5" t="s">
        <v>551</v>
      </c>
      <c r="F5" s="130" t="s">
        <v>552</v>
      </c>
    </row>
    <row r="6" spans="1:13">
      <c r="A6" s="105"/>
      <c r="B6" s="105"/>
      <c r="C6" s="105"/>
      <c r="D6" s="105"/>
      <c r="F6" s="141"/>
    </row>
    <row r="7" spans="1:13">
      <c r="A7" s="105"/>
      <c r="B7" s="105"/>
      <c r="C7" s="105"/>
      <c r="D7" s="105"/>
      <c r="F7" s="141"/>
    </row>
    <row r="8" spans="1:13">
      <c r="A8" s="105"/>
      <c r="B8" s="105"/>
      <c r="C8" s="105"/>
      <c r="D8" s="105"/>
      <c r="F8" s="141"/>
    </row>
    <row r="9" spans="1:13">
      <c r="A9" s="105"/>
      <c r="B9" s="105"/>
      <c r="C9" s="105"/>
      <c r="D9" s="105"/>
      <c r="F9" s="141"/>
    </row>
    <row r="10" spans="1:13">
      <c r="A10" s="105"/>
      <c r="B10" s="105"/>
      <c r="C10" s="105"/>
      <c r="D10" s="105"/>
      <c r="F10" s="141"/>
    </row>
    <row r="11" spans="1:13">
      <c r="J11" t="s">
        <v>559</v>
      </c>
    </row>
    <row r="12" spans="1:13">
      <c r="A12" s="138" t="s">
        <v>548</v>
      </c>
      <c r="I12" t="s">
        <v>555</v>
      </c>
      <c r="J12" t="s">
        <v>556</v>
      </c>
      <c r="K12" t="s">
        <v>557</v>
      </c>
      <c r="M12" t="s">
        <v>558</v>
      </c>
    </row>
    <row r="13" spans="1:13">
      <c r="A13" s="63"/>
      <c r="J13" t="s">
        <v>560</v>
      </c>
    </row>
    <row r="14" spans="1:13">
      <c r="A14" s="139" t="s">
        <v>549</v>
      </c>
    </row>
    <row r="15" spans="1:13">
      <c r="A15" s="139" t="s">
        <v>550</v>
      </c>
    </row>
    <row r="18" spans="2:21" s="131" customFormat="1">
      <c r="B18" s="131" t="s">
        <v>561</v>
      </c>
      <c r="D18" s="131" t="s">
        <v>562</v>
      </c>
      <c r="G18" s="131" t="s">
        <v>563</v>
      </c>
    </row>
    <row r="20" spans="2:21">
      <c r="B20" t="s">
        <v>564</v>
      </c>
      <c r="N20" t="s">
        <v>565</v>
      </c>
    </row>
    <row r="21" spans="2:21">
      <c r="Q21" t="s">
        <v>570</v>
      </c>
    </row>
    <row r="22" spans="2:21">
      <c r="O22" t="s">
        <v>566</v>
      </c>
      <c r="P22">
        <f>3/8</f>
        <v>0.375</v>
      </c>
      <c r="Q22">
        <f>LOG(P22, 2)</f>
        <v>-1.4150374992788437</v>
      </c>
      <c r="R22">
        <f>P22*Q22</f>
        <v>-0.53063906222956636</v>
      </c>
    </row>
    <row r="23" spans="2:21">
      <c r="O23" t="s">
        <v>567</v>
      </c>
      <c r="P23" s="130">
        <f>1/8</f>
        <v>0.125</v>
      </c>
      <c r="Q23" s="130">
        <f>LOG(P23, 2)</f>
        <v>-3</v>
      </c>
      <c r="R23" s="130">
        <f>P23*Q23</f>
        <v>-0.375</v>
      </c>
    </row>
    <row r="24" spans="2:21">
      <c r="O24" t="s">
        <v>568</v>
      </c>
      <c r="P24" s="130">
        <f>3/8</f>
        <v>0.375</v>
      </c>
      <c r="Q24" s="130">
        <f>LOG(P24, 2)</f>
        <v>-1.4150374992788437</v>
      </c>
      <c r="R24" s="130">
        <f>P24*Q24</f>
        <v>-0.53063906222956636</v>
      </c>
    </row>
    <row r="25" spans="2:21">
      <c r="O25" t="s">
        <v>569</v>
      </c>
      <c r="P25" s="130">
        <f>1/8</f>
        <v>0.125</v>
      </c>
      <c r="Q25" s="130">
        <f>LOG(P25, 2)</f>
        <v>-3</v>
      </c>
      <c r="R25" s="130">
        <f>P25*Q25</f>
        <v>-0.375</v>
      </c>
      <c r="S25" s="130"/>
    </row>
    <row r="26" spans="2:21">
      <c r="R26">
        <f>SUM(R22:R25)</f>
        <v>-1.8112781244591327</v>
      </c>
      <c r="S26" t="s">
        <v>571</v>
      </c>
      <c r="U26">
        <f>-(R26)</f>
        <v>1.8112781244591327</v>
      </c>
    </row>
    <row r="28" spans="2:21">
      <c r="P28" t="s">
        <v>572</v>
      </c>
    </row>
    <row r="34" spans="13:21">
      <c r="M34">
        <f>44/64</f>
        <v>0.6875</v>
      </c>
    </row>
    <row r="37" spans="13:21">
      <c r="Q37" s="130" t="s">
        <v>570</v>
      </c>
    </row>
    <row r="38" spans="13:21">
      <c r="O38" t="s">
        <v>573</v>
      </c>
      <c r="P38">
        <f>6/7</f>
        <v>0.8571428571428571</v>
      </c>
      <c r="Q38">
        <f>LOG(P38,2)</f>
        <v>-0.22239242133644802</v>
      </c>
      <c r="R38">
        <f>P38*Q38</f>
        <v>-0.19062207543124116</v>
      </c>
    </row>
    <row r="39" spans="13:21">
      <c r="O39" s="130" t="s">
        <v>574</v>
      </c>
      <c r="P39">
        <f>1/7</f>
        <v>0.14285714285714285</v>
      </c>
      <c r="Q39" s="130">
        <f>LOG(P39,2)</f>
        <v>-2.8073549220576046</v>
      </c>
      <c r="R39" s="130">
        <f>P39*Q39</f>
        <v>-0.40105070315108637</v>
      </c>
    </row>
    <row r="40" spans="13:21">
      <c r="R40">
        <f>SUM(R38:R39)</f>
        <v>-0.59167277858232747</v>
      </c>
      <c r="U40">
        <f>-(R40)</f>
        <v>0.59167277858232747</v>
      </c>
    </row>
    <row r="41" spans="13:21">
      <c r="P41" t="s">
        <v>575</v>
      </c>
    </row>
    <row r="42" spans="13:21">
      <c r="M42">
        <f>12/49</f>
        <v>0.24489795918367346</v>
      </c>
    </row>
    <row r="43" spans="13:21">
      <c r="O43" t="s">
        <v>576</v>
      </c>
    </row>
    <row r="45" spans="13:21">
      <c r="O45" s="136" t="s">
        <v>581</v>
      </c>
      <c r="P45">
        <f>4/16</f>
        <v>0.25</v>
      </c>
      <c r="Q45">
        <f>LOG(P45, 2)</f>
        <v>-2</v>
      </c>
      <c r="R45">
        <f>P45*Q45</f>
        <v>-0.5</v>
      </c>
    </row>
    <row r="46" spans="13:21">
      <c r="O46" s="136" t="s">
        <v>577</v>
      </c>
      <c r="P46">
        <f>6/16</f>
        <v>0.375</v>
      </c>
      <c r="Q46" s="130">
        <f>LOG(P46, 2)</f>
        <v>-1.4150374992788437</v>
      </c>
      <c r="R46" s="130">
        <f>P46*Q46</f>
        <v>-0.53063906222956636</v>
      </c>
    </row>
    <row r="47" spans="13:21">
      <c r="O47" s="136" t="s">
        <v>578</v>
      </c>
      <c r="P47">
        <f>4/16</f>
        <v>0.25</v>
      </c>
      <c r="Q47" s="130">
        <f>LOG(P47, 2)</f>
        <v>-2</v>
      </c>
      <c r="R47" s="130">
        <f>P47*Q47</f>
        <v>-0.5</v>
      </c>
    </row>
    <row r="48" spans="13:21">
      <c r="O48" s="136" t="s">
        <v>579</v>
      </c>
      <c r="P48">
        <f>1/16</f>
        <v>6.25E-2</v>
      </c>
      <c r="Q48" s="130">
        <f>LOG(P48, 2)</f>
        <v>-4</v>
      </c>
      <c r="R48" s="130">
        <f>P48*Q48</f>
        <v>-0.25</v>
      </c>
    </row>
    <row r="49" spans="15:21">
      <c r="O49" s="136" t="s">
        <v>580</v>
      </c>
      <c r="P49">
        <f>1/16</f>
        <v>6.25E-2</v>
      </c>
      <c r="Q49" s="130">
        <f>LOG(P49, 2)</f>
        <v>-4</v>
      </c>
      <c r="R49" s="130">
        <f>P49*Q49</f>
        <v>-0.25</v>
      </c>
    </row>
    <row r="50" spans="15:21">
      <c r="R50">
        <f>SUM(R45:R49)</f>
        <v>-2.0306390622295662</v>
      </c>
      <c r="U50">
        <f>-(R50)</f>
        <v>2.0306390622295662</v>
      </c>
    </row>
    <row r="51" spans="15:21">
      <c r="P51" t="s">
        <v>582</v>
      </c>
    </row>
    <row r="55" spans="15:21">
      <c r="O55" t="s">
        <v>583</v>
      </c>
    </row>
    <row r="57" spans="15:21">
      <c r="O57" s="136">
        <v>1</v>
      </c>
      <c r="P57">
        <f t="shared" ref="P57:P62" si="0">1/6</f>
        <v>0.16666666666666666</v>
      </c>
      <c r="Q57">
        <f t="shared" ref="Q57:Q62" si="1">LOG(P57, 2)</f>
        <v>-2.5849625007211561</v>
      </c>
      <c r="R57">
        <f t="shared" ref="R57:R62" si="2">P57*Q57</f>
        <v>-0.43082708345352599</v>
      </c>
    </row>
    <row r="58" spans="15:21">
      <c r="O58" s="136">
        <v>2</v>
      </c>
      <c r="P58" s="130">
        <f t="shared" si="0"/>
        <v>0.16666666666666666</v>
      </c>
      <c r="Q58" s="130">
        <f t="shared" si="1"/>
        <v>-2.5849625007211561</v>
      </c>
      <c r="R58" s="130">
        <f t="shared" si="2"/>
        <v>-0.43082708345352599</v>
      </c>
    </row>
    <row r="59" spans="15:21">
      <c r="O59" s="136">
        <v>3</v>
      </c>
      <c r="P59" s="130">
        <f t="shared" si="0"/>
        <v>0.16666666666666666</v>
      </c>
      <c r="Q59" s="130">
        <f t="shared" si="1"/>
        <v>-2.5849625007211561</v>
      </c>
      <c r="R59" s="130">
        <f t="shared" si="2"/>
        <v>-0.43082708345352599</v>
      </c>
    </row>
    <row r="60" spans="15:21">
      <c r="O60" s="136">
        <v>4</v>
      </c>
      <c r="P60" s="130">
        <f t="shared" si="0"/>
        <v>0.16666666666666666</v>
      </c>
      <c r="Q60" s="130">
        <f t="shared" si="1"/>
        <v>-2.5849625007211561</v>
      </c>
      <c r="R60" s="130">
        <f t="shared" si="2"/>
        <v>-0.43082708345352599</v>
      </c>
    </row>
    <row r="61" spans="15:21">
      <c r="O61" s="136">
        <v>5</v>
      </c>
      <c r="P61" s="130">
        <f t="shared" si="0"/>
        <v>0.16666666666666666</v>
      </c>
      <c r="Q61" s="130">
        <f t="shared" si="1"/>
        <v>-2.5849625007211561</v>
      </c>
      <c r="R61" s="130">
        <f t="shared" si="2"/>
        <v>-0.43082708345352599</v>
      </c>
    </row>
    <row r="62" spans="15:21">
      <c r="O62" s="136">
        <v>6</v>
      </c>
      <c r="P62" s="130">
        <f t="shared" si="0"/>
        <v>0.16666666666666666</v>
      </c>
      <c r="Q62" s="130">
        <f t="shared" si="1"/>
        <v>-2.5849625007211561</v>
      </c>
      <c r="R62" s="130">
        <f t="shared" si="2"/>
        <v>-0.43082708345352599</v>
      </c>
    </row>
    <row r="63" spans="15:21">
      <c r="R63">
        <f>SUM(R57:R62)</f>
        <v>-2.5849625007211561</v>
      </c>
      <c r="U63">
        <f>-(R63)</f>
        <v>2.5849625007211561</v>
      </c>
    </row>
    <row r="64" spans="15:21">
      <c r="P64" t="s">
        <v>584</v>
      </c>
    </row>
    <row r="74" spans="1:16" s="131" customFormat="1">
      <c r="B74" s="131" t="s">
        <v>585</v>
      </c>
      <c r="G74" s="131" t="s">
        <v>600</v>
      </c>
    </row>
    <row r="76" spans="1:16">
      <c r="D76" s="140"/>
      <c r="E76" s="130" t="s">
        <v>595</v>
      </c>
      <c r="K76" s="96" t="s">
        <v>589</v>
      </c>
      <c r="L76" s="96" t="s">
        <v>588</v>
      </c>
      <c r="M76" s="96"/>
      <c r="N76" s="96">
        <f>1-((5/10)^2 +(5/10)^2)</f>
        <v>0.5</v>
      </c>
    </row>
    <row r="79" spans="1:16">
      <c r="A79" s="130" t="s">
        <v>586</v>
      </c>
      <c r="C79" s="142"/>
      <c r="E79" s="140"/>
      <c r="F79" s="130" t="s">
        <v>587</v>
      </c>
      <c r="K79" s="130" t="s">
        <v>590</v>
      </c>
      <c r="L79" t="s">
        <v>591</v>
      </c>
      <c r="N79" s="136" t="s">
        <v>592</v>
      </c>
      <c r="P79" s="136" t="s">
        <v>593</v>
      </c>
    </row>
    <row r="80" spans="1:16">
      <c r="N80" s="98">
        <f>1-((5/6)^2 + (1/6)^2)</f>
        <v>0.27777777777777768</v>
      </c>
      <c r="O80" s="98"/>
      <c r="P80" s="98">
        <f>1-((0/4)^2 + (4/4)^2)</f>
        <v>0</v>
      </c>
    </row>
    <row r="81" spans="2:16">
      <c r="M81" t="s">
        <v>596</v>
      </c>
      <c r="N81" s="98">
        <f>N80*0.6</f>
        <v>0.1666666666666666</v>
      </c>
      <c r="O81" s="98"/>
      <c r="P81" s="98">
        <f>P80*0.4</f>
        <v>0</v>
      </c>
    </row>
    <row r="83" spans="2:16">
      <c r="B83" t="s">
        <v>594</v>
      </c>
      <c r="M83" s="96" t="s">
        <v>597</v>
      </c>
      <c r="N83" s="96"/>
      <c r="O83" s="96"/>
      <c r="P83" s="96">
        <f>N81+P81</f>
        <v>0.1666666666666666</v>
      </c>
    </row>
    <row r="86" spans="2:16">
      <c r="B86" t="s">
        <v>586</v>
      </c>
      <c r="K86" t="s">
        <v>598</v>
      </c>
    </row>
    <row r="87" spans="2:16">
      <c r="B87" s="130" t="s">
        <v>587</v>
      </c>
      <c r="H87" s="130"/>
    </row>
    <row r="89" spans="2:16">
      <c r="K89" s="96" t="s">
        <v>599</v>
      </c>
      <c r="L89" s="96"/>
      <c r="M89" s="96">
        <f>N76-P83</f>
        <v>0.33333333333333337</v>
      </c>
    </row>
  </sheetData>
  <phoneticPr fontId="5" type="noConversion"/>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55" workbookViewId="0">
      <selection activeCell="J65" sqref="J65"/>
    </sheetView>
  </sheetViews>
  <sheetFormatPr defaultRowHeight="16.5"/>
  <sheetData/>
  <phoneticPr fontId="5" type="noConversion"/>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57"/>
  <sheetViews>
    <sheetView topLeftCell="A13" workbookViewId="0">
      <selection activeCell="H55" sqref="H55"/>
    </sheetView>
  </sheetViews>
  <sheetFormatPr defaultRowHeight="16.5"/>
  <cols>
    <col min="6" max="6" width="17.25" customWidth="1"/>
  </cols>
  <sheetData>
    <row r="1" spans="2:4">
      <c r="D1" t="s">
        <v>522</v>
      </c>
    </row>
    <row r="2" spans="2:4" s="131" customFormat="1">
      <c r="B2" s="131" t="s">
        <v>520</v>
      </c>
      <c r="D2" s="131" t="s">
        <v>523</v>
      </c>
    </row>
    <row r="44" spans="2:7" s="131" customFormat="1">
      <c r="B44" s="131" t="s">
        <v>521</v>
      </c>
      <c r="D44" s="131" t="s">
        <v>524</v>
      </c>
    </row>
    <row r="45" spans="2:7">
      <c r="C45" t="s">
        <v>525</v>
      </c>
    </row>
    <row r="46" spans="2:7">
      <c r="E46" s="95" t="s">
        <v>529</v>
      </c>
    </row>
    <row r="48" spans="2:7">
      <c r="B48" s="135" t="s">
        <v>526</v>
      </c>
      <c r="C48" s="135" t="s">
        <v>527</v>
      </c>
      <c r="D48" s="135" t="s">
        <v>528</v>
      </c>
      <c r="E48" s="253" t="s">
        <v>533</v>
      </c>
      <c r="F48" s="253"/>
      <c r="G48" s="253"/>
    </row>
    <row r="49" spans="2:8">
      <c r="B49" s="135" t="s">
        <v>530</v>
      </c>
      <c r="C49" s="135" t="s">
        <v>531</v>
      </c>
      <c r="D49" s="135" t="s">
        <v>532</v>
      </c>
    </row>
    <row r="50" spans="2:8">
      <c r="F50" t="s">
        <v>535</v>
      </c>
      <c r="G50" t="s">
        <v>536</v>
      </c>
    </row>
    <row r="51" spans="2:8">
      <c r="F51" t="s">
        <v>534</v>
      </c>
      <c r="G51" t="s">
        <v>536</v>
      </c>
    </row>
    <row r="52" spans="2:8">
      <c r="F52" t="s">
        <v>537</v>
      </c>
      <c r="G52" t="s">
        <v>536</v>
      </c>
      <c r="H52" t="s">
        <v>538</v>
      </c>
    </row>
    <row r="53" spans="2:8">
      <c r="H53" t="s">
        <v>539</v>
      </c>
    </row>
    <row r="54" spans="2:8">
      <c r="H54" t="s">
        <v>540</v>
      </c>
    </row>
    <row r="55" spans="2:8">
      <c r="F55" t="s">
        <v>541</v>
      </c>
      <c r="G55" t="s">
        <v>544</v>
      </c>
    </row>
    <row r="57" spans="2:8">
      <c r="F57" t="s">
        <v>542</v>
      </c>
      <c r="G57" t="s">
        <v>543</v>
      </c>
    </row>
  </sheetData>
  <mergeCells count="1">
    <mergeCell ref="E48:G48"/>
  </mergeCells>
  <phoneticPr fontId="5" type="noConversion"/>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9"/>
  <sheetViews>
    <sheetView showGridLines="0" topLeftCell="H1" workbookViewId="0">
      <selection activeCell="V41" sqref="V41"/>
    </sheetView>
  </sheetViews>
  <sheetFormatPr defaultRowHeight="16.5"/>
  <cols>
    <col min="8" max="8" width="38.375" customWidth="1"/>
    <col min="9" max="9" width="25.25" style="70" customWidth="1"/>
    <col min="12" max="13" width="9" style="71"/>
    <col min="16" max="16" width="17.125" style="71" customWidth="1"/>
  </cols>
  <sheetData>
    <row r="1" spans="1:20">
      <c r="H1" s="27" t="s">
        <v>338</v>
      </c>
      <c r="I1" s="27" t="s">
        <v>345</v>
      </c>
      <c r="P1" s="71" t="s">
        <v>38</v>
      </c>
    </row>
    <row r="2" spans="1:20">
      <c r="G2" s="86" t="s">
        <v>335</v>
      </c>
      <c r="H2" s="86">
        <v>-0.5</v>
      </c>
      <c r="I2" s="64">
        <v>0.5</v>
      </c>
      <c r="N2" s="71" t="s">
        <v>328</v>
      </c>
      <c r="O2" s="71" t="s">
        <v>236</v>
      </c>
      <c r="P2" s="71" t="s">
        <v>326</v>
      </c>
      <c r="Q2" s="71" t="s">
        <v>343</v>
      </c>
      <c r="S2" t="s">
        <v>342</v>
      </c>
    </row>
    <row r="3" spans="1:20">
      <c r="G3" s="86" t="s">
        <v>336</v>
      </c>
      <c r="H3" s="86">
        <v>1</v>
      </c>
      <c r="I3" s="64">
        <v>-0.5</v>
      </c>
      <c r="N3" s="71">
        <v>0</v>
      </c>
      <c r="O3" s="71">
        <v>0</v>
      </c>
      <c r="P3" s="71">
        <v>0</v>
      </c>
      <c r="Q3" s="71">
        <v>0</v>
      </c>
      <c r="S3" s="71" t="s">
        <v>37</v>
      </c>
      <c r="T3" s="71" t="s">
        <v>341</v>
      </c>
    </row>
    <row r="4" spans="1:20">
      <c r="G4" s="86" t="s">
        <v>337</v>
      </c>
      <c r="H4" s="86">
        <v>1</v>
      </c>
      <c r="I4" s="64">
        <v>-0.1</v>
      </c>
      <c r="N4" s="71">
        <v>1</v>
      </c>
      <c r="O4" s="71">
        <v>0</v>
      </c>
      <c r="P4" s="71">
        <v>1</v>
      </c>
      <c r="Q4" s="71">
        <v>0</v>
      </c>
      <c r="S4" s="71">
        <v>-5</v>
      </c>
      <c r="T4">
        <f>IF(S4&gt;=0,1,-1)</f>
        <v>-1</v>
      </c>
    </row>
    <row r="5" spans="1:20">
      <c r="N5" s="71">
        <v>0</v>
      </c>
      <c r="O5" s="71">
        <v>1</v>
      </c>
      <c r="P5" s="71">
        <v>1</v>
      </c>
      <c r="Q5" s="71">
        <v>0</v>
      </c>
      <c r="S5" s="71">
        <v>-4</v>
      </c>
      <c r="T5">
        <f t="shared" ref="T5:T14" si="0">IF(S5&gt;=0,1,-1)</f>
        <v>-1</v>
      </c>
    </row>
    <row r="6" spans="1:20">
      <c r="I6" s="70" t="s">
        <v>324</v>
      </c>
      <c r="L6" s="71" t="s">
        <v>325</v>
      </c>
      <c r="N6" s="71">
        <v>1</v>
      </c>
      <c r="O6" s="71">
        <v>1</v>
      </c>
      <c r="P6" s="71">
        <v>1</v>
      </c>
      <c r="Q6" s="71">
        <v>1</v>
      </c>
      <c r="S6" s="71">
        <v>-3</v>
      </c>
      <c r="T6">
        <f t="shared" si="0"/>
        <v>-1</v>
      </c>
    </row>
    <row r="7" spans="1:20">
      <c r="S7" s="71">
        <v>-2</v>
      </c>
      <c r="T7">
        <f t="shared" si="0"/>
        <v>-1</v>
      </c>
    </row>
    <row r="8" spans="1:20">
      <c r="I8" s="70">
        <v>1</v>
      </c>
      <c r="J8" s="71" t="s">
        <v>332</v>
      </c>
      <c r="S8" s="71">
        <v>-1</v>
      </c>
      <c r="T8">
        <f t="shared" si="0"/>
        <v>-1</v>
      </c>
    </row>
    <row r="9" spans="1:20">
      <c r="P9" s="71" t="s">
        <v>334</v>
      </c>
      <c r="S9" s="71">
        <v>0</v>
      </c>
      <c r="T9">
        <v>1</v>
      </c>
    </row>
    <row r="10" spans="1:20">
      <c r="B10" s="71" t="s">
        <v>331</v>
      </c>
      <c r="C10" s="71" t="s">
        <v>328</v>
      </c>
      <c r="D10" s="71" t="s">
        <v>329</v>
      </c>
      <c r="F10" s="71" t="s">
        <v>331</v>
      </c>
      <c r="G10" s="71">
        <v>1</v>
      </c>
      <c r="H10" s="71"/>
      <c r="J10" s="71" t="s">
        <v>333</v>
      </c>
      <c r="P10" s="71" t="s">
        <v>340</v>
      </c>
      <c r="S10" s="71">
        <v>1</v>
      </c>
      <c r="T10">
        <f t="shared" si="0"/>
        <v>1</v>
      </c>
    </row>
    <row r="11" spans="1:20">
      <c r="A11" t="s">
        <v>320</v>
      </c>
      <c r="B11" s="85">
        <v>1</v>
      </c>
      <c r="C11" s="85">
        <v>0</v>
      </c>
      <c r="D11" s="85">
        <v>0</v>
      </c>
      <c r="F11" s="71" t="s">
        <v>235</v>
      </c>
      <c r="G11" s="71">
        <v>0</v>
      </c>
      <c r="H11" s="71"/>
      <c r="I11" s="70">
        <v>0</v>
      </c>
      <c r="J11" s="71"/>
      <c r="M11" s="71">
        <v>0</v>
      </c>
      <c r="O11">
        <f>B11*$H$2 + C11*$H$3 + D11*$H$4</f>
        <v>-0.5</v>
      </c>
      <c r="P11" s="71">
        <f>IF(O11 &gt;= 0, 1, -1)</f>
        <v>-1</v>
      </c>
      <c r="S11" s="71">
        <v>2</v>
      </c>
      <c r="T11">
        <f t="shared" si="0"/>
        <v>1</v>
      </c>
    </row>
    <row r="12" spans="1:20">
      <c r="A12" t="s">
        <v>321</v>
      </c>
      <c r="B12" s="71">
        <v>1</v>
      </c>
      <c r="C12" s="71">
        <v>1</v>
      </c>
      <c r="D12" s="71">
        <v>0</v>
      </c>
      <c r="F12" s="71" t="s">
        <v>330</v>
      </c>
      <c r="G12" s="71">
        <v>0</v>
      </c>
      <c r="H12" s="71"/>
      <c r="J12" s="71"/>
      <c r="O12">
        <f>B12*$H$2 + C12*$H$3 + D12*$H$4</f>
        <v>0.5</v>
      </c>
      <c r="P12" s="71">
        <f>IF(O12 &gt;= 0, 1, -1)</f>
        <v>1</v>
      </c>
      <c r="S12" s="71">
        <v>3</v>
      </c>
      <c r="T12">
        <f t="shared" si="0"/>
        <v>1</v>
      </c>
    </row>
    <row r="13" spans="1:20">
      <c r="A13" t="s">
        <v>322</v>
      </c>
      <c r="B13" s="71">
        <v>1</v>
      </c>
      <c r="C13" s="71">
        <v>0</v>
      </c>
      <c r="D13" s="71">
        <v>1</v>
      </c>
      <c r="L13" s="71" t="s">
        <v>339</v>
      </c>
      <c r="O13">
        <f>B13*$H$2 + C13*$H$3 + D13*$H$4</f>
        <v>0.5</v>
      </c>
      <c r="P13" s="71">
        <f>IF(O13 &gt;= 0, 1, -1)</f>
        <v>1</v>
      </c>
      <c r="S13" s="71">
        <v>4</v>
      </c>
      <c r="T13">
        <f t="shared" si="0"/>
        <v>1</v>
      </c>
    </row>
    <row r="14" spans="1:20">
      <c r="A14" t="s">
        <v>323</v>
      </c>
      <c r="B14" s="71">
        <v>1</v>
      </c>
      <c r="C14" s="71">
        <v>1</v>
      </c>
      <c r="D14" s="71">
        <v>1</v>
      </c>
      <c r="I14" s="70">
        <v>0</v>
      </c>
      <c r="J14" s="71" t="s">
        <v>327</v>
      </c>
      <c r="O14">
        <f>B14*$H$2 + C14*$H$3 + D14*$H$4</f>
        <v>1.5</v>
      </c>
      <c r="P14" s="71">
        <f>IF(O14 &gt;= 0, 1, -1)</f>
        <v>1</v>
      </c>
      <c r="S14" s="71">
        <v>5</v>
      </c>
      <c r="T14">
        <f t="shared" si="0"/>
        <v>1</v>
      </c>
    </row>
    <row r="16" spans="1:20">
      <c r="P16" s="71" t="s">
        <v>344</v>
      </c>
    </row>
    <row r="32" spans="16:16">
      <c r="P32" s="71" t="s">
        <v>334</v>
      </c>
    </row>
    <row r="33" spans="15:16">
      <c r="P33" s="71" t="s">
        <v>340</v>
      </c>
    </row>
    <row r="34" spans="15:16">
      <c r="O34">
        <f>B11*$I$2 + C11*$I$3 +D11*$I$4</f>
        <v>0.5</v>
      </c>
      <c r="P34" s="71">
        <f>IF(O34 &gt;= 0, 1, -1)</f>
        <v>1</v>
      </c>
    </row>
    <row r="35" spans="15:16">
      <c r="O35">
        <f>B12*$I$2 + C12*$I$3 +D12*$I$4</f>
        <v>0</v>
      </c>
      <c r="P35" s="71">
        <f>IF(O35 &gt;= 0, 1, -1)</f>
        <v>1</v>
      </c>
    </row>
    <row r="36" spans="15:16">
      <c r="O36">
        <f>B13*$I$2 + C13*$I$3 +D13*$I$4</f>
        <v>0.4</v>
      </c>
      <c r="P36" s="71">
        <f>IF(O36 &gt;= 0, 1, -1)</f>
        <v>1</v>
      </c>
    </row>
    <row r="37" spans="15:16">
      <c r="O37">
        <f>B14*$I$2 + C14*$I$3 +D14*$I$4</f>
        <v>-0.1</v>
      </c>
      <c r="P37" s="71">
        <f>IF(O37 &gt;= 0, 1, -1)</f>
        <v>-1</v>
      </c>
    </row>
    <row r="39" spans="15:16">
      <c r="P39" s="71" t="s">
        <v>346</v>
      </c>
    </row>
  </sheetData>
  <phoneticPr fontId="5"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80"/>
  <sheetViews>
    <sheetView topLeftCell="A89" zoomScale="130" zoomScaleNormal="130" workbookViewId="0">
      <selection activeCell="B181" sqref="B181"/>
    </sheetView>
  </sheetViews>
  <sheetFormatPr defaultRowHeight="16.5"/>
  <cols>
    <col min="1" max="1" width="4.125" customWidth="1"/>
    <col min="2" max="13" width="2.75" customWidth="1"/>
    <col min="14" max="14" width="2.625" customWidth="1"/>
    <col min="15" max="15" width="8.625" customWidth="1"/>
  </cols>
  <sheetData>
    <row r="1" spans="1:20">
      <c r="A1" t="s">
        <v>48</v>
      </c>
    </row>
    <row r="2" spans="1:20">
      <c r="G2" s="11" t="s">
        <v>38</v>
      </c>
      <c r="H2" s="10"/>
    </row>
    <row r="3" spans="1:20">
      <c r="G3" s="11"/>
      <c r="H3" s="10"/>
    </row>
    <row r="4" spans="1:20">
      <c r="G4" s="11"/>
      <c r="H4" s="10"/>
      <c r="O4" t="s">
        <v>39</v>
      </c>
      <c r="Q4" s="14" t="s">
        <v>40</v>
      </c>
      <c r="R4" s="14">
        <v>1</v>
      </c>
      <c r="S4" s="14">
        <v>2</v>
      </c>
      <c r="T4" s="14">
        <v>3</v>
      </c>
    </row>
    <row r="5" spans="1:20">
      <c r="G5" s="11"/>
      <c r="H5" s="10"/>
      <c r="Q5" s="14" t="s">
        <v>41</v>
      </c>
      <c r="R5" s="14" t="s">
        <v>42</v>
      </c>
      <c r="S5" s="14" t="s">
        <v>43</v>
      </c>
      <c r="T5" s="14" t="s">
        <v>44</v>
      </c>
    </row>
    <row r="6" spans="1:20">
      <c r="G6" s="11"/>
      <c r="H6" s="10"/>
    </row>
    <row r="7" spans="1:20">
      <c r="G7" s="11"/>
      <c r="H7" s="10"/>
    </row>
    <row r="8" spans="1:20" ht="17.25" thickBot="1">
      <c r="C8" s="12"/>
      <c r="D8" s="12"/>
      <c r="E8" s="12"/>
      <c r="F8" s="12"/>
      <c r="G8" s="13"/>
      <c r="H8" s="12"/>
      <c r="I8" s="12"/>
      <c r="J8" s="12"/>
      <c r="K8" s="12"/>
      <c r="L8" s="12"/>
      <c r="M8" s="12"/>
      <c r="N8" s="10"/>
    </row>
    <row r="9" spans="1:20" ht="17.25" thickTop="1">
      <c r="G9" s="11"/>
      <c r="H9" s="10"/>
      <c r="M9" t="s">
        <v>37</v>
      </c>
    </row>
    <row r="10" spans="1:20">
      <c r="G10" s="11"/>
      <c r="H10" s="10"/>
    </row>
    <row r="11" spans="1:20">
      <c r="G11" s="11"/>
      <c r="H11" s="10"/>
    </row>
    <row r="12" spans="1:20">
      <c r="G12" s="11"/>
      <c r="H12" s="10"/>
    </row>
    <row r="13" spans="1:20">
      <c r="G13" s="11"/>
      <c r="H13" s="10"/>
    </row>
    <row r="14" spans="1:20">
      <c r="G14" s="11"/>
      <c r="H14" s="10"/>
    </row>
    <row r="15" spans="1:20">
      <c r="G15" s="11"/>
      <c r="H15" s="10"/>
    </row>
    <row r="18" spans="3:20">
      <c r="G18" s="11" t="s">
        <v>38</v>
      </c>
      <c r="H18" s="10"/>
    </row>
    <row r="19" spans="3:20">
      <c r="G19" s="11"/>
      <c r="H19" s="10"/>
    </row>
    <row r="20" spans="3:20">
      <c r="G20" s="11"/>
      <c r="H20" s="10"/>
      <c r="O20" t="s">
        <v>39</v>
      </c>
      <c r="Q20" s="14" t="s">
        <v>40</v>
      </c>
      <c r="R20" s="14">
        <v>1</v>
      </c>
      <c r="S20" s="14">
        <v>2</v>
      </c>
      <c r="T20" s="14">
        <v>3</v>
      </c>
    </row>
    <row r="21" spans="3:20">
      <c r="G21" s="11"/>
      <c r="H21" s="10"/>
      <c r="Q21" s="14" t="s">
        <v>41</v>
      </c>
      <c r="R21" s="15" t="s">
        <v>45</v>
      </c>
      <c r="S21" s="15" t="s">
        <v>46</v>
      </c>
      <c r="T21" s="15" t="s">
        <v>47</v>
      </c>
    </row>
    <row r="22" spans="3:20">
      <c r="G22" s="11"/>
      <c r="H22" s="10"/>
    </row>
    <row r="23" spans="3:20">
      <c r="G23" s="11"/>
      <c r="H23" s="10"/>
    </row>
    <row r="24" spans="3:20" ht="17.25" thickBot="1">
      <c r="C24" s="12"/>
      <c r="D24" s="12"/>
      <c r="E24" s="12"/>
      <c r="F24" s="12"/>
      <c r="G24" s="13"/>
      <c r="H24" s="12"/>
      <c r="I24" s="12"/>
      <c r="J24" s="12"/>
      <c r="K24" s="12"/>
      <c r="L24" s="12"/>
      <c r="M24" s="12"/>
      <c r="N24" s="10"/>
    </row>
    <row r="25" spans="3:20" ht="17.25" thickTop="1">
      <c r="G25" s="11"/>
      <c r="H25" s="10"/>
      <c r="M25" t="s">
        <v>37</v>
      </c>
    </row>
    <row r="26" spans="3:20">
      <c r="G26" s="11"/>
      <c r="H26" s="10"/>
    </row>
    <row r="27" spans="3:20">
      <c r="G27" s="11"/>
      <c r="H27" s="10"/>
    </row>
    <row r="28" spans="3:20">
      <c r="G28" s="11"/>
      <c r="H28" s="10"/>
    </row>
    <row r="29" spans="3:20">
      <c r="G29" s="11"/>
      <c r="H29" s="10"/>
    </row>
    <row r="30" spans="3:20">
      <c r="G30" s="11"/>
      <c r="H30" s="10"/>
    </row>
    <row r="31" spans="3:20">
      <c r="G31" s="11"/>
      <c r="H31" s="10"/>
    </row>
    <row r="35" spans="3:14">
      <c r="G35" s="11" t="s">
        <v>38</v>
      </c>
      <c r="H35" s="10"/>
    </row>
    <row r="36" spans="3:14">
      <c r="G36" s="11"/>
      <c r="H36" s="10"/>
    </row>
    <row r="37" spans="3:14">
      <c r="G37" s="11"/>
      <c r="H37" s="10"/>
    </row>
    <row r="38" spans="3:14">
      <c r="G38" s="11"/>
      <c r="H38" s="10"/>
    </row>
    <row r="39" spans="3:14">
      <c r="G39" s="11"/>
      <c r="H39" s="10"/>
    </row>
    <row r="40" spans="3:14">
      <c r="G40" s="11"/>
      <c r="H40" s="10"/>
    </row>
    <row r="41" spans="3:14" ht="17.25" thickBot="1">
      <c r="C41" s="12"/>
      <c r="D41" s="12"/>
      <c r="E41" s="12"/>
      <c r="F41" s="12"/>
      <c r="G41" s="13"/>
      <c r="H41" s="12"/>
      <c r="I41" s="12"/>
      <c r="J41" s="12"/>
      <c r="K41" s="12"/>
      <c r="L41" s="12"/>
      <c r="M41" s="12"/>
      <c r="N41" s="10"/>
    </row>
    <row r="42" spans="3:14" ht="17.25" thickTop="1">
      <c r="G42" s="11"/>
      <c r="H42" s="10"/>
      <c r="M42" t="s">
        <v>37</v>
      </c>
    </row>
    <row r="43" spans="3:14">
      <c r="G43" s="11"/>
      <c r="H43" s="10"/>
    </row>
    <row r="44" spans="3:14">
      <c r="G44" s="11"/>
      <c r="H44" s="10"/>
    </row>
    <row r="45" spans="3:14">
      <c r="G45" s="11"/>
      <c r="H45" s="10"/>
    </row>
    <row r="46" spans="3:14">
      <c r="G46" s="11"/>
      <c r="H46" s="10"/>
    </row>
    <row r="47" spans="3:14">
      <c r="G47" s="11"/>
      <c r="H47" s="10"/>
    </row>
    <row r="48" spans="3:14">
      <c r="G48" s="11"/>
      <c r="H48" s="10"/>
    </row>
    <row r="51" spans="2:15" s="21" customFormat="1" ht="26.25">
      <c r="B51" s="21" t="s">
        <v>80</v>
      </c>
      <c r="E51" s="22" t="s">
        <v>82</v>
      </c>
    </row>
    <row r="52" spans="2:15" ht="26.25">
      <c r="O52" s="20" t="s">
        <v>81</v>
      </c>
    </row>
    <row r="54" spans="2:15">
      <c r="G54" s="11" t="s">
        <v>38</v>
      </c>
      <c r="H54" s="10"/>
    </row>
    <row r="55" spans="2:15">
      <c r="G55" s="11"/>
      <c r="H55" s="10"/>
    </row>
    <row r="56" spans="2:15">
      <c r="G56" s="11"/>
      <c r="H56" s="10"/>
    </row>
    <row r="57" spans="2:15">
      <c r="G57" s="11"/>
      <c r="H57" s="10"/>
    </row>
    <row r="58" spans="2:15">
      <c r="G58" s="11"/>
      <c r="H58" s="10"/>
    </row>
    <row r="59" spans="2:15">
      <c r="G59" s="11"/>
      <c r="H59" s="10"/>
    </row>
    <row r="60" spans="2:15" ht="17.25" thickBot="1">
      <c r="C60" s="12"/>
      <c r="D60" s="12"/>
      <c r="E60" s="12"/>
      <c r="F60" s="12"/>
      <c r="G60" s="13"/>
      <c r="H60" s="12"/>
      <c r="I60" s="12"/>
      <c r="J60" s="12"/>
      <c r="K60" s="12"/>
      <c r="L60" s="12"/>
      <c r="M60" s="12"/>
      <c r="N60" s="10"/>
    </row>
    <row r="61" spans="2:15" ht="17.25" thickTop="1">
      <c r="G61" s="11"/>
      <c r="H61" s="10"/>
      <c r="M61" t="s">
        <v>37</v>
      </c>
    </row>
    <row r="62" spans="2:15">
      <c r="G62" s="11"/>
      <c r="H62" s="10"/>
    </row>
    <row r="63" spans="2:15">
      <c r="G63" s="11"/>
      <c r="H63" s="10"/>
    </row>
    <row r="64" spans="2:15">
      <c r="G64" s="11"/>
      <c r="H64" s="10"/>
    </row>
    <row r="65" spans="2:8">
      <c r="G65" s="11"/>
      <c r="H65" s="10"/>
    </row>
    <row r="66" spans="2:8">
      <c r="G66" s="11"/>
      <c r="H66" s="10"/>
    </row>
    <row r="67" spans="2:8">
      <c r="G67" s="11"/>
      <c r="H67" s="10"/>
    </row>
    <row r="75" spans="2:8" s="21" customFormat="1" ht="26.25">
      <c r="B75" s="21" t="s">
        <v>83</v>
      </c>
      <c r="G75" s="22" t="s">
        <v>84</v>
      </c>
    </row>
    <row r="96" spans="2:2" s="1" customFormat="1">
      <c r="B96" s="1" t="s">
        <v>124</v>
      </c>
    </row>
    <row r="98" spans="2:2">
      <c r="B98" t="s">
        <v>125</v>
      </c>
    </row>
    <row r="112" spans="2:2" s="1" customFormat="1">
      <c r="B112" s="1" t="s">
        <v>126</v>
      </c>
    </row>
    <row r="119" spans="3:14">
      <c r="G119" s="11" t="s">
        <v>38</v>
      </c>
      <c r="H119" s="10"/>
    </row>
    <row r="120" spans="3:14">
      <c r="G120" s="11"/>
      <c r="H120" s="10"/>
    </row>
    <row r="121" spans="3:14">
      <c r="G121" s="11"/>
      <c r="H121" s="10"/>
    </row>
    <row r="122" spans="3:14">
      <c r="G122" s="11"/>
      <c r="H122" s="10"/>
      <c r="L122" t="s">
        <v>128</v>
      </c>
    </row>
    <row r="123" spans="3:14">
      <c r="G123" s="11"/>
      <c r="H123" s="10"/>
      <c r="I123">
        <v>5</v>
      </c>
    </row>
    <row r="124" spans="3:14">
      <c r="G124" s="11"/>
      <c r="H124" s="10"/>
    </row>
    <row r="125" spans="3:14" ht="17.25" thickBot="1">
      <c r="C125" s="12"/>
      <c r="D125" s="12"/>
      <c r="E125" s="12"/>
      <c r="F125" s="12"/>
      <c r="G125" s="13"/>
      <c r="H125" s="12"/>
      <c r="I125" s="12"/>
      <c r="J125" s="12"/>
      <c r="K125" s="12"/>
      <c r="L125" s="12"/>
      <c r="M125" s="12"/>
      <c r="N125" s="10"/>
    </row>
    <row r="126" spans="3:14" ht="17.25" thickTop="1">
      <c r="G126" s="11"/>
      <c r="H126" s="10"/>
      <c r="M126" t="s">
        <v>37</v>
      </c>
    </row>
    <row r="127" spans="3:14">
      <c r="G127" s="11"/>
      <c r="H127" s="10"/>
    </row>
    <row r="128" spans="3:14">
      <c r="G128" s="11"/>
      <c r="H128" s="10"/>
    </row>
    <row r="129" spans="3:8">
      <c r="G129" s="11"/>
      <c r="H129" s="10"/>
    </row>
    <row r="130" spans="3:8">
      <c r="G130" s="11"/>
      <c r="H130" s="10"/>
    </row>
    <row r="131" spans="3:8">
      <c r="G131" s="11"/>
      <c r="H131" s="10"/>
    </row>
    <row r="132" spans="3:8">
      <c r="G132" s="11"/>
      <c r="H132" s="10"/>
    </row>
    <row r="134" spans="3:8">
      <c r="C134" t="s">
        <v>129</v>
      </c>
    </row>
    <row r="145" spans="3:18">
      <c r="G145" s="11" t="s">
        <v>38</v>
      </c>
      <c r="H145" s="10"/>
    </row>
    <row r="146" spans="3:18">
      <c r="G146" s="11"/>
      <c r="H146" s="10"/>
    </row>
    <row r="147" spans="3:18">
      <c r="G147" s="11"/>
      <c r="H147" s="10"/>
    </row>
    <row r="148" spans="3:18">
      <c r="G148" s="11"/>
      <c r="H148" s="10"/>
      <c r="L148" t="s">
        <v>130</v>
      </c>
      <c r="P148" s="32">
        <v>4</v>
      </c>
      <c r="Q148" s="29"/>
      <c r="R148" s="32">
        <v>3</v>
      </c>
    </row>
    <row r="149" spans="3:18">
      <c r="G149" s="11"/>
      <c r="H149" s="10"/>
      <c r="I149">
        <v>1</v>
      </c>
      <c r="P149" s="29">
        <f>SQRT(P148^2+R148^2)</f>
        <v>5</v>
      </c>
      <c r="Q149" s="29"/>
      <c r="R149" s="29">
        <f>SQRT(P148^2+R148^2)</f>
        <v>5</v>
      </c>
    </row>
    <row r="150" spans="3:18">
      <c r="G150" s="11"/>
      <c r="H150" s="10"/>
    </row>
    <row r="151" spans="3:18" ht="17.25" thickBot="1">
      <c r="C151" s="12"/>
      <c r="D151" s="12"/>
      <c r="E151" s="12"/>
      <c r="F151" s="12"/>
      <c r="G151" s="13"/>
      <c r="H151" s="12"/>
      <c r="I151" s="12"/>
      <c r="J151" s="12"/>
      <c r="K151" s="12"/>
      <c r="L151" s="12"/>
      <c r="M151" s="12"/>
      <c r="N151" s="10"/>
    </row>
    <row r="152" spans="3:18" ht="17.25" thickTop="1">
      <c r="G152" s="11"/>
      <c r="H152" s="10"/>
      <c r="M152" t="s">
        <v>37</v>
      </c>
    </row>
    <row r="153" spans="3:18">
      <c r="G153" s="11"/>
      <c r="H153" s="10"/>
    </row>
    <row r="154" spans="3:18">
      <c r="G154" s="11"/>
      <c r="H154" s="10"/>
    </row>
    <row r="155" spans="3:18">
      <c r="G155" s="11"/>
      <c r="H155" s="10"/>
    </row>
    <row r="156" spans="3:18">
      <c r="G156" s="11"/>
      <c r="H156" s="10"/>
    </row>
    <row r="157" spans="3:18">
      <c r="G157" s="11"/>
      <c r="H157" s="10"/>
    </row>
    <row r="158" spans="3:18">
      <c r="G158" s="11"/>
      <c r="H158" s="10"/>
    </row>
    <row r="162" spans="2:13" s="1" customFormat="1">
      <c r="B162" s="1" t="s">
        <v>131</v>
      </c>
    </row>
    <row r="165" spans="2:13">
      <c r="G165" s="11" t="s">
        <v>38</v>
      </c>
      <c r="H165" s="10"/>
    </row>
    <row r="166" spans="2:13">
      <c r="G166" s="11"/>
      <c r="H166" s="10"/>
    </row>
    <row r="167" spans="2:13">
      <c r="G167" s="11"/>
      <c r="H167" s="10"/>
    </row>
    <row r="168" spans="2:13">
      <c r="G168" s="11"/>
      <c r="H168" s="10"/>
    </row>
    <row r="169" spans="2:13">
      <c r="G169" s="11"/>
      <c r="H169" s="10"/>
    </row>
    <row r="170" spans="2:13">
      <c r="G170" s="11"/>
      <c r="H170" s="10"/>
    </row>
    <row r="171" spans="2:13" ht="17.25" thickBot="1">
      <c r="C171" s="12"/>
      <c r="D171" s="12"/>
      <c r="E171" s="12"/>
      <c r="F171" s="12"/>
      <c r="G171" s="13"/>
      <c r="H171" s="12"/>
      <c r="I171" s="12"/>
      <c r="J171" s="12"/>
      <c r="K171" s="12"/>
      <c r="L171" s="12"/>
      <c r="M171" s="12"/>
    </row>
    <row r="172" spans="2:13" ht="17.25" thickTop="1">
      <c r="G172" s="11"/>
      <c r="H172" s="10"/>
      <c r="M172" t="s">
        <v>37</v>
      </c>
    </row>
    <row r="173" spans="2:13">
      <c r="G173" s="11"/>
      <c r="H173" s="10"/>
    </row>
    <row r="174" spans="2:13">
      <c r="G174" s="11"/>
      <c r="H174" s="10"/>
    </row>
    <row r="175" spans="2:13">
      <c r="G175" s="11"/>
      <c r="H175" s="10"/>
    </row>
    <row r="176" spans="2:13">
      <c r="G176" s="11"/>
      <c r="H176" s="10"/>
    </row>
    <row r="177" spans="2:8">
      <c r="G177" s="11"/>
      <c r="H177" s="10"/>
    </row>
    <row r="178" spans="2:8">
      <c r="G178" s="11"/>
      <c r="H178" s="10"/>
    </row>
    <row r="180" spans="2:8" s="1" customFormat="1">
      <c r="B180" s="1" t="s">
        <v>132</v>
      </c>
    </row>
  </sheetData>
  <phoneticPr fontId="5" type="noConversion"/>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4"/>
  <sheetViews>
    <sheetView showGridLines="0" topLeftCell="B1" workbookViewId="0">
      <selection activeCell="V3" sqref="V3"/>
    </sheetView>
  </sheetViews>
  <sheetFormatPr defaultRowHeight="16.5"/>
  <cols>
    <col min="8" max="8" width="14.125" style="71" customWidth="1"/>
    <col min="9" max="9" width="9.25" style="70" customWidth="1"/>
    <col min="11" max="13" width="9" style="71"/>
    <col min="16" max="16" width="17.125" style="71" customWidth="1"/>
    <col min="17" max="17" width="9" style="71"/>
    <col min="22" max="22" width="9" style="71"/>
  </cols>
  <sheetData>
    <row r="1" spans="1:22">
      <c r="H1" s="87" t="s">
        <v>356</v>
      </c>
      <c r="I1" s="27"/>
      <c r="P1"/>
      <c r="R1" s="71" t="s">
        <v>38</v>
      </c>
    </row>
    <row r="2" spans="1:22">
      <c r="G2" s="86" t="s">
        <v>335</v>
      </c>
      <c r="H2" s="89">
        <v>-2</v>
      </c>
      <c r="I2" s="88"/>
      <c r="P2" s="71" t="s">
        <v>328</v>
      </c>
      <c r="Q2" s="71" t="s">
        <v>236</v>
      </c>
      <c r="R2" s="71" t="s">
        <v>326</v>
      </c>
      <c r="S2" s="71" t="s">
        <v>343</v>
      </c>
      <c r="T2" s="92" t="s">
        <v>363</v>
      </c>
      <c r="U2" s="92" t="s">
        <v>326</v>
      </c>
      <c r="V2" s="45" t="s">
        <v>364</v>
      </c>
    </row>
    <row r="3" spans="1:22">
      <c r="G3" s="86" t="s">
        <v>336</v>
      </c>
      <c r="H3" s="90">
        <v>2</v>
      </c>
      <c r="I3" s="88"/>
      <c r="J3" s="86" t="s">
        <v>360</v>
      </c>
      <c r="K3" s="91">
        <v>1</v>
      </c>
      <c r="P3" s="71">
        <v>0</v>
      </c>
      <c r="Q3" s="71">
        <v>0</v>
      </c>
      <c r="R3" s="71">
        <v>0</v>
      </c>
      <c r="S3" s="71">
        <v>0</v>
      </c>
      <c r="T3" s="92">
        <v>1</v>
      </c>
      <c r="U3" s="92">
        <v>0</v>
      </c>
      <c r="V3" s="45">
        <v>0</v>
      </c>
    </row>
    <row r="4" spans="1:22">
      <c r="G4" s="86" t="s">
        <v>337</v>
      </c>
      <c r="H4" s="89">
        <v>-2</v>
      </c>
      <c r="I4" s="88"/>
      <c r="J4" s="86" t="s">
        <v>361</v>
      </c>
      <c r="K4" s="91">
        <v>1</v>
      </c>
      <c r="P4" s="71">
        <v>1</v>
      </c>
      <c r="Q4" s="71">
        <v>0</v>
      </c>
      <c r="R4" s="71">
        <v>1</v>
      </c>
      <c r="S4" s="71">
        <v>0</v>
      </c>
      <c r="T4" s="92">
        <v>1</v>
      </c>
      <c r="U4" s="92">
        <v>1</v>
      </c>
      <c r="V4" s="45">
        <v>1</v>
      </c>
    </row>
    <row r="5" spans="1:22">
      <c r="G5" s="86" t="s">
        <v>355</v>
      </c>
      <c r="H5" s="90">
        <v>2</v>
      </c>
      <c r="I5" s="88"/>
      <c r="P5" s="71">
        <v>0</v>
      </c>
      <c r="Q5" s="71">
        <v>1</v>
      </c>
      <c r="R5" s="71">
        <v>1</v>
      </c>
      <c r="S5" s="71">
        <v>0</v>
      </c>
      <c r="T5" s="92">
        <v>1</v>
      </c>
      <c r="U5" s="92">
        <v>1</v>
      </c>
      <c r="V5" s="45">
        <v>1</v>
      </c>
    </row>
    <row r="6" spans="1:22">
      <c r="P6" s="71">
        <v>1</v>
      </c>
      <c r="Q6" s="71">
        <v>1</v>
      </c>
      <c r="R6" s="71">
        <v>1</v>
      </c>
      <c r="S6" s="71">
        <v>1</v>
      </c>
      <c r="T6" s="92">
        <v>0</v>
      </c>
      <c r="U6" s="92">
        <v>1</v>
      </c>
      <c r="V6" s="45">
        <v>0</v>
      </c>
    </row>
    <row r="7" spans="1:22">
      <c r="I7" s="64" t="s">
        <v>347</v>
      </c>
      <c r="K7" s="64" t="s">
        <v>359</v>
      </c>
      <c r="S7" s="71"/>
    </row>
    <row r="8" spans="1:22">
      <c r="I8" s="64">
        <v>3</v>
      </c>
      <c r="K8" s="64">
        <v>-1</v>
      </c>
      <c r="S8" s="71"/>
    </row>
    <row r="9" spans="1:22">
      <c r="I9" s="64">
        <v>-1</v>
      </c>
    </row>
    <row r="10" spans="1:22">
      <c r="B10" s="80"/>
      <c r="C10" s="71" t="s">
        <v>328</v>
      </c>
      <c r="D10" s="71" t="s">
        <v>329</v>
      </c>
      <c r="F10" s="71"/>
      <c r="G10" s="71"/>
      <c r="H10" s="70" t="s">
        <v>324</v>
      </c>
      <c r="I10"/>
      <c r="J10" s="71"/>
      <c r="M10"/>
      <c r="Q10" t="s">
        <v>354</v>
      </c>
      <c r="R10" s="71"/>
    </row>
    <row r="11" spans="1:22">
      <c r="A11" t="s">
        <v>320</v>
      </c>
      <c r="B11" s="80"/>
      <c r="C11" s="85">
        <v>0</v>
      </c>
      <c r="D11" s="85">
        <v>0</v>
      </c>
      <c r="F11" s="71" t="s">
        <v>235</v>
      </c>
      <c r="G11" s="71">
        <v>0</v>
      </c>
      <c r="H11" s="70"/>
      <c r="I11"/>
      <c r="J11" s="71"/>
      <c r="M11"/>
      <c r="P11" s="71" t="s">
        <v>352</v>
      </c>
      <c r="Q11" t="s">
        <v>353</v>
      </c>
      <c r="R11" s="71"/>
    </row>
    <row r="12" spans="1:22">
      <c r="A12" t="s">
        <v>321</v>
      </c>
      <c r="B12" s="80"/>
      <c r="C12" s="71">
        <v>1</v>
      </c>
      <c r="D12" s="71">
        <v>0</v>
      </c>
      <c r="F12" s="71" t="s">
        <v>330</v>
      </c>
      <c r="G12" s="71">
        <v>0</v>
      </c>
      <c r="H12" s="70"/>
      <c r="I12" s="71"/>
      <c r="J12" s="71"/>
      <c r="M12"/>
      <c r="P12" s="71">
        <f>$I$8+C11*$H$2+D11*$H$4</f>
        <v>3</v>
      </c>
      <c r="Q12">
        <f>1/(1+EXP(-(P12)))</f>
        <v>0.95257412682243336</v>
      </c>
      <c r="R12" s="71">
        <f>IF(Q12&gt;=0.5,1,0)</f>
        <v>1</v>
      </c>
    </row>
    <row r="13" spans="1:22">
      <c r="A13" t="s">
        <v>322</v>
      </c>
      <c r="B13" s="80"/>
      <c r="C13" s="71">
        <v>0</v>
      </c>
      <c r="D13" s="71">
        <v>1</v>
      </c>
      <c r="H13" s="70"/>
      <c r="I13"/>
      <c r="J13" s="71"/>
      <c r="M13"/>
      <c r="P13" s="71">
        <f>$I$8+C12*$H$2+D12*$H$4</f>
        <v>1</v>
      </c>
      <c r="Q13">
        <f>1/(1+EXP(-(P13)))</f>
        <v>0.7310585786300049</v>
      </c>
      <c r="R13" s="71">
        <f>IF(Q13&gt;=0.5,1,0)</f>
        <v>1</v>
      </c>
    </row>
    <row r="14" spans="1:22">
      <c r="A14" t="s">
        <v>323</v>
      </c>
      <c r="B14" s="80"/>
      <c r="C14" s="71">
        <v>1</v>
      </c>
      <c r="D14" s="71">
        <v>1</v>
      </c>
      <c r="H14" s="70"/>
      <c r="I14" s="56"/>
      <c r="J14" s="71"/>
      <c r="M14" t="s">
        <v>348</v>
      </c>
      <c r="P14" s="71">
        <f>$I$8+C13*$H$2+D13*$H$4</f>
        <v>1</v>
      </c>
      <c r="Q14">
        <f>1/(1+EXP(-(P14)))</f>
        <v>0.7310585786300049</v>
      </c>
      <c r="R14" s="71">
        <f>IF(Q14&gt;=0.5,1,0)</f>
        <v>1</v>
      </c>
    </row>
    <row r="15" spans="1:22">
      <c r="H15" s="70"/>
      <c r="I15" s="71"/>
      <c r="J15" s="71" t="s">
        <v>350</v>
      </c>
      <c r="M15"/>
      <c r="P15" s="71">
        <f>$I$8+C14*$H$2+D14*$H$4</f>
        <v>-1</v>
      </c>
      <c r="Q15">
        <f>1/(1+EXP(-(P15)))</f>
        <v>0.2689414213699951</v>
      </c>
      <c r="R15" s="71">
        <f>IF(Q15&gt;=0.5,1,0)</f>
        <v>0</v>
      </c>
      <c r="T15" s="70" t="s">
        <v>334</v>
      </c>
      <c r="V15" s="86" t="s">
        <v>362</v>
      </c>
    </row>
    <row r="16" spans="1:22">
      <c r="H16" s="70"/>
      <c r="I16" s="71"/>
      <c r="J16" s="71"/>
      <c r="M16"/>
      <c r="T16" s="70">
        <f>$K$8+R12*$K$3+R19*$K$4</f>
        <v>0</v>
      </c>
      <c r="V16" s="86">
        <v>0</v>
      </c>
    </row>
    <row r="17" spans="8:22">
      <c r="H17" s="70"/>
      <c r="I17"/>
      <c r="J17" s="71"/>
      <c r="M17"/>
      <c r="T17" s="70">
        <f>$K$8+R13*$K$3+R20*$K$4</f>
        <v>1</v>
      </c>
      <c r="V17" s="86">
        <v>1</v>
      </c>
    </row>
    <row r="18" spans="8:22">
      <c r="H18" s="70"/>
      <c r="I18" s="71"/>
      <c r="J18" s="71" t="s">
        <v>351</v>
      </c>
      <c r="M18" t="s">
        <v>349</v>
      </c>
      <c r="P18" s="71" t="s">
        <v>358</v>
      </c>
      <c r="Q18" t="s">
        <v>353</v>
      </c>
      <c r="T18" s="70">
        <f>$K$8+R14*$K$3+R21*$K$4</f>
        <v>1</v>
      </c>
      <c r="V18" s="86">
        <v>1</v>
      </c>
    </row>
    <row r="19" spans="8:22">
      <c r="H19" s="70"/>
      <c r="I19"/>
      <c r="J19" s="71"/>
      <c r="M19"/>
      <c r="P19" s="71">
        <f>$K$8+C11*$H$3+D11*$H$5</f>
        <v>-1</v>
      </c>
      <c r="Q19" s="71">
        <f>1/(1+EXP(-(P19)))</f>
        <v>0.2689414213699951</v>
      </c>
      <c r="R19">
        <f>IF(Q19&gt;=0.5,1,0)</f>
        <v>0</v>
      </c>
      <c r="T19" s="70">
        <f>$K$8+R15*$K$3+R22*$K$4</f>
        <v>0</v>
      </c>
      <c r="V19" s="86">
        <v>0</v>
      </c>
    </row>
    <row r="20" spans="8:22">
      <c r="H20" s="70"/>
      <c r="I20"/>
      <c r="J20" s="71"/>
      <c r="M20"/>
      <c r="P20" s="71">
        <f>$K$8+C12*$H$3+D12*$H$5</f>
        <v>1</v>
      </c>
      <c r="Q20" s="71">
        <f>1/(1+EXP(-(P20)))</f>
        <v>0.7310585786300049</v>
      </c>
      <c r="R20">
        <f>IF(Q20&gt;=0.5,1,0)</f>
        <v>1</v>
      </c>
    </row>
    <row r="21" spans="8:22">
      <c r="H21" s="70"/>
      <c r="I21"/>
      <c r="J21" s="71"/>
      <c r="M21"/>
      <c r="P21" s="71">
        <f>$K$8+C13*$H$3+D13*$H$5</f>
        <v>1</v>
      </c>
      <c r="Q21" s="71">
        <f>1/(1+EXP(-(P21)))</f>
        <v>0.7310585786300049</v>
      </c>
      <c r="R21">
        <f>IF(Q21&gt;=0.5,1,0)</f>
        <v>1</v>
      </c>
    </row>
    <row r="22" spans="8:22">
      <c r="P22" s="71">
        <f>$K$8+C14*$H$3+D14*$H$5</f>
        <v>3</v>
      </c>
      <c r="Q22" s="71">
        <f>1/(1+EXP(-(P22)))</f>
        <v>0.95257412682243336</v>
      </c>
      <c r="R22">
        <f>IF(Q22&gt;=0.5,1,0)</f>
        <v>1</v>
      </c>
    </row>
    <row r="24" spans="8:22">
      <c r="Q24" s="71" t="s">
        <v>357</v>
      </c>
    </row>
  </sheetData>
  <phoneticPr fontId="5" type="noConversion"/>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99"/>
  <sheetViews>
    <sheetView showGridLines="0" topLeftCell="B85" workbookViewId="0">
      <selection activeCell="F99" sqref="F99"/>
    </sheetView>
  </sheetViews>
  <sheetFormatPr defaultRowHeight="16.5"/>
  <sheetData>
    <row r="2" spans="2:3" s="1" customFormat="1">
      <c r="B2" s="1" t="s">
        <v>365</v>
      </c>
    </row>
    <row r="4" spans="2:3">
      <c r="B4" s="70" t="s">
        <v>366</v>
      </c>
      <c r="C4" s="70" t="s">
        <v>38</v>
      </c>
    </row>
    <row r="5" spans="2:3">
      <c r="B5">
        <v>-3</v>
      </c>
      <c r="C5">
        <f>IF(B5&gt;0,B5,0)</f>
        <v>0</v>
      </c>
    </row>
    <row r="6" spans="2:3">
      <c r="B6">
        <v>-2.5</v>
      </c>
      <c r="C6">
        <f t="shared" ref="C6:C17" si="0">IF(B6&gt;0,B6,0)</f>
        <v>0</v>
      </c>
    </row>
    <row r="7" spans="2:3">
      <c r="B7">
        <v>-2</v>
      </c>
      <c r="C7">
        <f t="shared" si="0"/>
        <v>0</v>
      </c>
    </row>
    <row r="8" spans="2:3">
      <c r="B8">
        <v>-1.5</v>
      </c>
      <c r="C8">
        <f t="shared" si="0"/>
        <v>0</v>
      </c>
    </row>
    <row r="9" spans="2:3">
      <c r="B9">
        <v>-1</v>
      </c>
      <c r="C9">
        <f t="shared" si="0"/>
        <v>0</v>
      </c>
    </row>
    <row r="10" spans="2:3">
      <c r="B10">
        <v>-0.5</v>
      </c>
      <c r="C10">
        <f t="shared" si="0"/>
        <v>0</v>
      </c>
    </row>
    <row r="11" spans="2:3">
      <c r="B11">
        <v>0</v>
      </c>
      <c r="C11">
        <f t="shared" si="0"/>
        <v>0</v>
      </c>
    </row>
    <row r="12" spans="2:3">
      <c r="B12">
        <v>0.5</v>
      </c>
      <c r="C12">
        <f t="shared" si="0"/>
        <v>0.5</v>
      </c>
    </row>
    <row r="13" spans="2:3">
      <c r="B13">
        <v>1</v>
      </c>
      <c r="C13">
        <f t="shared" si="0"/>
        <v>1</v>
      </c>
    </row>
    <row r="14" spans="2:3">
      <c r="B14">
        <v>1.5</v>
      </c>
      <c r="C14">
        <f t="shared" si="0"/>
        <v>1.5</v>
      </c>
    </row>
    <row r="15" spans="2:3">
      <c r="B15">
        <v>2</v>
      </c>
      <c r="C15">
        <f t="shared" si="0"/>
        <v>2</v>
      </c>
    </row>
    <row r="16" spans="2:3">
      <c r="B16">
        <v>2.5</v>
      </c>
      <c r="C16">
        <f t="shared" si="0"/>
        <v>2.5</v>
      </c>
    </row>
    <row r="17" spans="2:3">
      <c r="B17">
        <v>3</v>
      </c>
      <c r="C17">
        <f t="shared" si="0"/>
        <v>3</v>
      </c>
    </row>
    <row r="20" spans="2:3" s="1" customFormat="1">
      <c r="B20" s="1" t="s">
        <v>367</v>
      </c>
    </row>
    <row r="29" spans="2:3">
      <c r="B29" s="70" t="s">
        <v>366</v>
      </c>
      <c r="C29" s="71" t="s">
        <v>341</v>
      </c>
    </row>
    <row r="30" spans="2:3">
      <c r="B30">
        <v>-3</v>
      </c>
      <c r="C30">
        <f>(EXP(B30) - EXP(-B30)) / (EXP(B30) + EXP(-B30))</f>
        <v>-0.99505475368673058</v>
      </c>
    </row>
    <row r="31" spans="2:3">
      <c r="B31">
        <v>-2.5</v>
      </c>
      <c r="C31">
        <f t="shared" ref="C31:C42" si="1">(EXP(B31) - EXP(-B31)) / (EXP(B31) + EXP(-B31))</f>
        <v>-0.98661429815143042</v>
      </c>
    </row>
    <row r="32" spans="2:3">
      <c r="B32">
        <v>-2</v>
      </c>
      <c r="C32">
        <f t="shared" si="1"/>
        <v>-0.96402758007581701</v>
      </c>
    </row>
    <row r="33" spans="2:12">
      <c r="B33">
        <v>-1.5</v>
      </c>
      <c r="C33">
        <f t="shared" si="1"/>
        <v>-0.9051482536448664</v>
      </c>
    </row>
    <row r="34" spans="2:12">
      <c r="B34">
        <v>-1</v>
      </c>
      <c r="C34">
        <f t="shared" si="1"/>
        <v>-0.76159415595576485</v>
      </c>
    </row>
    <row r="35" spans="2:12">
      <c r="B35">
        <v>-0.5</v>
      </c>
      <c r="C35">
        <f t="shared" si="1"/>
        <v>-0.46211715726000979</v>
      </c>
    </row>
    <row r="36" spans="2:12">
      <c r="B36">
        <v>0</v>
      </c>
      <c r="C36">
        <f t="shared" si="1"/>
        <v>0</v>
      </c>
    </row>
    <row r="37" spans="2:12">
      <c r="B37">
        <v>0.5</v>
      </c>
      <c r="C37">
        <f t="shared" si="1"/>
        <v>0.46211715726000979</v>
      </c>
    </row>
    <row r="38" spans="2:12">
      <c r="B38">
        <v>1</v>
      </c>
      <c r="C38">
        <f t="shared" si="1"/>
        <v>0.76159415595576485</v>
      </c>
    </row>
    <row r="39" spans="2:12">
      <c r="B39">
        <v>1.5</v>
      </c>
      <c r="C39">
        <f t="shared" si="1"/>
        <v>0.9051482536448664</v>
      </c>
    </row>
    <row r="40" spans="2:12">
      <c r="B40">
        <v>2</v>
      </c>
      <c r="C40">
        <f t="shared" si="1"/>
        <v>0.96402758007581701</v>
      </c>
    </row>
    <row r="41" spans="2:12">
      <c r="B41">
        <v>2.5</v>
      </c>
      <c r="C41">
        <f t="shared" si="1"/>
        <v>0.98661429815143042</v>
      </c>
    </row>
    <row r="42" spans="2:12">
      <c r="B42">
        <v>3</v>
      </c>
      <c r="C42">
        <f t="shared" si="1"/>
        <v>0.99505475368673058</v>
      </c>
    </row>
    <row r="44" spans="2:12" s="1" customFormat="1">
      <c r="B44" s="1" t="s">
        <v>368</v>
      </c>
    </row>
    <row r="46" spans="2:12">
      <c r="B46" s="70" t="s">
        <v>366</v>
      </c>
      <c r="C46" s="71" t="s">
        <v>341</v>
      </c>
      <c r="K46" s="70" t="s">
        <v>366</v>
      </c>
      <c r="L46" s="71" t="s">
        <v>341</v>
      </c>
    </row>
    <row r="47" spans="2:12">
      <c r="B47">
        <v>-1</v>
      </c>
      <c r="C47">
        <f>LN(1+EXP(B47))</f>
        <v>0.31326168751822286</v>
      </c>
      <c r="K47">
        <v>-10</v>
      </c>
      <c r="L47">
        <f>LN(1+EXP(K47))</f>
        <v>4.5398899216870535E-5</v>
      </c>
    </row>
    <row r="48" spans="2:12">
      <c r="B48">
        <v>-0.9</v>
      </c>
      <c r="C48">
        <f t="shared" ref="C48:C67" si="2">LN(1+EXP(B48))</f>
        <v>0.34115387473208791</v>
      </c>
      <c r="K48">
        <v>-9</v>
      </c>
      <c r="L48">
        <f t="shared" ref="L48:L67" si="3">LN(1+EXP(K48))</f>
        <v>1.2340218972333965E-4</v>
      </c>
    </row>
    <row r="49" spans="2:12">
      <c r="B49">
        <v>-0.8</v>
      </c>
      <c r="C49">
        <f t="shared" si="2"/>
        <v>0.37110066594777769</v>
      </c>
      <c r="K49">
        <v>-8</v>
      </c>
      <c r="L49">
        <f t="shared" si="3"/>
        <v>3.3540637289566238E-4</v>
      </c>
    </row>
    <row r="50" spans="2:12">
      <c r="B50">
        <v>-0.7</v>
      </c>
      <c r="C50">
        <f t="shared" si="2"/>
        <v>0.40318604888545784</v>
      </c>
      <c r="K50">
        <v>-7</v>
      </c>
      <c r="L50">
        <f t="shared" si="3"/>
        <v>9.1146645377420147E-4</v>
      </c>
    </row>
    <row r="51" spans="2:12">
      <c r="B51">
        <v>-0.6</v>
      </c>
      <c r="C51">
        <f t="shared" si="2"/>
        <v>0.43748795048588568</v>
      </c>
      <c r="K51">
        <v>-6</v>
      </c>
      <c r="L51">
        <f t="shared" si="3"/>
        <v>2.4756851377303571E-3</v>
      </c>
    </row>
    <row r="52" spans="2:12">
      <c r="B52">
        <v>-0.5</v>
      </c>
      <c r="C52">
        <f t="shared" si="2"/>
        <v>0.47407698418010669</v>
      </c>
      <c r="K52">
        <v>-5</v>
      </c>
      <c r="L52">
        <f t="shared" si="3"/>
        <v>6.7153484891179669E-3</v>
      </c>
    </row>
    <row r="53" spans="2:12">
      <c r="B53">
        <v>-0.4</v>
      </c>
      <c r="C53">
        <f t="shared" si="2"/>
        <v>0.5130152523999526</v>
      </c>
      <c r="K53">
        <v>-4</v>
      </c>
      <c r="L53">
        <f t="shared" si="3"/>
        <v>1.8149927917809779E-2</v>
      </c>
    </row>
    <row r="54" spans="2:12">
      <c r="B54">
        <v>-0.3</v>
      </c>
      <c r="C54">
        <f t="shared" si="2"/>
        <v>0.55435524446852702</v>
      </c>
      <c r="K54">
        <v>-3</v>
      </c>
      <c r="L54">
        <f t="shared" si="3"/>
        <v>4.8587351573741958E-2</v>
      </c>
    </row>
    <row r="55" spans="2:12">
      <c r="B55">
        <v>-0.2</v>
      </c>
      <c r="C55">
        <f t="shared" si="2"/>
        <v>0.59813886938159178</v>
      </c>
      <c r="K55">
        <v>-2</v>
      </c>
      <c r="L55">
        <f t="shared" si="3"/>
        <v>0.1269280110429726</v>
      </c>
    </row>
    <row r="56" spans="2:12">
      <c r="B56">
        <v>-0.1</v>
      </c>
      <c r="C56">
        <f t="shared" si="2"/>
        <v>0.64439666007357088</v>
      </c>
      <c r="K56">
        <v>-1</v>
      </c>
      <c r="L56">
        <f t="shared" si="3"/>
        <v>0.31326168751822286</v>
      </c>
    </row>
    <row r="57" spans="2:12">
      <c r="B57">
        <v>0</v>
      </c>
      <c r="C57">
        <f t="shared" si="2"/>
        <v>0.69314718055994529</v>
      </c>
      <c r="K57">
        <v>0</v>
      </c>
      <c r="L57">
        <f t="shared" si="3"/>
        <v>0.69314718055994529</v>
      </c>
    </row>
    <row r="58" spans="2:12">
      <c r="B58">
        <v>0.1</v>
      </c>
      <c r="C58">
        <f t="shared" si="2"/>
        <v>0.74439666007357097</v>
      </c>
      <c r="K58">
        <v>1</v>
      </c>
      <c r="L58">
        <f t="shared" si="3"/>
        <v>1.3132616875182228</v>
      </c>
    </row>
    <row r="59" spans="2:12">
      <c r="B59">
        <v>0.2</v>
      </c>
      <c r="C59">
        <f t="shared" si="2"/>
        <v>0.79813886938159173</v>
      </c>
      <c r="K59">
        <v>2</v>
      </c>
      <c r="L59">
        <f t="shared" si="3"/>
        <v>2.1269280110429727</v>
      </c>
    </row>
    <row r="60" spans="2:12">
      <c r="B60">
        <v>0.3</v>
      </c>
      <c r="C60">
        <f t="shared" si="2"/>
        <v>0.85435524446852718</v>
      </c>
      <c r="K60">
        <v>3</v>
      </c>
      <c r="L60">
        <f t="shared" si="3"/>
        <v>3.0485873515737421</v>
      </c>
    </row>
    <row r="61" spans="2:12">
      <c r="B61">
        <v>0.4</v>
      </c>
      <c r="C61">
        <f t="shared" si="2"/>
        <v>0.91301525239995263</v>
      </c>
      <c r="K61">
        <v>4</v>
      </c>
      <c r="L61">
        <f t="shared" si="3"/>
        <v>4.0181499279178094</v>
      </c>
    </row>
    <row r="62" spans="2:12">
      <c r="B62">
        <v>0.5</v>
      </c>
      <c r="C62">
        <f t="shared" si="2"/>
        <v>0.97407698418010669</v>
      </c>
      <c r="K62">
        <v>5</v>
      </c>
      <c r="L62">
        <f t="shared" si="3"/>
        <v>5.0067153484891183</v>
      </c>
    </row>
    <row r="63" spans="2:12">
      <c r="B63">
        <v>0.6</v>
      </c>
      <c r="C63">
        <f t="shared" si="2"/>
        <v>1.0374879504858856</v>
      </c>
      <c r="K63">
        <v>6</v>
      </c>
      <c r="L63">
        <f t="shared" si="3"/>
        <v>6.0024756851377301</v>
      </c>
    </row>
    <row r="64" spans="2:12">
      <c r="B64">
        <v>0.7</v>
      </c>
      <c r="C64">
        <f t="shared" si="2"/>
        <v>1.1031860488854579</v>
      </c>
      <c r="K64">
        <v>7</v>
      </c>
      <c r="L64">
        <f t="shared" si="3"/>
        <v>7.0009114664537737</v>
      </c>
    </row>
    <row r="65" spans="2:12">
      <c r="B65">
        <v>0.8</v>
      </c>
      <c r="C65">
        <f t="shared" si="2"/>
        <v>1.1711006659477778</v>
      </c>
      <c r="K65">
        <v>8</v>
      </c>
      <c r="L65">
        <f t="shared" si="3"/>
        <v>8.000335406372896</v>
      </c>
    </row>
    <row r="66" spans="2:12">
      <c r="B66">
        <v>0.9</v>
      </c>
      <c r="C66">
        <f t="shared" si="2"/>
        <v>1.2411538747320878</v>
      </c>
      <c r="K66">
        <v>9</v>
      </c>
      <c r="L66">
        <f t="shared" si="3"/>
        <v>9.0001234021897236</v>
      </c>
    </row>
    <row r="67" spans="2:12">
      <c r="B67">
        <v>1</v>
      </c>
      <c r="C67">
        <f t="shared" si="2"/>
        <v>1.3132616875182228</v>
      </c>
      <c r="K67">
        <v>10</v>
      </c>
      <c r="L67">
        <f t="shared" si="3"/>
        <v>10.000045398899218</v>
      </c>
    </row>
    <row r="71" spans="2:12" s="1" customFormat="1">
      <c r="B71" s="1" t="s">
        <v>441</v>
      </c>
    </row>
    <row r="74" spans="2:12">
      <c r="F74" t="s">
        <v>446</v>
      </c>
      <c r="G74" t="s">
        <v>447</v>
      </c>
      <c r="H74" t="s">
        <v>448</v>
      </c>
    </row>
    <row r="75" spans="2:12">
      <c r="F75">
        <v>0.7</v>
      </c>
      <c r="G75">
        <v>0.2</v>
      </c>
      <c r="H75">
        <v>0.1</v>
      </c>
    </row>
    <row r="77" spans="2:12">
      <c r="B77" s="252" t="s">
        <v>442</v>
      </c>
      <c r="C77" s="103" t="s">
        <v>449</v>
      </c>
      <c r="D77" s="32" t="s">
        <v>444</v>
      </c>
      <c r="F77" s="103">
        <v>0.7</v>
      </c>
      <c r="G77" s="103">
        <v>0.2</v>
      </c>
      <c r="H77" s="103">
        <v>0.1</v>
      </c>
    </row>
    <row r="78" spans="2:12">
      <c r="B78" s="252"/>
      <c r="C78" t="s">
        <v>443</v>
      </c>
      <c r="D78" s="83" t="s">
        <v>445</v>
      </c>
      <c r="F78">
        <f>1-F77</f>
        <v>0.30000000000000004</v>
      </c>
      <c r="G78">
        <f>1-G77</f>
        <v>0.8</v>
      </c>
      <c r="H78">
        <f>1-H77</f>
        <v>0.9</v>
      </c>
    </row>
    <row r="80" spans="2:12">
      <c r="B80" t="s">
        <v>450</v>
      </c>
      <c r="F80" s="252">
        <f>LOG(F77/F78)</f>
        <v>0.36797678529459432</v>
      </c>
      <c r="G80" s="252">
        <f>LOG(G77/G78)</f>
        <v>-0.6020599913279624</v>
      </c>
      <c r="H80" s="252">
        <f>LOG(H77/H78)</f>
        <v>-0.95424250943932487</v>
      </c>
    </row>
    <row r="81" spans="2:14">
      <c r="F81" s="252"/>
      <c r="G81" s="252"/>
      <c r="H81" s="252"/>
    </row>
    <row r="83" spans="2:14">
      <c r="E83" t="s">
        <v>451</v>
      </c>
      <c r="F83">
        <v>0.36797678529459432</v>
      </c>
      <c r="G83">
        <v>-0.6020599913279624</v>
      </c>
      <c r="H83">
        <v>-0.95424250943932487</v>
      </c>
      <c r="J83" t="s">
        <v>454</v>
      </c>
    </row>
    <row r="86" spans="2:14">
      <c r="B86" t="s">
        <v>452</v>
      </c>
      <c r="F86">
        <f>1/(1+EXP(-F83))</f>
        <v>0.59097000811815192</v>
      </c>
      <c r="G86">
        <f>1/(1+EXP(-G83))</f>
        <v>0.35387254175900806</v>
      </c>
      <c r="H86">
        <f>1/(1+EXP(-H83))</f>
        <v>0.27803241996025485</v>
      </c>
      <c r="J86" t="s">
        <v>453</v>
      </c>
      <c r="N86" t="s">
        <v>459</v>
      </c>
    </row>
    <row r="91" spans="2:14">
      <c r="B91" t="s">
        <v>455</v>
      </c>
      <c r="E91" t="s">
        <v>456</v>
      </c>
    </row>
    <row r="92" spans="2:14">
      <c r="F92">
        <f>EXP(F83)</f>
        <v>1.4448084977809126</v>
      </c>
      <c r="G92">
        <f>EXP(G83)</f>
        <v>0.54768225254253322</v>
      </c>
      <c r="H92">
        <f>EXP(H83)</f>
        <v>0.38510374654904711</v>
      </c>
    </row>
    <row r="94" spans="2:14">
      <c r="E94" t="s">
        <v>457</v>
      </c>
    </row>
    <row r="95" spans="2:14">
      <c r="F95">
        <f>SUM(F92:H92)</f>
        <v>2.3775944968724927</v>
      </c>
    </row>
    <row r="97" spans="5:8">
      <c r="E97" t="s">
        <v>458</v>
      </c>
    </row>
    <row r="99" spans="5:8">
      <c r="F99">
        <f>F92/$F$95</f>
        <v>0.60767658222687915</v>
      </c>
      <c r="G99">
        <f>G92/$F$95</f>
        <v>0.23035141327209452</v>
      </c>
      <c r="H99">
        <f>H92/$F$95</f>
        <v>0.16197200450102645</v>
      </c>
    </row>
  </sheetData>
  <mergeCells count="4">
    <mergeCell ref="B77:B78"/>
    <mergeCell ref="F80:F81"/>
    <mergeCell ref="G80:G81"/>
    <mergeCell ref="H80:H81"/>
  </mergeCells>
  <phoneticPr fontId="5" type="noConversion"/>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7" workbookViewId="0">
      <selection activeCell="T26" sqref="T26"/>
    </sheetView>
  </sheetViews>
  <sheetFormatPr defaultRowHeight="16.5"/>
  <sheetData/>
  <phoneticPr fontId="5" type="noConversion"/>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5"/>
  <sheetViews>
    <sheetView zoomScaleNormal="100" workbookViewId="0">
      <selection activeCell="K56" sqref="K56"/>
    </sheetView>
  </sheetViews>
  <sheetFormatPr defaultRowHeight="16.5"/>
  <cols>
    <col min="1" max="1" width="9" style="84"/>
    <col min="8" max="8" width="10.5" style="84" customWidth="1"/>
  </cols>
  <sheetData>
    <row r="1" spans="2:16">
      <c r="B1" t="s">
        <v>408</v>
      </c>
    </row>
    <row r="2" spans="2:16">
      <c r="I2" t="s">
        <v>369</v>
      </c>
      <c r="O2" s="97" t="s">
        <v>403</v>
      </c>
    </row>
    <row r="3" spans="2:16">
      <c r="I3" t="s">
        <v>370</v>
      </c>
    </row>
    <row r="4" spans="2:16">
      <c r="I4" t="s">
        <v>371</v>
      </c>
    </row>
    <row r="5" spans="2:16">
      <c r="I5" t="s">
        <v>399</v>
      </c>
    </row>
    <row r="6" spans="2:16">
      <c r="I6" t="s">
        <v>372</v>
      </c>
    </row>
    <row r="9" spans="2:16">
      <c r="J9" s="84" t="s">
        <v>373</v>
      </c>
    </row>
    <row r="10" spans="2:16">
      <c r="I10" s="84" t="s">
        <v>377</v>
      </c>
      <c r="J10" s="1"/>
      <c r="L10" s="84" t="s">
        <v>378</v>
      </c>
    </row>
    <row r="11" spans="2:16" ht="18">
      <c r="H11" s="84" t="s">
        <v>374</v>
      </c>
      <c r="J11" s="1"/>
    </row>
    <row r="12" spans="2:16">
      <c r="J12" s="1"/>
    </row>
    <row r="13" spans="2:16" ht="18">
      <c r="H13" s="84" t="s">
        <v>375</v>
      </c>
      <c r="J13" s="1"/>
      <c r="M13" t="s">
        <v>384</v>
      </c>
    </row>
    <row r="14" spans="2:16">
      <c r="J14" s="1"/>
    </row>
    <row r="15" spans="2:16">
      <c r="J15" s="1"/>
    </row>
    <row r="16" spans="2:16">
      <c r="B16" s="84" t="s">
        <v>393</v>
      </c>
      <c r="C16" s="84" t="s">
        <v>394</v>
      </c>
      <c r="D16" s="84"/>
      <c r="E16" s="84" t="s">
        <v>395</v>
      </c>
      <c r="J16" s="1"/>
      <c r="P16" s="96"/>
    </row>
    <row r="17" spans="1:16">
      <c r="B17" s="84" t="s">
        <v>389</v>
      </c>
      <c r="C17" s="84" t="s">
        <v>390</v>
      </c>
      <c r="D17" s="84" t="s">
        <v>391</v>
      </c>
      <c r="E17" s="84" t="s">
        <v>392</v>
      </c>
      <c r="J17" s="1"/>
    </row>
    <row r="18" spans="1:16">
      <c r="A18" s="84" t="s">
        <v>388</v>
      </c>
      <c r="J18" s="1"/>
    </row>
    <row r="19" spans="1:16">
      <c r="A19" s="84" t="s">
        <v>396</v>
      </c>
      <c r="J19" s="1"/>
      <c r="N19" t="s">
        <v>382</v>
      </c>
    </row>
    <row r="20" spans="1:16">
      <c r="A20" s="84" t="s">
        <v>397</v>
      </c>
      <c r="J20" s="1"/>
    </row>
    <row r="21" spans="1:16">
      <c r="J21" s="1"/>
      <c r="N21" s="252" t="s">
        <v>383</v>
      </c>
      <c r="O21" t="s">
        <v>385</v>
      </c>
      <c r="P21" t="s">
        <v>387</v>
      </c>
    </row>
    <row r="22" spans="1:16" ht="18">
      <c r="H22" s="84" t="s">
        <v>376</v>
      </c>
      <c r="J22" s="1"/>
      <c r="N22" s="252"/>
      <c r="O22" t="s">
        <v>386</v>
      </c>
    </row>
    <row r="23" spans="1:16">
      <c r="J23" s="1"/>
    </row>
    <row r="24" spans="1:16">
      <c r="J24" s="1"/>
    </row>
    <row r="25" spans="1:16">
      <c r="J25" s="1"/>
    </row>
    <row r="26" spans="1:16">
      <c r="A26" s="84" t="s">
        <v>398</v>
      </c>
      <c r="J26" s="1"/>
    </row>
    <row r="27" spans="1:16">
      <c r="H27" s="84" t="s">
        <v>379</v>
      </c>
      <c r="J27" s="84" t="s">
        <v>380</v>
      </c>
      <c r="K27" t="s">
        <v>381</v>
      </c>
    </row>
    <row r="30" spans="1:16">
      <c r="H30" s="84" t="s">
        <v>404</v>
      </c>
      <c r="I30">
        <v>480</v>
      </c>
      <c r="K30" t="s">
        <v>405</v>
      </c>
      <c r="L30">
        <v>30</v>
      </c>
    </row>
    <row r="31" spans="1:16">
      <c r="H31" s="84" t="s">
        <v>407</v>
      </c>
      <c r="I31">
        <v>30</v>
      </c>
      <c r="K31" s="84" t="s">
        <v>407</v>
      </c>
      <c r="L31">
        <v>1</v>
      </c>
    </row>
    <row r="32" spans="1:16">
      <c r="I32">
        <v>510</v>
      </c>
      <c r="L32">
        <v>31</v>
      </c>
      <c r="M32" s="95">
        <v>541</v>
      </c>
    </row>
    <row r="45" spans="7:10">
      <c r="G45" t="s">
        <v>400</v>
      </c>
      <c r="H45" s="84" t="s">
        <v>401</v>
      </c>
      <c r="I45" s="2">
        <f>470/32</f>
        <v>14.6875</v>
      </c>
      <c r="J45" t="s">
        <v>402</v>
      </c>
    </row>
  </sheetData>
  <mergeCells count="1">
    <mergeCell ref="N21:N22"/>
  </mergeCells>
  <phoneticPr fontId="5" type="noConversion"/>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6"/>
  <sheetViews>
    <sheetView zoomScaleNormal="100" workbookViewId="0">
      <selection activeCell="I5" sqref="I5"/>
    </sheetView>
  </sheetViews>
  <sheetFormatPr defaultRowHeight="16.5"/>
  <cols>
    <col min="1" max="1" width="9" style="84"/>
    <col min="8" max="8" width="10.5" style="84" customWidth="1"/>
  </cols>
  <sheetData>
    <row r="1" spans="2:16">
      <c r="B1" t="s">
        <v>409</v>
      </c>
    </row>
    <row r="2" spans="2:16">
      <c r="I2" t="s">
        <v>369</v>
      </c>
      <c r="P2" s="97" t="s">
        <v>403</v>
      </c>
    </row>
    <row r="3" spans="2:16">
      <c r="I3" t="s">
        <v>416</v>
      </c>
    </row>
    <row r="4" spans="2:16">
      <c r="I4" t="s">
        <v>433</v>
      </c>
    </row>
    <row r="5" spans="2:16">
      <c r="I5" t="s">
        <v>371</v>
      </c>
    </row>
    <row r="6" spans="2:16">
      <c r="I6" t="s">
        <v>399</v>
      </c>
    </row>
    <row r="7" spans="2:16">
      <c r="I7" t="s">
        <v>415</v>
      </c>
    </row>
    <row r="10" spans="2:16">
      <c r="J10" s="84" t="s">
        <v>420</v>
      </c>
    </row>
    <row r="11" spans="2:16">
      <c r="I11" s="84" t="s">
        <v>377</v>
      </c>
      <c r="J11" s="1"/>
      <c r="L11" s="84" t="s">
        <v>419</v>
      </c>
      <c r="M11" s="84"/>
    </row>
    <row r="12" spans="2:16" ht="18">
      <c r="H12" s="84" t="s">
        <v>374</v>
      </c>
      <c r="J12" s="1"/>
      <c r="L12" s="1"/>
    </row>
    <row r="13" spans="2:16">
      <c r="J13" s="1"/>
      <c r="L13" s="1"/>
    </row>
    <row r="14" spans="2:16" ht="18">
      <c r="H14" s="84" t="s">
        <v>375</v>
      </c>
      <c r="J14" s="1"/>
      <c r="L14" s="1"/>
    </row>
    <row r="15" spans="2:16">
      <c r="J15" s="1"/>
      <c r="L15" s="1"/>
    </row>
    <row r="16" spans="2:16">
      <c r="J16" s="1"/>
      <c r="L16" s="1"/>
      <c r="N16" s="84" t="s">
        <v>421</v>
      </c>
    </row>
    <row r="17" spans="1:17">
      <c r="B17" s="84" t="s">
        <v>393</v>
      </c>
      <c r="C17" s="84" t="s">
        <v>394</v>
      </c>
      <c r="D17" s="84"/>
      <c r="E17" s="84" t="s">
        <v>412</v>
      </c>
      <c r="J17" s="1"/>
      <c r="L17" s="1"/>
      <c r="N17" s="1"/>
      <c r="Q17" s="96"/>
    </row>
    <row r="18" spans="1:17">
      <c r="B18" s="84" t="s">
        <v>389</v>
      </c>
      <c r="C18" s="84" t="s">
        <v>390</v>
      </c>
      <c r="D18" s="84" t="s">
        <v>391</v>
      </c>
      <c r="E18" s="84" t="s">
        <v>411</v>
      </c>
      <c r="J18" s="1"/>
      <c r="L18" s="1"/>
      <c r="N18" s="1"/>
    </row>
    <row r="19" spans="1:17">
      <c r="A19" s="84" t="s">
        <v>388</v>
      </c>
      <c r="J19" s="1"/>
      <c r="L19" s="1"/>
    </row>
    <row r="20" spans="1:17">
      <c r="A20" s="84" t="s">
        <v>396</v>
      </c>
      <c r="J20" s="1"/>
      <c r="L20" s="1"/>
      <c r="O20" t="s">
        <v>382</v>
      </c>
    </row>
    <row r="21" spans="1:17">
      <c r="A21" s="84" t="s">
        <v>397</v>
      </c>
      <c r="J21" s="1"/>
      <c r="L21" s="1"/>
    </row>
    <row r="22" spans="1:17">
      <c r="J22" s="1"/>
      <c r="L22" s="1"/>
      <c r="O22" s="252" t="s">
        <v>383</v>
      </c>
      <c r="P22" t="s">
        <v>385</v>
      </c>
      <c r="Q22" t="s">
        <v>387</v>
      </c>
    </row>
    <row r="23" spans="1:17" ht="18">
      <c r="H23" s="84" t="s">
        <v>413</v>
      </c>
      <c r="J23" s="1"/>
      <c r="L23" s="1"/>
      <c r="O23" s="252"/>
      <c r="P23" t="s">
        <v>386</v>
      </c>
    </row>
    <row r="24" spans="1:17">
      <c r="J24" s="1"/>
      <c r="L24" s="1"/>
    </row>
    <row r="25" spans="1:17">
      <c r="J25" s="1"/>
      <c r="L25" s="1"/>
    </row>
    <row r="26" spans="1:17">
      <c r="J26" s="1"/>
      <c r="L26" s="84" t="s">
        <v>418</v>
      </c>
      <c r="M26" t="s">
        <v>381</v>
      </c>
    </row>
    <row r="27" spans="1:17">
      <c r="A27" s="84" t="s">
        <v>410</v>
      </c>
      <c r="J27" s="1"/>
    </row>
    <row r="28" spans="1:17">
      <c r="H28" s="84" t="s">
        <v>414</v>
      </c>
      <c r="J28" s="84" t="s">
        <v>417</v>
      </c>
      <c r="K28" t="s">
        <v>381</v>
      </c>
    </row>
    <row r="31" spans="1:17">
      <c r="H31" s="84" t="s">
        <v>424</v>
      </c>
      <c r="I31">
        <f xml:space="preserve"> 8 * 12</f>
        <v>96</v>
      </c>
      <c r="J31" s="83" t="s">
        <v>425</v>
      </c>
      <c r="K31">
        <f xml:space="preserve"> 8 * 12</f>
        <v>96</v>
      </c>
      <c r="M31">
        <v>8</v>
      </c>
    </row>
    <row r="32" spans="1:17">
      <c r="H32" s="84" t="s">
        <v>407</v>
      </c>
      <c r="I32">
        <v>12</v>
      </c>
      <c r="J32" s="84" t="s">
        <v>406</v>
      </c>
      <c r="K32" s="98">
        <v>8</v>
      </c>
      <c r="L32" s="84"/>
      <c r="M32">
        <v>1</v>
      </c>
    </row>
    <row r="33" spans="7:14">
      <c r="I33">
        <f>SUM(I31:I32)</f>
        <v>108</v>
      </c>
      <c r="K33">
        <f>SUM(K31:K32)</f>
        <v>104</v>
      </c>
      <c r="M33">
        <f>SUM(M31:M32)</f>
        <v>9</v>
      </c>
      <c r="N33" s="95">
        <f>SUM(I33,K33,M33)</f>
        <v>221</v>
      </c>
    </row>
    <row r="36" spans="7:14">
      <c r="I36">
        <v>442</v>
      </c>
      <c r="J36">
        <v>2</v>
      </c>
    </row>
    <row r="38" spans="7:14">
      <c r="H38" s="84" t="s">
        <v>426</v>
      </c>
      <c r="J38">
        <f>SUM(I36:J36)</f>
        <v>444</v>
      </c>
    </row>
    <row r="40" spans="7:14">
      <c r="H40" s="84" t="s">
        <v>427</v>
      </c>
      <c r="J40" s="100">
        <f>SUM(N33,J38)</f>
        <v>665</v>
      </c>
    </row>
    <row r="46" spans="7:14">
      <c r="G46" t="s">
        <v>423</v>
      </c>
      <c r="H46" s="84" t="s">
        <v>422</v>
      </c>
      <c r="I46" s="2">
        <f>768/32</f>
        <v>24</v>
      </c>
      <c r="J46" t="s">
        <v>402</v>
      </c>
    </row>
  </sheetData>
  <mergeCells count="1">
    <mergeCell ref="O22:O23"/>
  </mergeCells>
  <phoneticPr fontId="5" type="noConversion"/>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6"/>
  <sheetViews>
    <sheetView zoomScaleNormal="100" workbookViewId="0">
      <selection activeCell="O3" sqref="O3"/>
    </sheetView>
  </sheetViews>
  <sheetFormatPr defaultRowHeight="16.5"/>
  <cols>
    <col min="1" max="1" width="9" style="84"/>
    <col min="8" max="8" width="10.5" style="84" customWidth="1"/>
  </cols>
  <sheetData>
    <row r="1" spans="2:16">
      <c r="B1" t="s">
        <v>492</v>
      </c>
    </row>
    <row r="2" spans="2:16">
      <c r="I2" t="s">
        <v>369</v>
      </c>
      <c r="P2" s="97" t="s">
        <v>403</v>
      </c>
    </row>
    <row r="3" spans="2:16">
      <c r="I3" t="s">
        <v>430</v>
      </c>
    </row>
    <row r="4" spans="2:16">
      <c r="I4" t="s">
        <v>434</v>
      </c>
    </row>
    <row r="5" spans="2:16">
      <c r="I5" t="s">
        <v>496</v>
      </c>
    </row>
    <row r="6" spans="2:16">
      <c r="I6" t="s">
        <v>495</v>
      </c>
    </row>
    <row r="7" spans="2:16">
      <c r="I7" t="s">
        <v>415</v>
      </c>
    </row>
    <row r="10" spans="2:16">
      <c r="J10" s="84" t="s">
        <v>420</v>
      </c>
    </row>
    <row r="11" spans="2:16">
      <c r="I11" s="84" t="s">
        <v>377</v>
      </c>
      <c r="J11" s="1"/>
      <c r="L11" s="84" t="s">
        <v>419</v>
      </c>
      <c r="M11" s="84"/>
    </row>
    <row r="12" spans="2:16">
      <c r="J12" s="1"/>
      <c r="K12" s="84" t="s">
        <v>436</v>
      </c>
      <c r="L12" s="1"/>
    </row>
    <row r="13" spans="2:16">
      <c r="J13" s="1"/>
      <c r="L13" s="1"/>
      <c r="M13" s="84" t="s">
        <v>437</v>
      </c>
    </row>
    <row r="14" spans="2:16" ht="18">
      <c r="H14" s="84" t="s">
        <v>374</v>
      </c>
      <c r="J14" s="1"/>
      <c r="L14" s="1"/>
    </row>
    <row r="15" spans="2:16">
      <c r="J15" s="1"/>
      <c r="L15" s="1"/>
    </row>
    <row r="16" spans="2:16" ht="18">
      <c r="H16" s="84" t="s">
        <v>375</v>
      </c>
      <c r="J16" s="1"/>
      <c r="L16" s="1"/>
      <c r="N16" s="84" t="s">
        <v>421</v>
      </c>
    </row>
    <row r="17" spans="2:17">
      <c r="B17" s="84"/>
      <c r="C17" s="84"/>
      <c r="D17" s="84"/>
      <c r="E17" s="84"/>
      <c r="J17" s="1"/>
      <c r="L17" s="1"/>
      <c r="N17" s="1"/>
      <c r="O17" t="s">
        <v>438</v>
      </c>
      <c r="Q17" s="33">
        <v>0.7</v>
      </c>
    </row>
    <row r="18" spans="2:17" ht="18">
      <c r="B18" s="84"/>
      <c r="C18" s="84"/>
      <c r="D18" s="84"/>
      <c r="E18" s="84"/>
      <c r="H18" s="84" t="s">
        <v>431</v>
      </c>
      <c r="J18" s="1"/>
      <c r="L18" s="1"/>
      <c r="N18" s="1"/>
      <c r="O18" s="260" t="s">
        <v>439</v>
      </c>
      <c r="P18" s="260"/>
      <c r="Q18" s="261">
        <v>0.2</v>
      </c>
    </row>
    <row r="19" spans="2:17">
      <c r="J19" s="1"/>
      <c r="L19" s="1"/>
      <c r="N19" s="1"/>
      <c r="O19" s="260"/>
      <c r="P19" s="260"/>
      <c r="Q19" s="261"/>
    </row>
    <row r="20" spans="2:17" ht="18">
      <c r="H20" s="84" t="s">
        <v>432</v>
      </c>
      <c r="J20" s="1"/>
      <c r="L20" s="1"/>
      <c r="N20" s="1"/>
      <c r="O20" t="s">
        <v>440</v>
      </c>
      <c r="Q20">
        <v>0.1</v>
      </c>
    </row>
    <row r="21" spans="2:17">
      <c r="J21" s="1"/>
      <c r="L21" s="1"/>
      <c r="O21" t="s">
        <v>435</v>
      </c>
      <c r="Q21">
        <v>1</v>
      </c>
    </row>
    <row r="22" spans="2:17">
      <c r="J22" s="1"/>
      <c r="L22" s="1"/>
      <c r="O22" s="252"/>
    </row>
    <row r="23" spans="2:17">
      <c r="J23" s="1"/>
      <c r="L23" s="1"/>
      <c r="O23" s="252"/>
    </row>
    <row r="24" spans="2:17">
      <c r="J24" s="1"/>
      <c r="L24" s="1"/>
      <c r="O24" t="s">
        <v>460</v>
      </c>
    </row>
    <row r="25" spans="2:17">
      <c r="J25" s="1"/>
      <c r="L25" s="1"/>
    </row>
    <row r="26" spans="2:17">
      <c r="J26" s="1"/>
      <c r="L26" s="84"/>
    </row>
    <row r="27" spans="2:17">
      <c r="J27" s="1"/>
    </row>
    <row r="28" spans="2:17">
      <c r="J28" s="84"/>
    </row>
    <row r="30" spans="2:17">
      <c r="I30" t="s">
        <v>461</v>
      </c>
      <c r="J30">
        <f>12*4</f>
        <v>48</v>
      </c>
      <c r="K30" t="s">
        <v>462</v>
      </c>
      <c r="L30">
        <f xml:space="preserve"> 12*8</f>
        <v>96</v>
      </c>
      <c r="M30" t="s">
        <v>464</v>
      </c>
      <c r="N30">
        <f>8*3</f>
        <v>24</v>
      </c>
    </row>
    <row r="31" spans="2:17">
      <c r="I31" t="s">
        <v>463</v>
      </c>
      <c r="J31" s="83">
        <f xml:space="preserve"> 12 * 1</f>
        <v>12</v>
      </c>
      <c r="K31" t="s">
        <v>463</v>
      </c>
      <c r="L31">
        <v>8</v>
      </c>
      <c r="M31" t="s">
        <v>463</v>
      </c>
      <c r="N31">
        <f>3*1</f>
        <v>3</v>
      </c>
    </row>
    <row r="32" spans="2:17">
      <c r="J32" s="84">
        <f>J30+J31</f>
        <v>60</v>
      </c>
      <c r="K32" s="98"/>
      <c r="L32" s="84">
        <f>L30+L31</f>
        <v>104</v>
      </c>
      <c r="N32">
        <f>N30+N31</f>
        <v>27</v>
      </c>
    </row>
    <row r="33" spans="6:14">
      <c r="N33" s="95"/>
    </row>
    <row r="34" spans="6:14">
      <c r="N34">
        <f>SUM(J32,L32,N32)</f>
        <v>191</v>
      </c>
    </row>
    <row r="36" spans="6:14">
      <c r="F36" t="s">
        <v>466</v>
      </c>
      <c r="I36">
        <v>191</v>
      </c>
      <c r="J36">
        <v>2</v>
      </c>
      <c r="K36">
        <f>I36*2+J36</f>
        <v>384</v>
      </c>
    </row>
    <row r="38" spans="6:14">
      <c r="F38" t="s">
        <v>465</v>
      </c>
      <c r="J38" s="99">
        <f>N34+K36</f>
        <v>575</v>
      </c>
    </row>
    <row r="40" spans="6:14">
      <c r="J40" s="100"/>
    </row>
    <row r="46" spans="6:14">
      <c r="I46" s="2"/>
    </row>
  </sheetData>
  <mergeCells count="3">
    <mergeCell ref="O22:O23"/>
    <mergeCell ref="O18:P19"/>
    <mergeCell ref="Q18:Q19"/>
  </mergeCells>
  <phoneticPr fontId="5" type="noConversion"/>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6"/>
  <sheetViews>
    <sheetView zoomScaleNormal="100" workbookViewId="0">
      <selection activeCell="I6" sqref="I6"/>
    </sheetView>
  </sheetViews>
  <sheetFormatPr defaultRowHeight="16.5"/>
  <cols>
    <col min="1" max="1" width="9" style="94"/>
    <col min="8" max="8" width="10.5" style="94" customWidth="1"/>
  </cols>
  <sheetData>
    <row r="1" spans="2:16">
      <c r="B1" t="s">
        <v>480</v>
      </c>
    </row>
    <row r="2" spans="2:16">
      <c r="I2" t="s">
        <v>369</v>
      </c>
      <c r="P2" s="97" t="s">
        <v>403</v>
      </c>
    </row>
    <row r="3" spans="2:16">
      <c r="I3" t="s">
        <v>478</v>
      </c>
    </row>
    <row r="4" spans="2:16">
      <c r="I4" t="s">
        <v>479</v>
      </c>
    </row>
    <row r="5" spans="2:16">
      <c r="I5" t="s">
        <v>481</v>
      </c>
    </row>
    <row r="6" spans="2:16">
      <c r="I6" t="s">
        <v>491</v>
      </c>
    </row>
    <row r="7" spans="2:16">
      <c r="I7" t="s">
        <v>482</v>
      </c>
    </row>
    <row r="10" spans="2:16">
      <c r="J10" s="94" t="s">
        <v>420</v>
      </c>
    </row>
    <row r="11" spans="2:16">
      <c r="I11" s="94" t="s">
        <v>377</v>
      </c>
      <c r="J11" s="1"/>
      <c r="L11" s="94" t="s">
        <v>419</v>
      </c>
      <c r="M11" s="94"/>
    </row>
    <row r="12" spans="2:16">
      <c r="J12" s="1"/>
      <c r="K12" s="94" t="s">
        <v>378</v>
      </c>
      <c r="L12" s="1"/>
    </row>
    <row r="13" spans="2:16">
      <c r="J13" s="1"/>
      <c r="L13" s="1"/>
      <c r="M13" s="94" t="s">
        <v>437</v>
      </c>
    </row>
    <row r="14" spans="2:16" ht="18">
      <c r="H14" s="94" t="s">
        <v>374</v>
      </c>
      <c r="J14" s="1"/>
      <c r="L14" s="1"/>
    </row>
    <row r="15" spans="2:16">
      <c r="J15" s="1"/>
      <c r="L15" s="1"/>
    </row>
    <row r="16" spans="2:16" ht="18">
      <c r="H16" s="94" t="s">
        <v>375</v>
      </c>
      <c r="J16" s="1"/>
      <c r="L16" s="1"/>
      <c r="N16" s="94" t="s">
        <v>421</v>
      </c>
    </row>
    <row r="17" spans="2:17">
      <c r="B17" s="94"/>
      <c r="C17" s="94"/>
      <c r="D17" s="94"/>
      <c r="E17" s="94"/>
      <c r="J17" s="1"/>
      <c r="L17" s="1"/>
      <c r="N17" s="1"/>
      <c r="O17" t="s">
        <v>483</v>
      </c>
      <c r="Q17" s="33"/>
    </row>
    <row r="18" spans="2:17" ht="18">
      <c r="B18" s="94"/>
      <c r="C18" s="94"/>
      <c r="D18" s="94"/>
      <c r="E18" s="94"/>
      <c r="H18" s="94" t="s">
        <v>431</v>
      </c>
      <c r="J18" s="1"/>
      <c r="L18" s="1"/>
      <c r="N18" s="1"/>
      <c r="O18" s="101" t="s">
        <v>484</v>
      </c>
      <c r="P18" s="101"/>
      <c r="Q18" s="102"/>
    </row>
    <row r="19" spans="2:17">
      <c r="J19" s="1"/>
      <c r="L19" s="1"/>
      <c r="N19" s="1"/>
      <c r="O19" s="101"/>
      <c r="P19" s="101"/>
      <c r="Q19" s="102"/>
    </row>
    <row r="20" spans="2:17" ht="18">
      <c r="H20" s="94" t="s">
        <v>432</v>
      </c>
      <c r="J20" s="1"/>
      <c r="L20" s="1"/>
      <c r="N20" s="1"/>
    </row>
    <row r="21" spans="2:17">
      <c r="J21" s="1"/>
      <c r="L21" s="1"/>
    </row>
    <row r="22" spans="2:17">
      <c r="J22" s="1"/>
      <c r="L22" s="1"/>
      <c r="O22" s="252"/>
    </row>
    <row r="23" spans="2:17">
      <c r="J23" s="1"/>
      <c r="L23" s="1"/>
      <c r="O23" s="252"/>
    </row>
    <row r="24" spans="2:17">
      <c r="J24" s="1"/>
      <c r="L24" s="1"/>
    </row>
    <row r="25" spans="2:17">
      <c r="J25" s="1"/>
      <c r="L25" s="1"/>
    </row>
    <row r="26" spans="2:17">
      <c r="J26" s="1"/>
      <c r="L26" s="94"/>
    </row>
    <row r="27" spans="2:17">
      <c r="J27" s="1"/>
    </row>
    <row r="28" spans="2:17">
      <c r="J28" s="94"/>
    </row>
    <row r="31" spans="2:17">
      <c r="J31" s="93"/>
    </row>
    <row r="32" spans="2:17">
      <c r="J32" s="94"/>
      <c r="K32" s="98"/>
      <c r="L32" s="94"/>
    </row>
    <row r="33" spans="9:14">
      <c r="N33" s="95"/>
    </row>
    <row r="38" spans="9:14">
      <c r="J38" s="99"/>
    </row>
    <row r="40" spans="9:14">
      <c r="J40" s="100"/>
    </row>
    <row r="46" spans="9:14">
      <c r="I46" s="2"/>
    </row>
  </sheetData>
  <mergeCells count="1">
    <mergeCell ref="O22:O23"/>
  </mergeCells>
  <phoneticPr fontId="5" type="noConversion"/>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topLeftCell="B7" zoomScaleNormal="100" workbookViewId="0">
      <selection activeCell="H11" sqref="H11:P28"/>
    </sheetView>
  </sheetViews>
  <sheetFormatPr defaultRowHeight="16.5"/>
  <cols>
    <col min="1" max="1" width="13.125" style="94" customWidth="1"/>
    <col min="8" max="8" width="10.5" style="94" customWidth="1"/>
    <col min="9" max="9" width="12.125" customWidth="1"/>
  </cols>
  <sheetData>
    <row r="1" spans="2:18">
      <c r="B1" t="s">
        <v>488</v>
      </c>
    </row>
    <row r="2" spans="2:18">
      <c r="I2" t="s">
        <v>369</v>
      </c>
      <c r="R2" s="97" t="s">
        <v>403</v>
      </c>
    </row>
    <row r="3" spans="2:18">
      <c r="I3" t="s">
        <v>510</v>
      </c>
    </row>
    <row r="4" spans="2:18">
      <c r="I4" t="s">
        <v>489</v>
      </c>
    </row>
    <row r="5" spans="2:18">
      <c r="I5" t="s">
        <v>490</v>
      </c>
    </row>
    <row r="6" spans="2:18">
      <c r="I6" t="s">
        <v>481</v>
      </c>
    </row>
    <row r="7" spans="2:18">
      <c r="I7" t="s">
        <v>499</v>
      </c>
    </row>
    <row r="8" spans="2:18">
      <c r="I8" t="s">
        <v>500</v>
      </c>
    </row>
    <row r="11" spans="2:18">
      <c r="J11" s="94" t="s">
        <v>420</v>
      </c>
    </row>
    <row r="12" spans="2:18">
      <c r="I12" s="94" t="s">
        <v>377</v>
      </c>
      <c r="J12" s="1"/>
      <c r="L12" s="94" t="s">
        <v>419</v>
      </c>
      <c r="M12" s="94"/>
      <c r="N12" s="94"/>
      <c r="O12" s="94"/>
    </row>
    <row r="13" spans="2:18">
      <c r="J13" s="1"/>
      <c r="K13" s="94" t="s">
        <v>378</v>
      </c>
      <c r="L13" s="1"/>
    </row>
    <row r="14" spans="2:18">
      <c r="J14" s="1"/>
      <c r="L14" s="1"/>
      <c r="M14" s="94" t="s">
        <v>437</v>
      </c>
      <c r="N14" s="94" t="s">
        <v>493</v>
      </c>
      <c r="O14" s="94"/>
    </row>
    <row r="15" spans="2:18" ht="18">
      <c r="H15" s="94" t="s">
        <v>374</v>
      </c>
      <c r="J15" s="1"/>
      <c r="L15" s="1"/>
      <c r="N15" s="1"/>
    </row>
    <row r="16" spans="2:18">
      <c r="J16" s="1"/>
      <c r="L16" s="1"/>
      <c r="N16" s="1"/>
    </row>
    <row r="17" spans="2:20" ht="18">
      <c r="H17" s="94" t="s">
        <v>375</v>
      </c>
      <c r="J17" s="1"/>
      <c r="L17" s="1"/>
      <c r="N17" s="1"/>
      <c r="P17" s="94" t="s">
        <v>494</v>
      </c>
    </row>
    <row r="18" spans="2:20">
      <c r="B18" s="94"/>
      <c r="C18" s="94"/>
      <c r="D18" s="94"/>
      <c r="E18" s="94"/>
      <c r="J18" s="1"/>
      <c r="L18" s="1"/>
      <c r="N18" s="1"/>
      <c r="P18" s="1"/>
      <c r="Q18" t="s">
        <v>497</v>
      </c>
      <c r="S18" s="33"/>
    </row>
    <row r="19" spans="2:20" ht="18">
      <c r="B19" s="94"/>
      <c r="C19" s="94"/>
      <c r="D19" s="94"/>
      <c r="E19" s="94"/>
      <c r="H19" s="94" t="s">
        <v>431</v>
      </c>
      <c r="J19" s="1"/>
      <c r="L19" s="1"/>
      <c r="N19" s="1"/>
      <c r="P19" s="1"/>
      <c r="Q19" s="101" t="s">
        <v>498</v>
      </c>
      <c r="R19" s="101"/>
      <c r="S19" s="102"/>
    </row>
    <row r="20" spans="2:20">
      <c r="J20" s="1"/>
      <c r="L20" s="1"/>
      <c r="N20" s="1"/>
      <c r="P20" s="1"/>
      <c r="Q20" s="101"/>
      <c r="R20" s="101"/>
      <c r="S20" s="102"/>
    </row>
    <row r="21" spans="2:20" ht="18">
      <c r="H21" s="94" t="s">
        <v>432</v>
      </c>
      <c r="J21" s="1"/>
      <c r="L21" s="1"/>
      <c r="N21" s="1"/>
      <c r="P21" s="1"/>
    </row>
    <row r="22" spans="2:20">
      <c r="J22" s="1"/>
      <c r="L22" s="1"/>
      <c r="N22" s="1"/>
    </row>
    <row r="23" spans="2:20">
      <c r="J23" s="1"/>
      <c r="L23" s="1"/>
      <c r="N23" s="1"/>
      <c r="Q23" s="252"/>
    </row>
    <row r="24" spans="2:20">
      <c r="J24" s="1"/>
      <c r="L24" s="1"/>
      <c r="N24" s="1"/>
      <c r="Q24" s="252"/>
    </row>
    <row r="25" spans="2:20">
      <c r="J25" s="1"/>
      <c r="L25" s="1"/>
      <c r="N25" s="24"/>
    </row>
    <row r="26" spans="2:20">
      <c r="J26" s="1"/>
      <c r="L26" s="1"/>
      <c r="N26" s="24"/>
    </row>
    <row r="27" spans="2:20">
      <c r="J27" s="1"/>
      <c r="L27" s="94"/>
    </row>
    <row r="28" spans="2:20">
      <c r="J28" s="1"/>
    </row>
    <row r="29" spans="2:20">
      <c r="J29">
        <v>36</v>
      </c>
      <c r="L29">
        <v>12</v>
      </c>
      <c r="N29" s="24">
        <v>8</v>
      </c>
      <c r="P29">
        <v>1</v>
      </c>
    </row>
    <row r="30" spans="2:20">
      <c r="C30" t="s">
        <v>502</v>
      </c>
      <c r="D30" t="s">
        <v>501</v>
      </c>
      <c r="H30"/>
      <c r="T30" t="s">
        <v>509</v>
      </c>
    </row>
    <row r="31" spans="2:20">
      <c r="H31"/>
    </row>
    <row r="32" spans="2:20">
      <c r="C32" s="104"/>
      <c r="D32" s="109"/>
      <c r="E32" s="104"/>
      <c r="F32" s="104"/>
      <c r="G32" s="109"/>
      <c r="H32"/>
      <c r="J32" s="104"/>
      <c r="K32" s="109"/>
      <c r="L32" s="104"/>
      <c r="M32" s="104"/>
      <c r="N32" s="109"/>
    </row>
    <row r="33" spans="1:18">
      <c r="C33" s="104"/>
      <c r="D33" s="109"/>
      <c r="E33" s="104"/>
      <c r="F33" s="104"/>
      <c r="G33" s="109"/>
      <c r="H33"/>
      <c r="J33" s="104"/>
      <c r="K33" s="109"/>
      <c r="L33" s="104"/>
      <c r="M33" s="104"/>
      <c r="N33" s="109"/>
    </row>
    <row r="34" spans="1:18">
      <c r="C34" s="104"/>
      <c r="D34" s="109"/>
      <c r="E34" s="104"/>
      <c r="F34" s="104"/>
      <c r="G34" s="109"/>
      <c r="H34"/>
      <c r="J34" s="104"/>
      <c r="K34" s="109"/>
      <c r="L34" s="104"/>
      <c r="M34" s="104"/>
      <c r="N34" s="109"/>
      <c r="P34" s="95"/>
    </row>
    <row r="35" spans="1:18">
      <c r="C35" s="104"/>
      <c r="D35" s="109"/>
      <c r="E35" s="104"/>
      <c r="F35" s="104"/>
      <c r="G35" s="109"/>
      <c r="H35"/>
      <c r="J35" s="104"/>
      <c r="K35" s="109"/>
      <c r="L35" s="104"/>
      <c r="M35" s="104"/>
      <c r="N35" s="109"/>
    </row>
    <row r="36" spans="1:18">
      <c r="A36" s="94" t="s">
        <v>508</v>
      </c>
      <c r="B36" s="94">
        <v>8</v>
      </c>
      <c r="C36" s="104"/>
      <c r="D36" s="109"/>
      <c r="E36" s="104"/>
      <c r="F36" s="104"/>
      <c r="G36" s="109"/>
      <c r="H36"/>
      <c r="J36" s="104"/>
      <c r="K36" s="109"/>
      <c r="L36" s="104"/>
      <c r="M36" s="104"/>
      <c r="N36" s="109"/>
    </row>
    <row r="37" spans="1:18">
      <c r="B37" s="94"/>
      <c r="C37" s="104"/>
      <c r="D37" s="109"/>
      <c r="E37" s="104"/>
      <c r="F37" s="104"/>
      <c r="G37" s="109"/>
      <c r="H37"/>
      <c r="J37" s="104"/>
      <c r="K37" s="109"/>
      <c r="L37" s="104"/>
      <c r="M37" s="104"/>
      <c r="N37" s="109"/>
      <c r="P37" t="s">
        <v>507</v>
      </c>
    </row>
    <row r="38" spans="1:18">
      <c r="B38" s="94"/>
      <c r="C38" s="104"/>
      <c r="D38" s="109"/>
      <c r="E38" s="104"/>
      <c r="F38" s="104"/>
      <c r="G38" s="109"/>
      <c r="H38"/>
      <c r="I38" t="s">
        <v>505</v>
      </c>
      <c r="J38" s="126"/>
      <c r="K38" s="127"/>
      <c r="L38" s="126"/>
      <c r="M38" s="126"/>
      <c r="N38" s="127"/>
      <c r="P38" t="s">
        <v>511</v>
      </c>
      <c r="R38" t="s">
        <v>506</v>
      </c>
    </row>
    <row r="39" spans="1:18">
      <c r="B39" s="94"/>
      <c r="C39" s="119"/>
      <c r="D39" s="120"/>
      <c r="E39" s="119"/>
      <c r="F39" s="119"/>
      <c r="G39" s="120"/>
      <c r="H39"/>
      <c r="J39" s="128"/>
      <c r="K39" s="129"/>
      <c r="L39" s="128"/>
      <c r="M39" s="128"/>
      <c r="N39" s="129"/>
    </row>
    <row r="40" spans="1:18">
      <c r="B40" s="94"/>
      <c r="C40" s="123"/>
      <c r="D40" s="124"/>
      <c r="E40" s="123"/>
      <c r="F40" s="123"/>
      <c r="G40" s="124"/>
      <c r="H40"/>
      <c r="J40" s="121"/>
      <c r="K40" s="122"/>
      <c r="L40" s="121"/>
      <c r="M40" s="121"/>
      <c r="N40" s="122"/>
    </row>
    <row r="41" spans="1:18">
      <c r="A41" s="56" t="s">
        <v>504</v>
      </c>
      <c r="B41" s="94">
        <v>2</v>
      </c>
      <c r="C41" s="107"/>
      <c r="D41" s="110"/>
      <c r="E41" s="107"/>
      <c r="F41" s="107"/>
      <c r="G41" s="110"/>
      <c r="H41"/>
      <c r="J41" s="125"/>
      <c r="K41" s="10"/>
      <c r="L41" s="10" t="s">
        <v>503</v>
      </c>
      <c r="M41" s="10"/>
      <c r="N41" s="10"/>
    </row>
    <row r="42" spans="1:18">
      <c r="C42" s="105"/>
      <c r="D42" s="111"/>
      <c r="E42" s="105"/>
      <c r="F42" s="105"/>
      <c r="G42" s="111"/>
      <c r="H42"/>
    </row>
    <row r="47" spans="1:18">
      <c r="I47" s="2"/>
    </row>
  </sheetData>
  <mergeCells count="1">
    <mergeCell ref="Q23:Q24"/>
  </mergeCells>
  <phoneticPr fontId="5" type="noConversion"/>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2"/>
  <sheetViews>
    <sheetView workbookViewId="0">
      <selection activeCell="M33" sqref="M33"/>
    </sheetView>
  </sheetViews>
  <sheetFormatPr defaultRowHeight="16.5"/>
  <cols>
    <col min="3" max="3" width="12.5" customWidth="1"/>
  </cols>
  <sheetData>
    <row r="1" spans="2:12">
      <c r="B1" t="s">
        <v>474</v>
      </c>
    </row>
    <row r="3" spans="2:12" s="1" customFormat="1">
      <c r="C3" s="1" t="s">
        <v>472</v>
      </c>
    </row>
    <row r="4" spans="2:12">
      <c r="C4" s="112" t="s">
        <v>469</v>
      </c>
      <c r="D4" s="113" t="s">
        <v>470</v>
      </c>
      <c r="E4" s="112"/>
      <c r="F4" s="112"/>
      <c r="G4" s="112"/>
      <c r="H4" s="112"/>
      <c r="I4" s="112"/>
      <c r="J4" s="112"/>
      <c r="K4" s="112"/>
      <c r="L4" s="112"/>
    </row>
    <row r="5" spans="2:12">
      <c r="C5" s="112"/>
      <c r="D5" s="114" t="s">
        <v>471</v>
      </c>
      <c r="E5" s="112"/>
      <c r="F5" s="112"/>
      <c r="G5" s="112"/>
      <c r="H5" s="112"/>
      <c r="I5" s="112"/>
      <c r="J5" s="112"/>
      <c r="K5" s="112"/>
      <c r="L5" s="112"/>
    </row>
    <row r="8" spans="2:12" s="1" customFormat="1">
      <c r="C8" s="1" t="s">
        <v>473</v>
      </c>
    </row>
    <row r="10" spans="2:12">
      <c r="D10" s="112" t="s">
        <v>475</v>
      </c>
      <c r="E10" s="113" t="s">
        <v>476</v>
      </c>
      <c r="F10" s="112"/>
      <c r="G10" s="112"/>
      <c r="H10" s="112"/>
      <c r="I10" s="112"/>
      <c r="J10" s="112"/>
    </row>
    <row r="11" spans="2:12">
      <c r="D11" s="112"/>
      <c r="F11" s="112"/>
      <c r="G11" s="112"/>
      <c r="H11" s="112"/>
      <c r="I11" s="112"/>
      <c r="J11" s="112"/>
    </row>
    <row r="12" spans="2:12">
      <c r="E12" s="113" t="s">
        <v>477</v>
      </c>
    </row>
  </sheetData>
  <phoneticPr fontId="5" type="noConversion"/>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4"/>
  <sheetViews>
    <sheetView workbookViewId="0">
      <selection activeCell="M17" sqref="M17"/>
    </sheetView>
  </sheetViews>
  <sheetFormatPr defaultRowHeight="16.5"/>
  <sheetData>
    <row r="2" spans="2:2" s="1" customFormat="1">
      <c r="B2" s="1" t="s">
        <v>428</v>
      </c>
    </row>
    <row r="4" spans="2:2">
      <c r="B4" t="s">
        <v>429</v>
      </c>
    </row>
  </sheetData>
  <phoneticPr fontId="5"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20"/>
  <sheetViews>
    <sheetView workbookViewId="0">
      <selection activeCell="E25" sqref="E25"/>
    </sheetView>
  </sheetViews>
  <sheetFormatPr defaultRowHeight="16.5"/>
  <cols>
    <col min="3" max="3" width="17.5" customWidth="1"/>
    <col min="4" max="4" width="13.75" customWidth="1"/>
    <col min="7" max="7" width="13.875" customWidth="1"/>
    <col min="8" max="8" width="14.875" customWidth="1"/>
    <col min="9" max="9" width="13.5" customWidth="1"/>
  </cols>
  <sheetData>
    <row r="2" spans="1:13" s="1" customFormat="1">
      <c r="B2" s="1" t="s">
        <v>105</v>
      </c>
    </row>
    <row r="4" spans="1:13" ht="18">
      <c r="B4" s="26" t="s">
        <v>107</v>
      </c>
      <c r="C4" s="26" t="s">
        <v>108</v>
      </c>
      <c r="D4" t="s">
        <v>109</v>
      </c>
    </row>
    <row r="5" spans="1:13">
      <c r="B5" s="26">
        <v>166</v>
      </c>
      <c r="C5" s="26">
        <f>B5-$B$12</f>
        <v>-4</v>
      </c>
      <c r="D5" s="26">
        <f>C5^2</f>
        <v>16</v>
      </c>
    </row>
    <row r="6" spans="1:13">
      <c r="B6" s="26">
        <v>168</v>
      </c>
      <c r="C6" s="26">
        <f>B6-$B$12</f>
        <v>-2</v>
      </c>
      <c r="D6" s="26">
        <f>C6^2</f>
        <v>4</v>
      </c>
    </row>
    <row r="7" spans="1:13">
      <c r="B7" s="26">
        <v>170</v>
      </c>
      <c r="C7" s="26">
        <f>B7-$B$12</f>
        <v>0</v>
      </c>
      <c r="D7" s="26">
        <f>C7^2</f>
        <v>0</v>
      </c>
    </row>
    <row r="8" spans="1:13">
      <c r="B8" s="26">
        <v>172</v>
      </c>
      <c r="C8" s="26">
        <f>B8-$B$12</f>
        <v>2</v>
      </c>
      <c r="D8" s="26">
        <f>C8^2</f>
        <v>4</v>
      </c>
    </row>
    <row r="9" spans="1:13">
      <c r="B9" s="26">
        <v>174</v>
      </c>
      <c r="C9" s="26">
        <f>B9-$B$12</f>
        <v>4</v>
      </c>
      <c r="D9" s="26">
        <f>C9^2</f>
        <v>16</v>
      </c>
      <c r="I9" t="s">
        <v>115</v>
      </c>
    </row>
    <row r="10" spans="1:13">
      <c r="I10" t="s">
        <v>116</v>
      </c>
      <c r="J10" t="s">
        <v>117</v>
      </c>
      <c r="K10" t="s">
        <v>118</v>
      </c>
      <c r="M10" t="s">
        <v>119</v>
      </c>
    </row>
    <row r="12" spans="1:13">
      <c r="A12" t="s">
        <v>106</v>
      </c>
      <c r="B12">
        <f>AVERAGE(B5:B9)</f>
        <v>170</v>
      </c>
      <c r="D12" t="s">
        <v>110</v>
      </c>
      <c r="F12" s="252" t="s">
        <v>111</v>
      </c>
      <c r="G12" s="26" t="s">
        <v>112</v>
      </c>
      <c r="H12" s="252">
        <v>8</v>
      </c>
    </row>
    <row r="13" spans="1:13">
      <c r="D13">
        <f>SUM(D5:D9)</f>
        <v>40</v>
      </c>
      <c r="F13" s="252"/>
      <c r="G13" s="26" t="s">
        <v>113</v>
      </c>
      <c r="H13" s="252"/>
    </row>
    <row r="16" spans="1:13">
      <c r="E16" t="s">
        <v>114</v>
      </c>
      <c r="H16" t="s">
        <v>120</v>
      </c>
      <c r="I16">
        <f>_xlfn.VAR.P(B5:B9)</f>
        <v>8</v>
      </c>
    </row>
    <row r="17" spans="8:11">
      <c r="H17" t="s">
        <v>121</v>
      </c>
      <c r="I17">
        <f>_xlfn.VAR.S(B5:B9)</f>
        <v>10</v>
      </c>
    </row>
    <row r="19" spans="8:11">
      <c r="H19" t="s">
        <v>122</v>
      </c>
      <c r="I19">
        <f>SQRT(I16)</f>
        <v>2.8284271247461903</v>
      </c>
      <c r="K19">
        <f>_xlfn.STDEV.P(B5:B9)</f>
        <v>2.8284271247461903</v>
      </c>
    </row>
    <row r="20" spans="8:11">
      <c r="H20" t="s">
        <v>123</v>
      </c>
      <c r="I20">
        <f>SQRT(I17)</f>
        <v>3.1622776601683795</v>
      </c>
      <c r="K20">
        <f>_xlfn.STDEV.S(B5:B9)</f>
        <v>3.1622776601683795</v>
      </c>
    </row>
  </sheetData>
  <mergeCells count="2">
    <mergeCell ref="F12:F13"/>
    <mergeCell ref="H12:H13"/>
  </mergeCells>
  <phoneticPr fontId="5" type="noConversion"/>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48"/>
  <sheetViews>
    <sheetView showGridLines="0" zoomScale="85" zoomScaleNormal="85" workbookViewId="0">
      <selection activeCell="O11" sqref="O11"/>
    </sheetView>
  </sheetViews>
  <sheetFormatPr defaultRowHeight="16.5"/>
  <cols>
    <col min="1" max="1" width="19.375" style="84" customWidth="1"/>
    <col min="3" max="3" width="9" style="84"/>
    <col min="6" max="6" width="9" style="84"/>
  </cols>
  <sheetData>
    <row r="1" spans="1:12" s="108" customFormat="1">
      <c r="A1" s="108" t="s">
        <v>610</v>
      </c>
      <c r="L1" s="147" t="s">
        <v>611</v>
      </c>
    </row>
    <row r="2" spans="1:12" s="130" customFormat="1">
      <c r="F2" s="137" t="s">
        <v>612</v>
      </c>
      <c r="K2" s="3" t="s">
        <v>513</v>
      </c>
    </row>
    <row r="3" spans="1:12" s="130" customFormat="1">
      <c r="B3" s="104"/>
      <c r="C3" s="104"/>
      <c r="D3" s="104"/>
      <c r="E3" s="104"/>
      <c r="F3" s="148"/>
      <c r="K3" s="97" t="s">
        <v>613</v>
      </c>
    </row>
    <row r="4" spans="1:12" s="130" customFormat="1">
      <c r="B4" s="104"/>
      <c r="C4" s="104"/>
      <c r="D4" s="104"/>
      <c r="E4" s="104"/>
      <c r="F4" s="148"/>
      <c r="I4" s="137" t="s">
        <v>614</v>
      </c>
      <c r="K4" s="97" t="s">
        <v>512</v>
      </c>
    </row>
    <row r="5" spans="1:12" s="130" customFormat="1">
      <c r="B5" s="104"/>
      <c r="C5" s="104"/>
      <c r="D5" s="104"/>
      <c r="E5" s="104"/>
      <c r="F5" s="148"/>
      <c r="K5" s="97" t="s">
        <v>615</v>
      </c>
    </row>
    <row r="6" spans="1:12" s="130" customFormat="1">
      <c r="A6" s="130" t="s">
        <v>616</v>
      </c>
      <c r="B6" s="104"/>
      <c r="C6" s="109" t="s">
        <v>617</v>
      </c>
      <c r="D6" s="104"/>
      <c r="E6" s="104"/>
      <c r="F6" s="148" t="s">
        <v>467</v>
      </c>
      <c r="K6" s="97" t="s">
        <v>618</v>
      </c>
    </row>
    <row r="7" spans="1:12" s="130" customFormat="1">
      <c r="B7" s="104"/>
      <c r="C7" s="104"/>
      <c r="D7" s="104"/>
      <c r="E7" s="104"/>
      <c r="F7" s="148"/>
      <c r="K7" s="97" t="s">
        <v>619</v>
      </c>
    </row>
    <row r="8" spans="1:12" s="130" customFormat="1">
      <c r="B8" s="104"/>
      <c r="C8" s="104"/>
      <c r="D8" s="104"/>
      <c r="E8" s="104"/>
      <c r="F8" s="148"/>
    </row>
    <row r="9" spans="1:12" s="130" customFormat="1">
      <c r="B9" s="104"/>
      <c r="C9" s="104"/>
      <c r="D9" s="104"/>
      <c r="E9" s="104"/>
      <c r="F9" s="148"/>
    </row>
    <row r="10" spans="1:12" s="10" customFormat="1">
      <c r="F10" s="106"/>
    </row>
    <row r="11" spans="1:12" s="130" customFormat="1">
      <c r="B11" s="115"/>
      <c r="C11" s="115"/>
      <c r="D11" s="115"/>
      <c r="E11" s="115"/>
      <c r="F11" s="149"/>
    </row>
    <row r="12" spans="1:12" s="130" customFormat="1">
      <c r="A12" s="56" t="s">
        <v>620</v>
      </c>
      <c r="B12" s="115"/>
      <c r="C12" s="116" t="s">
        <v>621</v>
      </c>
      <c r="D12" s="115"/>
      <c r="E12" s="115"/>
      <c r="F12" s="149" t="s">
        <v>468</v>
      </c>
      <c r="I12" s="150" t="s">
        <v>622</v>
      </c>
    </row>
    <row r="13" spans="1:12" s="130" customFormat="1">
      <c r="B13" s="115"/>
      <c r="C13" s="115"/>
      <c r="D13" s="115"/>
      <c r="E13" s="115"/>
      <c r="F13" s="149"/>
    </row>
    <row r="14" spans="1:12" s="130" customFormat="1">
      <c r="F14" s="137"/>
    </row>
    <row r="15" spans="1:12" s="130" customFormat="1">
      <c r="F15" s="137"/>
    </row>
    <row r="16" spans="1:12" s="130" customFormat="1">
      <c r="F16" s="137"/>
    </row>
    <row r="17" spans="1:30" s="131" customFormat="1">
      <c r="A17" s="108" t="s">
        <v>623</v>
      </c>
      <c r="F17" s="132"/>
      <c r="H17" s="131" t="s">
        <v>624</v>
      </c>
    </row>
    <row r="18" spans="1:30" s="130" customFormat="1">
      <c r="F18" s="137"/>
    </row>
    <row r="19" spans="1:30" s="130" customFormat="1">
      <c r="B19" s="115"/>
      <c r="C19" s="115"/>
      <c r="D19" s="115"/>
      <c r="E19" s="115"/>
      <c r="F19" s="116"/>
      <c r="H19" s="104"/>
      <c r="I19" s="104"/>
      <c r="J19" s="104"/>
      <c r="K19" s="104"/>
      <c r="L19" s="109"/>
      <c r="N19" s="104"/>
      <c r="O19" s="104"/>
      <c r="P19" s="104"/>
      <c r="Q19" s="104"/>
      <c r="R19" s="109"/>
      <c r="T19" s="104"/>
      <c r="U19" s="104"/>
      <c r="V19" s="104"/>
      <c r="W19" s="104"/>
      <c r="X19" s="109"/>
      <c r="Z19" s="104"/>
      <c r="AA19" s="104"/>
      <c r="AB19" s="104"/>
      <c r="AC19" s="104"/>
      <c r="AD19" s="109"/>
    </row>
    <row r="20" spans="1:30" s="130" customFormat="1">
      <c r="B20" s="115"/>
      <c r="C20" s="115"/>
      <c r="D20" s="115"/>
      <c r="E20" s="115"/>
      <c r="F20" s="116"/>
      <c r="H20" s="104"/>
      <c r="I20" s="104"/>
      <c r="J20" s="104"/>
      <c r="K20" s="104"/>
      <c r="L20" s="109"/>
      <c r="N20" s="104"/>
      <c r="O20" s="104"/>
      <c r="P20" s="104"/>
      <c r="Q20" s="104"/>
      <c r="R20" s="109"/>
      <c r="T20" s="104"/>
      <c r="U20" s="104"/>
      <c r="V20" s="104"/>
      <c r="W20" s="104"/>
      <c r="X20" s="109"/>
      <c r="Z20" s="104"/>
      <c r="AA20" s="104"/>
      <c r="AB20" s="104"/>
      <c r="AC20" s="104"/>
      <c r="AD20" s="109"/>
    </row>
    <row r="21" spans="1:30" s="130" customFormat="1">
      <c r="B21" s="104"/>
      <c r="C21" s="104"/>
      <c r="D21" s="104"/>
      <c r="E21" s="104"/>
      <c r="F21" s="109"/>
      <c r="H21" s="115"/>
      <c r="I21" s="115"/>
      <c r="J21" s="115"/>
      <c r="K21" s="115"/>
      <c r="L21" s="116"/>
      <c r="N21" s="104"/>
      <c r="O21" s="104"/>
      <c r="P21" s="104"/>
      <c r="Q21" s="104"/>
      <c r="R21" s="109"/>
      <c r="T21" s="104"/>
      <c r="U21" s="104"/>
      <c r="V21" s="104"/>
      <c r="W21" s="104"/>
      <c r="X21" s="109"/>
      <c r="Z21" s="104"/>
      <c r="AA21" s="104"/>
      <c r="AB21" s="104"/>
      <c r="AC21" s="104"/>
      <c r="AD21" s="109"/>
    </row>
    <row r="22" spans="1:30" s="130" customFormat="1">
      <c r="B22" s="104"/>
      <c r="C22" s="109"/>
      <c r="D22" s="104"/>
      <c r="E22" s="104"/>
      <c r="F22" s="109"/>
      <c r="H22" s="115"/>
      <c r="I22" s="115"/>
      <c r="J22" s="115"/>
      <c r="K22" s="115"/>
      <c r="L22" s="116"/>
      <c r="N22" s="104"/>
      <c r="O22" s="109"/>
      <c r="P22" s="104"/>
      <c r="Q22" s="104"/>
      <c r="R22" s="109"/>
      <c r="T22" s="104"/>
      <c r="U22" s="109"/>
      <c r="V22" s="104"/>
      <c r="W22" s="104"/>
      <c r="X22" s="109"/>
      <c r="Z22" s="104"/>
      <c r="AA22" s="109"/>
      <c r="AB22" s="104"/>
      <c r="AC22" s="104"/>
      <c r="AD22" s="109"/>
    </row>
    <row r="23" spans="1:30" s="130" customFormat="1">
      <c r="B23" s="104"/>
      <c r="C23" s="104"/>
      <c r="D23" s="104"/>
      <c r="E23" s="104"/>
      <c r="F23" s="109"/>
      <c r="H23" s="104"/>
      <c r="I23" s="104"/>
      <c r="J23" s="104"/>
      <c r="K23" s="104"/>
      <c r="L23" s="109"/>
      <c r="N23" s="115"/>
      <c r="O23" s="115"/>
      <c r="P23" s="115"/>
      <c r="Q23" s="115"/>
      <c r="R23" s="116"/>
      <c r="T23" s="104"/>
      <c r="U23" s="104"/>
      <c r="V23" s="104"/>
      <c r="W23" s="104"/>
      <c r="X23" s="109"/>
      <c r="Z23" s="104"/>
      <c r="AA23" s="104"/>
      <c r="AB23" s="104"/>
      <c r="AC23" s="104"/>
      <c r="AD23" s="109"/>
    </row>
    <row r="24" spans="1:30" s="130" customFormat="1">
      <c r="B24" s="104"/>
      <c r="C24" s="104"/>
      <c r="D24" s="104"/>
      <c r="E24" s="104"/>
      <c r="F24" s="109"/>
      <c r="H24" s="104"/>
      <c r="I24" s="104"/>
      <c r="J24" s="104"/>
      <c r="K24" s="104"/>
      <c r="L24" s="109"/>
      <c r="N24" s="115"/>
      <c r="O24" s="115"/>
      <c r="P24" s="115"/>
      <c r="Q24" s="115"/>
      <c r="R24" s="116"/>
      <c r="T24" s="104"/>
      <c r="U24" s="104"/>
      <c r="V24" s="104"/>
      <c r="W24" s="104"/>
      <c r="X24" s="109"/>
      <c r="Z24" s="104"/>
      <c r="AA24" s="104"/>
      <c r="AB24" s="104"/>
      <c r="AC24" s="104"/>
      <c r="AD24" s="109"/>
    </row>
    <row r="25" spans="1:30" s="130" customFormat="1">
      <c r="B25" s="104"/>
      <c r="C25" s="104"/>
      <c r="D25" s="104"/>
      <c r="E25" s="104"/>
      <c r="F25" s="109"/>
      <c r="H25" s="104"/>
      <c r="I25" s="104"/>
      <c r="J25" s="104"/>
      <c r="K25" s="104"/>
      <c r="L25" s="109"/>
      <c r="N25" s="104"/>
      <c r="O25" s="104"/>
      <c r="P25" s="104"/>
      <c r="Q25" s="104"/>
      <c r="R25" s="109"/>
      <c r="T25" s="115"/>
      <c r="U25" s="115"/>
      <c r="V25" s="115"/>
      <c r="W25" s="115"/>
      <c r="X25" s="116"/>
      <c r="Z25" s="104"/>
      <c r="AA25" s="104"/>
      <c r="AB25" s="104"/>
      <c r="AC25" s="104"/>
      <c r="AD25" s="109"/>
    </row>
    <row r="26" spans="1:30" s="130" customFormat="1">
      <c r="B26" s="104"/>
      <c r="C26" s="104"/>
      <c r="D26" s="104"/>
      <c r="E26" s="104"/>
      <c r="F26" s="109"/>
      <c r="H26" s="104"/>
      <c r="I26" s="104"/>
      <c r="J26" s="104"/>
      <c r="K26" s="104"/>
      <c r="L26" s="109"/>
      <c r="N26" s="104"/>
      <c r="O26" s="104"/>
      <c r="P26" s="104"/>
      <c r="Q26" s="104"/>
      <c r="R26" s="109"/>
      <c r="T26" s="115"/>
      <c r="U26" s="115"/>
      <c r="V26" s="115"/>
      <c r="W26" s="115"/>
      <c r="X26" s="116"/>
      <c r="Z26" s="104"/>
      <c r="AA26" s="104"/>
      <c r="AB26" s="104"/>
      <c r="AC26" s="104"/>
      <c r="AD26" s="109"/>
    </row>
    <row r="27" spans="1:30" s="130" customFormat="1">
      <c r="B27" s="104"/>
      <c r="C27" s="109"/>
      <c r="D27" s="104"/>
      <c r="E27" s="104"/>
      <c r="F27" s="109"/>
      <c r="H27" s="104"/>
      <c r="I27" s="109"/>
      <c r="J27" s="104"/>
      <c r="K27" s="104"/>
      <c r="L27" s="109"/>
      <c r="N27" s="104"/>
      <c r="O27" s="109"/>
      <c r="P27" s="104"/>
      <c r="Q27" s="104"/>
      <c r="R27" s="109"/>
      <c r="T27" s="104"/>
      <c r="U27" s="109"/>
      <c r="V27" s="104"/>
      <c r="W27" s="104"/>
      <c r="X27" s="109"/>
      <c r="Z27" s="115"/>
      <c r="AA27" s="115"/>
      <c r="AB27" s="115"/>
      <c r="AC27" s="115"/>
      <c r="AD27" s="116"/>
    </row>
    <row r="28" spans="1:30" s="130" customFormat="1">
      <c r="B28" s="104"/>
      <c r="C28" s="104"/>
      <c r="D28" s="104"/>
      <c r="E28" s="104"/>
      <c r="F28" s="109"/>
      <c r="H28" s="104"/>
      <c r="I28" s="104"/>
      <c r="J28" s="104"/>
      <c r="K28" s="104"/>
      <c r="L28" s="109"/>
      <c r="N28" s="104"/>
      <c r="O28" s="104"/>
      <c r="P28" s="104"/>
      <c r="Q28" s="104"/>
      <c r="R28" s="109"/>
      <c r="T28" s="104"/>
      <c r="U28" s="104"/>
      <c r="V28" s="104"/>
      <c r="W28" s="104"/>
      <c r="X28" s="109"/>
      <c r="Z28" s="115"/>
      <c r="AA28" s="115"/>
      <c r="AB28" s="115"/>
      <c r="AC28" s="115"/>
      <c r="AD28" s="116"/>
    </row>
    <row r="29" spans="1:30" s="130" customFormat="1">
      <c r="F29" s="137"/>
    </row>
    <row r="30" spans="1:30" s="130" customFormat="1">
      <c r="A30" s="130" t="s">
        <v>625</v>
      </c>
      <c r="B30" s="130" t="s">
        <v>626</v>
      </c>
      <c r="D30" s="130">
        <f>208*0.8</f>
        <v>166.4</v>
      </c>
      <c r="F30" s="117">
        <v>0.8</v>
      </c>
    </row>
    <row r="31" spans="1:30" s="130" customFormat="1">
      <c r="B31" s="130" t="s">
        <v>627</v>
      </c>
      <c r="D31" s="130">
        <f>208*0.2</f>
        <v>41.6</v>
      </c>
      <c r="F31" s="117">
        <v>0.2</v>
      </c>
    </row>
    <row r="32" spans="1:30" s="130" customFormat="1">
      <c r="F32" s="137"/>
    </row>
    <row r="33" spans="1:29" s="130" customFormat="1">
      <c r="F33" s="137"/>
    </row>
    <row r="34" spans="1:29" s="130" customFormat="1">
      <c r="F34" s="137"/>
    </row>
    <row r="35" spans="1:29" s="130" customFormat="1">
      <c r="B35" s="130" t="s">
        <v>486</v>
      </c>
      <c r="F35" s="117">
        <v>0.88</v>
      </c>
      <c r="J35" s="118">
        <v>0.76</v>
      </c>
      <c r="P35" s="118">
        <v>0.81</v>
      </c>
      <c r="W35" s="118">
        <v>0.88</v>
      </c>
      <c r="AC35" s="118">
        <v>0.95</v>
      </c>
    </row>
    <row r="36" spans="1:29" s="130" customFormat="1">
      <c r="F36" s="137"/>
    </row>
    <row r="37" spans="1:29" s="130" customFormat="1">
      <c r="F37" s="137"/>
    </row>
    <row r="38" spans="1:29" s="130" customFormat="1">
      <c r="B38" s="130" t="s">
        <v>487</v>
      </c>
      <c r="F38" s="137"/>
      <c r="H38" s="130">
        <f xml:space="preserve"> AVERAGE(88,76,81,88,95)</f>
        <v>85.6</v>
      </c>
      <c r="I38" s="130" t="s">
        <v>628</v>
      </c>
    </row>
    <row r="39" spans="1:29" s="130" customFormat="1">
      <c r="F39" s="137"/>
    </row>
    <row r="40" spans="1:29" s="130" customFormat="1">
      <c r="F40" s="137"/>
    </row>
    <row r="41" spans="1:29" s="130" customFormat="1">
      <c r="A41" s="151" t="s">
        <v>629</v>
      </c>
      <c r="F41" s="137"/>
    </row>
    <row r="42" spans="1:29" s="130" customFormat="1">
      <c r="A42" s="151"/>
      <c r="F42" s="137"/>
    </row>
    <row r="43" spans="1:29" s="130" customFormat="1">
      <c r="A43" s="152" t="s">
        <v>630</v>
      </c>
      <c r="F43" s="137"/>
    </row>
    <row r="44" spans="1:29" s="130" customFormat="1">
      <c r="A44" s="151"/>
      <c r="F44" s="137"/>
    </row>
    <row r="45" spans="1:29" s="130" customFormat="1">
      <c r="A45" s="151"/>
      <c r="F45" s="143" t="s">
        <v>631</v>
      </c>
    </row>
    <row r="46" spans="1:29" s="130" customFormat="1">
      <c r="A46" s="151"/>
      <c r="F46" s="143" t="s">
        <v>601</v>
      </c>
    </row>
    <row r="47" spans="1:29" s="130" customFormat="1">
      <c r="A47" s="151"/>
      <c r="F47" s="143"/>
    </row>
    <row r="48" spans="1:29" s="130" customFormat="1">
      <c r="A48" s="151"/>
      <c r="F48" s="144" t="s">
        <v>605</v>
      </c>
    </row>
    <row r="49" spans="1:8" s="130" customFormat="1">
      <c r="A49" s="151"/>
      <c r="F49" s="137"/>
    </row>
    <row r="50" spans="1:8" s="130" customFormat="1">
      <c r="A50" s="151"/>
      <c r="F50" s="137"/>
    </row>
    <row r="51" spans="1:8" s="130" customFormat="1">
      <c r="A51" s="151"/>
      <c r="F51" s="137"/>
    </row>
    <row r="52" spans="1:8" s="130" customFormat="1">
      <c r="A52" s="153" t="s">
        <v>602</v>
      </c>
      <c r="F52" s="137"/>
      <c r="H52" s="130" t="s">
        <v>632</v>
      </c>
    </row>
    <row r="53" spans="1:8" s="130" customFormat="1">
      <c r="A53" s="153" t="s">
        <v>603</v>
      </c>
      <c r="F53" s="137"/>
    </row>
    <row r="54" spans="1:8" s="130" customFormat="1">
      <c r="A54" s="153" t="s">
        <v>604</v>
      </c>
      <c r="F54" s="137"/>
    </row>
    <row r="55" spans="1:8" s="130" customFormat="1">
      <c r="A55" s="151"/>
      <c r="F55" s="137"/>
    </row>
    <row r="56" spans="1:8" s="130" customFormat="1">
      <c r="A56" s="154"/>
      <c r="F56" s="137"/>
    </row>
    <row r="57" spans="1:8" s="130" customFormat="1">
      <c r="F57" s="137"/>
    </row>
    <row r="58" spans="1:8" s="130" customFormat="1">
      <c r="F58" s="137"/>
    </row>
    <row r="59" spans="1:8" s="130" customFormat="1">
      <c r="F59" s="137"/>
    </row>
    <row r="60" spans="1:8" s="130" customFormat="1">
      <c r="F60" s="137"/>
    </row>
    <row r="61" spans="1:8" s="131" customFormat="1">
      <c r="A61" s="131" t="s">
        <v>485</v>
      </c>
      <c r="B61" s="131" t="s">
        <v>633</v>
      </c>
      <c r="F61" s="132"/>
    </row>
    <row r="62" spans="1:8" s="130" customFormat="1">
      <c r="F62" s="137"/>
    </row>
    <row r="63" spans="1:8" s="130" customFormat="1" ht="18.75">
      <c r="A63" s="155" t="s">
        <v>634</v>
      </c>
      <c r="F63" s="137"/>
    </row>
    <row r="64" spans="1:8" s="130" customFormat="1">
      <c r="A64" s="130" t="s">
        <v>635</v>
      </c>
      <c r="F64" s="137"/>
    </row>
    <row r="65" spans="1:6" s="130" customFormat="1">
      <c r="A65" s="156"/>
      <c r="F65" s="137"/>
    </row>
    <row r="66" spans="1:6" s="130" customFormat="1">
      <c r="F66" s="137"/>
    </row>
    <row r="67" spans="1:6" s="130" customFormat="1">
      <c r="F67" s="137"/>
    </row>
    <row r="68" spans="1:6" s="131" customFormat="1">
      <c r="A68" s="131" t="s">
        <v>636</v>
      </c>
      <c r="F68" s="132"/>
    </row>
    <row r="69" spans="1:6" s="130" customFormat="1">
      <c r="F69" s="137"/>
    </row>
    <row r="70" spans="1:6" s="130" customFormat="1">
      <c r="F70" s="137"/>
    </row>
    <row r="71" spans="1:6" s="130" customFormat="1">
      <c r="A71" s="130" t="s">
        <v>514</v>
      </c>
      <c r="F71" s="137"/>
    </row>
    <row r="72" spans="1:6" s="130" customFormat="1">
      <c r="A72" s="133"/>
      <c r="F72" s="137"/>
    </row>
    <row r="73" spans="1:6" s="130" customFormat="1">
      <c r="A73" s="134" t="s">
        <v>515</v>
      </c>
      <c r="F73" s="137"/>
    </row>
    <row r="74" spans="1:6" s="130" customFormat="1">
      <c r="A74" s="133"/>
      <c r="F74" s="137"/>
    </row>
    <row r="75" spans="1:6" s="130" customFormat="1">
      <c r="A75" s="134" t="s">
        <v>516</v>
      </c>
      <c r="F75" s="137"/>
    </row>
    <row r="76" spans="1:6" s="130" customFormat="1">
      <c r="A76" s="133"/>
      <c r="F76" s="137"/>
    </row>
    <row r="77" spans="1:6" s="130" customFormat="1">
      <c r="A77" s="134" t="s">
        <v>517</v>
      </c>
      <c r="F77" s="137"/>
    </row>
    <row r="78" spans="1:6" s="130" customFormat="1">
      <c r="A78" s="133"/>
      <c r="F78" s="137"/>
    </row>
    <row r="79" spans="1:6" s="130" customFormat="1">
      <c r="A79" s="134" t="s">
        <v>518</v>
      </c>
      <c r="F79" s="137"/>
    </row>
    <row r="80" spans="1:6" s="130" customFormat="1">
      <c r="F80" s="137"/>
    </row>
    <row r="81" spans="1:6" s="130" customFormat="1">
      <c r="A81" s="130" t="s">
        <v>519</v>
      </c>
      <c r="F81" s="137"/>
    </row>
    <row r="82" spans="1:6" s="130" customFormat="1">
      <c r="F82" s="137"/>
    </row>
    <row r="83" spans="1:6" s="130" customFormat="1">
      <c r="F83" s="137"/>
    </row>
    <row r="84" spans="1:6" s="130" customFormat="1">
      <c r="F84" s="137"/>
    </row>
    <row r="85" spans="1:6" s="130" customFormat="1">
      <c r="F85" s="137"/>
    </row>
    <row r="86" spans="1:6" s="130" customFormat="1">
      <c r="F86" s="137"/>
    </row>
    <row r="87" spans="1:6" s="157" customFormat="1" ht="31.5">
      <c r="A87" s="157" t="s">
        <v>637</v>
      </c>
      <c r="F87" s="158"/>
    </row>
    <row r="88" spans="1:6" s="130" customFormat="1" ht="21.75">
      <c r="A88" s="159"/>
      <c r="F88" s="137"/>
    </row>
    <row r="89" spans="1:6" s="130" customFormat="1">
      <c r="F89" s="137"/>
    </row>
    <row r="90" spans="1:6" s="130" customFormat="1" ht="21.75">
      <c r="A90" s="160" t="s">
        <v>638</v>
      </c>
      <c r="F90" s="137"/>
    </row>
    <row r="91" spans="1:6" s="130" customFormat="1">
      <c r="F91" s="137"/>
    </row>
    <row r="92" spans="1:6" s="130" customFormat="1">
      <c r="A92" s="96" t="s">
        <v>639</v>
      </c>
      <c r="F92" s="137"/>
    </row>
    <row r="93" spans="1:6" s="130" customFormat="1">
      <c r="A93" s="133"/>
      <c r="F93" s="137"/>
    </row>
    <row r="94" spans="1:6" s="130" customFormat="1">
      <c r="A94" s="133" t="s">
        <v>640</v>
      </c>
      <c r="F94" s="137"/>
    </row>
    <row r="95" spans="1:6" s="130" customFormat="1">
      <c r="A95" s="133" t="s">
        <v>641</v>
      </c>
      <c r="F95" s="137"/>
    </row>
    <row r="96" spans="1:6" s="130" customFormat="1">
      <c r="F96" s="137"/>
    </row>
    <row r="97" spans="1:6" s="130" customFormat="1">
      <c r="A97" s="96" t="s">
        <v>642</v>
      </c>
      <c r="F97" s="137"/>
    </row>
    <row r="98" spans="1:6" s="130" customFormat="1">
      <c r="A98" s="133"/>
      <c r="F98" s="137"/>
    </row>
    <row r="99" spans="1:6" s="130" customFormat="1">
      <c r="A99" s="133" t="s">
        <v>643</v>
      </c>
      <c r="F99" s="137"/>
    </row>
    <row r="100" spans="1:6" s="130" customFormat="1">
      <c r="F100" s="137"/>
    </row>
    <row r="101" spans="1:6" s="130" customFormat="1">
      <c r="A101" s="96" t="s">
        <v>644</v>
      </c>
      <c r="F101" s="137"/>
    </row>
    <row r="102" spans="1:6" s="130" customFormat="1">
      <c r="A102" s="133"/>
      <c r="F102" s="137"/>
    </row>
    <row r="103" spans="1:6" s="130" customFormat="1">
      <c r="A103" s="133" t="s">
        <v>645</v>
      </c>
      <c r="F103" s="137"/>
    </row>
    <row r="104" spans="1:6" s="130" customFormat="1">
      <c r="F104" s="137"/>
    </row>
    <row r="105" spans="1:6" s="130" customFormat="1">
      <c r="A105" s="96" t="s">
        <v>646</v>
      </c>
      <c r="F105" s="137"/>
    </row>
    <row r="106" spans="1:6" s="130" customFormat="1">
      <c r="A106" s="133"/>
      <c r="F106" s="137"/>
    </row>
    <row r="107" spans="1:6" s="130" customFormat="1">
      <c r="A107" s="134" t="s">
        <v>647</v>
      </c>
      <c r="F107" s="137"/>
    </row>
    <row r="108" spans="1:6" s="130" customFormat="1">
      <c r="F108" s="137"/>
    </row>
    <row r="109" spans="1:6" s="130" customFormat="1" ht="21.75">
      <c r="A109" s="160" t="s">
        <v>648</v>
      </c>
      <c r="F109" s="137"/>
    </row>
    <row r="110" spans="1:6" s="130" customFormat="1">
      <c r="F110" s="137"/>
    </row>
    <row r="111" spans="1:6" s="130" customFormat="1">
      <c r="A111" s="96" t="s">
        <v>639</v>
      </c>
      <c r="F111" s="137"/>
    </row>
    <row r="112" spans="1:6" s="130" customFormat="1">
      <c r="A112" s="133"/>
      <c r="F112" s="137"/>
    </row>
    <row r="113" spans="1:6" s="130" customFormat="1">
      <c r="A113" s="133" t="s">
        <v>649</v>
      </c>
      <c r="F113" s="137"/>
    </row>
    <row r="114" spans="1:6" s="130" customFormat="1">
      <c r="A114" s="133" t="s">
        <v>650</v>
      </c>
      <c r="F114" s="137"/>
    </row>
    <row r="115" spans="1:6" s="130" customFormat="1">
      <c r="F115" s="137"/>
    </row>
    <row r="116" spans="1:6" s="130" customFormat="1">
      <c r="A116" s="96" t="s">
        <v>642</v>
      </c>
      <c r="F116" s="137"/>
    </row>
    <row r="117" spans="1:6" s="130" customFormat="1">
      <c r="A117" s="133"/>
      <c r="F117" s="137"/>
    </row>
    <row r="118" spans="1:6" s="130" customFormat="1">
      <c r="A118" s="133" t="s">
        <v>651</v>
      </c>
      <c r="F118" s="137"/>
    </row>
    <row r="119" spans="1:6" s="130" customFormat="1">
      <c r="F119" s="137"/>
    </row>
    <row r="120" spans="1:6" s="130" customFormat="1">
      <c r="A120" s="96" t="s">
        <v>644</v>
      </c>
      <c r="F120" s="137"/>
    </row>
    <row r="121" spans="1:6" s="130" customFormat="1">
      <c r="A121" s="133"/>
      <c r="F121" s="137"/>
    </row>
    <row r="122" spans="1:6" s="130" customFormat="1">
      <c r="A122" s="134" t="s">
        <v>652</v>
      </c>
      <c r="F122" s="137"/>
    </row>
    <row r="123" spans="1:6" s="130" customFormat="1">
      <c r="A123" s="134" t="s">
        <v>653</v>
      </c>
      <c r="F123" s="137"/>
    </row>
    <row r="124" spans="1:6" s="130" customFormat="1">
      <c r="F124" s="137"/>
    </row>
    <row r="125" spans="1:6" s="130" customFormat="1">
      <c r="A125" s="96" t="s">
        <v>646</v>
      </c>
      <c r="F125" s="137"/>
    </row>
    <row r="126" spans="1:6" s="130" customFormat="1">
      <c r="A126" s="133"/>
      <c r="F126" s="137"/>
    </row>
    <row r="127" spans="1:6" s="130" customFormat="1">
      <c r="A127" s="133" t="s">
        <v>654</v>
      </c>
      <c r="F127" s="137"/>
    </row>
    <row r="128" spans="1:6" s="130" customFormat="1">
      <c r="F128" s="137"/>
    </row>
    <row r="129" spans="1:6" s="130" customFormat="1" ht="21.75">
      <c r="A129" s="160" t="s">
        <v>655</v>
      </c>
      <c r="F129" s="137"/>
    </row>
    <row r="130" spans="1:6" s="130" customFormat="1">
      <c r="A130" s="133"/>
      <c r="F130" s="137"/>
    </row>
    <row r="131" spans="1:6" s="130" customFormat="1">
      <c r="A131" s="134" t="s">
        <v>656</v>
      </c>
      <c r="F131" s="137"/>
    </row>
    <row r="132" spans="1:6" s="130" customFormat="1">
      <c r="A132" s="133"/>
      <c r="F132" s="137"/>
    </row>
    <row r="133" spans="1:6" s="130" customFormat="1">
      <c r="A133" s="133"/>
      <c r="F133" s="137"/>
    </row>
    <row r="134" spans="1:6" s="130" customFormat="1">
      <c r="A134" s="161" t="s">
        <v>657</v>
      </c>
      <c r="F134" s="137"/>
    </row>
    <row r="135" spans="1:6" s="130" customFormat="1">
      <c r="A135" s="161" t="s">
        <v>658</v>
      </c>
      <c r="F135" s="137"/>
    </row>
    <row r="136" spans="1:6" s="130" customFormat="1">
      <c r="A136" s="161" t="s">
        <v>659</v>
      </c>
      <c r="F136" s="137"/>
    </row>
    <row r="137" spans="1:6" s="130" customFormat="1">
      <c r="A137" s="133"/>
      <c r="F137" s="137"/>
    </row>
    <row r="138" spans="1:6" s="130" customFormat="1">
      <c r="A138" s="134" t="s">
        <v>660</v>
      </c>
      <c r="F138" s="137"/>
    </row>
    <row r="139" spans="1:6" s="130" customFormat="1">
      <c r="A139" s="133"/>
      <c r="F139" s="137"/>
    </row>
    <row r="140" spans="1:6" s="130" customFormat="1">
      <c r="A140" s="133"/>
      <c r="F140" s="137"/>
    </row>
    <row r="141" spans="1:6" s="130" customFormat="1">
      <c r="A141" s="161" t="s">
        <v>661</v>
      </c>
      <c r="F141" s="137"/>
    </row>
    <row r="142" spans="1:6" s="130" customFormat="1">
      <c r="A142" s="161" t="s">
        <v>662</v>
      </c>
      <c r="F142" s="137"/>
    </row>
    <row r="143" spans="1:6" s="130" customFormat="1">
      <c r="A143" s="161" t="s">
        <v>663</v>
      </c>
      <c r="F143" s="137"/>
    </row>
    <row r="144" spans="1:6" s="130" customFormat="1">
      <c r="F144" s="137"/>
    </row>
    <row r="145" spans="1:6" s="130" customFormat="1" ht="21.75">
      <c r="A145" s="160" t="s">
        <v>664</v>
      </c>
      <c r="F145" s="137"/>
    </row>
    <row r="146" spans="1:6" s="130" customFormat="1">
      <c r="A146" s="133"/>
      <c r="F146" s="137"/>
    </row>
    <row r="147" spans="1:6" s="130" customFormat="1">
      <c r="A147" s="134" t="s">
        <v>665</v>
      </c>
      <c r="F147" s="137"/>
    </row>
    <row r="148" spans="1:6" s="130" customFormat="1">
      <c r="A148" s="134" t="s">
        <v>666</v>
      </c>
      <c r="F148" s="137"/>
    </row>
  </sheetData>
  <phoneticPr fontId="5" type="noConversion"/>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3"/>
  <sheetViews>
    <sheetView workbookViewId="0">
      <selection activeCell="G17" sqref="G17"/>
    </sheetView>
  </sheetViews>
  <sheetFormatPr defaultRowHeight="16.5"/>
  <sheetData>
    <row r="1" spans="2:7" s="130" customFormat="1">
      <c r="D1" s="130" t="s">
        <v>667</v>
      </c>
    </row>
    <row r="2" spans="2:7" s="131" customFormat="1">
      <c r="B2" s="131" t="s">
        <v>606</v>
      </c>
    </row>
    <row r="3" spans="2:7" s="130" customFormat="1"/>
    <row r="4" spans="2:7" s="130" customFormat="1"/>
    <row r="5" spans="2:7" s="130" customFormat="1"/>
    <row r="6" spans="2:7" s="130" customFormat="1"/>
    <row r="7" spans="2:7" s="130" customFormat="1"/>
    <row r="8" spans="2:7" s="131" customFormat="1">
      <c r="B8" s="131" t="s">
        <v>668</v>
      </c>
      <c r="D8" s="131" t="s">
        <v>669</v>
      </c>
      <c r="E8" s="131" t="s">
        <v>670</v>
      </c>
    </row>
    <row r="9" spans="2:7" s="130" customFormat="1">
      <c r="D9" s="130" t="s">
        <v>671</v>
      </c>
      <c r="G9" s="130" t="s">
        <v>672</v>
      </c>
    </row>
    <row r="10" spans="2:7" s="130" customFormat="1"/>
    <row r="11" spans="2:7" s="130" customFormat="1"/>
    <row r="12" spans="2:7" s="130" customFormat="1"/>
    <row r="13" spans="2:7" s="131" customFormat="1">
      <c r="B13" s="131" t="s">
        <v>673</v>
      </c>
    </row>
  </sheetData>
  <phoneticPr fontId="5" type="noConversion"/>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6"/>
  <sheetViews>
    <sheetView workbookViewId="0">
      <selection activeCell="D11" sqref="D11"/>
    </sheetView>
  </sheetViews>
  <sheetFormatPr defaultRowHeight="16.5"/>
  <sheetData>
    <row r="2" spans="2:2">
      <c r="B2" t="s">
        <v>607</v>
      </c>
    </row>
    <row r="4" spans="2:2">
      <c r="B4" t="s">
        <v>608</v>
      </c>
    </row>
    <row r="5" spans="2:2">
      <c r="B5" t="s">
        <v>609</v>
      </c>
    </row>
    <row r="6" spans="2:2">
      <c r="B6" s="130"/>
    </row>
  </sheetData>
  <phoneticPr fontId="5" type="noConversion"/>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16"/>
  <sheetViews>
    <sheetView topLeftCell="A46" workbookViewId="0">
      <selection activeCell="AA65" sqref="AA65"/>
    </sheetView>
  </sheetViews>
  <sheetFormatPr defaultRowHeight="16.5"/>
  <cols>
    <col min="1" max="1" width="9" style="130"/>
    <col min="2" max="31" width="4.625" customWidth="1"/>
  </cols>
  <sheetData>
    <row r="1" spans="2:11">
      <c r="B1" s="145"/>
      <c r="C1" s="145"/>
      <c r="D1" s="145"/>
      <c r="E1" s="145"/>
      <c r="F1" s="145"/>
      <c r="G1" s="145"/>
      <c r="H1" s="145"/>
      <c r="I1" s="145"/>
      <c r="J1" s="145"/>
      <c r="K1" s="145"/>
    </row>
    <row r="2" spans="2:11" s="131" customFormat="1">
      <c r="B2" s="174" t="s">
        <v>683</v>
      </c>
      <c r="D2" s="132"/>
      <c r="E2" s="132"/>
      <c r="F2" s="132"/>
      <c r="G2" s="132"/>
      <c r="H2" s="132"/>
      <c r="I2" s="132"/>
      <c r="J2" s="132"/>
      <c r="K2" s="132"/>
    </row>
    <row r="3" spans="2:11" s="130" customFormat="1">
      <c r="B3" s="145"/>
      <c r="C3" s="145"/>
      <c r="D3" s="145"/>
      <c r="E3" s="145"/>
      <c r="F3" s="145"/>
      <c r="G3" s="145"/>
      <c r="H3" s="145"/>
      <c r="I3" s="145"/>
      <c r="J3" s="145"/>
      <c r="K3" s="145"/>
    </row>
    <row r="4" spans="2:11" ht="16.5" customHeight="1">
      <c r="B4" s="145"/>
      <c r="C4" s="254" t="s">
        <v>674</v>
      </c>
      <c r="D4" s="254"/>
      <c r="E4" s="254"/>
      <c r="F4" s="254"/>
      <c r="G4" s="254"/>
      <c r="H4" s="254"/>
      <c r="I4" s="254"/>
      <c r="J4" s="254"/>
      <c r="K4" s="145"/>
    </row>
    <row r="5" spans="2:11">
      <c r="B5" s="145"/>
      <c r="C5" s="164">
        <v>3</v>
      </c>
      <c r="D5" s="164">
        <v>2</v>
      </c>
      <c r="E5" s="164">
        <v>4</v>
      </c>
      <c r="F5" s="164">
        <v>5</v>
      </c>
      <c r="G5" s="165">
        <v>1</v>
      </c>
      <c r="H5" s="165">
        <v>20</v>
      </c>
      <c r="I5" s="165">
        <v>2</v>
      </c>
      <c r="J5" s="164">
        <v>2</v>
      </c>
      <c r="K5" s="145"/>
    </row>
    <row r="6" spans="2:11">
      <c r="B6" s="145"/>
      <c r="C6" s="145"/>
      <c r="D6" s="145"/>
      <c r="E6" s="145"/>
      <c r="F6" s="145"/>
      <c r="G6" s="145"/>
      <c r="H6" s="145"/>
      <c r="I6" s="145"/>
      <c r="J6" s="145"/>
      <c r="K6" s="145"/>
    </row>
    <row r="7" spans="2:11">
      <c r="B7" s="145"/>
      <c r="C7" s="145"/>
      <c r="D7" s="145"/>
      <c r="E7" s="145"/>
      <c r="F7" s="145"/>
      <c r="G7" s="145"/>
      <c r="H7" s="145"/>
      <c r="I7" s="145"/>
      <c r="J7" s="145"/>
      <c r="K7" s="145"/>
    </row>
    <row r="8" spans="2:11">
      <c r="B8" s="145"/>
      <c r="C8" s="166" t="s">
        <v>675</v>
      </c>
      <c r="D8" s="167"/>
      <c r="E8" s="167">
        <v>0.3</v>
      </c>
      <c r="F8" s="167">
        <v>0.4</v>
      </c>
      <c r="G8" s="167">
        <v>0.3</v>
      </c>
      <c r="H8" s="145"/>
      <c r="I8" s="145"/>
      <c r="J8" s="145"/>
      <c r="K8" s="145"/>
    </row>
    <row r="9" spans="2:11">
      <c r="C9" s="168" t="s">
        <v>676</v>
      </c>
      <c r="D9" s="145"/>
      <c r="E9" s="145"/>
      <c r="F9" s="145"/>
      <c r="G9" s="145"/>
      <c r="H9" s="145"/>
      <c r="I9" s="145"/>
      <c r="J9" s="145"/>
      <c r="K9" s="145"/>
    </row>
    <row r="10" spans="2:11">
      <c r="B10" s="145"/>
      <c r="C10" s="145"/>
      <c r="D10" s="145"/>
      <c r="E10" s="145"/>
      <c r="F10" s="145"/>
      <c r="G10" s="145"/>
      <c r="H10" s="145"/>
      <c r="I10" s="145"/>
      <c r="J10" s="145"/>
      <c r="K10" s="145"/>
    </row>
    <row r="11" spans="2:11">
      <c r="B11" s="145"/>
      <c r="C11" s="145" t="s">
        <v>677</v>
      </c>
      <c r="D11" s="145"/>
      <c r="E11" s="145"/>
      <c r="F11" s="145"/>
      <c r="G11" s="145"/>
      <c r="H11" s="145"/>
      <c r="I11" s="145"/>
      <c r="J11" s="145"/>
      <c r="K11" s="145"/>
    </row>
    <row r="12" spans="2:11">
      <c r="B12" s="145"/>
      <c r="C12" s="145" t="s">
        <v>678</v>
      </c>
      <c r="D12" s="145">
        <f t="shared" ref="D12:I12" si="0">C5*$E$8+D5*$F$8+E5*$G$8</f>
        <v>2.9</v>
      </c>
      <c r="E12" s="145">
        <f t="shared" si="0"/>
        <v>3.7</v>
      </c>
      <c r="F12" s="145">
        <f t="shared" si="0"/>
        <v>3.5</v>
      </c>
      <c r="G12" s="145">
        <f t="shared" si="0"/>
        <v>7.9</v>
      </c>
      <c r="H12" s="173">
        <f t="shared" si="0"/>
        <v>8.9</v>
      </c>
      <c r="I12" s="145">
        <f t="shared" si="0"/>
        <v>7.3999999999999995</v>
      </c>
      <c r="J12" s="145" t="s">
        <v>679</v>
      </c>
      <c r="K12" s="145"/>
    </row>
    <row r="15" spans="2:11" ht="16.5" customHeight="1">
      <c r="B15" s="112"/>
      <c r="C15" s="254" t="s">
        <v>680</v>
      </c>
      <c r="D15" s="254"/>
      <c r="E15" s="254"/>
      <c r="F15" s="254"/>
      <c r="G15" s="254"/>
      <c r="H15" s="254"/>
      <c r="I15" s="254"/>
      <c r="J15" s="112"/>
      <c r="K15" s="112"/>
    </row>
    <row r="16" spans="2:11">
      <c r="B16" s="169">
        <v>0</v>
      </c>
      <c r="C16" s="163">
        <v>3</v>
      </c>
      <c r="D16" s="163">
        <v>2</v>
      </c>
      <c r="E16" s="163">
        <v>4</v>
      </c>
      <c r="F16" s="163">
        <v>5</v>
      </c>
      <c r="G16" s="163">
        <v>1</v>
      </c>
      <c r="H16" s="163">
        <v>20</v>
      </c>
      <c r="I16" s="163">
        <v>2</v>
      </c>
      <c r="J16" s="163">
        <v>2</v>
      </c>
      <c r="K16" s="169">
        <v>0</v>
      </c>
    </row>
    <row r="18" spans="2:11">
      <c r="B18" s="169">
        <v>0</v>
      </c>
      <c r="C18" s="164">
        <v>3</v>
      </c>
      <c r="D18" s="164">
        <v>2</v>
      </c>
      <c r="E18" s="164">
        <v>4</v>
      </c>
      <c r="F18" s="164">
        <v>5</v>
      </c>
      <c r="G18" s="165">
        <v>1</v>
      </c>
      <c r="H18" s="165">
        <v>20</v>
      </c>
      <c r="I18" s="165">
        <v>2</v>
      </c>
      <c r="J18" s="164">
        <v>2</v>
      </c>
      <c r="K18" s="169">
        <v>0</v>
      </c>
    </row>
    <row r="21" spans="2:11">
      <c r="C21" s="166" t="s">
        <v>675</v>
      </c>
      <c r="D21" s="167"/>
      <c r="E21" s="167">
        <v>0.3</v>
      </c>
      <c r="F21" s="167">
        <v>0.4</v>
      </c>
      <c r="G21" s="167">
        <v>0.3</v>
      </c>
    </row>
    <row r="23" spans="2:11">
      <c r="C23" t="s">
        <v>681</v>
      </c>
    </row>
    <row r="24" spans="2:11">
      <c r="C24">
        <f>B18*$E$21+C18*$F$21+D18*$G$21</f>
        <v>1.8000000000000003</v>
      </c>
      <c r="D24" s="130">
        <f t="shared" ref="D24:J24" si="1">C18*$E$21+D18*$F$21+E18*$G$21</f>
        <v>2.9</v>
      </c>
      <c r="E24" s="130">
        <f t="shared" si="1"/>
        <v>3.7</v>
      </c>
      <c r="F24" s="130">
        <f t="shared" si="1"/>
        <v>3.5</v>
      </c>
      <c r="G24" s="130">
        <f t="shared" si="1"/>
        <v>7.9</v>
      </c>
      <c r="H24" s="172">
        <f t="shared" si="1"/>
        <v>8.9</v>
      </c>
      <c r="I24" s="130">
        <f t="shared" si="1"/>
        <v>7.3999999999999995</v>
      </c>
      <c r="J24" s="130">
        <f t="shared" si="1"/>
        <v>1.4</v>
      </c>
    </row>
    <row r="27" spans="2:11">
      <c r="F27" s="130"/>
    </row>
    <row r="29" spans="2:11">
      <c r="C29" s="254" t="s">
        <v>674</v>
      </c>
      <c r="D29" s="254"/>
      <c r="E29" s="254"/>
      <c r="F29" s="254"/>
      <c r="G29" s="254"/>
      <c r="H29" s="254"/>
      <c r="I29" s="254"/>
      <c r="J29" s="254"/>
    </row>
    <row r="30" spans="2:11">
      <c r="C30" s="164">
        <v>3</v>
      </c>
      <c r="D30" s="164">
        <v>2</v>
      </c>
      <c r="E30" s="164">
        <v>4</v>
      </c>
      <c r="F30" s="164">
        <v>5</v>
      </c>
      <c r="G30" s="165">
        <v>1</v>
      </c>
      <c r="H30" s="165">
        <v>20</v>
      </c>
      <c r="I30" s="165">
        <v>2</v>
      </c>
      <c r="J30" s="164">
        <v>2</v>
      </c>
    </row>
    <row r="31" spans="2:11">
      <c r="C31" s="145"/>
      <c r="D31" s="145"/>
      <c r="E31" s="145"/>
      <c r="F31" s="145"/>
      <c r="G31" s="145"/>
      <c r="H31" s="145"/>
      <c r="I31" s="145"/>
      <c r="J31" s="145"/>
    </row>
    <row r="32" spans="2:11">
      <c r="C32" s="145"/>
      <c r="D32" s="145"/>
      <c r="E32" s="145"/>
      <c r="F32" s="145"/>
      <c r="G32" s="145"/>
      <c r="H32" s="145"/>
      <c r="I32" s="145"/>
      <c r="J32" s="145"/>
    </row>
    <row r="33" spans="1:11">
      <c r="C33" s="166" t="s">
        <v>675</v>
      </c>
      <c r="D33" s="167"/>
      <c r="E33" s="167">
        <v>0.3</v>
      </c>
      <c r="F33" s="167">
        <v>0.4</v>
      </c>
      <c r="G33" s="167">
        <v>0.3</v>
      </c>
      <c r="H33" s="145"/>
      <c r="I33" s="145"/>
      <c r="J33" s="145"/>
    </row>
    <row r="34" spans="1:11">
      <c r="C34" s="168" t="s">
        <v>676</v>
      </c>
      <c r="D34" s="145"/>
      <c r="E34" s="145"/>
      <c r="F34" s="145"/>
      <c r="G34" s="145"/>
      <c r="H34" s="145"/>
      <c r="I34" s="145"/>
      <c r="J34" s="145"/>
    </row>
    <row r="35" spans="1:11">
      <c r="C35" s="145"/>
      <c r="D35" s="145"/>
      <c r="E35" s="145"/>
      <c r="F35" s="145"/>
      <c r="G35" s="145"/>
      <c r="H35" s="145"/>
      <c r="I35" s="145"/>
      <c r="J35" s="145"/>
    </row>
    <row r="36" spans="1:11">
      <c r="C36" s="145" t="s">
        <v>677</v>
      </c>
      <c r="D36" s="145"/>
      <c r="E36" s="145"/>
      <c r="F36" s="145"/>
      <c r="G36" s="145"/>
      <c r="H36" s="145"/>
      <c r="I36" s="145"/>
      <c r="J36" s="145"/>
    </row>
    <row r="37" spans="1:11">
      <c r="C37" s="145" t="s">
        <v>678</v>
      </c>
      <c r="D37" s="145">
        <f t="shared" ref="D37:I37" si="2">C30*$E$8+D30*$F$8+E30*$G$8</f>
        <v>2.9</v>
      </c>
      <c r="E37" s="145">
        <f t="shared" si="2"/>
        <v>3.7</v>
      </c>
      <c r="F37" s="145">
        <f t="shared" si="2"/>
        <v>3.5</v>
      </c>
      <c r="G37" s="145">
        <f t="shared" si="2"/>
        <v>7.9</v>
      </c>
      <c r="H37" s="171">
        <f t="shared" si="2"/>
        <v>8.9</v>
      </c>
      <c r="I37" s="145">
        <f t="shared" si="2"/>
        <v>7.3999999999999995</v>
      </c>
      <c r="J37" s="145" t="s">
        <v>679</v>
      </c>
    </row>
    <row r="39" spans="1:11">
      <c r="B39" t="s">
        <v>682</v>
      </c>
      <c r="C39">
        <v>0.2</v>
      </c>
    </row>
    <row r="41" spans="1:11">
      <c r="D41">
        <f t="shared" ref="D41:I41" si="3">D37+$C$39</f>
        <v>3.1</v>
      </c>
      <c r="E41" s="130">
        <f t="shared" si="3"/>
        <v>3.9000000000000004</v>
      </c>
      <c r="F41" s="130">
        <f t="shared" si="3"/>
        <v>3.7</v>
      </c>
      <c r="G41" s="130">
        <f t="shared" si="3"/>
        <v>8.1</v>
      </c>
      <c r="H41" s="172">
        <f t="shared" si="3"/>
        <v>9.1</v>
      </c>
      <c r="I41" s="130">
        <f t="shared" si="3"/>
        <v>7.6</v>
      </c>
    </row>
    <row r="45" spans="1:11" s="131" customFormat="1">
      <c r="B45" s="174" t="s">
        <v>684</v>
      </c>
    </row>
    <row r="47" spans="1:11" s="130" customFormat="1">
      <c r="A47" s="130" t="s">
        <v>687</v>
      </c>
    </row>
    <row r="48" spans="1:11">
      <c r="B48" s="145">
        <v>0</v>
      </c>
      <c r="C48" s="145">
        <v>0</v>
      </c>
      <c r="D48" s="145">
        <v>0</v>
      </c>
      <c r="E48" s="145">
        <v>0</v>
      </c>
      <c r="F48" s="145">
        <v>0</v>
      </c>
      <c r="G48" s="145">
        <v>0</v>
      </c>
      <c r="H48" s="145">
        <v>0</v>
      </c>
      <c r="I48" s="145">
        <v>0</v>
      </c>
      <c r="J48" s="145">
        <v>0</v>
      </c>
      <c r="K48" s="145">
        <v>0</v>
      </c>
    </row>
    <row r="49" spans="1:24" ht="16.5" customHeight="1">
      <c r="B49" s="145">
        <v>0</v>
      </c>
      <c r="C49" s="167">
        <v>2</v>
      </c>
      <c r="D49" s="167">
        <v>2</v>
      </c>
      <c r="E49" s="167">
        <v>2</v>
      </c>
      <c r="F49" s="167">
        <v>2</v>
      </c>
      <c r="G49" s="167">
        <v>2</v>
      </c>
      <c r="H49" s="167">
        <v>1</v>
      </c>
      <c r="I49" s="167">
        <v>1</v>
      </c>
      <c r="J49" s="167">
        <v>1</v>
      </c>
      <c r="K49" s="145">
        <v>0</v>
      </c>
      <c r="L49" s="145"/>
      <c r="M49" s="145"/>
      <c r="N49" s="145"/>
      <c r="Q49" s="253" t="s">
        <v>686</v>
      </c>
      <c r="R49" s="253"/>
      <c r="S49" s="253"/>
      <c r="T49" s="253"/>
      <c r="U49" s="253"/>
      <c r="V49" s="253"/>
      <c r="W49" s="253"/>
      <c r="X49" s="253"/>
    </row>
    <row r="50" spans="1:24" ht="16.5" customHeight="1">
      <c r="B50" s="145">
        <v>0</v>
      </c>
      <c r="C50" s="167">
        <v>2</v>
      </c>
      <c r="D50" s="167">
        <v>2</v>
      </c>
      <c r="E50" s="167">
        <v>2</v>
      </c>
      <c r="F50" s="167">
        <v>2</v>
      </c>
      <c r="G50" s="167">
        <v>2</v>
      </c>
      <c r="H50" s="167">
        <v>1</v>
      </c>
      <c r="I50" s="167">
        <v>1</v>
      </c>
      <c r="J50" s="167">
        <v>1</v>
      </c>
      <c r="K50" s="145">
        <v>0</v>
      </c>
      <c r="L50" s="145"/>
      <c r="M50" s="145"/>
      <c r="N50" s="145"/>
      <c r="O50" s="130"/>
      <c r="P50" s="146"/>
      <c r="Q50" s="177">
        <f>B48*$M$52+C48*$N$52+D48*$O$52+B49*$M$53+C49*$N$53+D49*$O$53+B50*$M$54+C50*$N$54+D50*$O$54</f>
        <v>4</v>
      </c>
      <c r="R50" s="177">
        <f t="shared" ref="R50:X50" si="4">C48*$M$52+D48*$N$52+E48*$O$52+C49*$M$53+D49*$N$53+E49*$O$53+C50*$M$54+D50*$N$54+E50*$O$54</f>
        <v>0</v>
      </c>
      <c r="S50" s="177">
        <f t="shared" si="4"/>
        <v>0</v>
      </c>
      <c r="T50" s="177">
        <f t="shared" si="4"/>
        <v>0</v>
      </c>
      <c r="U50" s="177">
        <f t="shared" si="4"/>
        <v>-2</v>
      </c>
      <c r="V50" s="177">
        <f t="shared" si="4"/>
        <v>-2</v>
      </c>
      <c r="W50" s="177">
        <f t="shared" si="4"/>
        <v>0</v>
      </c>
      <c r="X50" s="177">
        <f t="shared" si="4"/>
        <v>-2</v>
      </c>
    </row>
    <row r="51" spans="1:24">
      <c r="B51" s="145">
        <v>0</v>
      </c>
      <c r="C51" s="167">
        <v>2</v>
      </c>
      <c r="D51" s="167">
        <v>2</v>
      </c>
      <c r="E51" s="167">
        <v>2</v>
      </c>
      <c r="F51" s="167">
        <v>2</v>
      </c>
      <c r="G51" s="167">
        <v>2</v>
      </c>
      <c r="H51" s="167">
        <v>1</v>
      </c>
      <c r="I51" s="167">
        <v>1</v>
      </c>
      <c r="J51" s="167">
        <v>1</v>
      </c>
      <c r="K51" s="145">
        <v>0</v>
      </c>
      <c r="L51" s="145"/>
      <c r="M51" s="253" t="s">
        <v>685</v>
      </c>
      <c r="N51" s="253"/>
      <c r="O51" s="253"/>
      <c r="P51" s="130"/>
      <c r="Q51" s="177">
        <f t="shared" ref="Q51:Q58" si="5">B49*$M$52+C49*$N$52+D49*$O$52+B50*$M$53+C50*$N$53+D50*$O$53+B51*$M$54+C51*$N$54+D51*$O$54</f>
        <v>6</v>
      </c>
      <c r="R51" s="177">
        <f t="shared" ref="R51:R58" si="6">C49*$M$52+D49*$N$52+E49*$O$52+C50*$M$53+D50*$N$53+E50*$O$53+C51*$M$54+D51*$N$54+E51*$O$54</f>
        <v>0</v>
      </c>
      <c r="S51" s="177">
        <f t="shared" ref="S51:S58" si="7">D49*$M$52+E49*$N$52+F49*$O$52+D50*$M$53+E50*$N$53+F50*$O$53+D51*$M$54+E51*$N$54+F51*$O$54</f>
        <v>0</v>
      </c>
      <c r="T51" s="177">
        <f t="shared" ref="T51:T58" si="8">E49*$M$52+F49*$N$52+G49*$O$52+E50*$M$53+F50*$N$53+G50*$O$53+E51*$M$54+F51*$N$54+G51*$O$54</f>
        <v>0</v>
      </c>
      <c r="U51" s="177">
        <f t="shared" ref="U51:U58" si="9">F49*$M$52+G49*$N$52+H49*$O$52+F50*$M$53+G50*$N$53+H50*$O$53+F51*$M$54+G51*$N$54+H51*$O$54</f>
        <v>-3</v>
      </c>
      <c r="V51" s="177">
        <f t="shared" ref="V51:V58" si="10">G49*$M$52+H49*$N$52+I49*$O$52+G50*$M$53+H50*$N$53+I50*$O$53+G51*$M$54+H51*$N$54+I51*$O$54</f>
        <v>-3</v>
      </c>
      <c r="W51" s="177">
        <f t="shared" ref="W51:W58" si="11">H49*$M$52+I49*$N$52+J49*$O$52+H50*$M$53+I50*$N$53+J50*$O$53+H51*$M$54+I51*$N$54+J51*$O$54</f>
        <v>0</v>
      </c>
      <c r="X51" s="177">
        <f t="shared" ref="X51:X58" si="12">I49*$M$52+J49*$N$52+K49*$O$52+I50*$M$53+J50*$N$53+K50*$O$53+I51*$M$54+J51*$N$54+K51*$O$54</f>
        <v>-3</v>
      </c>
    </row>
    <row r="52" spans="1:24">
      <c r="B52" s="145">
        <v>0</v>
      </c>
      <c r="C52" s="167">
        <v>2</v>
      </c>
      <c r="D52" s="167">
        <v>2</v>
      </c>
      <c r="E52" s="167">
        <v>2</v>
      </c>
      <c r="F52" s="167">
        <v>2</v>
      </c>
      <c r="G52" s="167">
        <v>2</v>
      </c>
      <c r="H52" s="167">
        <v>1</v>
      </c>
      <c r="I52" s="167">
        <v>1</v>
      </c>
      <c r="J52" s="167">
        <v>1</v>
      </c>
      <c r="K52" s="145">
        <v>0</v>
      </c>
      <c r="M52" s="167">
        <v>-1</v>
      </c>
      <c r="N52" s="167">
        <v>0</v>
      </c>
      <c r="O52" s="167">
        <v>1</v>
      </c>
      <c r="Q52" s="177">
        <f t="shared" si="5"/>
        <v>6</v>
      </c>
      <c r="R52" s="177">
        <f t="shared" si="6"/>
        <v>0</v>
      </c>
      <c r="S52" s="177">
        <f t="shared" si="7"/>
        <v>0</v>
      </c>
      <c r="T52" s="177">
        <f t="shared" si="8"/>
        <v>0</v>
      </c>
      <c r="U52" s="177">
        <f t="shared" si="9"/>
        <v>-3</v>
      </c>
      <c r="V52" s="177">
        <f t="shared" si="10"/>
        <v>-3</v>
      </c>
      <c r="W52" s="177">
        <f t="shared" si="11"/>
        <v>0</v>
      </c>
      <c r="X52" s="177">
        <f t="shared" si="12"/>
        <v>-3</v>
      </c>
    </row>
    <row r="53" spans="1:24">
      <c r="B53" s="145">
        <v>0</v>
      </c>
      <c r="C53" s="167">
        <v>2</v>
      </c>
      <c r="D53" s="175">
        <v>2</v>
      </c>
      <c r="E53" s="175">
        <v>2</v>
      </c>
      <c r="F53" s="175">
        <v>9</v>
      </c>
      <c r="G53" s="167">
        <v>9</v>
      </c>
      <c r="H53" s="167">
        <v>9</v>
      </c>
      <c r="I53" s="167">
        <v>9</v>
      </c>
      <c r="J53" s="167">
        <v>9</v>
      </c>
      <c r="K53" s="145">
        <v>0</v>
      </c>
      <c r="M53" s="167">
        <v>-1</v>
      </c>
      <c r="N53" s="167">
        <v>0</v>
      </c>
      <c r="O53" s="167">
        <v>1</v>
      </c>
      <c r="Q53" s="177">
        <f t="shared" si="5"/>
        <v>6</v>
      </c>
      <c r="R53" s="177">
        <f t="shared" si="6"/>
        <v>0</v>
      </c>
      <c r="S53" s="177">
        <f t="shared" si="7"/>
        <v>7</v>
      </c>
      <c r="T53" s="177">
        <f t="shared" si="8"/>
        <v>7</v>
      </c>
      <c r="U53" s="177">
        <f t="shared" si="9"/>
        <v>-2</v>
      </c>
      <c r="V53" s="177">
        <f t="shared" si="10"/>
        <v>-2</v>
      </c>
      <c r="W53" s="177">
        <f t="shared" si="11"/>
        <v>0</v>
      </c>
      <c r="X53" s="177">
        <f t="shared" si="12"/>
        <v>-11</v>
      </c>
    </row>
    <row r="54" spans="1:24">
      <c r="B54" s="145">
        <v>0</v>
      </c>
      <c r="C54" s="167">
        <v>2</v>
      </c>
      <c r="D54" s="175">
        <v>2</v>
      </c>
      <c r="E54" s="175">
        <v>2</v>
      </c>
      <c r="F54" s="175">
        <v>9</v>
      </c>
      <c r="G54" s="167">
        <v>9</v>
      </c>
      <c r="H54" s="167">
        <v>9</v>
      </c>
      <c r="I54" s="167">
        <v>9</v>
      </c>
      <c r="J54" s="167">
        <v>9</v>
      </c>
      <c r="K54" s="145">
        <v>0</v>
      </c>
      <c r="M54" s="167">
        <v>-1</v>
      </c>
      <c r="N54" s="167">
        <v>0</v>
      </c>
      <c r="O54" s="167">
        <v>1</v>
      </c>
      <c r="Q54" s="177">
        <f t="shared" si="5"/>
        <v>6</v>
      </c>
      <c r="R54" s="177">
        <f t="shared" si="6"/>
        <v>0</v>
      </c>
      <c r="S54" s="177">
        <f t="shared" si="7"/>
        <v>14</v>
      </c>
      <c r="T54" s="177">
        <f t="shared" si="8"/>
        <v>14</v>
      </c>
      <c r="U54" s="177">
        <f t="shared" si="9"/>
        <v>-1</v>
      </c>
      <c r="V54" s="177">
        <f t="shared" si="10"/>
        <v>-1</v>
      </c>
      <c r="W54" s="177">
        <f t="shared" si="11"/>
        <v>0</v>
      </c>
      <c r="X54" s="177">
        <f t="shared" si="12"/>
        <v>-19</v>
      </c>
    </row>
    <row r="55" spans="1:24">
      <c r="B55" s="145">
        <v>0</v>
      </c>
      <c r="C55" s="167">
        <v>2</v>
      </c>
      <c r="D55" s="175">
        <v>2</v>
      </c>
      <c r="E55" s="175">
        <v>2</v>
      </c>
      <c r="F55" s="175">
        <v>9</v>
      </c>
      <c r="G55" s="167">
        <v>9</v>
      </c>
      <c r="H55" s="167">
        <v>9</v>
      </c>
      <c r="I55" s="167">
        <v>9</v>
      </c>
      <c r="J55" s="167">
        <v>9</v>
      </c>
      <c r="K55" s="145">
        <v>0</v>
      </c>
      <c r="L55" s="145"/>
      <c r="M55" s="145"/>
      <c r="N55" s="145"/>
      <c r="O55" s="130"/>
      <c r="P55" s="130"/>
      <c r="Q55" s="177">
        <f t="shared" si="5"/>
        <v>6</v>
      </c>
      <c r="R55" s="177">
        <f t="shared" si="6"/>
        <v>0</v>
      </c>
      <c r="S55" s="177">
        <f t="shared" si="7"/>
        <v>21</v>
      </c>
      <c r="T55" s="177">
        <f t="shared" si="8"/>
        <v>21</v>
      </c>
      <c r="U55" s="177">
        <f t="shared" si="9"/>
        <v>0</v>
      </c>
      <c r="V55" s="177">
        <f t="shared" si="10"/>
        <v>0</v>
      </c>
      <c r="W55" s="177">
        <f t="shared" si="11"/>
        <v>0</v>
      </c>
      <c r="X55" s="177">
        <f t="shared" si="12"/>
        <v>-27</v>
      </c>
    </row>
    <row r="56" spans="1:24">
      <c r="B56" s="145">
        <v>0</v>
      </c>
      <c r="C56" s="167">
        <v>2</v>
      </c>
      <c r="D56" s="167">
        <v>2</v>
      </c>
      <c r="E56" s="167">
        <v>2</v>
      </c>
      <c r="F56" s="167">
        <v>9</v>
      </c>
      <c r="G56" s="167">
        <v>9</v>
      </c>
      <c r="H56" s="167">
        <v>9</v>
      </c>
      <c r="I56" s="167">
        <v>9</v>
      </c>
      <c r="J56" s="167">
        <v>9</v>
      </c>
      <c r="K56" s="145">
        <v>0</v>
      </c>
      <c r="L56" s="145"/>
      <c r="M56" s="145"/>
      <c r="N56" s="145"/>
      <c r="O56" s="130"/>
      <c r="P56" s="130"/>
      <c r="Q56" s="177">
        <f t="shared" si="5"/>
        <v>6</v>
      </c>
      <c r="R56" s="177">
        <f t="shared" si="6"/>
        <v>0</v>
      </c>
      <c r="S56" s="200">
        <f t="shared" si="7"/>
        <v>21</v>
      </c>
      <c r="T56" s="177">
        <f t="shared" si="8"/>
        <v>21</v>
      </c>
      <c r="U56" s="177">
        <f t="shared" si="9"/>
        <v>0</v>
      </c>
      <c r="V56" s="177">
        <f t="shared" si="10"/>
        <v>0</v>
      </c>
      <c r="W56" s="177">
        <f t="shared" si="11"/>
        <v>0</v>
      </c>
      <c r="X56" s="177">
        <f t="shared" si="12"/>
        <v>-27</v>
      </c>
    </row>
    <row r="57" spans="1:24">
      <c r="B57" s="145">
        <v>0</v>
      </c>
      <c r="C57" s="145">
        <v>0</v>
      </c>
      <c r="D57" s="145">
        <v>0</v>
      </c>
      <c r="E57" s="145">
        <v>0</v>
      </c>
      <c r="F57" s="145">
        <v>0</v>
      </c>
      <c r="G57" s="145">
        <v>0</v>
      </c>
      <c r="H57" s="145">
        <v>0</v>
      </c>
      <c r="I57" s="145">
        <v>0</v>
      </c>
      <c r="J57" s="145">
        <v>0</v>
      </c>
      <c r="K57" s="145">
        <v>0</v>
      </c>
      <c r="Q57" s="177">
        <f t="shared" si="5"/>
        <v>4</v>
      </c>
      <c r="R57" s="177">
        <f t="shared" si="6"/>
        <v>0</v>
      </c>
      <c r="S57" s="177">
        <f t="shared" si="7"/>
        <v>14</v>
      </c>
      <c r="T57" s="177">
        <f t="shared" si="8"/>
        <v>14</v>
      </c>
      <c r="U57" s="177">
        <f t="shared" si="9"/>
        <v>0</v>
      </c>
      <c r="V57" s="177">
        <f t="shared" si="10"/>
        <v>0</v>
      </c>
      <c r="W57" s="177">
        <f t="shared" si="11"/>
        <v>0</v>
      </c>
      <c r="X57" s="177">
        <f t="shared" si="12"/>
        <v>-18</v>
      </c>
    </row>
    <row r="58" spans="1:24">
      <c r="Q58" s="177">
        <f t="shared" si="5"/>
        <v>2</v>
      </c>
      <c r="R58" s="177">
        <f t="shared" si="6"/>
        <v>0</v>
      </c>
      <c r="S58" s="177">
        <f t="shared" si="7"/>
        <v>7</v>
      </c>
      <c r="T58" s="177">
        <f t="shared" si="8"/>
        <v>7</v>
      </c>
      <c r="U58" s="177">
        <f t="shared" si="9"/>
        <v>0</v>
      </c>
      <c r="V58" s="177">
        <f t="shared" si="10"/>
        <v>0</v>
      </c>
      <c r="W58" s="177">
        <f t="shared" si="11"/>
        <v>0</v>
      </c>
      <c r="X58" s="177">
        <f t="shared" si="12"/>
        <v>-9</v>
      </c>
    </row>
    <row r="61" spans="1:24">
      <c r="A61" s="130" t="s">
        <v>688</v>
      </c>
      <c r="B61" s="130"/>
      <c r="C61" s="130"/>
      <c r="D61" s="130"/>
      <c r="E61" s="130"/>
      <c r="F61" s="130"/>
      <c r="G61" s="130"/>
      <c r="H61" s="130"/>
      <c r="I61" s="130"/>
      <c r="J61" s="130"/>
      <c r="K61" s="130"/>
      <c r="L61" s="130"/>
      <c r="M61" s="130"/>
      <c r="N61" s="130"/>
      <c r="O61" s="130"/>
      <c r="P61" s="130"/>
      <c r="Q61" s="130"/>
      <c r="R61" s="130"/>
      <c r="S61" s="130"/>
      <c r="T61" s="130"/>
      <c r="U61" s="130"/>
      <c r="V61" s="130"/>
      <c r="W61" s="130"/>
      <c r="X61" s="130"/>
    </row>
    <row r="62" spans="1:24">
      <c r="B62" s="145"/>
      <c r="C62" s="145"/>
      <c r="D62" s="145"/>
      <c r="E62" s="145"/>
      <c r="F62" s="145"/>
      <c r="G62" s="145"/>
      <c r="H62" s="145"/>
      <c r="I62" s="145"/>
      <c r="J62" s="145"/>
      <c r="K62" s="145"/>
      <c r="L62" s="130"/>
      <c r="M62" s="130"/>
      <c r="N62" s="130"/>
      <c r="O62" s="130"/>
      <c r="P62" s="130"/>
      <c r="Q62" s="130"/>
      <c r="R62" s="130"/>
      <c r="S62" s="130"/>
      <c r="T62" s="130"/>
      <c r="U62" s="130"/>
      <c r="V62" s="130"/>
      <c r="W62" s="130"/>
      <c r="X62" s="130"/>
    </row>
    <row r="63" spans="1:24">
      <c r="B63" s="145"/>
      <c r="C63" s="167">
        <v>2</v>
      </c>
      <c r="D63" s="167">
        <v>2</v>
      </c>
      <c r="E63" s="167">
        <v>2</v>
      </c>
      <c r="F63" s="167">
        <v>2</v>
      </c>
      <c r="G63" s="167">
        <v>2</v>
      </c>
      <c r="H63" s="167">
        <v>1</v>
      </c>
      <c r="I63" s="167">
        <v>1</v>
      </c>
      <c r="J63" s="167">
        <v>1</v>
      </c>
      <c r="K63" s="145"/>
      <c r="L63" s="145"/>
      <c r="M63" s="145"/>
      <c r="N63" s="145"/>
      <c r="O63" s="130"/>
      <c r="P63" s="130"/>
      <c r="Q63" s="253" t="s">
        <v>686</v>
      </c>
      <c r="R63" s="253"/>
      <c r="S63" s="253"/>
      <c r="T63" s="253"/>
      <c r="U63" s="253"/>
      <c r="V63" s="253"/>
      <c r="W63" s="253"/>
      <c r="X63" s="253"/>
    </row>
    <row r="64" spans="1:24">
      <c r="B64" s="145"/>
      <c r="C64" s="167">
        <v>2</v>
      </c>
      <c r="D64" s="167">
        <v>2</v>
      </c>
      <c r="E64" s="167">
        <v>2</v>
      </c>
      <c r="F64" s="167">
        <v>2</v>
      </c>
      <c r="G64" s="167">
        <v>2</v>
      </c>
      <c r="H64" s="167">
        <v>1</v>
      </c>
      <c r="I64" s="167">
        <v>1</v>
      </c>
      <c r="J64" s="167">
        <v>1</v>
      </c>
      <c r="K64" s="145"/>
      <c r="L64" s="145"/>
      <c r="M64" s="145"/>
      <c r="N64" s="145"/>
      <c r="O64" s="130"/>
      <c r="P64" s="146"/>
      <c r="Q64" s="146"/>
      <c r="R64" s="146"/>
      <c r="S64" s="146"/>
      <c r="T64" s="146"/>
      <c r="U64" s="146"/>
      <c r="V64" s="146"/>
      <c r="W64" s="146"/>
      <c r="X64" s="146"/>
    </row>
    <row r="65" spans="2:24">
      <c r="B65" s="145"/>
      <c r="C65" s="167">
        <v>2</v>
      </c>
      <c r="D65" s="167">
        <v>2</v>
      </c>
      <c r="E65" s="167">
        <v>2</v>
      </c>
      <c r="F65" s="167">
        <v>2</v>
      </c>
      <c r="G65" s="167">
        <v>2</v>
      </c>
      <c r="H65" s="167">
        <v>1</v>
      </c>
      <c r="I65" s="167">
        <v>1</v>
      </c>
      <c r="J65" s="167">
        <v>1</v>
      </c>
      <c r="K65" s="145"/>
      <c r="L65" s="145"/>
      <c r="M65" s="253" t="s">
        <v>685</v>
      </c>
      <c r="N65" s="253"/>
      <c r="O65" s="253"/>
      <c r="P65" s="130"/>
      <c r="Q65" s="146"/>
      <c r="R65" s="177">
        <f t="shared" ref="R65:R71" si="13">C63*$M$52+D63*$N$52+E63*$O$52+C64*$M$53+D64*$N$53+E64*$O$53+C65*$M$54+D65*$N$54+E65*$O$54</f>
        <v>0</v>
      </c>
      <c r="S65" s="177">
        <f t="shared" ref="S65:S71" si="14">D63*$M$52+E63*$N$52+F63*$O$52+D64*$M$53+E64*$N$53+F64*$O$53+D65*$M$54+E65*$N$54+F65*$O$54</f>
        <v>0</v>
      </c>
      <c r="T65" s="177">
        <f t="shared" ref="T65:T71" si="15">E63*$M$52+F63*$N$52+G63*$O$52+E64*$M$53+F64*$N$53+G64*$O$53+E65*$M$54+F65*$N$54+G65*$O$54</f>
        <v>0</v>
      </c>
      <c r="U65" s="177">
        <f t="shared" ref="U65:U71" si="16">F63*$M$52+G63*$N$52+H63*$O$52+F64*$M$53+G64*$N$53+H64*$O$53+F65*$M$54+G65*$N$54+H65*$O$54</f>
        <v>-3</v>
      </c>
      <c r="V65" s="177">
        <f t="shared" ref="V65:V71" si="17">G63*$M$52+H63*$N$52+I63*$O$52+G64*$M$53+H64*$N$53+I64*$O$53+G65*$M$54+H65*$N$54+I65*$O$54</f>
        <v>-3</v>
      </c>
      <c r="W65" s="177">
        <f t="shared" ref="W65:W71" si="18">H63*$M$52+I63*$N$52+J63*$O$52+H64*$M$53+I64*$N$53+J64*$O$53+H65*$M$54+I65*$N$54+J65*$O$54</f>
        <v>0</v>
      </c>
      <c r="X65" s="146"/>
    </row>
    <row r="66" spans="2:24">
      <c r="B66" s="145"/>
      <c r="C66" s="167">
        <v>2</v>
      </c>
      <c r="D66" s="167">
        <v>2</v>
      </c>
      <c r="E66" s="167">
        <v>2</v>
      </c>
      <c r="F66" s="167">
        <v>2</v>
      </c>
      <c r="G66" s="167">
        <v>2</v>
      </c>
      <c r="H66" s="167">
        <v>1</v>
      </c>
      <c r="I66" s="167">
        <v>1</v>
      </c>
      <c r="J66" s="167">
        <v>1</v>
      </c>
      <c r="K66" s="145"/>
      <c r="L66" s="130"/>
      <c r="M66" s="167">
        <v>-1</v>
      </c>
      <c r="N66" s="167">
        <v>0</v>
      </c>
      <c r="O66" s="167">
        <v>1</v>
      </c>
      <c r="P66" s="130"/>
      <c r="Q66" s="146"/>
      <c r="R66" s="177">
        <f t="shared" si="13"/>
        <v>0</v>
      </c>
      <c r="S66" s="177">
        <f t="shared" si="14"/>
        <v>0</v>
      </c>
      <c r="T66" s="177">
        <f t="shared" si="15"/>
        <v>0</v>
      </c>
      <c r="U66" s="177">
        <f t="shared" si="16"/>
        <v>-3</v>
      </c>
      <c r="V66" s="177">
        <f t="shared" si="17"/>
        <v>-3</v>
      </c>
      <c r="W66" s="177">
        <f t="shared" si="18"/>
        <v>0</v>
      </c>
      <c r="X66" s="146"/>
    </row>
    <row r="67" spans="2:24">
      <c r="B67" s="145"/>
      <c r="C67" s="167">
        <v>2</v>
      </c>
      <c r="D67" s="175">
        <v>2</v>
      </c>
      <c r="E67" s="175">
        <v>2</v>
      </c>
      <c r="F67" s="175">
        <v>9</v>
      </c>
      <c r="G67" s="167">
        <v>9</v>
      </c>
      <c r="H67" s="167">
        <v>9</v>
      </c>
      <c r="I67" s="167">
        <v>9</v>
      </c>
      <c r="J67" s="167">
        <v>9</v>
      </c>
      <c r="K67" s="145"/>
      <c r="L67" s="130"/>
      <c r="M67" s="167">
        <v>-1</v>
      </c>
      <c r="N67" s="167">
        <v>0</v>
      </c>
      <c r="O67" s="167">
        <v>1</v>
      </c>
      <c r="P67" s="130"/>
      <c r="Q67" s="146"/>
      <c r="R67" s="177">
        <f t="shared" si="13"/>
        <v>0</v>
      </c>
      <c r="S67" s="177">
        <f t="shared" si="14"/>
        <v>7</v>
      </c>
      <c r="T67" s="177">
        <f t="shared" si="15"/>
        <v>7</v>
      </c>
      <c r="U67" s="177">
        <f t="shared" si="16"/>
        <v>-2</v>
      </c>
      <c r="V67" s="177">
        <f t="shared" si="17"/>
        <v>-2</v>
      </c>
      <c r="W67" s="177">
        <f t="shared" si="18"/>
        <v>0</v>
      </c>
      <c r="X67" s="146"/>
    </row>
    <row r="68" spans="2:24">
      <c r="B68" s="145"/>
      <c r="C68" s="167">
        <v>2</v>
      </c>
      <c r="D68" s="175">
        <v>2</v>
      </c>
      <c r="E68" s="175">
        <v>2</v>
      </c>
      <c r="F68" s="175">
        <v>9</v>
      </c>
      <c r="G68" s="167">
        <v>9</v>
      </c>
      <c r="H68" s="167">
        <v>9</v>
      </c>
      <c r="I68" s="167">
        <v>9</v>
      </c>
      <c r="J68" s="167">
        <v>9</v>
      </c>
      <c r="K68" s="145"/>
      <c r="L68" s="130"/>
      <c r="M68" s="167">
        <v>-1</v>
      </c>
      <c r="N68" s="167">
        <v>0</v>
      </c>
      <c r="O68" s="167">
        <v>1</v>
      </c>
      <c r="P68" s="130"/>
      <c r="Q68" s="146"/>
      <c r="R68" s="177">
        <f t="shared" si="13"/>
        <v>0</v>
      </c>
      <c r="S68" s="177">
        <f t="shared" si="14"/>
        <v>14</v>
      </c>
      <c r="T68" s="177">
        <f t="shared" si="15"/>
        <v>14</v>
      </c>
      <c r="U68" s="177">
        <f t="shared" si="16"/>
        <v>-1</v>
      </c>
      <c r="V68" s="177">
        <f t="shared" si="17"/>
        <v>-1</v>
      </c>
      <c r="W68" s="177">
        <f t="shared" si="18"/>
        <v>0</v>
      </c>
      <c r="X68" s="146"/>
    </row>
    <row r="69" spans="2:24">
      <c r="B69" s="145"/>
      <c r="C69" s="167">
        <v>2</v>
      </c>
      <c r="D69" s="175">
        <v>2</v>
      </c>
      <c r="E69" s="175">
        <v>2</v>
      </c>
      <c r="F69" s="175">
        <v>9</v>
      </c>
      <c r="G69" s="167">
        <v>9</v>
      </c>
      <c r="H69" s="167">
        <v>9</v>
      </c>
      <c r="I69" s="167">
        <v>9</v>
      </c>
      <c r="J69" s="167">
        <v>9</v>
      </c>
      <c r="K69" s="145"/>
      <c r="L69" s="145"/>
      <c r="M69" s="145"/>
      <c r="N69" s="145"/>
      <c r="O69" s="130"/>
      <c r="P69" s="130"/>
      <c r="Q69" s="146"/>
      <c r="R69" s="177">
        <f t="shared" si="13"/>
        <v>0</v>
      </c>
      <c r="S69" s="177">
        <f t="shared" si="14"/>
        <v>21</v>
      </c>
      <c r="T69" s="177">
        <f t="shared" si="15"/>
        <v>21</v>
      </c>
      <c r="U69" s="177">
        <f t="shared" si="16"/>
        <v>0</v>
      </c>
      <c r="V69" s="177">
        <f t="shared" si="17"/>
        <v>0</v>
      </c>
      <c r="W69" s="177">
        <f t="shared" si="18"/>
        <v>0</v>
      </c>
      <c r="X69" s="146"/>
    </row>
    <row r="70" spans="2:24">
      <c r="B70" s="145"/>
      <c r="C70" s="167">
        <v>2</v>
      </c>
      <c r="D70" s="167">
        <v>2</v>
      </c>
      <c r="E70" s="167">
        <v>2</v>
      </c>
      <c r="F70" s="167">
        <v>9</v>
      </c>
      <c r="G70" s="167">
        <v>9</v>
      </c>
      <c r="H70" s="167">
        <v>9</v>
      </c>
      <c r="I70" s="167">
        <v>9</v>
      </c>
      <c r="J70" s="167">
        <v>9</v>
      </c>
      <c r="K70" s="145"/>
      <c r="L70" s="145"/>
      <c r="M70" s="145"/>
      <c r="N70" s="145"/>
      <c r="O70" s="130"/>
      <c r="P70" s="130"/>
      <c r="Q70" s="146"/>
      <c r="R70" s="177">
        <f t="shared" si="13"/>
        <v>0</v>
      </c>
      <c r="S70" s="200">
        <f t="shared" si="14"/>
        <v>21</v>
      </c>
      <c r="T70" s="177">
        <f t="shared" si="15"/>
        <v>21</v>
      </c>
      <c r="U70" s="177">
        <f t="shared" si="16"/>
        <v>0</v>
      </c>
      <c r="V70" s="177">
        <f t="shared" si="17"/>
        <v>0</v>
      </c>
      <c r="W70" s="177">
        <f t="shared" si="18"/>
        <v>0</v>
      </c>
      <c r="X70" s="146"/>
    </row>
    <row r="71" spans="2:24">
      <c r="B71" s="145"/>
      <c r="C71" s="145"/>
      <c r="D71" s="145"/>
      <c r="E71" s="145"/>
      <c r="F71" s="145"/>
      <c r="G71" s="145"/>
      <c r="H71" s="145"/>
      <c r="I71" s="145"/>
      <c r="J71" s="145"/>
      <c r="K71" s="145"/>
      <c r="L71" s="130"/>
      <c r="M71" s="130"/>
      <c r="N71" s="130"/>
      <c r="O71" s="130"/>
      <c r="P71" s="130"/>
      <c r="Q71" s="146"/>
      <c r="R71" s="177">
        <f t="shared" si="13"/>
        <v>0</v>
      </c>
      <c r="S71" s="177">
        <f t="shared" si="14"/>
        <v>14</v>
      </c>
      <c r="T71" s="177">
        <f t="shared" si="15"/>
        <v>14</v>
      </c>
      <c r="U71" s="177">
        <f t="shared" si="16"/>
        <v>0</v>
      </c>
      <c r="V71" s="177">
        <f t="shared" si="17"/>
        <v>0</v>
      </c>
      <c r="W71" s="177">
        <f t="shared" si="18"/>
        <v>0</v>
      </c>
      <c r="X71" s="146"/>
    </row>
    <row r="72" spans="2:24">
      <c r="B72" s="130"/>
      <c r="C72" s="130"/>
      <c r="D72" s="130"/>
      <c r="E72" s="130"/>
      <c r="F72" s="130"/>
      <c r="G72" s="130"/>
      <c r="H72" s="130"/>
      <c r="I72" s="130"/>
      <c r="J72" s="130"/>
      <c r="K72" s="130"/>
      <c r="L72" s="130"/>
      <c r="M72" s="130"/>
      <c r="N72" s="130"/>
      <c r="O72" s="130"/>
      <c r="P72" s="130"/>
      <c r="Q72" s="146"/>
      <c r="R72" s="146"/>
      <c r="S72" s="146"/>
      <c r="T72" s="146"/>
      <c r="U72" s="146"/>
      <c r="V72" s="146"/>
      <c r="W72" s="146"/>
      <c r="X72" s="146"/>
    </row>
    <row r="75" spans="2:24">
      <c r="M75" s="130" t="s">
        <v>682</v>
      </c>
      <c r="N75" s="130">
        <v>2</v>
      </c>
      <c r="O75" t="s">
        <v>689</v>
      </c>
    </row>
    <row r="76" spans="2:24">
      <c r="R76" s="177">
        <f t="shared" ref="R76:W76" si="19">C63*$M$52+D63*$N$52+E63*$O$52+C64*$M$53+D64*$N$53+E64*$O$53+C65*$M$54+D65*$N$54+E65*$O$54 + 2</f>
        <v>2</v>
      </c>
      <c r="S76" s="177">
        <f t="shared" si="19"/>
        <v>2</v>
      </c>
      <c r="T76" s="177">
        <f t="shared" si="19"/>
        <v>2</v>
      </c>
      <c r="U76" s="177">
        <f t="shared" si="19"/>
        <v>-1</v>
      </c>
      <c r="V76" s="177">
        <f t="shared" si="19"/>
        <v>-1</v>
      </c>
      <c r="W76" s="177">
        <f t="shared" si="19"/>
        <v>2</v>
      </c>
    </row>
    <row r="77" spans="2:24">
      <c r="R77" s="177">
        <f t="shared" ref="R77:R82" si="20">C64*$M$52+D64*$N$52+E64*$O$52+C65*$M$53+D65*$N$53+E65*$O$53+C66*$M$54+D66*$N$54+E66*$O$54 + 2</f>
        <v>2</v>
      </c>
      <c r="S77" s="177">
        <f t="shared" ref="S77:S82" si="21">D64*$M$52+E64*$N$52+F64*$O$52+D65*$M$53+E65*$N$53+F65*$O$53+D66*$M$54+E66*$N$54+F66*$O$54 + 2</f>
        <v>2</v>
      </c>
      <c r="T77" s="177">
        <f t="shared" ref="T77:T82" si="22">E64*$M$52+F64*$N$52+G64*$O$52+E65*$M$53+F65*$N$53+G65*$O$53+E66*$M$54+F66*$N$54+G66*$O$54 + 2</f>
        <v>2</v>
      </c>
      <c r="U77" s="177">
        <f t="shared" ref="U77:U82" si="23">F64*$M$52+G64*$N$52+H64*$O$52+F65*$M$53+G65*$N$53+H65*$O$53+F66*$M$54+G66*$N$54+H66*$O$54 + 2</f>
        <v>-1</v>
      </c>
      <c r="V77" s="177">
        <f t="shared" ref="V77:V82" si="24">G64*$M$52+H64*$N$52+I64*$O$52+G65*$M$53+H65*$N$53+I65*$O$53+G66*$M$54+H66*$N$54+I66*$O$54 + 2</f>
        <v>-1</v>
      </c>
      <c r="W77" s="177">
        <f t="shared" ref="W77:W82" si="25">H64*$M$52+I64*$N$52+J64*$O$52+H65*$M$53+I65*$N$53+J65*$O$53+H66*$M$54+I66*$N$54+J66*$O$54 + 2</f>
        <v>2</v>
      </c>
    </row>
    <row r="78" spans="2:24">
      <c r="R78" s="177">
        <f t="shared" si="20"/>
        <v>2</v>
      </c>
      <c r="S78" s="177">
        <f t="shared" si="21"/>
        <v>9</v>
      </c>
      <c r="T78" s="177">
        <f t="shared" si="22"/>
        <v>9</v>
      </c>
      <c r="U78" s="177">
        <f t="shared" si="23"/>
        <v>0</v>
      </c>
      <c r="V78" s="177">
        <f t="shared" si="24"/>
        <v>0</v>
      </c>
      <c r="W78" s="177">
        <f t="shared" si="25"/>
        <v>2</v>
      </c>
    </row>
    <row r="79" spans="2:24">
      <c r="R79" s="177">
        <f t="shared" si="20"/>
        <v>2</v>
      </c>
      <c r="S79" s="177">
        <f t="shared" si="21"/>
        <v>16</v>
      </c>
      <c r="T79" s="177">
        <f t="shared" si="22"/>
        <v>16</v>
      </c>
      <c r="U79" s="177">
        <f t="shared" si="23"/>
        <v>1</v>
      </c>
      <c r="V79" s="177">
        <f t="shared" si="24"/>
        <v>1</v>
      </c>
      <c r="W79" s="177">
        <f t="shared" si="25"/>
        <v>2</v>
      </c>
    </row>
    <row r="80" spans="2:24">
      <c r="R80" s="177">
        <f t="shared" si="20"/>
        <v>2</v>
      </c>
      <c r="S80" s="177">
        <f t="shared" si="21"/>
        <v>23</v>
      </c>
      <c r="T80" s="177">
        <f t="shared" si="22"/>
        <v>23</v>
      </c>
      <c r="U80" s="177">
        <f t="shared" si="23"/>
        <v>2</v>
      </c>
      <c r="V80" s="177">
        <f t="shared" si="24"/>
        <v>2</v>
      </c>
      <c r="W80" s="177">
        <f t="shared" si="25"/>
        <v>2</v>
      </c>
    </row>
    <row r="81" spans="2:31">
      <c r="R81" s="177">
        <f t="shared" si="20"/>
        <v>2</v>
      </c>
      <c r="S81" s="177">
        <f t="shared" si="21"/>
        <v>23</v>
      </c>
      <c r="T81" s="177">
        <f t="shared" si="22"/>
        <v>23</v>
      </c>
      <c r="U81" s="177">
        <f t="shared" si="23"/>
        <v>2</v>
      </c>
      <c r="V81" s="177">
        <f t="shared" si="24"/>
        <v>2</v>
      </c>
      <c r="W81" s="177">
        <f t="shared" si="25"/>
        <v>2</v>
      </c>
    </row>
    <row r="82" spans="2:31">
      <c r="R82" s="177">
        <f t="shared" si="20"/>
        <v>2</v>
      </c>
      <c r="S82" s="177">
        <f t="shared" si="21"/>
        <v>16</v>
      </c>
      <c r="T82" s="177">
        <f t="shared" si="22"/>
        <v>16</v>
      </c>
      <c r="U82" s="177">
        <f t="shared" si="23"/>
        <v>2</v>
      </c>
      <c r="V82" s="177">
        <f t="shared" si="24"/>
        <v>2</v>
      </c>
      <c r="W82" s="177">
        <f t="shared" si="25"/>
        <v>2</v>
      </c>
    </row>
    <row r="86" spans="2:31" s="131" customFormat="1">
      <c r="B86" s="174" t="s">
        <v>690</v>
      </c>
    </row>
    <row r="88" spans="2:31">
      <c r="D88" s="146" t="s">
        <v>691</v>
      </c>
      <c r="J88" s="146" t="s">
        <v>692</v>
      </c>
      <c r="P88" s="146" t="s">
        <v>195</v>
      </c>
      <c r="U88" s="253" t="s">
        <v>697</v>
      </c>
      <c r="V88" s="253"/>
      <c r="W88" s="253"/>
      <c r="X88" s="253"/>
      <c r="Y88" s="253"/>
      <c r="Z88" s="253"/>
      <c r="AA88" s="253"/>
      <c r="AB88" s="253"/>
      <c r="AC88" s="253"/>
      <c r="AD88" s="253"/>
      <c r="AE88" s="253"/>
    </row>
    <row r="89" spans="2:31" ht="16.5" customHeight="1">
      <c r="B89" s="146">
        <v>0</v>
      </c>
      <c r="C89" s="146">
        <v>0</v>
      </c>
      <c r="D89" s="170">
        <v>0</v>
      </c>
      <c r="E89" s="146">
        <v>0</v>
      </c>
      <c r="F89" s="146">
        <v>0</v>
      </c>
      <c r="G89" s="178"/>
      <c r="H89" s="146">
        <v>0</v>
      </c>
      <c r="I89" s="146">
        <v>0</v>
      </c>
      <c r="J89" s="146">
        <v>0</v>
      </c>
      <c r="K89" s="146">
        <v>0</v>
      </c>
      <c r="L89" s="146">
        <v>0</v>
      </c>
      <c r="M89" s="167"/>
      <c r="N89" s="167">
        <v>0</v>
      </c>
      <c r="O89" s="167">
        <v>0</v>
      </c>
      <c r="P89" s="167">
        <v>0</v>
      </c>
      <c r="Q89" s="167">
        <v>0</v>
      </c>
      <c r="R89" s="167">
        <v>0</v>
      </c>
      <c r="S89" s="112"/>
      <c r="T89" s="112"/>
      <c r="U89" s="167"/>
      <c r="V89" s="167" t="s">
        <v>693</v>
      </c>
      <c r="W89" s="167"/>
      <c r="X89" s="167"/>
      <c r="Y89" s="145"/>
      <c r="Z89" s="167" t="s">
        <v>694</v>
      </c>
      <c r="AA89" s="145"/>
      <c r="AB89" s="145"/>
      <c r="AC89" s="145"/>
      <c r="AD89" s="167" t="s">
        <v>695</v>
      </c>
      <c r="AE89" s="145"/>
    </row>
    <row r="90" spans="2:31">
      <c r="B90" s="170">
        <v>0</v>
      </c>
      <c r="C90" s="167">
        <v>1</v>
      </c>
      <c r="D90" s="167">
        <v>1</v>
      </c>
      <c r="E90" s="167">
        <v>1</v>
      </c>
      <c r="F90" s="170">
        <v>0</v>
      </c>
      <c r="G90" s="145"/>
      <c r="H90" s="170">
        <v>0</v>
      </c>
      <c r="I90" s="167">
        <v>2</v>
      </c>
      <c r="J90" s="167">
        <v>2</v>
      </c>
      <c r="K90" s="167">
        <v>2</v>
      </c>
      <c r="L90" s="170">
        <v>0</v>
      </c>
      <c r="M90" s="167"/>
      <c r="N90" s="167">
        <v>0</v>
      </c>
      <c r="O90" s="167">
        <v>0</v>
      </c>
      <c r="P90" s="167">
        <v>3</v>
      </c>
      <c r="Q90" s="167">
        <v>0</v>
      </c>
      <c r="R90" s="167">
        <v>0</v>
      </c>
      <c r="S90" s="163"/>
      <c r="T90" s="163"/>
      <c r="U90" s="167">
        <v>0</v>
      </c>
      <c r="V90" s="167">
        <v>0</v>
      </c>
      <c r="W90" s="167">
        <v>0</v>
      </c>
      <c r="X90" s="167"/>
      <c r="Y90" s="167">
        <v>0</v>
      </c>
      <c r="Z90" s="167">
        <v>2</v>
      </c>
      <c r="AA90" s="167">
        <v>0</v>
      </c>
      <c r="AB90" s="167"/>
      <c r="AC90" s="167">
        <v>1</v>
      </c>
      <c r="AD90" s="167">
        <v>0</v>
      </c>
      <c r="AE90" s="167">
        <v>0</v>
      </c>
    </row>
    <row r="91" spans="2:31">
      <c r="B91" s="170">
        <v>0</v>
      </c>
      <c r="C91" s="167">
        <v>2</v>
      </c>
      <c r="D91" s="167">
        <v>1</v>
      </c>
      <c r="E91" s="167">
        <v>3</v>
      </c>
      <c r="F91" s="170">
        <v>0</v>
      </c>
      <c r="G91" s="145"/>
      <c r="H91" s="170">
        <v>0</v>
      </c>
      <c r="I91" s="167">
        <v>1</v>
      </c>
      <c r="J91" s="167">
        <v>0</v>
      </c>
      <c r="K91" s="167">
        <v>1</v>
      </c>
      <c r="L91" s="170">
        <v>0</v>
      </c>
      <c r="M91" s="167"/>
      <c r="N91" s="167">
        <v>0</v>
      </c>
      <c r="O91" s="167">
        <v>1</v>
      </c>
      <c r="P91" s="167">
        <v>0</v>
      </c>
      <c r="Q91" s="167">
        <v>1</v>
      </c>
      <c r="R91" s="167">
        <v>0</v>
      </c>
      <c r="S91" s="163"/>
      <c r="T91" s="163"/>
      <c r="U91" s="167">
        <v>0</v>
      </c>
      <c r="V91" s="167">
        <v>0</v>
      </c>
      <c r="W91" s="167">
        <v>1</v>
      </c>
      <c r="X91" s="167"/>
      <c r="Y91" s="167">
        <v>0</v>
      </c>
      <c r="Z91" s="167">
        <v>2</v>
      </c>
      <c r="AA91" s="167">
        <v>0</v>
      </c>
      <c r="AB91" s="167"/>
      <c r="AC91" s="167">
        <v>0</v>
      </c>
      <c r="AD91" s="167">
        <v>2</v>
      </c>
      <c r="AE91" s="167">
        <v>0</v>
      </c>
    </row>
    <row r="92" spans="2:31">
      <c r="B92" s="170">
        <v>0</v>
      </c>
      <c r="C92" s="167">
        <v>0</v>
      </c>
      <c r="D92" s="167">
        <v>1</v>
      </c>
      <c r="E92" s="167">
        <v>0</v>
      </c>
      <c r="F92" s="170">
        <v>0</v>
      </c>
      <c r="G92" s="145"/>
      <c r="H92" s="170">
        <v>0</v>
      </c>
      <c r="I92" s="167">
        <v>0</v>
      </c>
      <c r="J92" s="167">
        <v>0</v>
      </c>
      <c r="K92" s="167">
        <v>1</v>
      </c>
      <c r="L92" s="170">
        <v>0</v>
      </c>
      <c r="M92" s="167"/>
      <c r="N92" s="167">
        <v>0</v>
      </c>
      <c r="O92" s="167">
        <v>1</v>
      </c>
      <c r="P92" s="167">
        <v>0</v>
      </c>
      <c r="Q92" s="167">
        <v>0</v>
      </c>
      <c r="R92" s="167">
        <v>0</v>
      </c>
      <c r="S92" s="163"/>
      <c r="T92" s="163"/>
      <c r="U92" s="167">
        <v>0</v>
      </c>
      <c r="V92" s="167">
        <v>1</v>
      </c>
      <c r="W92" s="167">
        <v>0</v>
      </c>
      <c r="X92" s="167"/>
      <c r="Y92" s="167">
        <v>0</v>
      </c>
      <c r="Z92" s="167">
        <v>2</v>
      </c>
      <c r="AA92" s="167">
        <v>0</v>
      </c>
      <c r="AB92" s="167"/>
      <c r="AC92" s="167">
        <v>0</v>
      </c>
      <c r="AD92" s="167">
        <v>0</v>
      </c>
      <c r="AE92" s="167">
        <v>1</v>
      </c>
    </row>
    <row r="93" spans="2:31">
      <c r="B93" s="170">
        <v>0</v>
      </c>
      <c r="C93" s="167">
        <v>0</v>
      </c>
      <c r="D93" s="170">
        <v>0</v>
      </c>
      <c r="E93" s="167">
        <v>0</v>
      </c>
      <c r="F93" s="170">
        <v>0</v>
      </c>
      <c r="G93" s="145"/>
      <c r="H93" s="170">
        <v>0</v>
      </c>
      <c r="I93" s="167">
        <v>0</v>
      </c>
      <c r="J93" s="170">
        <v>0</v>
      </c>
      <c r="K93" s="167">
        <v>0</v>
      </c>
      <c r="L93" s="170">
        <v>0</v>
      </c>
      <c r="M93" s="167"/>
      <c r="N93" s="167">
        <v>0</v>
      </c>
      <c r="O93" s="167">
        <v>0</v>
      </c>
      <c r="P93" s="170">
        <v>0</v>
      </c>
      <c r="Q93" s="167">
        <v>0</v>
      </c>
      <c r="R93" s="167">
        <v>0</v>
      </c>
      <c r="S93" s="112"/>
      <c r="T93" s="112"/>
      <c r="U93" s="112"/>
      <c r="W93" s="112"/>
      <c r="X93" s="112"/>
      <c r="Y93" s="112"/>
      <c r="AA93" s="112"/>
      <c r="AB93" s="112"/>
      <c r="AC93" s="112"/>
      <c r="AE93" s="112"/>
    </row>
    <row r="96" spans="2:31">
      <c r="S96" s="253" t="s">
        <v>696</v>
      </c>
      <c r="T96" s="253"/>
      <c r="U96" s="253"/>
    </row>
    <row r="97" spans="2:21">
      <c r="S97" s="145">
        <f t="shared" ref="S97:U99" si="26">B89*$U$90+C89*$V$90+D89*$W$90+B90*$U$91+C90*$V$91+D90*$W$91+B91*$U$92+C91*$V$92+D91*$W$92+H89*$Y$90+I89*$Z$90+J89*$AA$90+H90*$Y$91+I90*$Z$91+J90*$AA$91+H91*$Y$92+I91*$Z$92+J91*$AA$92+N89*$AC$90+O89*$AD$90+P89*$AE$90+N90*$AC$91+O90*$AD$91+P90*$AE$91+N91*$AC$92+O91*$AD$92+P91*$AE$92</f>
        <v>9</v>
      </c>
      <c r="T97" s="145">
        <f t="shared" si="26"/>
        <v>13</v>
      </c>
      <c r="U97" s="145">
        <f t="shared" si="26"/>
        <v>9</v>
      </c>
    </row>
    <row r="98" spans="2:21">
      <c r="S98" s="145">
        <f t="shared" si="26"/>
        <v>9</v>
      </c>
      <c r="T98" s="145">
        <f t="shared" si="26"/>
        <v>8</v>
      </c>
      <c r="U98" s="145">
        <f t="shared" si="26"/>
        <v>13</v>
      </c>
    </row>
    <row r="99" spans="2:21">
      <c r="M99" s="130"/>
      <c r="N99" s="130"/>
      <c r="S99" s="145">
        <f t="shared" si="26"/>
        <v>5</v>
      </c>
      <c r="T99" s="145">
        <f t="shared" si="26"/>
        <v>1</v>
      </c>
      <c r="U99" s="145">
        <f t="shared" si="26"/>
        <v>4</v>
      </c>
    </row>
    <row r="102" spans="2:21" ht="20.25">
      <c r="B102" s="179" t="s">
        <v>698</v>
      </c>
      <c r="C102" s="180"/>
      <c r="D102" s="180"/>
      <c r="E102" s="180"/>
      <c r="F102" s="180"/>
      <c r="G102" s="180"/>
      <c r="H102" s="180"/>
      <c r="I102" s="180"/>
      <c r="J102" s="180"/>
      <c r="K102" s="180"/>
      <c r="L102" s="180"/>
      <c r="M102" s="180"/>
      <c r="N102" s="180"/>
      <c r="O102" s="180"/>
      <c r="P102" s="180"/>
      <c r="Q102" s="180"/>
      <c r="R102" s="180"/>
    </row>
    <row r="103" spans="2:21">
      <c r="B103" s="181"/>
      <c r="C103" s="181"/>
      <c r="D103" s="181"/>
      <c r="E103" s="181"/>
      <c r="F103" s="181"/>
      <c r="G103" s="181"/>
      <c r="H103" s="181"/>
      <c r="I103" s="181"/>
      <c r="J103" s="181"/>
      <c r="K103" s="181"/>
      <c r="L103" s="181"/>
      <c r="M103" s="181"/>
      <c r="N103" s="181"/>
      <c r="O103" s="181"/>
      <c r="P103" s="181"/>
      <c r="Q103" s="181"/>
      <c r="R103" s="181"/>
    </row>
    <row r="104" spans="2:21">
      <c r="B104" s="182" t="s">
        <v>699</v>
      </c>
      <c r="C104" s="181"/>
      <c r="D104" s="181"/>
      <c r="E104" s="181"/>
      <c r="F104" s="181"/>
      <c r="G104" s="181"/>
      <c r="H104" s="181"/>
      <c r="I104" s="181"/>
      <c r="J104" s="181"/>
      <c r="K104" s="181"/>
      <c r="L104" s="181"/>
      <c r="M104" s="181"/>
      <c r="N104" s="181"/>
      <c r="O104" s="181"/>
      <c r="P104" s="181"/>
      <c r="Q104" s="181"/>
      <c r="R104" s="181"/>
    </row>
    <row r="105" spans="2:21">
      <c r="B105" s="181"/>
      <c r="C105" s="181"/>
      <c r="D105" s="181"/>
      <c r="E105" s="181"/>
      <c r="F105" s="181"/>
      <c r="G105" s="181"/>
      <c r="H105" s="181"/>
      <c r="I105" s="181"/>
      <c r="J105" s="181"/>
      <c r="K105" s="181"/>
      <c r="L105" s="181"/>
      <c r="M105" s="181"/>
      <c r="N105" s="181"/>
      <c r="O105" s="181"/>
      <c r="P105" s="181"/>
      <c r="Q105" s="181"/>
      <c r="R105" s="181"/>
    </row>
    <row r="106" spans="2:21" ht="18.75">
      <c r="B106" s="183" t="s">
        <v>700</v>
      </c>
      <c r="C106" s="181"/>
      <c r="D106" s="181"/>
      <c r="E106" s="181"/>
      <c r="F106" s="181"/>
      <c r="G106" s="181"/>
      <c r="H106" s="181"/>
      <c r="I106" s="181"/>
      <c r="J106" s="181"/>
      <c r="K106" s="181"/>
      <c r="L106" s="181"/>
      <c r="M106" s="181"/>
      <c r="N106" s="181"/>
      <c r="O106" s="181"/>
      <c r="P106" s="181"/>
      <c r="Q106" s="181"/>
      <c r="R106" s="181"/>
    </row>
    <row r="107" spans="2:21">
      <c r="B107" s="184"/>
      <c r="C107" s="181"/>
      <c r="D107" s="181"/>
      <c r="E107" s="181"/>
      <c r="F107" s="181"/>
      <c r="G107" s="181"/>
      <c r="H107" s="181"/>
      <c r="I107" s="181"/>
      <c r="J107" s="181"/>
      <c r="K107" s="181"/>
      <c r="L107" s="181"/>
      <c r="M107" s="181"/>
      <c r="N107" s="181"/>
      <c r="O107" s="181"/>
      <c r="P107" s="181"/>
      <c r="Q107" s="181"/>
      <c r="R107" s="181"/>
    </row>
    <row r="108" spans="2:21">
      <c r="B108" s="185" t="s">
        <v>701</v>
      </c>
      <c r="C108" s="181"/>
      <c r="D108" s="181"/>
      <c r="E108" s="181"/>
      <c r="F108" s="181"/>
      <c r="G108" s="181"/>
      <c r="H108" s="181"/>
      <c r="I108" s="181"/>
      <c r="J108" s="181"/>
      <c r="K108" s="181"/>
      <c r="L108" s="181"/>
      <c r="M108" s="181"/>
      <c r="N108" s="181"/>
      <c r="O108" s="181"/>
      <c r="P108" s="181"/>
      <c r="Q108" s="181"/>
      <c r="R108" s="181"/>
    </row>
    <row r="109" spans="2:21">
      <c r="B109" s="181"/>
      <c r="C109" s="181"/>
      <c r="D109" s="181"/>
      <c r="E109" s="181"/>
      <c r="F109" s="181"/>
      <c r="G109" s="181"/>
      <c r="H109" s="181"/>
      <c r="I109" s="181"/>
      <c r="J109" s="181"/>
      <c r="K109" s="181"/>
      <c r="L109" s="181"/>
      <c r="M109" s="181"/>
      <c r="N109" s="181"/>
      <c r="O109" s="181"/>
      <c r="P109" s="181"/>
      <c r="Q109" s="181"/>
      <c r="R109" s="181"/>
    </row>
    <row r="110" spans="2:21" ht="18.75">
      <c r="B110" s="183" t="s">
        <v>702</v>
      </c>
      <c r="C110" s="181"/>
      <c r="D110" s="181"/>
      <c r="E110" s="181"/>
      <c r="F110" s="181"/>
      <c r="G110" s="181"/>
      <c r="H110" s="181"/>
      <c r="I110" s="181"/>
      <c r="J110" s="181"/>
      <c r="K110" s="181"/>
      <c r="L110" s="181"/>
      <c r="M110" s="181"/>
      <c r="N110" s="181"/>
      <c r="O110" s="181"/>
      <c r="P110" s="181"/>
      <c r="Q110" s="181"/>
      <c r="R110" s="181"/>
    </row>
    <row r="111" spans="2:21">
      <c r="B111" s="184"/>
      <c r="C111" s="181"/>
      <c r="D111" s="181"/>
      <c r="E111" s="181"/>
      <c r="F111" s="181"/>
      <c r="G111" s="181"/>
      <c r="H111" s="181"/>
      <c r="I111" s="181"/>
      <c r="J111" s="181"/>
      <c r="K111" s="181"/>
      <c r="L111" s="181"/>
      <c r="M111" s="181"/>
      <c r="N111" s="181"/>
      <c r="O111" s="181"/>
      <c r="P111" s="181"/>
      <c r="Q111" s="181"/>
      <c r="R111" s="181"/>
    </row>
    <row r="112" spans="2:21" ht="18.75">
      <c r="B112" s="186" t="s">
        <v>703</v>
      </c>
      <c r="C112" s="181"/>
      <c r="D112" s="181"/>
      <c r="E112" s="181"/>
      <c r="F112" s="181"/>
      <c r="G112" s="181"/>
      <c r="H112" s="181"/>
      <c r="I112" s="181"/>
      <c r="J112" s="181"/>
      <c r="K112" s="181"/>
      <c r="L112" s="181"/>
      <c r="M112" s="181"/>
      <c r="N112" s="181"/>
      <c r="O112" s="181"/>
      <c r="P112" s="181"/>
      <c r="Q112" s="181"/>
      <c r="R112" s="181"/>
    </row>
    <row r="113" spans="2:18">
      <c r="B113" s="184"/>
      <c r="C113" s="181"/>
      <c r="D113" s="181"/>
      <c r="E113" s="181"/>
      <c r="F113" s="181"/>
      <c r="G113" s="181"/>
      <c r="H113" s="181"/>
      <c r="I113" s="181"/>
      <c r="J113" s="181"/>
      <c r="K113" s="181"/>
      <c r="L113" s="181"/>
      <c r="M113" s="181"/>
      <c r="N113" s="181"/>
      <c r="O113" s="181"/>
      <c r="P113" s="181"/>
      <c r="Q113" s="181"/>
      <c r="R113" s="181"/>
    </row>
    <row r="114" spans="2:18" ht="18.75">
      <c r="B114" s="183" t="s">
        <v>704</v>
      </c>
      <c r="C114" s="181"/>
      <c r="D114" s="181"/>
      <c r="E114" s="181"/>
      <c r="F114" s="181"/>
      <c r="G114" s="181"/>
      <c r="H114" s="181"/>
      <c r="I114" s="181"/>
      <c r="J114" s="181"/>
      <c r="K114" s="181"/>
      <c r="L114" s="181"/>
      <c r="M114" s="181"/>
      <c r="N114" s="181"/>
      <c r="O114" s="181"/>
      <c r="P114" s="181"/>
      <c r="Q114" s="181"/>
      <c r="R114" s="181"/>
    </row>
    <row r="115" spans="2:18">
      <c r="B115" s="184"/>
      <c r="C115" s="181"/>
      <c r="D115" s="181"/>
      <c r="E115" s="181"/>
      <c r="F115" s="181"/>
      <c r="G115" s="181"/>
      <c r="H115" s="181"/>
      <c r="I115" s="181"/>
      <c r="J115" s="181"/>
      <c r="K115" s="181"/>
      <c r="L115" s="181"/>
      <c r="M115" s="181"/>
      <c r="N115" s="181"/>
      <c r="O115" s="181"/>
      <c r="P115" s="181"/>
      <c r="Q115" s="181"/>
      <c r="R115" s="181"/>
    </row>
    <row r="116" spans="2:18" ht="18.75">
      <c r="B116" s="186" t="s">
        <v>705</v>
      </c>
      <c r="C116" s="181"/>
      <c r="D116" s="181"/>
      <c r="E116" s="181"/>
      <c r="F116" s="181"/>
      <c r="G116" s="181"/>
      <c r="H116" s="181"/>
      <c r="I116" s="181"/>
      <c r="J116" s="181"/>
      <c r="K116" s="181"/>
      <c r="L116" s="181"/>
      <c r="M116" s="181"/>
      <c r="N116" s="181"/>
      <c r="O116" s="181"/>
      <c r="P116" s="181"/>
      <c r="Q116" s="181"/>
      <c r="R116" s="181"/>
    </row>
  </sheetData>
  <mergeCells count="9">
    <mergeCell ref="S96:U96"/>
    <mergeCell ref="U88:AE88"/>
    <mergeCell ref="M51:O51"/>
    <mergeCell ref="Q49:X49"/>
    <mergeCell ref="C4:J4"/>
    <mergeCell ref="C15:I15"/>
    <mergeCell ref="C29:J29"/>
    <mergeCell ref="Q63:X63"/>
    <mergeCell ref="M65:O65"/>
  </mergeCells>
  <phoneticPr fontId="5" type="noConversion"/>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F29"/>
  <sheetViews>
    <sheetView zoomScale="85" zoomScaleNormal="85" workbookViewId="0">
      <selection activeCell="I23" sqref="I23"/>
    </sheetView>
  </sheetViews>
  <sheetFormatPr defaultRowHeight="16.5"/>
  <cols>
    <col min="1" max="58" width="4.625" customWidth="1"/>
  </cols>
  <sheetData>
    <row r="1" spans="2:58" ht="17.25" thickBot="1"/>
    <row r="2" spans="2:58" ht="17.25" thickBot="1">
      <c r="B2" s="189">
        <v>0</v>
      </c>
      <c r="C2" s="189">
        <v>0</v>
      </c>
      <c r="D2" s="189">
        <v>0</v>
      </c>
      <c r="E2" s="189">
        <v>0</v>
      </c>
      <c r="F2" s="189">
        <v>0</v>
      </c>
      <c r="G2" s="189">
        <v>0</v>
      </c>
      <c r="H2" s="189">
        <v>0</v>
      </c>
      <c r="I2" s="189">
        <v>0</v>
      </c>
      <c r="J2" s="189">
        <v>0</v>
      </c>
      <c r="K2" s="189">
        <v>0</v>
      </c>
      <c r="L2" s="189">
        <v>0</v>
      </c>
      <c r="M2" s="189">
        <v>0</v>
      </c>
      <c r="N2" s="189">
        <v>0</v>
      </c>
      <c r="O2" s="189">
        <v>0</v>
      </c>
      <c r="P2" s="189">
        <v>0</v>
      </c>
      <c r="Q2" s="190">
        <v>0</v>
      </c>
      <c r="R2" s="190">
        <v>0</v>
      </c>
      <c r="S2" s="190">
        <v>0</v>
      </c>
      <c r="T2" s="190">
        <v>0</v>
      </c>
      <c r="U2" s="190">
        <v>0</v>
      </c>
      <c r="V2" s="190">
        <v>0</v>
      </c>
      <c r="W2" s="190">
        <v>0</v>
      </c>
      <c r="X2" s="190">
        <v>0</v>
      </c>
      <c r="Y2" s="190">
        <v>0</v>
      </c>
      <c r="Z2" s="190">
        <v>0</v>
      </c>
      <c r="AA2" s="190">
        <v>0</v>
      </c>
      <c r="AB2" s="190">
        <v>0</v>
      </c>
      <c r="AC2" s="190">
        <v>0</v>
      </c>
      <c r="AE2" s="9">
        <f t="shared" ref="AE2:AE29" si="0">B2/255</f>
        <v>0</v>
      </c>
      <c r="AF2" s="9">
        <f t="shared" ref="AF2:AF29" si="1">C2/255</f>
        <v>0</v>
      </c>
      <c r="AG2" s="9">
        <f t="shared" ref="AG2:AG29" si="2">D2/255</f>
        <v>0</v>
      </c>
      <c r="AH2" s="9">
        <f t="shared" ref="AH2:AH29" si="3">E2/255</f>
        <v>0</v>
      </c>
      <c r="AI2" s="9">
        <f t="shared" ref="AI2:AI29" si="4">F2/255</f>
        <v>0</v>
      </c>
      <c r="AJ2" s="9">
        <f t="shared" ref="AJ2:AJ29" si="5">G2/255</f>
        <v>0</v>
      </c>
      <c r="AK2" s="9">
        <f t="shared" ref="AK2:AK29" si="6">H2/255</f>
        <v>0</v>
      </c>
      <c r="AL2" s="9">
        <f t="shared" ref="AL2:AL29" si="7">I2/255</f>
        <v>0</v>
      </c>
      <c r="AM2" s="9">
        <f t="shared" ref="AM2:AM29" si="8">J2/255</f>
        <v>0</v>
      </c>
      <c r="AN2" s="9">
        <f t="shared" ref="AN2:AN29" si="9">K2/255</f>
        <v>0</v>
      </c>
      <c r="AO2" s="9">
        <f t="shared" ref="AO2:AO29" si="10">L2/255</f>
        <v>0</v>
      </c>
      <c r="AP2" s="9">
        <f t="shared" ref="AP2:AP29" si="11">M2/255</f>
        <v>0</v>
      </c>
      <c r="AQ2" s="9">
        <f t="shared" ref="AQ2:AQ29" si="12">N2/255</f>
        <v>0</v>
      </c>
      <c r="AR2" s="9">
        <f t="shared" ref="AR2:AR29" si="13">O2/255</f>
        <v>0</v>
      </c>
      <c r="AS2" s="9">
        <f t="shared" ref="AS2:AS29" si="14">P2/255</f>
        <v>0</v>
      </c>
      <c r="AT2" s="9">
        <f t="shared" ref="AT2:AT29" si="15">Q2/255</f>
        <v>0</v>
      </c>
      <c r="AU2" s="9">
        <f t="shared" ref="AU2:AU29" si="16">R2/255</f>
        <v>0</v>
      </c>
      <c r="AV2" s="9">
        <f t="shared" ref="AV2:AV29" si="17">S2/255</f>
        <v>0</v>
      </c>
      <c r="AW2" s="9">
        <f t="shared" ref="AW2:AW29" si="18">T2/255</f>
        <v>0</v>
      </c>
      <c r="AX2" s="9">
        <f t="shared" ref="AX2:AX29" si="19">U2/255</f>
        <v>0</v>
      </c>
      <c r="AY2" s="9">
        <f t="shared" ref="AY2:AY29" si="20">V2/255</f>
        <v>0</v>
      </c>
      <c r="AZ2" s="9">
        <f t="shared" ref="AZ2:AZ29" si="21">W2/255</f>
        <v>0</v>
      </c>
      <c r="BA2" s="9">
        <f t="shared" ref="BA2:BA29" si="22">X2/255</f>
        <v>0</v>
      </c>
      <c r="BB2" s="9">
        <f t="shared" ref="BB2:BB29" si="23">Y2/255</f>
        <v>0</v>
      </c>
      <c r="BC2" s="9">
        <f t="shared" ref="BC2:BC29" si="24">Z2/255</f>
        <v>0</v>
      </c>
      <c r="BD2" s="9">
        <f t="shared" ref="BD2:BD29" si="25">AA2/255</f>
        <v>0</v>
      </c>
      <c r="BE2" s="9">
        <f t="shared" ref="BE2:BE29" si="26">AB2/255</f>
        <v>0</v>
      </c>
      <c r="BF2" s="9">
        <f t="shared" ref="BF2:BF29" si="27">AC2/255</f>
        <v>0</v>
      </c>
    </row>
    <row r="3" spans="2:58" ht="17.25" thickBot="1">
      <c r="B3" s="189">
        <v>0</v>
      </c>
      <c r="C3" s="189">
        <v>0</v>
      </c>
      <c r="D3" s="189">
        <v>0</v>
      </c>
      <c r="E3" s="189">
        <v>0</v>
      </c>
      <c r="F3" s="189">
        <v>0</v>
      </c>
      <c r="G3" s="189">
        <v>0</v>
      </c>
      <c r="H3" s="189">
        <v>0</v>
      </c>
      <c r="I3" s="189">
        <v>0</v>
      </c>
      <c r="J3" s="189">
        <v>0</v>
      </c>
      <c r="K3" s="189">
        <v>0</v>
      </c>
      <c r="L3" s="189">
        <v>0</v>
      </c>
      <c r="M3" s="189">
        <v>0</v>
      </c>
      <c r="N3" s="189">
        <v>0</v>
      </c>
      <c r="O3" s="189">
        <v>0</v>
      </c>
      <c r="P3" s="189">
        <v>0</v>
      </c>
      <c r="Q3" s="190">
        <v>0</v>
      </c>
      <c r="R3" s="190">
        <v>0</v>
      </c>
      <c r="S3" s="190">
        <v>0</v>
      </c>
      <c r="T3" s="190">
        <v>0</v>
      </c>
      <c r="U3" s="190">
        <v>0</v>
      </c>
      <c r="V3" s="190">
        <v>0</v>
      </c>
      <c r="W3" s="190">
        <v>0</v>
      </c>
      <c r="X3" s="190">
        <v>0</v>
      </c>
      <c r="Y3" s="190">
        <v>0</v>
      </c>
      <c r="Z3" s="190">
        <v>0</v>
      </c>
      <c r="AA3" s="190">
        <v>0</v>
      </c>
      <c r="AB3" s="190">
        <v>0</v>
      </c>
      <c r="AC3" s="190">
        <v>0</v>
      </c>
      <c r="AE3" s="9">
        <f t="shared" si="0"/>
        <v>0</v>
      </c>
      <c r="AF3" s="9">
        <f t="shared" si="1"/>
        <v>0</v>
      </c>
      <c r="AG3" s="9">
        <f t="shared" si="2"/>
        <v>0</v>
      </c>
      <c r="AH3" s="9">
        <f t="shared" si="3"/>
        <v>0</v>
      </c>
      <c r="AI3" s="9">
        <f t="shared" si="4"/>
        <v>0</v>
      </c>
      <c r="AJ3" s="9">
        <f t="shared" si="5"/>
        <v>0</v>
      </c>
      <c r="AK3" s="9">
        <f t="shared" si="6"/>
        <v>0</v>
      </c>
      <c r="AL3" s="9">
        <f t="shared" si="7"/>
        <v>0</v>
      </c>
      <c r="AM3" s="9">
        <f t="shared" si="8"/>
        <v>0</v>
      </c>
      <c r="AN3" s="9">
        <f t="shared" si="9"/>
        <v>0</v>
      </c>
      <c r="AO3" s="9">
        <f t="shared" si="10"/>
        <v>0</v>
      </c>
      <c r="AP3" s="9">
        <f t="shared" si="11"/>
        <v>0</v>
      </c>
      <c r="AQ3" s="9">
        <f t="shared" si="12"/>
        <v>0</v>
      </c>
      <c r="AR3" s="9">
        <f t="shared" si="13"/>
        <v>0</v>
      </c>
      <c r="AS3" s="9">
        <f t="shared" si="14"/>
        <v>0</v>
      </c>
      <c r="AT3" s="9">
        <f t="shared" si="15"/>
        <v>0</v>
      </c>
      <c r="AU3" s="9">
        <f t="shared" si="16"/>
        <v>0</v>
      </c>
      <c r="AV3" s="9">
        <f t="shared" si="17"/>
        <v>0</v>
      </c>
      <c r="AW3" s="9">
        <f t="shared" si="18"/>
        <v>0</v>
      </c>
      <c r="AX3" s="9">
        <f t="shared" si="19"/>
        <v>0</v>
      </c>
      <c r="AY3" s="9">
        <f t="shared" si="20"/>
        <v>0</v>
      </c>
      <c r="AZ3" s="9">
        <f t="shared" si="21"/>
        <v>0</v>
      </c>
      <c r="BA3" s="9">
        <f t="shared" si="22"/>
        <v>0</v>
      </c>
      <c r="BB3" s="9">
        <f t="shared" si="23"/>
        <v>0</v>
      </c>
      <c r="BC3" s="9">
        <f t="shared" si="24"/>
        <v>0</v>
      </c>
      <c r="BD3" s="9">
        <f t="shared" si="25"/>
        <v>0</v>
      </c>
      <c r="BE3" s="9">
        <f t="shared" si="26"/>
        <v>0</v>
      </c>
      <c r="BF3" s="9">
        <f t="shared" si="27"/>
        <v>0</v>
      </c>
    </row>
    <row r="4" spans="2:58" ht="17.25" thickBot="1">
      <c r="B4" s="189">
        <v>0</v>
      </c>
      <c r="C4" s="189">
        <v>0</v>
      </c>
      <c r="D4" s="189">
        <v>0</v>
      </c>
      <c r="E4" s="189">
        <v>0</v>
      </c>
      <c r="F4" s="189">
        <v>0</v>
      </c>
      <c r="G4" s="189">
        <v>0</v>
      </c>
      <c r="H4" s="189">
        <v>0</v>
      </c>
      <c r="I4" s="189">
        <v>0</v>
      </c>
      <c r="J4" s="189">
        <v>0</v>
      </c>
      <c r="K4" s="189">
        <v>0</v>
      </c>
      <c r="L4" s="189">
        <v>0</v>
      </c>
      <c r="M4" s="189">
        <v>0</v>
      </c>
      <c r="N4" s="189">
        <v>0</v>
      </c>
      <c r="O4" s="189">
        <v>0</v>
      </c>
      <c r="P4" s="189">
        <v>0</v>
      </c>
      <c r="Q4" s="190">
        <v>0</v>
      </c>
      <c r="R4" s="190">
        <v>0</v>
      </c>
      <c r="S4" s="190">
        <v>0</v>
      </c>
      <c r="T4" s="190">
        <v>0</v>
      </c>
      <c r="U4" s="190">
        <v>0</v>
      </c>
      <c r="V4" s="190">
        <v>0</v>
      </c>
      <c r="W4" s="190">
        <v>0</v>
      </c>
      <c r="X4" s="190">
        <v>0</v>
      </c>
      <c r="Y4" s="190">
        <v>0</v>
      </c>
      <c r="Z4" s="190">
        <v>0</v>
      </c>
      <c r="AA4" s="190">
        <v>0</v>
      </c>
      <c r="AB4" s="190">
        <v>0</v>
      </c>
      <c r="AC4" s="190">
        <v>0</v>
      </c>
      <c r="AE4" s="9">
        <f t="shared" si="0"/>
        <v>0</v>
      </c>
      <c r="AF4" s="9">
        <f t="shared" si="1"/>
        <v>0</v>
      </c>
      <c r="AG4" s="9">
        <f t="shared" si="2"/>
        <v>0</v>
      </c>
      <c r="AH4" s="9">
        <f t="shared" si="3"/>
        <v>0</v>
      </c>
      <c r="AI4" s="9">
        <f t="shared" si="4"/>
        <v>0</v>
      </c>
      <c r="AJ4" s="9">
        <f t="shared" si="5"/>
        <v>0</v>
      </c>
      <c r="AK4" s="9">
        <f t="shared" si="6"/>
        <v>0</v>
      </c>
      <c r="AL4" s="9">
        <f t="shared" si="7"/>
        <v>0</v>
      </c>
      <c r="AM4" s="9">
        <f t="shared" si="8"/>
        <v>0</v>
      </c>
      <c r="AN4" s="9">
        <f t="shared" si="9"/>
        <v>0</v>
      </c>
      <c r="AO4" s="9">
        <f t="shared" si="10"/>
        <v>0</v>
      </c>
      <c r="AP4" s="9">
        <f t="shared" si="11"/>
        <v>0</v>
      </c>
      <c r="AQ4" s="9">
        <f t="shared" si="12"/>
        <v>0</v>
      </c>
      <c r="AR4" s="9">
        <f t="shared" si="13"/>
        <v>0</v>
      </c>
      <c r="AS4" s="9">
        <f t="shared" si="14"/>
        <v>0</v>
      </c>
      <c r="AT4" s="9">
        <f t="shared" si="15"/>
        <v>0</v>
      </c>
      <c r="AU4" s="9">
        <f t="shared" si="16"/>
        <v>0</v>
      </c>
      <c r="AV4" s="9">
        <f t="shared" si="17"/>
        <v>0</v>
      </c>
      <c r="AW4" s="9">
        <f t="shared" si="18"/>
        <v>0</v>
      </c>
      <c r="AX4" s="9">
        <f t="shared" si="19"/>
        <v>0</v>
      </c>
      <c r="AY4" s="9">
        <f t="shared" si="20"/>
        <v>0</v>
      </c>
      <c r="AZ4" s="9">
        <f t="shared" si="21"/>
        <v>0</v>
      </c>
      <c r="BA4" s="9">
        <f t="shared" si="22"/>
        <v>0</v>
      </c>
      <c r="BB4" s="9">
        <f t="shared" si="23"/>
        <v>0</v>
      </c>
      <c r="BC4" s="9">
        <f t="shared" si="24"/>
        <v>0</v>
      </c>
      <c r="BD4" s="9">
        <f t="shared" si="25"/>
        <v>0</v>
      </c>
      <c r="BE4" s="9">
        <f t="shared" si="26"/>
        <v>0</v>
      </c>
      <c r="BF4" s="9">
        <f t="shared" si="27"/>
        <v>0</v>
      </c>
    </row>
    <row r="5" spans="2:58" ht="17.25" thickBot="1">
      <c r="B5" s="191">
        <v>0</v>
      </c>
      <c r="C5" s="191">
        <v>0</v>
      </c>
      <c r="D5" s="191">
        <v>0</v>
      </c>
      <c r="E5" s="191">
        <v>0</v>
      </c>
      <c r="F5" s="191">
        <v>0</v>
      </c>
      <c r="G5" s="191">
        <v>0</v>
      </c>
      <c r="H5" s="191">
        <v>0</v>
      </c>
      <c r="I5" s="191">
        <v>0</v>
      </c>
      <c r="J5" s="191">
        <v>0</v>
      </c>
      <c r="K5" s="191">
        <v>0</v>
      </c>
      <c r="L5" s="191">
        <v>255</v>
      </c>
      <c r="M5" s="191">
        <v>255</v>
      </c>
      <c r="N5" s="191">
        <v>255</v>
      </c>
      <c r="O5" s="191">
        <v>255</v>
      </c>
      <c r="P5" s="191">
        <v>124</v>
      </c>
      <c r="Q5" s="192">
        <v>255</v>
      </c>
      <c r="R5" s="192">
        <v>255</v>
      </c>
      <c r="S5" s="192">
        <v>255</v>
      </c>
      <c r="T5" s="192">
        <v>255</v>
      </c>
      <c r="U5" s="192">
        <v>255</v>
      </c>
      <c r="V5" s="192">
        <v>0</v>
      </c>
      <c r="W5" s="192">
        <v>0</v>
      </c>
      <c r="X5" s="192">
        <v>0</v>
      </c>
      <c r="Y5" s="192">
        <v>0</v>
      </c>
      <c r="Z5" s="192">
        <v>0</v>
      </c>
      <c r="AA5" s="192">
        <v>0</v>
      </c>
      <c r="AB5" s="192">
        <v>0</v>
      </c>
      <c r="AC5" s="192">
        <v>0</v>
      </c>
      <c r="AE5" s="9">
        <f t="shared" si="0"/>
        <v>0</v>
      </c>
      <c r="AF5" s="9">
        <f t="shared" si="1"/>
        <v>0</v>
      </c>
      <c r="AG5" s="9">
        <f t="shared" si="2"/>
        <v>0</v>
      </c>
      <c r="AH5" s="9">
        <f t="shared" si="3"/>
        <v>0</v>
      </c>
      <c r="AI5" s="9">
        <f t="shared" si="4"/>
        <v>0</v>
      </c>
      <c r="AJ5" s="9">
        <f t="shared" si="5"/>
        <v>0</v>
      </c>
      <c r="AK5" s="9">
        <f t="shared" si="6"/>
        <v>0</v>
      </c>
      <c r="AL5" s="9">
        <f t="shared" si="7"/>
        <v>0</v>
      </c>
      <c r="AM5" s="9">
        <f t="shared" si="8"/>
        <v>0</v>
      </c>
      <c r="AN5" s="9">
        <f t="shared" si="9"/>
        <v>0</v>
      </c>
      <c r="AO5" s="9">
        <f t="shared" si="10"/>
        <v>1</v>
      </c>
      <c r="AP5" s="9">
        <f t="shared" si="11"/>
        <v>1</v>
      </c>
      <c r="AQ5" s="9">
        <f t="shared" si="12"/>
        <v>1</v>
      </c>
      <c r="AR5" s="9">
        <f t="shared" si="13"/>
        <v>1</v>
      </c>
      <c r="AS5" s="9">
        <f t="shared" si="14"/>
        <v>0.48627450980392156</v>
      </c>
      <c r="AT5" s="9">
        <f t="shared" si="15"/>
        <v>1</v>
      </c>
      <c r="AU5" s="9">
        <f t="shared" si="16"/>
        <v>1</v>
      </c>
      <c r="AV5" s="9">
        <f t="shared" si="17"/>
        <v>1</v>
      </c>
      <c r="AW5" s="9">
        <f t="shared" si="18"/>
        <v>1</v>
      </c>
      <c r="AX5" s="9">
        <f t="shared" si="19"/>
        <v>1</v>
      </c>
      <c r="AY5" s="9">
        <f t="shared" si="20"/>
        <v>0</v>
      </c>
      <c r="AZ5" s="9">
        <f t="shared" si="21"/>
        <v>0</v>
      </c>
      <c r="BA5" s="9">
        <f t="shared" si="22"/>
        <v>0</v>
      </c>
      <c r="BB5" s="9">
        <f t="shared" si="23"/>
        <v>0</v>
      </c>
      <c r="BC5" s="9">
        <f t="shared" si="24"/>
        <v>0</v>
      </c>
      <c r="BD5" s="9">
        <f t="shared" si="25"/>
        <v>0</v>
      </c>
      <c r="BE5" s="9">
        <f t="shared" si="26"/>
        <v>0</v>
      </c>
      <c r="BF5" s="9">
        <f t="shared" si="27"/>
        <v>0</v>
      </c>
    </row>
    <row r="6" spans="2:58" ht="17.25" thickBot="1">
      <c r="B6" s="9">
        <v>0</v>
      </c>
      <c r="C6" s="9">
        <v>0</v>
      </c>
      <c r="D6" s="9">
        <v>0</v>
      </c>
      <c r="E6" s="9">
        <v>0</v>
      </c>
      <c r="F6" s="9">
        <v>0</v>
      </c>
      <c r="G6" s="9">
        <v>0</v>
      </c>
      <c r="H6" s="9">
        <v>0</v>
      </c>
      <c r="I6" s="9">
        <v>0</v>
      </c>
      <c r="J6" s="9">
        <v>0</v>
      </c>
      <c r="K6" s="9">
        <v>0</v>
      </c>
      <c r="L6" s="9">
        <v>255</v>
      </c>
      <c r="M6" s="9">
        <v>255</v>
      </c>
      <c r="N6" s="9">
        <v>124</v>
      </c>
      <c r="O6" s="9">
        <v>255</v>
      </c>
      <c r="P6" s="9">
        <v>255</v>
      </c>
      <c r="Q6" s="187">
        <v>255</v>
      </c>
      <c r="R6" s="187">
        <v>255</v>
      </c>
      <c r="S6" s="187">
        <v>255</v>
      </c>
      <c r="T6" s="187">
        <v>255</v>
      </c>
      <c r="U6" s="187">
        <v>255</v>
      </c>
      <c r="V6" s="187">
        <v>0</v>
      </c>
      <c r="W6" s="187">
        <v>0</v>
      </c>
      <c r="X6" s="187">
        <v>0</v>
      </c>
      <c r="Y6" s="187">
        <v>0</v>
      </c>
      <c r="Z6" s="187">
        <v>0</v>
      </c>
      <c r="AA6" s="187">
        <v>0</v>
      </c>
      <c r="AB6" s="187">
        <v>0</v>
      </c>
      <c r="AC6" s="187">
        <v>0</v>
      </c>
      <c r="AE6" s="9">
        <f t="shared" si="0"/>
        <v>0</v>
      </c>
      <c r="AF6" s="9">
        <f t="shared" si="1"/>
        <v>0</v>
      </c>
      <c r="AG6" s="9">
        <f t="shared" si="2"/>
        <v>0</v>
      </c>
      <c r="AH6" s="9">
        <f t="shared" si="3"/>
        <v>0</v>
      </c>
      <c r="AI6" s="9">
        <f t="shared" si="4"/>
        <v>0</v>
      </c>
      <c r="AJ6" s="9">
        <f t="shared" si="5"/>
        <v>0</v>
      </c>
      <c r="AK6" s="9">
        <f t="shared" si="6"/>
        <v>0</v>
      </c>
      <c r="AL6" s="9">
        <f t="shared" si="7"/>
        <v>0</v>
      </c>
      <c r="AM6" s="9">
        <f t="shared" si="8"/>
        <v>0</v>
      </c>
      <c r="AN6" s="9">
        <f t="shared" si="9"/>
        <v>0</v>
      </c>
      <c r="AO6" s="9">
        <f t="shared" si="10"/>
        <v>1</v>
      </c>
      <c r="AP6" s="9">
        <f t="shared" si="11"/>
        <v>1</v>
      </c>
      <c r="AQ6" s="9">
        <f t="shared" si="12"/>
        <v>0.48627450980392156</v>
      </c>
      <c r="AR6" s="9">
        <f t="shared" si="13"/>
        <v>1</v>
      </c>
      <c r="AS6" s="9">
        <f t="shared" si="14"/>
        <v>1</v>
      </c>
      <c r="AT6" s="9">
        <f t="shared" si="15"/>
        <v>1</v>
      </c>
      <c r="AU6" s="9">
        <f t="shared" si="16"/>
        <v>1</v>
      </c>
      <c r="AV6" s="9">
        <f t="shared" si="17"/>
        <v>1</v>
      </c>
      <c r="AW6" s="9">
        <f t="shared" si="18"/>
        <v>1</v>
      </c>
      <c r="AX6" s="9">
        <f t="shared" si="19"/>
        <v>1</v>
      </c>
      <c r="AY6" s="9">
        <f t="shared" si="20"/>
        <v>0</v>
      </c>
      <c r="AZ6" s="9">
        <f t="shared" si="21"/>
        <v>0</v>
      </c>
      <c r="BA6" s="9">
        <f t="shared" si="22"/>
        <v>0</v>
      </c>
      <c r="BB6" s="9">
        <f t="shared" si="23"/>
        <v>0</v>
      </c>
      <c r="BC6" s="9">
        <f t="shared" si="24"/>
        <v>0</v>
      </c>
      <c r="BD6" s="9">
        <f t="shared" si="25"/>
        <v>0</v>
      </c>
      <c r="BE6" s="9">
        <f t="shared" si="26"/>
        <v>0</v>
      </c>
      <c r="BF6" s="9">
        <f t="shared" si="27"/>
        <v>0</v>
      </c>
    </row>
    <row r="7" spans="2:58" ht="17.25" thickBot="1">
      <c r="B7" s="9">
        <v>0</v>
      </c>
      <c r="C7" s="9">
        <v>0</v>
      </c>
      <c r="D7" s="9">
        <v>0</v>
      </c>
      <c r="E7" s="9">
        <v>0</v>
      </c>
      <c r="F7" s="9">
        <v>0</v>
      </c>
      <c r="G7" s="9">
        <v>0</v>
      </c>
      <c r="H7" s="9">
        <v>0</v>
      </c>
      <c r="I7" s="9">
        <v>0</v>
      </c>
      <c r="J7" s="9">
        <v>0</v>
      </c>
      <c r="K7" s="9">
        <v>0</v>
      </c>
      <c r="L7" s="9">
        <v>255</v>
      </c>
      <c r="M7" s="9">
        <v>124</v>
      </c>
      <c r="N7" s="9">
        <v>0</v>
      </c>
      <c r="O7" s="9">
        <v>0</v>
      </c>
      <c r="P7" s="9">
        <v>0</v>
      </c>
      <c r="Q7" s="187">
        <v>0</v>
      </c>
      <c r="R7" s="187">
        <v>0</v>
      </c>
      <c r="S7" s="187">
        <v>0</v>
      </c>
      <c r="T7" s="187">
        <v>0</v>
      </c>
      <c r="U7" s="187">
        <v>0</v>
      </c>
      <c r="V7" s="187">
        <v>0</v>
      </c>
      <c r="W7" s="187">
        <v>0</v>
      </c>
      <c r="X7" s="187">
        <v>0</v>
      </c>
      <c r="Y7" s="187">
        <v>0</v>
      </c>
      <c r="Z7" s="187">
        <v>0</v>
      </c>
      <c r="AA7" s="187">
        <v>0</v>
      </c>
      <c r="AB7" s="187">
        <v>0</v>
      </c>
      <c r="AC7" s="187">
        <v>0</v>
      </c>
      <c r="AE7" s="9">
        <f t="shared" si="0"/>
        <v>0</v>
      </c>
      <c r="AF7" s="9">
        <f t="shared" si="1"/>
        <v>0</v>
      </c>
      <c r="AG7" s="9">
        <f t="shared" si="2"/>
        <v>0</v>
      </c>
      <c r="AH7" s="9">
        <f t="shared" si="3"/>
        <v>0</v>
      </c>
      <c r="AI7" s="9">
        <f t="shared" si="4"/>
        <v>0</v>
      </c>
      <c r="AJ7" s="9">
        <f t="shared" si="5"/>
        <v>0</v>
      </c>
      <c r="AK7" s="9">
        <f t="shared" si="6"/>
        <v>0</v>
      </c>
      <c r="AL7" s="9">
        <f t="shared" si="7"/>
        <v>0</v>
      </c>
      <c r="AM7" s="9">
        <f t="shared" si="8"/>
        <v>0</v>
      </c>
      <c r="AN7" s="9">
        <f t="shared" si="9"/>
        <v>0</v>
      </c>
      <c r="AO7" s="9">
        <f t="shared" si="10"/>
        <v>1</v>
      </c>
      <c r="AP7" s="9">
        <f t="shared" si="11"/>
        <v>0.48627450980392156</v>
      </c>
      <c r="AQ7" s="9">
        <f t="shared" si="12"/>
        <v>0</v>
      </c>
      <c r="AR7" s="9">
        <f t="shared" si="13"/>
        <v>0</v>
      </c>
      <c r="AS7" s="9">
        <f t="shared" si="14"/>
        <v>0</v>
      </c>
      <c r="AT7" s="9">
        <f t="shared" si="15"/>
        <v>0</v>
      </c>
      <c r="AU7" s="9">
        <f t="shared" si="16"/>
        <v>0</v>
      </c>
      <c r="AV7" s="9">
        <f t="shared" si="17"/>
        <v>0</v>
      </c>
      <c r="AW7" s="9">
        <f t="shared" si="18"/>
        <v>0</v>
      </c>
      <c r="AX7" s="9">
        <f t="shared" si="19"/>
        <v>0</v>
      </c>
      <c r="AY7" s="9">
        <f t="shared" si="20"/>
        <v>0</v>
      </c>
      <c r="AZ7" s="9">
        <f t="shared" si="21"/>
        <v>0</v>
      </c>
      <c r="BA7" s="9">
        <f t="shared" si="22"/>
        <v>0</v>
      </c>
      <c r="BB7" s="9">
        <f t="shared" si="23"/>
        <v>0</v>
      </c>
      <c r="BC7" s="9">
        <f t="shared" si="24"/>
        <v>0</v>
      </c>
      <c r="BD7" s="9">
        <f t="shared" si="25"/>
        <v>0</v>
      </c>
      <c r="BE7" s="9">
        <f t="shared" si="26"/>
        <v>0</v>
      </c>
      <c r="BF7" s="9">
        <f t="shared" si="27"/>
        <v>0</v>
      </c>
    </row>
    <row r="8" spans="2:58" ht="17.25" thickBot="1">
      <c r="B8" s="9">
        <v>0</v>
      </c>
      <c r="C8" s="9">
        <v>0</v>
      </c>
      <c r="D8" s="9">
        <v>0</v>
      </c>
      <c r="E8" s="9">
        <v>0</v>
      </c>
      <c r="F8" s="9">
        <v>0</v>
      </c>
      <c r="G8" s="9">
        <v>0</v>
      </c>
      <c r="H8" s="9">
        <v>0</v>
      </c>
      <c r="I8" s="9">
        <v>0</v>
      </c>
      <c r="J8" s="9">
        <v>0</v>
      </c>
      <c r="K8" s="9">
        <v>0</v>
      </c>
      <c r="L8" s="9">
        <v>255</v>
      </c>
      <c r="M8" s="9">
        <v>255</v>
      </c>
      <c r="N8" s="9">
        <v>0</v>
      </c>
      <c r="O8" s="9">
        <v>0</v>
      </c>
      <c r="P8" s="9">
        <v>0</v>
      </c>
      <c r="Q8" s="187">
        <v>0</v>
      </c>
      <c r="R8" s="187">
        <v>0</v>
      </c>
      <c r="S8" s="187">
        <v>0</v>
      </c>
      <c r="T8" s="187">
        <v>0</v>
      </c>
      <c r="U8" s="187">
        <v>0</v>
      </c>
      <c r="V8" s="187">
        <v>0</v>
      </c>
      <c r="W8" s="187">
        <v>0</v>
      </c>
      <c r="X8" s="187">
        <v>0</v>
      </c>
      <c r="Y8" s="187">
        <v>0</v>
      </c>
      <c r="Z8" s="187">
        <v>0</v>
      </c>
      <c r="AA8" s="187">
        <v>0</v>
      </c>
      <c r="AB8" s="187">
        <v>0</v>
      </c>
      <c r="AC8" s="187">
        <v>0</v>
      </c>
      <c r="AE8" s="9">
        <f t="shared" si="0"/>
        <v>0</v>
      </c>
      <c r="AF8" s="9">
        <f t="shared" si="1"/>
        <v>0</v>
      </c>
      <c r="AG8" s="9">
        <f t="shared" si="2"/>
        <v>0</v>
      </c>
      <c r="AH8" s="9">
        <f t="shared" si="3"/>
        <v>0</v>
      </c>
      <c r="AI8" s="9">
        <f t="shared" si="4"/>
        <v>0</v>
      </c>
      <c r="AJ8" s="9">
        <f t="shared" si="5"/>
        <v>0</v>
      </c>
      <c r="AK8" s="9">
        <f t="shared" si="6"/>
        <v>0</v>
      </c>
      <c r="AL8" s="9">
        <f t="shared" si="7"/>
        <v>0</v>
      </c>
      <c r="AM8" s="9">
        <f t="shared" si="8"/>
        <v>0</v>
      </c>
      <c r="AN8" s="9">
        <f t="shared" si="9"/>
        <v>0</v>
      </c>
      <c r="AO8" s="9">
        <f t="shared" si="10"/>
        <v>1</v>
      </c>
      <c r="AP8" s="9">
        <f t="shared" si="11"/>
        <v>1</v>
      </c>
      <c r="AQ8" s="9">
        <f t="shared" si="12"/>
        <v>0</v>
      </c>
      <c r="AR8" s="9">
        <f t="shared" si="13"/>
        <v>0</v>
      </c>
      <c r="AS8" s="9">
        <f t="shared" si="14"/>
        <v>0</v>
      </c>
      <c r="AT8" s="9">
        <f t="shared" si="15"/>
        <v>0</v>
      </c>
      <c r="AU8" s="9">
        <f t="shared" si="16"/>
        <v>0</v>
      </c>
      <c r="AV8" s="9">
        <f t="shared" si="17"/>
        <v>0</v>
      </c>
      <c r="AW8" s="9">
        <f t="shared" si="18"/>
        <v>0</v>
      </c>
      <c r="AX8" s="9">
        <f t="shared" si="19"/>
        <v>0</v>
      </c>
      <c r="AY8" s="9">
        <f t="shared" si="20"/>
        <v>0</v>
      </c>
      <c r="AZ8" s="9">
        <f t="shared" si="21"/>
        <v>0</v>
      </c>
      <c r="BA8" s="9">
        <f t="shared" si="22"/>
        <v>0</v>
      </c>
      <c r="BB8" s="9">
        <f t="shared" si="23"/>
        <v>0</v>
      </c>
      <c r="BC8" s="9">
        <f t="shared" si="24"/>
        <v>0</v>
      </c>
      <c r="BD8" s="9">
        <f t="shared" si="25"/>
        <v>0</v>
      </c>
      <c r="BE8" s="9">
        <f t="shared" si="26"/>
        <v>0</v>
      </c>
      <c r="BF8" s="9">
        <f t="shared" si="27"/>
        <v>0</v>
      </c>
    </row>
    <row r="9" spans="2:58" ht="17.25" thickBot="1">
      <c r="B9" s="9">
        <v>0</v>
      </c>
      <c r="C9" s="9">
        <v>0</v>
      </c>
      <c r="D9" s="9">
        <v>0</v>
      </c>
      <c r="E9" s="9">
        <v>0</v>
      </c>
      <c r="F9" s="9">
        <v>0</v>
      </c>
      <c r="G9" s="9">
        <v>0</v>
      </c>
      <c r="H9" s="9">
        <v>0</v>
      </c>
      <c r="I9" s="9">
        <v>0</v>
      </c>
      <c r="J9" s="9">
        <v>0</v>
      </c>
      <c r="K9" s="9">
        <v>0</v>
      </c>
      <c r="L9" s="9">
        <v>124</v>
      </c>
      <c r="M9" s="9">
        <v>255</v>
      </c>
      <c r="N9" s="9">
        <v>0</v>
      </c>
      <c r="O9" s="9">
        <v>0</v>
      </c>
      <c r="P9" s="9">
        <v>0</v>
      </c>
      <c r="Q9" s="187">
        <v>0</v>
      </c>
      <c r="R9" s="187">
        <v>0</v>
      </c>
      <c r="S9" s="187">
        <v>0</v>
      </c>
      <c r="T9" s="187">
        <v>0</v>
      </c>
      <c r="U9" s="187">
        <v>0</v>
      </c>
      <c r="V9" s="187">
        <v>0</v>
      </c>
      <c r="W9" s="187">
        <v>0</v>
      </c>
      <c r="X9" s="187">
        <v>0</v>
      </c>
      <c r="Y9" s="187">
        <v>0</v>
      </c>
      <c r="Z9" s="187">
        <v>0</v>
      </c>
      <c r="AA9" s="187">
        <v>0</v>
      </c>
      <c r="AB9" s="187">
        <v>0</v>
      </c>
      <c r="AC9" s="187">
        <v>0</v>
      </c>
      <c r="AE9" s="9">
        <f t="shared" si="0"/>
        <v>0</v>
      </c>
      <c r="AF9" s="9">
        <f t="shared" si="1"/>
        <v>0</v>
      </c>
      <c r="AG9" s="9">
        <f t="shared" si="2"/>
        <v>0</v>
      </c>
      <c r="AH9" s="9">
        <f t="shared" si="3"/>
        <v>0</v>
      </c>
      <c r="AI9" s="9">
        <f t="shared" si="4"/>
        <v>0</v>
      </c>
      <c r="AJ9" s="9">
        <f t="shared" si="5"/>
        <v>0</v>
      </c>
      <c r="AK9" s="9">
        <f t="shared" si="6"/>
        <v>0</v>
      </c>
      <c r="AL9" s="9">
        <f t="shared" si="7"/>
        <v>0</v>
      </c>
      <c r="AM9" s="9">
        <f t="shared" si="8"/>
        <v>0</v>
      </c>
      <c r="AN9" s="9">
        <f t="shared" si="9"/>
        <v>0</v>
      </c>
      <c r="AO9" s="9">
        <f t="shared" si="10"/>
        <v>0.48627450980392156</v>
      </c>
      <c r="AP9" s="9">
        <f t="shared" si="11"/>
        <v>1</v>
      </c>
      <c r="AQ9" s="9">
        <f t="shared" si="12"/>
        <v>0</v>
      </c>
      <c r="AR9" s="9">
        <f t="shared" si="13"/>
        <v>0</v>
      </c>
      <c r="AS9" s="9">
        <f t="shared" si="14"/>
        <v>0</v>
      </c>
      <c r="AT9" s="9">
        <f t="shared" si="15"/>
        <v>0</v>
      </c>
      <c r="AU9" s="9">
        <f t="shared" si="16"/>
        <v>0</v>
      </c>
      <c r="AV9" s="9">
        <f t="shared" si="17"/>
        <v>0</v>
      </c>
      <c r="AW9" s="9">
        <f t="shared" si="18"/>
        <v>0</v>
      </c>
      <c r="AX9" s="9">
        <f t="shared" si="19"/>
        <v>0</v>
      </c>
      <c r="AY9" s="9">
        <f t="shared" si="20"/>
        <v>0</v>
      </c>
      <c r="AZ9" s="9">
        <f t="shared" si="21"/>
        <v>0</v>
      </c>
      <c r="BA9" s="9">
        <f t="shared" si="22"/>
        <v>0</v>
      </c>
      <c r="BB9" s="9">
        <f t="shared" si="23"/>
        <v>0</v>
      </c>
      <c r="BC9" s="9">
        <f t="shared" si="24"/>
        <v>0</v>
      </c>
      <c r="BD9" s="9">
        <f t="shared" si="25"/>
        <v>0</v>
      </c>
      <c r="BE9" s="9">
        <f t="shared" si="26"/>
        <v>0</v>
      </c>
      <c r="BF9" s="9">
        <f t="shared" si="27"/>
        <v>0</v>
      </c>
    </row>
    <row r="10" spans="2:58" ht="17.25" thickBot="1">
      <c r="B10" s="9">
        <v>0</v>
      </c>
      <c r="C10" s="9">
        <v>0</v>
      </c>
      <c r="D10" s="9">
        <v>0</v>
      </c>
      <c r="E10" s="9">
        <v>0</v>
      </c>
      <c r="F10" s="9">
        <v>0</v>
      </c>
      <c r="G10" s="9">
        <v>0</v>
      </c>
      <c r="H10" s="9">
        <v>0</v>
      </c>
      <c r="I10" s="9">
        <v>0</v>
      </c>
      <c r="J10" s="9">
        <v>0</v>
      </c>
      <c r="K10" s="9">
        <v>0</v>
      </c>
      <c r="L10" s="9">
        <v>124</v>
      </c>
      <c r="M10" s="9">
        <v>255</v>
      </c>
      <c r="N10" s="9">
        <v>0</v>
      </c>
      <c r="O10" s="9">
        <v>0</v>
      </c>
      <c r="P10" s="9">
        <v>0</v>
      </c>
      <c r="Q10" s="187">
        <v>0</v>
      </c>
      <c r="R10" s="187">
        <v>0</v>
      </c>
      <c r="S10" s="187">
        <v>0</v>
      </c>
      <c r="T10" s="187">
        <v>0</v>
      </c>
      <c r="U10" s="187">
        <v>0</v>
      </c>
      <c r="V10" s="187">
        <v>0</v>
      </c>
      <c r="W10" s="187">
        <v>0</v>
      </c>
      <c r="X10" s="187">
        <v>0</v>
      </c>
      <c r="Y10" s="187">
        <v>0</v>
      </c>
      <c r="Z10" s="187">
        <v>0</v>
      </c>
      <c r="AA10" s="187">
        <v>0</v>
      </c>
      <c r="AB10" s="187">
        <v>0</v>
      </c>
      <c r="AC10" s="187">
        <v>0</v>
      </c>
      <c r="AE10" s="9">
        <f t="shared" si="0"/>
        <v>0</v>
      </c>
      <c r="AF10" s="9">
        <f t="shared" si="1"/>
        <v>0</v>
      </c>
      <c r="AG10" s="9">
        <f t="shared" si="2"/>
        <v>0</v>
      </c>
      <c r="AH10" s="9">
        <f t="shared" si="3"/>
        <v>0</v>
      </c>
      <c r="AI10" s="9">
        <f t="shared" si="4"/>
        <v>0</v>
      </c>
      <c r="AJ10" s="9">
        <f t="shared" si="5"/>
        <v>0</v>
      </c>
      <c r="AK10" s="9">
        <f t="shared" si="6"/>
        <v>0</v>
      </c>
      <c r="AL10" s="9">
        <f t="shared" si="7"/>
        <v>0</v>
      </c>
      <c r="AM10" s="9">
        <f t="shared" si="8"/>
        <v>0</v>
      </c>
      <c r="AN10" s="9">
        <f t="shared" si="9"/>
        <v>0</v>
      </c>
      <c r="AO10" s="9">
        <f t="shared" si="10"/>
        <v>0.48627450980392156</v>
      </c>
      <c r="AP10" s="9">
        <f t="shared" si="11"/>
        <v>1</v>
      </c>
      <c r="AQ10" s="9">
        <f t="shared" si="12"/>
        <v>0</v>
      </c>
      <c r="AR10" s="9">
        <f t="shared" si="13"/>
        <v>0</v>
      </c>
      <c r="AS10" s="9">
        <f t="shared" si="14"/>
        <v>0</v>
      </c>
      <c r="AT10" s="9">
        <f t="shared" si="15"/>
        <v>0</v>
      </c>
      <c r="AU10" s="9">
        <f t="shared" si="16"/>
        <v>0</v>
      </c>
      <c r="AV10" s="9">
        <f t="shared" si="17"/>
        <v>0</v>
      </c>
      <c r="AW10" s="9">
        <f t="shared" si="18"/>
        <v>0</v>
      </c>
      <c r="AX10" s="9">
        <f t="shared" si="19"/>
        <v>0</v>
      </c>
      <c r="AY10" s="9">
        <f t="shared" si="20"/>
        <v>0</v>
      </c>
      <c r="AZ10" s="9">
        <f t="shared" si="21"/>
        <v>0</v>
      </c>
      <c r="BA10" s="9">
        <f t="shared" si="22"/>
        <v>0</v>
      </c>
      <c r="BB10" s="9">
        <f t="shared" si="23"/>
        <v>0</v>
      </c>
      <c r="BC10" s="9">
        <f t="shared" si="24"/>
        <v>0</v>
      </c>
      <c r="BD10" s="9">
        <f t="shared" si="25"/>
        <v>0</v>
      </c>
      <c r="BE10" s="9">
        <f t="shared" si="26"/>
        <v>0</v>
      </c>
      <c r="BF10" s="9">
        <f t="shared" si="27"/>
        <v>0</v>
      </c>
    </row>
    <row r="11" spans="2:58" ht="17.25" thickBot="1">
      <c r="B11" s="9">
        <v>0</v>
      </c>
      <c r="C11" s="9">
        <v>0</v>
      </c>
      <c r="D11" s="9">
        <v>0</v>
      </c>
      <c r="E11" s="9">
        <v>0</v>
      </c>
      <c r="F11" s="9">
        <v>0</v>
      </c>
      <c r="G11" s="9">
        <v>0</v>
      </c>
      <c r="H11" s="9">
        <v>0</v>
      </c>
      <c r="I11" s="9">
        <v>0</v>
      </c>
      <c r="J11" s="9">
        <v>0</v>
      </c>
      <c r="K11" s="9">
        <v>0</v>
      </c>
      <c r="L11" s="9">
        <v>124</v>
      </c>
      <c r="M11" s="9">
        <v>255</v>
      </c>
      <c r="N11" s="9">
        <v>0</v>
      </c>
      <c r="O11" s="9">
        <v>0</v>
      </c>
      <c r="P11" s="9">
        <v>0</v>
      </c>
      <c r="Q11" s="187">
        <v>255</v>
      </c>
      <c r="R11" s="187">
        <v>255</v>
      </c>
      <c r="S11" s="187">
        <v>255</v>
      </c>
      <c r="T11" s="187">
        <v>255</v>
      </c>
      <c r="U11" s="187">
        <v>0</v>
      </c>
      <c r="V11" s="187">
        <v>0</v>
      </c>
      <c r="W11" s="187">
        <v>0</v>
      </c>
      <c r="X11" s="187">
        <v>0</v>
      </c>
      <c r="Y11" s="187">
        <v>0</v>
      </c>
      <c r="Z11" s="187">
        <v>0</v>
      </c>
      <c r="AA11" s="187">
        <v>0</v>
      </c>
      <c r="AB11" s="187">
        <v>0</v>
      </c>
      <c r="AC11" s="187">
        <v>0</v>
      </c>
      <c r="AE11" s="9">
        <f t="shared" si="0"/>
        <v>0</v>
      </c>
      <c r="AF11" s="9">
        <f t="shared" si="1"/>
        <v>0</v>
      </c>
      <c r="AG11" s="9">
        <f t="shared" si="2"/>
        <v>0</v>
      </c>
      <c r="AH11" s="9">
        <f t="shared" si="3"/>
        <v>0</v>
      </c>
      <c r="AI11" s="9">
        <f t="shared" si="4"/>
        <v>0</v>
      </c>
      <c r="AJ11" s="9">
        <f t="shared" si="5"/>
        <v>0</v>
      </c>
      <c r="AK11" s="9">
        <f t="shared" si="6"/>
        <v>0</v>
      </c>
      <c r="AL11" s="9">
        <f t="shared" si="7"/>
        <v>0</v>
      </c>
      <c r="AM11" s="9">
        <f t="shared" si="8"/>
        <v>0</v>
      </c>
      <c r="AN11" s="9">
        <f t="shared" si="9"/>
        <v>0</v>
      </c>
      <c r="AO11" s="9">
        <f t="shared" si="10"/>
        <v>0.48627450980392156</v>
      </c>
      <c r="AP11" s="9">
        <f t="shared" si="11"/>
        <v>1</v>
      </c>
      <c r="AQ11" s="9">
        <f t="shared" si="12"/>
        <v>0</v>
      </c>
      <c r="AR11" s="9">
        <f t="shared" si="13"/>
        <v>0</v>
      </c>
      <c r="AS11" s="9">
        <f t="shared" si="14"/>
        <v>0</v>
      </c>
      <c r="AT11" s="9">
        <f t="shared" si="15"/>
        <v>1</v>
      </c>
      <c r="AU11" s="9">
        <f t="shared" si="16"/>
        <v>1</v>
      </c>
      <c r="AV11" s="9">
        <f t="shared" si="17"/>
        <v>1</v>
      </c>
      <c r="AW11" s="9">
        <f t="shared" si="18"/>
        <v>1</v>
      </c>
      <c r="AX11" s="9">
        <f t="shared" si="19"/>
        <v>0</v>
      </c>
      <c r="AY11" s="9">
        <f t="shared" si="20"/>
        <v>0</v>
      </c>
      <c r="AZ11" s="9">
        <f t="shared" si="21"/>
        <v>0</v>
      </c>
      <c r="BA11" s="9">
        <f t="shared" si="22"/>
        <v>0</v>
      </c>
      <c r="BB11" s="9">
        <f t="shared" si="23"/>
        <v>0</v>
      </c>
      <c r="BC11" s="9">
        <f t="shared" si="24"/>
        <v>0</v>
      </c>
      <c r="BD11" s="9">
        <f t="shared" si="25"/>
        <v>0</v>
      </c>
      <c r="BE11" s="9">
        <f t="shared" si="26"/>
        <v>0</v>
      </c>
      <c r="BF11" s="9">
        <f t="shared" si="27"/>
        <v>0</v>
      </c>
    </row>
    <row r="12" spans="2:58" ht="17.25" thickBot="1">
      <c r="B12" s="9">
        <v>0</v>
      </c>
      <c r="C12" s="9">
        <v>0</v>
      </c>
      <c r="D12" s="9">
        <v>0</v>
      </c>
      <c r="E12" s="9">
        <v>0</v>
      </c>
      <c r="F12" s="9">
        <v>0</v>
      </c>
      <c r="G12" s="9">
        <v>0</v>
      </c>
      <c r="H12" s="9">
        <v>0</v>
      </c>
      <c r="I12" s="9">
        <v>0</v>
      </c>
      <c r="J12" s="9">
        <v>0</v>
      </c>
      <c r="K12" s="9">
        <v>0</v>
      </c>
      <c r="L12" s="9">
        <v>124</v>
      </c>
      <c r="M12" s="9">
        <v>255</v>
      </c>
      <c r="N12" s="9">
        <v>0</v>
      </c>
      <c r="O12" s="9">
        <v>0</v>
      </c>
      <c r="P12" s="9">
        <v>255</v>
      </c>
      <c r="Q12" s="188">
        <v>124</v>
      </c>
      <c r="R12" s="187">
        <v>255</v>
      </c>
      <c r="S12" s="187">
        <v>255</v>
      </c>
      <c r="T12" s="187">
        <v>124</v>
      </c>
      <c r="U12" s="187">
        <v>255</v>
      </c>
      <c r="V12" s="187">
        <v>0</v>
      </c>
      <c r="W12" s="187">
        <v>0</v>
      </c>
      <c r="X12" s="187">
        <v>0</v>
      </c>
      <c r="Y12" s="187">
        <v>0</v>
      </c>
      <c r="Z12" s="187">
        <v>0</v>
      </c>
      <c r="AA12" s="187">
        <v>0</v>
      </c>
      <c r="AB12" s="187">
        <v>0</v>
      </c>
      <c r="AC12" s="187">
        <v>0</v>
      </c>
      <c r="AE12" s="9">
        <f t="shared" si="0"/>
        <v>0</v>
      </c>
      <c r="AF12" s="9">
        <f t="shared" si="1"/>
        <v>0</v>
      </c>
      <c r="AG12" s="9">
        <f t="shared" si="2"/>
        <v>0</v>
      </c>
      <c r="AH12" s="9">
        <f t="shared" si="3"/>
        <v>0</v>
      </c>
      <c r="AI12" s="9">
        <f t="shared" si="4"/>
        <v>0</v>
      </c>
      <c r="AJ12" s="9">
        <f t="shared" si="5"/>
        <v>0</v>
      </c>
      <c r="AK12" s="9">
        <f t="shared" si="6"/>
        <v>0</v>
      </c>
      <c r="AL12" s="9">
        <f t="shared" si="7"/>
        <v>0</v>
      </c>
      <c r="AM12" s="9">
        <f t="shared" si="8"/>
        <v>0</v>
      </c>
      <c r="AN12" s="9">
        <f t="shared" si="9"/>
        <v>0</v>
      </c>
      <c r="AO12" s="9">
        <f t="shared" si="10"/>
        <v>0.48627450980392156</v>
      </c>
      <c r="AP12" s="9">
        <f t="shared" si="11"/>
        <v>1</v>
      </c>
      <c r="AQ12" s="9">
        <f t="shared" si="12"/>
        <v>0</v>
      </c>
      <c r="AR12" s="9">
        <f t="shared" si="13"/>
        <v>0</v>
      </c>
      <c r="AS12" s="9">
        <f t="shared" si="14"/>
        <v>1</v>
      </c>
      <c r="AT12" s="9">
        <f t="shared" si="15"/>
        <v>0.48627450980392156</v>
      </c>
      <c r="AU12" s="9">
        <f t="shared" si="16"/>
        <v>1</v>
      </c>
      <c r="AV12" s="9">
        <f t="shared" si="17"/>
        <v>1</v>
      </c>
      <c r="AW12" s="9">
        <f t="shared" si="18"/>
        <v>0.48627450980392156</v>
      </c>
      <c r="AX12" s="9">
        <f t="shared" si="19"/>
        <v>1</v>
      </c>
      <c r="AY12" s="9">
        <f t="shared" si="20"/>
        <v>0</v>
      </c>
      <c r="AZ12" s="9">
        <f t="shared" si="21"/>
        <v>0</v>
      </c>
      <c r="BA12" s="9">
        <f t="shared" si="22"/>
        <v>0</v>
      </c>
      <c r="BB12" s="9">
        <f t="shared" si="23"/>
        <v>0</v>
      </c>
      <c r="BC12" s="9">
        <f t="shared" si="24"/>
        <v>0</v>
      </c>
      <c r="BD12" s="9">
        <f t="shared" si="25"/>
        <v>0</v>
      </c>
      <c r="BE12" s="9">
        <f t="shared" si="26"/>
        <v>0</v>
      </c>
      <c r="BF12" s="9">
        <f t="shared" si="27"/>
        <v>0</v>
      </c>
    </row>
    <row r="13" spans="2:58" ht="17.25" thickBot="1">
      <c r="B13" s="9">
        <v>0</v>
      </c>
      <c r="C13" s="9">
        <v>0</v>
      </c>
      <c r="D13" s="9">
        <v>0</v>
      </c>
      <c r="E13" s="9">
        <v>0</v>
      </c>
      <c r="F13" s="9">
        <v>0</v>
      </c>
      <c r="G13" s="9">
        <v>0</v>
      </c>
      <c r="H13" s="9">
        <v>0</v>
      </c>
      <c r="I13" s="9">
        <v>0</v>
      </c>
      <c r="J13" s="9">
        <v>0</v>
      </c>
      <c r="K13" s="9">
        <v>0</v>
      </c>
      <c r="L13" s="9">
        <v>255</v>
      </c>
      <c r="M13" s="9">
        <v>124</v>
      </c>
      <c r="N13" s="9">
        <v>255</v>
      </c>
      <c r="O13" s="9">
        <v>255</v>
      </c>
      <c r="P13" s="9">
        <v>255</v>
      </c>
      <c r="Q13" s="187">
        <v>0</v>
      </c>
      <c r="R13" s="187">
        <v>0</v>
      </c>
      <c r="S13" s="187">
        <v>255</v>
      </c>
      <c r="T13" s="187">
        <v>255</v>
      </c>
      <c r="U13" s="187">
        <v>255</v>
      </c>
      <c r="V13" s="187">
        <v>0</v>
      </c>
      <c r="W13" s="187">
        <v>0</v>
      </c>
      <c r="X13" s="187">
        <v>0</v>
      </c>
      <c r="Y13" s="187">
        <v>0</v>
      </c>
      <c r="Z13" s="187">
        <v>0</v>
      </c>
      <c r="AA13" s="187">
        <v>0</v>
      </c>
      <c r="AB13" s="187">
        <v>0</v>
      </c>
      <c r="AC13" s="187">
        <v>0</v>
      </c>
      <c r="AE13" s="9">
        <f t="shared" si="0"/>
        <v>0</v>
      </c>
      <c r="AF13" s="9">
        <f t="shared" si="1"/>
        <v>0</v>
      </c>
      <c r="AG13" s="9">
        <f t="shared" si="2"/>
        <v>0</v>
      </c>
      <c r="AH13" s="9">
        <f t="shared" si="3"/>
        <v>0</v>
      </c>
      <c r="AI13" s="9">
        <f t="shared" si="4"/>
        <v>0</v>
      </c>
      <c r="AJ13" s="9">
        <f t="shared" si="5"/>
        <v>0</v>
      </c>
      <c r="AK13" s="9">
        <f t="shared" si="6"/>
        <v>0</v>
      </c>
      <c r="AL13" s="9">
        <f t="shared" si="7"/>
        <v>0</v>
      </c>
      <c r="AM13" s="9">
        <f t="shared" si="8"/>
        <v>0</v>
      </c>
      <c r="AN13" s="9">
        <f t="shared" si="9"/>
        <v>0</v>
      </c>
      <c r="AO13" s="9">
        <f t="shared" si="10"/>
        <v>1</v>
      </c>
      <c r="AP13" s="9">
        <f t="shared" si="11"/>
        <v>0.48627450980392156</v>
      </c>
      <c r="AQ13" s="9">
        <f t="shared" si="12"/>
        <v>1</v>
      </c>
      <c r="AR13" s="9">
        <f t="shared" si="13"/>
        <v>1</v>
      </c>
      <c r="AS13" s="9">
        <f t="shared" si="14"/>
        <v>1</v>
      </c>
      <c r="AT13" s="9">
        <f t="shared" si="15"/>
        <v>0</v>
      </c>
      <c r="AU13" s="9">
        <f t="shared" si="16"/>
        <v>0</v>
      </c>
      <c r="AV13" s="9">
        <f t="shared" si="17"/>
        <v>1</v>
      </c>
      <c r="AW13" s="9">
        <f t="shared" si="18"/>
        <v>1</v>
      </c>
      <c r="AX13" s="9">
        <f t="shared" si="19"/>
        <v>1</v>
      </c>
      <c r="AY13" s="9">
        <f t="shared" si="20"/>
        <v>0</v>
      </c>
      <c r="AZ13" s="9">
        <f t="shared" si="21"/>
        <v>0</v>
      </c>
      <c r="BA13" s="9">
        <f t="shared" si="22"/>
        <v>0</v>
      </c>
      <c r="BB13" s="9">
        <f t="shared" si="23"/>
        <v>0</v>
      </c>
      <c r="BC13" s="9">
        <f t="shared" si="24"/>
        <v>0</v>
      </c>
      <c r="BD13" s="9">
        <f t="shared" si="25"/>
        <v>0</v>
      </c>
      <c r="BE13" s="9">
        <f t="shared" si="26"/>
        <v>0</v>
      </c>
      <c r="BF13" s="9">
        <f t="shared" si="27"/>
        <v>0</v>
      </c>
    </row>
    <row r="14" spans="2:58" ht="17.25" thickBot="1">
      <c r="B14" s="9">
        <v>0</v>
      </c>
      <c r="C14" s="9">
        <v>0</v>
      </c>
      <c r="D14" s="9">
        <v>0</v>
      </c>
      <c r="E14" s="9">
        <v>0</v>
      </c>
      <c r="F14" s="9">
        <v>0</v>
      </c>
      <c r="G14" s="9">
        <v>0</v>
      </c>
      <c r="H14" s="9">
        <v>0</v>
      </c>
      <c r="I14" s="9">
        <v>0</v>
      </c>
      <c r="J14" s="9">
        <v>0</v>
      </c>
      <c r="K14" s="9">
        <v>0</v>
      </c>
      <c r="L14" s="9">
        <v>255</v>
      </c>
      <c r="M14" s="9">
        <v>255</v>
      </c>
      <c r="N14" s="9">
        <v>255</v>
      </c>
      <c r="O14" s="9">
        <v>255</v>
      </c>
      <c r="P14" s="9">
        <v>0</v>
      </c>
      <c r="Q14" s="187">
        <v>0</v>
      </c>
      <c r="R14" s="187">
        <v>0</v>
      </c>
      <c r="S14" s="187">
        <v>255</v>
      </c>
      <c r="T14" s="187">
        <v>124</v>
      </c>
      <c r="U14" s="187">
        <v>255</v>
      </c>
      <c r="V14" s="187">
        <v>255</v>
      </c>
      <c r="W14" s="187">
        <v>0</v>
      </c>
      <c r="X14" s="187">
        <v>0</v>
      </c>
      <c r="Y14" s="187">
        <v>0</v>
      </c>
      <c r="Z14" s="187">
        <v>0</v>
      </c>
      <c r="AA14" s="187">
        <v>0</v>
      </c>
      <c r="AB14" s="187">
        <v>0</v>
      </c>
      <c r="AC14" s="187">
        <v>0</v>
      </c>
      <c r="AE14" s="9">
        <f t="shared" si="0"/>
        <v>0</v>
      </c>
      <c r="AF14" s="9">
        <f t="shared" si="1"/>
        <v>0</v>
      </c>
      <c r="AG14" s="9">
        <f t="shared" si="2"/>
        <v>0</v>
      </c>
      <c r="AH14" s="9">
        <f t="shared" si="3"/>
        <v>0</v>
      </c>
      <c r="AI14" s="9">
        <f t="shared" si="4"/>
        <v>0</v>
      </c>
      <c r="AJ14" s="9">
        <f t="shared" si="5"/>
        <v>0</v>
      </c>
      <c r="AK14" s="9">
        <f t="shared" si="6"/>
        <v>0</v>
      </c>
      <c r="AL14" s="9">
        <f t="shared" si="7"/>
        <v>0</v>
      </c>
      <c r="AM14" s="9">
        <f t="shared" si="8"/>
        <v>0</v>
      </c>
      <c r="AN14" s="9">
        <f t="shared" si="9"/>
        <v>0</v>
      </c>
      <c r="AO14" s="9">
        <f t="shared" si="10"/>
        <v>1</v>
      </c>
      <c r="AP14" s="9">
        <f t="shared" si="11"/>
        <v>1</v>
      </c>
      <c r="AQ14" s="9">
        <f t="shared" si="12"/>
        <v>1</v>
      </c>
      <c r="AR14" s="9">
        <f t="shared" si="13"/>
        <v>1</v>
      </c>
      <c r="AS14" s="9">
        <f t="shared" si="14"/>
        <v>0</v>
      </c>
      <c r="AT14" s="9">
        <f t="shared" si="15"/>
        <v>0</v>
      </c>
      <c r="AU14" s="9">
        <f t="shared" si="16"/>
        <v>0</v>
      </c>
      <c r="AV14" s="9">
        <f t="shared" si="17"/>
        <v>1</v>
      </c>
      <c r="AW14" s="9">
        <f t="shared" si="18"/>
        <v>0.48627450980392156</v>
      </c>
      <c r="AX14" s="9">
        <f t="shared" si="19"/>
        <v>1</v>
      </c>
      <c r="AY14" s="9">
        <f t="shared" si="20"/>
        <v>1</v>
      </c>
      <c r="AZ14" s="9">
        <f t="shared" si="21"/>
        <v>0</v>
      </c>
      <c r="BA14" s="9">
        <f t="shared" si="22"/>
        <v>0</v>
      </c>
      <c r="BB14" s="9">
        <f t="shared" si="23"/>
        <v>0</v>
      </c>
      <c r="BC14" s="9">
        <f t="shared" si="24"/>
        <v>0</v>
      </c>
      <c r="BD14" s="9">
        <f t="shared" si="25"/>
        <v>0</v>
      </c>
      <c r="BE14" s="9">
        <f t="shared" si="26"/>
        <v>0</v>
      </c>
      <c r="BF14" s="9">
        <f t="shared" si="27"/>
        <v>0</v>
      </c>
    </row>
    <row r="15" spans="2:58" ht="17.25" thickBot="1">
      <c r="B15" s="9">
        <v>0</v>
      </c>
      <c r="C15" s="9">
        <v>0</v>
      </c>
      <c r="D15" s="9">
        <v>0</v>
      </c>
      <c r="E15" s="9">
        <v>0</v>
      </c>
      <c r="F15" s="9">
        <v>0</v>
      </c>
      <c r="G15" s="9">
        <v>0</v>
      </c>
      <c r="H15" s="9">
        <v>0</v>
      </c>
      <c r="I15" s="9">
        <v>0</v>
      </c>
      <c r="J15" s="9">
        <v>0</v>
      </c>
      <c r="K15" s="9">
        <v>0</v>
      </c>
      <c r="L15" s="9">
        <v>0</v>
      </c>
      <c r="M15" s="9">
        <v>0</v>
      </c>
      <c r="N15" s="9">
        <v>0</v>
      </c>
      <c r="O15" s="9">
        <v>0</v>
      </c>
      <c r="P15" s="9">
        <v>0</v>
      </c>
      <c r="Q15" s="187">
        <v>0</v>
      </c>
      <c r="R15" s="187">
        <v>0</v>
      </c>
      <c r="S15" s="187">
        <v>0</v>
      </c>
      <c r="T15" s="187">
        <v>255</v>
      </c>
      <c r="U15" s="187">
        <v>255</v>
      </c>
      <c r="V15" s="187">
        <v>124</v>
      </c>
      <c r="W15" s="187">
        <v>0</v>
      </c>
      <c r="X15" s="187">
        <v>0</v>
      </c>
      <c r="Y15" s="187">
        <v>0</v>
      </c>
      <c r="Z15" s="187">
        <v>0</v>
      </c>
      <c r="AA15" s="187">
        <v>0</v>
      </c>
      <c r="AB15" s="187">
        <v>0</v>
      </c>
      <c r="AC15" s="187">
        <v>0</v>
      </c>
      <c r="AE15" s="9">
        <f t="shared" si="0"/>
        <v>0</v>
      </c>
      <c r="AF15" s="9">
        <f t="shared" si="1"/>
        <v>0</v>
      </c>
      <c r="AG15" s="9">
        <f t="shared" si="2"/>
        <v>0</v>
      </c>
      <c r="AH15" s="9">
        <f t="shared" si="3"/>
        <v>0</v>
      </c>
      <c r="AI15" s="9">
        <f t="shared" si="4"/>
        <v>0</v>
      </c>
      <c r="AJ15" s="9">
        <f t="shared" si="5"/>
        <v>0</v>
      </c>
      <c r="AK15" s="9">
        <f t="shared" si="6"/>
        <v>0</v>
      </c>
      <c r="AL15" s="9">
        <f t="shared" si="7"/>
        <v>0</v>
      </c>
      <c r="AM15" s="9">
        <f t="shared" si="8"/>
        <v>0</v>
      </c>
      <c r="AN15" s="9">
        <f t="shared" si="9"/>
        <v>0</v>
      </c>
      <c r="AO15" s="9">
        <f t="shared" si="10"/>
        <v>0</v>
      </c>
      <c r="AP15" s="9">
        <f t="shared" si="11"/>
        <v>0</v>
      </c>
      <c r="AQ15" s="9">
        <f t="shared" si="12"/>
        <v>0</v>
      </c>
      <c r="AR15" s="9">
        <f t="shared" si="13"/>
        <v>0</v>
      </c>
      <c r="AS15" s="9">
        <f t="shared" si="14"/>
        <v>0</v>
      </c>
      <c r="AT15" s="9">
        <f t="shared" si="15"/>
        <v>0</v>
      </c>
      <c r="AU15" s="9">
        <f t="shared" si="16"/>
        <v>0</v>
      </c>
      <c r="AV15" s="9">
        <f t="shared" si="17"/>
        <v>0</v>
      </c>
      <c r="AW15" s="9">
        <f t="shared" si="18"/>
        <v>1</v>
      </c>
      <c r="AX15" s="9">
        <f t="shared" si="19"/>
        <v>1</v>
      </c>
      <c r="AY15" s="9">
        <f t="shared" si="20"/>
        <v>0.48627450980392156</v>
      </c>
      <c r="AZ15" s="9">
        <f t="shared" si="21"/>
        <v>0</v>
      </c>
      <c r="BA15" s="9">
        <f t="shared" si="22"/>
        <v>0</v>
      </c>
      <c r="BB15" s="9">
        <f t="shared" si="23"/>
        <v>0</v>
      </c>
      <c r="BC15" s="9">
        <f t="shared" si="24"/>
        <v>0</v>
      </c>
      <c r="BD15" s="9">
        <f t="shared" si="25"/>
        <v>0</v>
      </c>
      <c r="BE15" s="9">
        <f t="shared" si="26"/>
        <v>0</v>
      </c>
      <c r="BF15" s="9">
        <f t="shared" si="27"/>
        <v>0</v>
      </c>
    </row>
    <row r="16" spans="2:58" ht="17.25" thickBot="1">
      <c r="B16" s="9">
        <v>0</v>
      </c>
      <c r="C16" s="9">
        <v>0</v>
      </c>
      <c r="D16" s="9">
        <v>0</v>
      </c>
      <c r="E16" s="9">
        <v>0</v>
      </c>
      <c r="F16" s="9">
        <v>0</v>
      </c>
      <c r="G16" s="9">
        <v>0</v>
      </c>
      <c r="H16" s="9">
        <v>0</v>
      </c>
      <c r="I16" s="9">
        <v>0</v>
      </c>
      <c r="J16" s="9">
        <v>0</v>
      </c>
      <c r="K16" s="9">
        <v>0</v>
      </c>
      <c r="L16" s="9">
        <v>0</v>
      </c>
      <c r="M16" s="9">
        <v>0</v>
      </c>
      <c r="N16" s="9">
        <v>0</v>
      </c>
      <c r="O16" s="9">
        <v>0</v>
      </c>
      <c r="P16" s="9">
        <v>0</v>
      </c>
      <c r="Q16" s="187">
        <v>0</v>
      </c>
      <c r="R16" s="187">
        <v>0</v>
      </c>
      <c r="S16" s="187">
        <v>0</v>
      </c>
      <c r="T16" s="187">
        <v>255</v>
      </c>
      <c r="U16" s="187">
        <v>124</v>
      </c>
      <c r="V16" s="187">
        <v>255</v>
      </c>
      <c r="W16" s="187">
        <v>0</v>
      </c>
      <c r="X16" s="187">
        <v>0</v>
      </c>
      <c r="Y16" s="187">
        <v>0</v>
      </c>
      <c r="Z16" s="187">
        <v>0</v>
      </c>
      <c r="AA16" s="187">
        <v>0</v>
      </c>
      <c r="AB16" s="187">
        <v>0</v>
      </c>
      <c r="AC16" s="187">
        <v>0</v>
      </c>
      <c r="AE16" s="9">
        <f t="shared" si="0"/>
        <v>0</v>
      </c>
      <c r="AF16" s="9">
        <f t="shared" si="1"/>
        <v>0</v>
      </c>
      <c r="AG16" s="9">
        <f t="shared" si="2"/>
        <v>0</v>
      </c>
      <c r="AH16" s="9">
        <f t="shared" si="3"/>
        <v>0</v>
      </c>
      <c r="AI16" s="9">
        <f t="shared" si="4"/>
        <v>0</v>
      </c>
      <c r="AJ16" s="9">
        <f t="shared" si="5"/>
        <v>0</v>
      </c>
      <c r="AK16" s="9">
        <f t="shared" si="6"/>
        <v>0</v>
      </c>
      <c r="AL16" s="9">
        <f t="shared" si="7"/>
        <v>0</v>
      </c>
      <c r="AM16" s="9">
        <f t="shared" si="8"/>
        <v>0</v>
      </c>
      <c r="AN16" s="9">
        <f t="shared" si="9"/>
        <v>0</v>
      </c>
      <c r="AO16" s="9">
        <f t="shared" si="10"/>
        <v>0</v>
      </c>
      <c r="AP16" s="9">
        <f t="shared" si="11"/>
        <v>0</v>
      </c>
      <c r="AQ16" s="9">
        <f t="shared" si="12"/>
        <v>0</v>
      </c>
      <c r="AR16" s="9">
        <f t="shared" si="13"/>
        <v>0</v>
      </c>
      <c r="AS16" s="9">
        <f t="shared" si="14"/>
        <v>0</v>
      </c>
      <c r="AT16" s="9">
        <f t="shared" si="15"/>
        <v>0</v>
      </c>
      <c r="AU16" s="9">
        <f t="shared" si="16"/>
        <v>0</v>
      </c>
      <c r="AV16" s="9">
        <f t="shared" si="17"/>
        <v>0</v>
      </c>
      <c r="AW16" s="9">
        <f t="shared" si="18"/>
        <v>1</v>
      </c>
      <c r="AX16" s="9">
        <f t="shared" si="19"/>
        <v>0.48627450980392156</v>
      </c>
      <c r="AY16" s="9">
        <f t="shared" si="20"/>
        <v>1</v>
      </c>
      <c r="AZ16" s="9">
        <f t="shared" si="21"/>
        <v>0</v>
      </c>
      <c r="BA16" s="9">
        <f t="shared" si="22"/>
        <v>0</v>
      </c>
      <c r="BB16" s="9">
        <f t="shared" si="23"/>
        <v>0</v>
      </c>
      <c r="BC16" s="9">
        <f t="shared" si="24"/>
        <v>0</v>
      </c>
      <c r="BD16" s="9">
        <f t="shared" si="25"/>
        <v>0</v>
      </c>
      <c r="BE16" s="9">
        <f t="shared" si="26"/>
        <v>0</v>
      </c>
      <c r="BF16" s="9">
        <f t="shared" si="27"/>
        <v>0</v>
      </c>
    </row>
    <row r="17" spans="2:58" ht="17.25" thickBot="1">
      <c r="B17" s="9">
        <v>0</v>
      </c>
      <c r="C17" s="9">
        <v>0</v>
      </c>
      <c r="D17" s="9">
        <v>0</v>
      </c>
      <c r="E17" s="9">
        <v>0</v>
      </c>
      <c r="F17" s="9">
        <v>0</v>
      </c>
      <c r="G17" s="9">
        <v>0</v>
      </c>
      <c r="H17" s="9">
        <v>0</v>
      </c>
      <c r="I17" s="9">
        <v>0</v>
      </c>
      <c r="J17" s="9">
        <v>0</v>
      </c>
      <c r="K17" s="9">
        <v>0</v>
      </c>
      <c r="L17" s="9">
        <v>0</v>
      </c>
      <c r="M17" s="9">
        <v>0</v>
      </c>
      <c r="N17" s="9">
        <v>0</v>
      </c>
      <c r="O17" s="9">
        <v>0</v>
      </c>
      <c r="P17" s="9">
        <v>0</v>
      </c>
      <c r="Q17" s="187">
        <v>0</v>
      </c>
      <c r="R17" s="187">
        <v>0</v>
      </c>
      <c r="S17" s="187">
        <v>0</v>
      </c>
      <c r="T17" s="187">
        <v>255</v>
      </c>
      <c r="U17" s="187">
        <v>255</v>
      </c>
      <c r="V17" s="187">
        <v>255</v>
      </c>
      <c r="W17" s="187">
        <v>0</v>
      </c>
      <c r="X17" s="187">
        <v>0</v>
      </c>
      <c r="Y17" s="187">
        <v>0</v>
      </c>
      <c r="Z17" s="187">
        <v>0</v>
      </c>
      <c r="AA17" s="187">
        <v>0</v>
      </c>
      <c r="AB17" s="187">
        <v>0</v>
      </c>
      <c r="AC17" s="187">
        <v>0</v>
      </c>
      <c r="AE17" s="9">
        <f t="shared" si="0"/>
        <v>0</v>
      </c>
      <c r="AF17" s="9">
        <f t="shared" si="1"/>
        <v>0</v>
      </c>
      <c r="AG17" s="9">
        <f t="shared" si="2"/>
        <v>0</v>
      </c>
      <c r="AH17" s="9">
        <f t="shared" si="3"/>
        <v>0</v>
      </c>
      <c r="AI17" s="9">
        <f t="shared" si="4"/>
        <v>0</v>
      </c>
      <c r="AJ17" s="9">
        <f t="shared" si="5"/>
        <v>0</v>
      </c>
      <c r="AK17" s="9">
        <f t="shared" si="6"/>
        <v>0</v>
      </c>
      <c r="AL17" s="9">
        <f t="shared" si="7"/>
        <v>0</v>
      </c>
      <c r="AM17" s="9">
        <f t="shared" si="8"/>
        <v>0</v>
      </c>
      <c r="AN17" s="9">
        <f t="shared" si="9"/>
        <v>0</v>
      </c>
      <c r="AO17" s="9">
        <f t="shared" si="10"/>
        <v>0</v>
      </c>
      <c r="AP17" s="9">
        <f t="shared" si="11"/>
        <v>0</v>
      </c>
      <c r="AQ17" s="9">
        <f t="shared" si="12"/>
        <v>0</v>
      </c>
      <c r="AR17" s="9">
        <f t="shared" si="13"/>
        <v>0</v>
      </c>
      <c r="AS17" s="9">
        <f t="shared" si="14"/>
        <v>0</v>
      </c>
      <c r="AT17" s="9">
        <f t="shared" si="15"/>
        <v>0</v>
      </c>
      <c r="AU17" s="9">
        <f t="shared" si="16"/>
        <v>0</v>
      </c>
      <c r="AV17" s="9">
        <f t="shared" si="17"/>
        <v>0</v>
      </c>
      <c r="AW17" s="9">
        <f t="shared" si="18"/>
        <v>1</v>
      </c>
      <c r="AX17" s="9">
        <f t="shared" si="19"/>
        <v>1</v>
      </c>
      <c r="AY17" s="9">
        <f t="shared" si="20"/>
        <v>1</v>
      </c>
      <c r="AZ17" s="9">
        <f t="shared" si="21"/>
        <v>0</v>
      </c>
      <c r="BA17" s="9">
        <f t="shared" si="22"/>
        <v>0</v>
      </c>
      <c r="BB17" s="9">
        <f t="shared" si="23"/>
        <v>0</v>
      </c>
      <c r="BC17" s="9">
        <f t="shared" si="24"/>
        <v>0</v>
      </c>
      <c r="BD17" s="9">
        <f t="shared" si="25"/>
        <v>0</v>
      </c>
      <c r="BE17" s="9">
        <f t="shared" si="26"/>
        <v>0</v>
      </c>
      <c r="BF17" s="9">
        <f t="shared" si="27"/>
        <v>0</v>
      </c>
    </row>
    <row r="18" spans="2:58" ht="17.25" thickBot="1">
      <c r="B18" s="9">
        <v>0</v>
      </c>
      <c r="C18" s="9">
        <v>0</v>
      </c>
      <c r="D18" s="9">
        <v>0</v>
      </c>
      <c r="E18" s="9">
        <v>0</v>
      </c>
      <c r="F18" s="9">
        <v>0</v>
      </c>
      <c r="G18" s="9">
        <v>0</v>
      </c>
      <c r="H18" s="9">
        <v>0</v>
      </c>
      <c r="I18" s="9">
        <v>0</v>
      </c>
      <c r="J18" s="9">
        <v>0</v>
      </c>
      <c r="K18" s="9">
        <v>0</v>
      </c>
      <c r="L18" s="9">
        <v>0</v>
      </c>
      <c r="M18" s="9">
        <v>0</v>
      </c>
      <c r="N18" s="9">
        <v>0</v>
      </c>
      <c r="O18" s="9">
        <v>0</v>
      </c>
      <c r="P18" s="9">
        <v>0</v>
      </c>
      <c r="Q18" s="187">
        <v>0</v>
      </c>
      <c r="R18" s="187">
        <v>0</v>
      </c>
      <c r="S18" s="187">
        <v>255</v>
      </c>
      <c r="T18" s="187">
        <v>255</v>
      </c>
      <c r="U18" s="187">
        <v>124</v>
      </c>
      <c r="V18" s="187">
        <v>255</v>
      </c>
      <c r="W18" s="187">
        <v>0</v>
      </c>
      <c r="X18" s="187">
        <v>0</v>
      </c>
      <c r="Y18" s="187">
        <v>0</v>
      </c>
      <c r="Z18" s="187">
        <v>0</v>
      </c>
      <c r="AA18" s="187">
        <v>0</v>
      </c>
      <c r="AB18" s="187">
        <v>0</v>
      </c>
      <c r="AC18" s="187">
        <v>0</v>
      </c>
      <c r="AE18" s="9">
        <f t="shared" si="0"/>
        <v>0</v>
      </c>
      <c r="AF18" s="9">
        <f t="shared" si="1"/>
        <v>0</v>
      </c>
      <c r="AG18" s="9">
        <f t="shared" si="2"/>
        <v>0</v>
      </c>
      <c r="AH18" s="9">
        <f t="shared" si="3"/>
        <v>0</v>
      </c>
      <c r="AI18" s="9">
        <f t="shared" si="4"/>
        <v>0</v>
      </c>
      <c r="AJ18" s="9">
        <f t="shared" si="5"/>
        <v>0</v>
      </c>
      <c r="AK18" s="9">
        <f t="shared" si="6"/>
        <v>0</v>
      </c>
      <c r="AL18" s="9">
        <f t="shared" si="7"/>
        <v>0</v>
      </c>
      <c r="AM18" s="9">
        <f t="shared" si="8"/>
        <v>0</v>
      </c>
      <c r="AN18" s="9">
        <f t="shared" si="9"/>
        <v>0</v>
      </c>
      <c r="AO18" s="9">
        <f t="shared" si="10"/>
        <v>0</v>
      </c>
      <c r="AP18" s="9">
        <f t="shared" si="11"/>
        <v>0</v>
      </c>
      <c r="AQ18" s="9">
        <f t="shared" si="12"/>
        <v>0</v>
      </c>
      <c r="AR18" s="9">
        <f t="shared" si="13"/>
        <v>0</v>
      </c>
      <c r="AS18" s="9">
        <f t="shared" si="14"/>
        <v>0</v>
      </c>
      <c r="AT18" s="9">
        <f t="shared" si="15"/>
        <v>0</v>
      </c>
      <c r="AU18" s="9">
        <f t="shared" si="16"/>
        <v>0</v>
      </c>
      <c r="AV18" s="9">
        <f t="shared" si="17"/>
        <v>1</v>
      </c>
      <c r="AW18" s="9">
        <f t="shared" si="18"/>
        <v>1</v>
      </c>
      <c r="AX18" s="9">
        <f t="shared" si="19"/>
        <v>0.48627450980392156</v>
      </c>
      <c r="AY18" s="9">
        <f t="shared" si="20"/>
        <v>1</v>
      </c>
      <c r="AZ18" s="9">
        <f t="shared" si="21"/>
        <v>0</v>
      </c>
      <c r="BA18" s="9">
        <f t="shared" si="22"/>
        <v>0</v>
      </c>
      <c r="BB18" s="9">
        <f t="shared" si="23"/>
        <v>0</v>
      </c>
      <c r="BC18" s="9">
        <f t="shared" si="24"/>
        <v>0</v>
      </c>
      <c r="BD18" s="9">
        <f t="shared" si="25"/>
        <v>0</v>
      </c>
      <c r="BE18" s="9">
        <f t="shared" si="26"/>
        <v>0</v>
      </c>
      <c r="BF18" s="9">
        <f t="shared" si="27"/>
        <v>0</v>
      </c>
    </row>
    <row r="19" spans="2:58" ht="17.25" thickBot="1">
      <c r="B19" s="9">
        <v>0</v>
      </c>
      <c r="C19" s="9">
        <v>0</v>
      </c>
      <c r="D19" s="9">
        <v>0</v>
      </c>
      <c r="E19" s="9">
        <v>0</v>
      </c>
      <c r="F19" s="9">
        <v>0</v>
      </c>
      <c r="G19" s="9">
        <v>0</v>
      </c>
      <c r="H19" s="9">
        <v>0</v>
      </c>
      <c r="I19" s="9">
        <v>0</v>
      </c>
      <c r="J19" s="9">
        <v>0</v>
      </c>
      <c r="K19" s="9">
        <v>0</v>
      </c>
      <c r="L19" s="9">
        <v>0</v>
      </c>
      <c r="M19" s="9">
        <v>0</v>
      </c>
      <c r="N19" s="9">
        <v>0</v>
      </c>
      <c r="O19" s="9">
        <v>0</v>
      </c>
      <c r="P19" s="9">
        <v>0</v>
      </c>
      <c r="Q19" s="187">
        <v>255</v>
      </c>
      <c r="R19" s="187">
        <v>0</v>
      </c>
      <c r="S19" s="187">
        <v>255</v>
      </c>
      <c r="T19" s="187">
        <v>255</v>
      </c>
      <c r="U19" s="187">
        <v>255</v>
      </c>
      <c r="V19" s="187">
        <v>255</v>
      </c>
      <c r="W19" s="187">
        <v>0</v>
      </c>
      <c r="X19" s="187">
        <v>0</v>
      </c>
      <c r="Y19" s="187">
        <v>0</v>
      </c>
      <c r="Z19" s="187">
        <v>0</v>
      </c>
      <c r="AA19" s="187">
        <v>0</v>
      </c>
      <c r="AB19" s="187">
        <v>0</v>
      </c>
      <c r="AC19" s="187">
        <v>0</v>
      </c>
      <c r="AE19" s="9">
        <f t="shared" si="0"/>
        <v>0</v>
      </c>
      <c r="AF19" s="9">
        <f t="shared" si="1"/>
        <v>0</v>
      </c>
      <c r="AG19" s="9">
        <f t="shared" si="2"/>
        <v>0</v>
      </c>
      <c r="AH19" s="9">
        <f t="shared" si="3"/>
        <v>0</v>
      </c>
      <c r="AI19" s="9">
        <f t="shared" si="4"/>
        <v>0</v>
      </c>
      <c r="AJ19" s="9">
        <f t="shared" si="5"/>
        <v>0</v>
      </c>
      <c r="AK19" s="9">
        <f t="shared" si="6"/>
        <v>0</v>
      </c>
      <c r="AL19" s="9">
        <f t="shared" si="7"/>
        <v>0</v>
      </c>
      <c r="AM19" s="9">
        <f t="shared" si="8"/>
        <v>0</v>
      </c>
      <c r="AN19" s="9">
        <f t="shared" si="9"/>
        <v>0</v>
      </c>
      <c r="AO19" s="9">
        <f t="shared" si="10"/>
        <v>0</v>
      </c>
      <c r="AP19" s="9">
        <f t="shared" si="11"/>
        <v>0</v>
      </c>
      <c r="AQ19" s="9">
        <f t="shared" si="12"/>
        <v>0</v>
      </c>
      <c r="AR19" s="9">
        <f t="shared" si="13"/>
        <v>0</v>
      </c>
      <c r="AS19" s="9">
        <f t="shared" si="14"/>
        <v>0</v>
      </c>
      <c r="AT19" s="9">
        <f t="shared" si="15"/>
        <v>1</v>
      </c>
      <c r="AU19" s="9">
        <f t="shared" si="16"/>
        <v>0</v>
      </c>
      <c r="AV19" s="9">
        <f t="shared" si="17"/>
        <v>1</v>
      </c>
      <c r="AW19" s="9">
        <f t="shared" si="18"/>
        <v>1</v>
      </c>
      <c r="AX19" s="9">
        <f t="shared" si="19"/>
        <v>1</v>
      </c>
      <c r="AY19" s="9">
        <f t="shared" si="20"/>
        <v>1</v>
      </c>
      <c r="AZ19" s="9">
        <f t="shared" si="21"/>
        <v>0</v>
      </c>
      <c r="BA19" s="9">
        <f t="shared" si="22"/>
        <v>0</v>
      </c>
      <c r="BB19" s="9">
        <f t="shared" si="23"/>
        <v>0</v>
      </c>
      <c r="BC19" s="9">
        <f t="shared" si="24"/>
        <v>0</v>
      </c>
      <c r="BD19" s="9">
        <f t="shared" si="25"/>
        <v>0</v>
      </c>
      <c r="BE19" s="9">
        <f t="shared" si="26"/>
        <v>0</v>
      </c>
      <c r="BF19" s="9">
        <f t="shared" si="27"/>
        <v>0</v>
      </c>
    </row>
    <row r="20" spans="2:58" ht="17.25" thickBot="1">
      <c r="B20" s="9">
        <v>0</v>
      </c>
      <c r="C20" s="9">
        <v>0</v>
      </c>
      <c r="D20" s="9">
        <v>0</v>
      </c>
      <c r="E20" s="9">
        <v>0</v>
      </c>
      <c r="F20" s="9">
        <v>0</v>
      </c>
      <c r="G20" s="9">
        <v>0</v>
      </c>
      <c r="H20" s="9">
        <v>0</v>
      </c>
      <c r="I20" s="9">
        <v>0</v>
      </c>
      <c r="J20" s="9">
        <v>0</v>
      </c>
      <c r="K20" s="9">
        <v>0</v>
      </c>
      <c r="L20" s="9">
        <v>0</v>
      </c>
      <c r="M20" s="9">
        <v>0</v>
      </c>
      <c r="N20" s="9">
        <v>255</v>
      </c>
      <c r="O20" s="9">
        <v>255</v>
      </c>
      <c r="P20" s="9">
        <v>255</v>
      </c>
      <c r="Q20" s="187">
        <v>255</v>
      </c>
      <c r="R20" s="187">
        <v>255</v>
      </c>
      <c r="S20" s="187">
        <v>124</v>
      </c>
      <c r="T20" s="187">
        <v>255</v>
      </c>
      <c r="U20" s="187">
        <v>124</v>
      </c>
      <c r="V20" s="187">
        <v>0</v>
      </c>
      <c r="W20" s="187">
        <v>0</v>
      </c>
      <c r="X20" s="187">
        <v>0</v>
      </c>
      <c r="Y20" s="187">
        <v>0</v>
      </c>
      <c r="Z20" s="187">
        <v>0</v>
      </c>
      <c r="AA20" s="187">
        <v>0</v>
      </c>
      <c r="AB20" s="187">
        <v>0</v>
      </c>
      <c r="AC20" s="187">
        <v>0</v>
      </c>
      <c r="AE20" s="9">
        <f t="shared" si="0"/>
        <v>0</v>
      </c>
      <c r="AF20" s="9">
        <f t="shared" si="1"/>
        <v>0</v>
      </c>
      <c r="AG20" s="9">
        <f t="shared" si="2"/>
        <v>0</v>
      </c>
      <c r="AH20" s="9">
        <f t="shared" si="3"/>
        <v>0</v>
      </c>
      <c r="AI20" s="9">
        <f t="shared" si="4"/>
        <v>0</v>
      </c>
      <c r="AJ20" s="9">
        <f t="shared" si="5"/>
        <v>0</v>
      </c>
      <c r="AK20" s="9">
        <f t="shared" si="6"/>
        <v>0</v>
      </c>
      <c r="AL20" s="9">
        <f t="shared" si="7"/>
        <v>0</v>
      </c>
      <c r="AM20" s="9">
        <f t="shared" si="8"/>
        <v>0</v>
      </c>
      <c r="AN20" s="9">
        <f t="shared" si="9"/>
        <v>0</v>
      </c>
      <c r="AO20" s="9">
        <f t="shared" si="10"/>
        <v>0</v>
      </c>
      <c r="AP20" s="9">
        <f t="shared" si="11"/>
        <v>0</v>
      </c>
      <c r="AQ20" s="9">
        <f t="shared" si="12"/>
        <v>1</v>
      </c>
      <c r="AR20" s="9">
        <f t="shared" si="13"/>
        <v>1</v>
      </c>
      <c r="AS20" s="9">
        <f t="shared" si="14"/>
        <v>1</v>
      </c>
      <c r="AT20" s="9">
        <f t="shared" si="15"/>
        <v>1</v>
      </c>
      <c r="AU20" s="9">
        <f t="shared" si="16"/>
        <v>1</v>
      </c>
      <c r="AV20" s="9">
        <f t="shared" si="17"/>
        <v>0.48627450980392156</v>
      </c>
      <c r="AW20" s="9">
        <f t="shared" si="18"/>
        <v>1</v>
      </c>
      <c r="AX20" s="9">
        <f t="shared" si="19"/>
        <v>0.48627450980392156</v>
      </c>
      <c r="AY20" s="9">
        <f t="shared" si="20"/>
        <v>0</v>
      </c>
      <c r="AZ20" s="9">
        <f t="shared" si="21"/>
        <v>0</v>
      </c>
      <c r="BA20" s="9">
        <f t="shared" si="22"/>
        <v>0</v>
      </c>
      <c r="BB20" s="9">
        <f t="shared" si="23"/>
        <v>0</v>
      </c>
      <c r="BC20" s="9">
        <f t="shared" si="24"/>
        <v>0</v>
      </c>
      <c r="BD20" s="9">
        <f t="shared" si="25"/>
        <v>0</v>
      </c>
      <c r="BE20" s="9">
        <f t="shared" si="26"/>
        <v>0</v>
      </c>
      <c r="BF20" s="9">
        <f t="shared" si="27"/>
        <v>0</v>
      </c>
    </row>
    <row r="21" spans="2:58" ht="17.25" thickBot="1">
      <c r="B21" s="9">
        <v>0</v>
      </c>
      <c r="C21" s="9">
        <v>0</v>
      </c>
      <c r="D21" s="9">
        <v>0</v>
      </c>
      <c r="E21" s="9">
        <v>0</v>
      </c>
      <c r="F21" s="9">
        <v>0</v>
      </c>
      <c r="G21" s="9">
        <v>0</v>
      </c>
      <c r="H21" s="9">
        <v>0</v>
      </c>
      <c r="I21" s="9">
        <v>0</v>
      </c>
      <c r="J21" s="9">
        <v>0</v>
      </c>
      <c r="K21" s="9">
        <v>0</v>
      </c>
      <c r="L21" s="9">
        <v>0</v>
      </c>
      <c r="M21" s="9">
        <v>255</v>
      </c>
      <c r="N21" s="9">
        <v>255</v>
      </c>
      <c r="O21" s="9">
        <v>124</v>
      </c>
      <c r="P21" s="9">
        <v>255</v>
      </c>
      <c r="Q21" s="187">
        <v>124</v>
      </c>
      <c r="R21" s="187">
        <v>124</v>
      </c>
      <c r="S21" s="187">
        <v>255</v>
      </c>
      <c r="T21" s="187">
        <v>255</v>
      </c>
      <c r="U21" s="187">
        <v>255</v>
      </c>
      <c r="V21" s="187">
        <v>0</v>
      </c>
      <c r="W21" s="187">
        <v>0</v>
      </c>
      <c r="X21" s="187">
        <v>0</v>
      </c>
      <c r="Y21" s="187">
        <v>0</v>
      </c>
      <c r="Z21" s="187">
        <v>0</v>
      </c>
      <c r="AA21" s="187">
        <v>0</v>
      </c>
      <c r="AB21" s="187">
        <v>0</v>
      </c>
      <c r="AC21" s="187">
        <v>0</v>
      </c>
      <c r="AE21" s="9">
        <f t="shared" si="0"/>
        <v>0</v>
      </c>
      <c r="AF21" s="9">
        <f t="shared" si="1"/>
        <v>0</v>
      </c>
      <c r="AG21" s="9">
        <f t="shared" si="2"/>
        <v>0</v>
      </c>
      <c r="AH21" s="9">
        <f t="shared" si="3"/>
        <v>0</v>
      </c>
      <c r="AI21" s="9">
        <f t="shared" si="4"/>
        <v>0</v>
      </c>
      <c r="AJ21" s="9">
        <f t="shared" si="5"/>
        <v>0</v>
      </c>
      <c r="AK21" s="9">
        <f t="shared" si="6"/>
        <v>0</v>
      </c>
      <c r="AL21" s="9">
        <f t="shared" si="7"/>
        <v>0</v>
      </c>
      <c r="AM21" s="9">
        <f t="shared" si="8"/>
        <v>0</v>
      </c>
      <c r="AN21" s="9">
        <f t="shared" si="9"/>
        <v>0</v>
      </c>
      <c r="AO21" s="9">
        <f t="shared" si="10"/>
        <v>0</v>
      </c>
      <c r="AP21" s="9">
        <f t="shared" si="11"/>
        <v>1</v>
      </c>
      <c r="AQ21" s="9">
        <f t="shared" si="12"/>
        <v>1</v>
      </c>
      <c r="AR21" s="9">
        <f t="shared" si="13"/>
        <v>0.48627450980392156</v>
      </c>
      <c r="AS21" s="9">
        <f t="shared" si="14"/>
        <v>1</v>
      </c>
      <c r="AT21" s="9">
        <f t="shared" si="15"/>
        <v>0.48627450980392156</v>
      </c>
      <c r="AU21" s="9">
        <f t="shared" si="16"/>
        <v>0.48627450980392156</v>
      </c>
      <c r="AV21" s="9">
        <f t="shared" si="17"/>
        <v>1</v>
      </c>
      <c r="AW21" s="9">
        <f t="shared" si="18"/>
        <v>1</v>
      </c>
      <c r="AX21" s="9">
        <f t="shared" si="19"/>
        <v>1</v>
      </c>
      <c r="AY21" s="9">
        <f t="shared" si="20"/>
        <v>0</v>
      </c>
      <c r="AZ21" s="9">
        <f t="shared" si="21"/>
        <v>0</v>
      </c>
      <c r="BA21" s="9">
        <f t="shared" si="22"/>
        <v>0</v>
      </c>
      <c r="BB21" s="9">
        <f t="shared" si="23"/>
        <v>0</v>
      </c>
      <c r="BC21" s="9">
        <f t="shared" si="24"/>
        <v>0</v>
      </c>
      <c r="BD21" s="9">
        <f t="shared" si="25"/>
        <v>0</v>
      </c>
      <c r="BE21" s="9">
        <f t="shared" si="26"/>
        <v>0</v>
      </c>
      <c r="BF21" s="9">
        <f t="shared" si="27"/>
        <v>0</v>
      </c>
    </row>
    <row r="22" spans="2:58" ht="17.25" thickBot="1">
      <c r="B22" s="9">
        <v>0</v>
      </c>
      <c r="C22" s="9">
        <v>0</v>
      </c>
      <c r="D22" s="9">
        <v>0</v>
      </c>
      <c r="E22" s="9">
        <v>0</v>
      </c>
      <c r="F22" s="9">
        <v>0</v>
      </c>
      <c r="G22" s="9">
        <v>0</v>
      </c>
      <c r="H22" s="9">
        <v>0</v>
      </c>
      <c r="I22" s="9">
        <v>0</v>
      </c>
      <c r="J22" s="9">
        <v>0</v>
      </c>
      <c r="K22" s="9">
        <v>0</v>
      </c>
      <c r="L22" s="9">
        <v>0</v>
      </c>
      <c r="M22" s="9">
        <v>255</v>
      </c>
      <c r="N22" s="9">
        <v>255</v>
      </c>
      <c r="O22" s="9">
        <v>124</v>
      </c>
      <c r="P22" s="9">
        <v>255</v>
      </c>
      <c r="Q22" s="187">
        <v>255</v>
      </c>
      <c r="R22" s="187">
        <v>255</v>
      </c>
      <c r="S22" s="187">
        <v>255</v>
      </c>
      <c r="T22" s="187">
        <v>255</v>
      </c>
      <c r="U22" s="187">
        <v>0</v>
      </c>
      <c r="V22" s="187">
        <v>0</v>
      </c>
      <c r="W22" s="187">
        <v>0</v>
      </c>
      <c r="X22" s="187">
        <v>0</v>
      </c>
      <c r="Y22" s="187">
        <v>0</v>
      </c>
      <c r="Z22" s="187">
        <v>0</v>
      </c>
      <c r="AA22" s="187">
        <v>0</v>
      </c>
      <c r="AB22" s="187">
        <v>0</v>
      </c>
      <c r="AC22" s="187">
        <v>0</v>
      </c>
      <c r="AE22" s="9">
        <f t="shared" si="0"/>
        <v>0</v>
      </c>
      <c r="AF22" s="9">
        <f t="shared" si="1"/>
        <v>0</v>
      </c>
      <c r="AG22" s="9">
        <f t="shared" si="2"/>
        <v>0</v>
      </c>
      <c r="AH22" s="9">
        <f t="shared" si="3"/>
        <v>0</v>
      </c>
      <c r="AI22" s="9">
        <f t="shared" si="4"/>
        <v>0</v>
      </c>
      <c r="AJ22" s="9">
        <f t="shared" si="5"/>
        <v>0</v>
      </c>
      <c r="AK22" s="9">
        <f t="shared" si="6"/>
        <v>0</v>
      </c>
      <c r="AL22" s="9">
        <f t="shared" si="7"/>
        <v>0</v>
      </c>
      <c r="AM22" s="9">
        <f t="shared" si="8"/>
        <v>0</v>
      </c>
      <c r="AN22" s="9">
        <f t="shared" si="9"/>
        <v>0</v>
      </c>
      <c r="AO22" s="9">
        <f t="shared" si="10"/>
        <v>0</v>
      </c>
      <c r="AP22" s="9">
        <f t="shared" si="11"/>
        <v>1</v>
      </c>
      <c r="AQ22" s="9">
        <f t="shared" si="12"/>
        <v>1</v>
      </c>
      <c r="AR22" s="9">
        <f t="shared" si="13"/>
        <v>0.48627450980392156</v>
      </c>
      <c r="AS22" s="9">
        <f t="shared" si="14"/>
        <v>1</v>
      </c>
      <c r="AT22" s="9">
        <f t="shared" si="15"/>
        <v>1</v>
      </c>
      <c r="AU22" s="9">
        <f t="shared" si="16"/>
        <v>1</v>
      </c>
      <c r="AV22" s="9">
        <f t="shared" si="17"/>
        <v>1</v>
      </c>
      <c r="AW22" s="9">
        <f t="shared" si="18"/>
        <v>1</v>
      </c>
      <c r="AX22" s="9">
        <f t="shared" si="19"/>
        <v>0</v>
      </c>
      <c r="AY22" s="9">
        <f t="shared" si="20"/>
        <v>0</v>
      </c>
      <c r="AZ22" s="9">
        <f t="shared" si="21"/>
        <v>0</v>
      </c>
      <c r="BA22" s="9">
        <f t="shared" si="22"/>
        <v>0</v>
      </c>
      <c r="BB22" s="9">
        <f t="shared" si="23"/>
        <v>0</v>
      </c>
      <c r="BC22" s="9">
        <f t="shared" si="24"/>
        <v>0</v>
      </c>
      <c r="BD22" s="9">
        <f t="shared" si="25"/>
        <v>0</v>
      </c>
      <c r="BE22" s="9">
        <f t="shared" si="26"/>
        <v>0</v>
      </c>
      <c r="BF22" s="9">
        <f t="shared" si="27"/>
        <v>0</v>
      </c>
    </row>
    <row r="23" spans="2:58" ht="17.25" thickBot="1">
      <c r="B23" s="9">
        <v>0</v>
      </c>
      <c r="C23" s="9">
        <v>0</v>
      </c>
      <c r="D23" s="9">
        <v>0</v>
      </c>
      <c r="E23" s="9">
        <v>0</v>
      </c>
      <c r="F23" s="9">
        <v>0</v>
      </c>
      <c r="G23" s="9">
        <v>0</v>
      </c>
      <c r="H23" s="9">
        <v>0</v>
      </c>
      <c r="I23" s="9">
        <v>0</v>
      </c>
      <c r="J23" s="9">
        <v>0</v>
      </c>
      <c r="K23" s="9">
        <v>0</v>
      </c>
      <c r="L23" s="9">
        <v>0</v>
      </c>
      <c r="M23" s="9">
        <v>255</v>
      </c>
      <c r="N23" s="9">
        <v>255</v>
      </c>
      <c r="O23" s="9">
        <v>255</v>
      </c>
      <c r="P23" s="9">
        <v>255</v>
      </c>
      <c r="Q23" s="187">
        <v>255</v>
      </c>
      <c r="R23" s="187">
        <v>255</v>
      </c>
      <c r="S23" s="187">
        <v>0</v>
      </c>
      <c r="T23" s="187">
        <v>0</v>
      </c>
      <c r="U23" s="187">
        <v>0</v>
      </c>
      <c r="V23" s="187">
        <v>0</v>
      </c>
      <c r="W23" s="187">
        <v>0</v>
      </c>
      <c r="X23" s="187">
        <v>0</v>
      </c>
      <c r="Y23" s="187">
        <v>0</v>
      </c>
      <c r="Z23" s="187">
        <v>0</v>
      </c>
      <c r="AA23" s="187">
        <v>0</v>
      </c>
      <c r="AB23" s="187">
        <v>0</v>
      </c>
      <c r="AC23" s="187">
        <v>0</v>
      </c>
      <c r="AE23" s="9">
        <f t="shared" si="0"/>
        <v>0</v>
      </c>
      <c r="AF23" s="9">
        <f t="shared" si="1"/>
        <v>0</v>
      </c>
      <c r="AG23" s="9">
        <f t="shared" si="2"/>
        <v>0</v>
      </c>
      <c r="AH23" s="9">
        <f t="shared" si="3"/>
        <v>0</v>
      </c>
      <c r="AI23" s="9">
        <f t="shared" si="4"/>
        <v>0</v>
      </c>
      <c r="AJ23" s="9">
        <f t="shared" si="5"/>
        <v>0</v>
      </c>
      <c r="AK23" s="9">
        <f t="shared" si="6"/>
        <v>0</v>
      </c>
      <c r="AL23" s="9">
        <f t="shared" si="7"/>
        <v>0</v>
      </c>
      <c r="AM23" s="9">
        <f t="shared" si="8"/>
        <v>0</v>
      </c>
      <c r="AN23" s="9">
        <f t="shared" si="9"/>
        <v>0</v>
      </c>
      <c r="AO23" s="9">
        <f t="shared" si="10"/>
        <v>0</v>
      </c>
      <c r="AP23" s="9">
        <f t="shared" si="11"/>
        <v>1</v>
      </c>
      <c r="AQ23" s="9">
        <f t="shared" si="12"/>
        <v>1</v>
      </c>
      <c r="AR23" s="9">
        <f t="shared" si="13"/>
        <v>1</v>
      </c>
      <c r="AS23" s="9">
        <f t="shared" si="14"/>
        <v>1</v>
      </c>
      <c r="AT23" s="9">
        <f t="shared" si="15"/>
        <v>1</v>
      </c>
      <c r="AU23" s="9">
        <f t="shared" si="16"/>
        <v>1</v>
      </c>
      <c r="AV23" s="9">
        <f t="shared" si="17"/>
        <v>0</v>
      </c>
      <c r="AW23" s="9">
        <f t="shared" si="18"/>
        <v>0</v>
      </c>
      <c r="AX23" s="9">
        <f t="shared" si="19"/>
        <v>0</v>
      </c>
      <c r="AY23" s="9">
        <f t="shared" si="20"/>
        <v>0</v>
      </c>
      <c r="AZ23" s="9">
        <f t="shared" si="21"/>
        <v>0</v>
      </c>
      <c r="BA23" s="9">
        <f t="shared" si="22"/>
        <v>0</v>
      </c>
      <c r="BB23" s="9">
        <f t="shared" si="23"/>
        <v>0</v>
      </c>
      <c r="BC23" s="9">
        <f t="shared" si="24"/>
        <v>0</v>
      </c>
      <c r="BD23" s="9">
        <f t="shared" si="25"/>
        <v>0</v>
      </c>
      <c r="BE23" s="9">
        <f t="shared" si="26"/>
        <v>0</v>
      </c>
      <c r="BF23" s="9">
        <f t="shared" si="27"/>
        <v>0</v>
      </c>
    </row>
    <row r="24" spans="2:58" ht="17.25" thickBot="1">
      <c r="B24" s="9">
        <v>0</v>
      </c>
      <c r="C24" s="9">
        <v>0</v>
      </c>
      <c r="D24" s="9">
        <v>0</v>
      </c>
      <c r="E24" s="9">
        <v>0</v>
      </c>
      <c r="F24" s="9">
        <v>0</v>
      </c>
      <c r="G24" s="9">
        <v>0</v>
      </c>
      <c r="H24" s="9">
        <v>0</v>
      </c>
      <c r="I24" s="9">
        <v>0</v>
      </c>
      <c r="J24" s="9">
        <v>0</v>
      </c>
      <c r="K24" s="9">
        <v>0</v>
      </c>
      <c r="L24" s="9">
        <v>0</v>
      </c>
      <c r="M24" s="9">
        <v>0</v>
      </c>
      <c r="N24" s="9">
        <v>0</v>
      </c>
      <c r="O24" s="9">
        <v>0</v>
      </c>
      <c r="P24" s="9">
        <v>0</v>
      </c>
      <c r="Q24" s="187">
        <v>0</v>
      </c>
      <c r="R24" s="187">
        <v>0</v>
      </c>
      <c r="S24" s="187">
        <v>0</v>
      </c>
      <c r="T24" s="187">
        <v>0</v>
      </c>
      <c r="U24" s="187">
        <v>0</v>
      </c>
      <c r="V24" s="187">
        <v>0</v>
      </c>
      <c r="W24" s="187">
        <v>0</v>
      </c>
      <c r="X24" s="187">
        <v>0</v>
      </c>
      <c r="Y24" s="187">
        <v>0</v>
      </c>
      <c r="Z24" s="187">
        <v>0</v>
      </c>
      <c r="AA24" s="187">
        <v>0</v>
      </c>
      <c r="AB24" s="187">
        <v>0</v>
      </c>
      <c r="AC24" s="187">
        <v>0</v>
      </c>
      <c r="AE24" s="9">
        <f t="shared" si="0"/>
        <v>0</v>
      </c>
      <c r="AF24" s="9">
        <f t="shared" si="1"/>
        <v>0</v>
      </c>
      <c r="AG24" s="9">
        <f t="shared" si="2"/>
        <v>0</v>
      </c>
      <c r="AH24" s="9">
        <f t="shared" si="3"/>
        <v>0</v>
      </c>
      <c r="AI24" s="9">
        <f t="shared" si="4"/>
        <v>0</v>
      </c>
      <c r="AJ24" s="9">
        <f t="shared" si="5"/>
        <v>0</v>
      </c>
      <c r="AK24" s="9">
        <f t="shared" si="6"/>
        <v>0</v>
      </c>
      <c r="AL24" s="9">
        <f t="shared" si="7"/>
        <v>0</v>
      </c>
      <c r="AM24" s="9">
        <f t="shared" si="8"/>
        <v>0</v>
      </c>
      <c r="AN24" s="9">
        <f t="shared" si="9"/>
        <v>0</v>
      </c>
      <c r="AO24" s="9">
        <f t="shared" si="10"/>
        <v>0</v>
      </c>
      <c r="AP24" s="9">
        <f t="shared" si="11"/>
        <v>0</v>
      </c>
      <c r="AQ24" s="9">
        <f t="shared" si="12"/>
        <v>0</v>
      </c>
      <c r="AR24" s="9">
        <f t="shared" si="13"/>
        <v>0</v>
      </c>
      <c r="AS24" s="9">
        <f t="shared" si="14"/>
        <v>0</v>
      </c>
      <c r="AT24" s="9">
        <f t="shared" si="15"/>
        <v>0</v>
      </c>
      <c r="AU24" s="9">
        <f t="shared" si="16"/>
        <v>0</v>
      </c>
      <c r="AV24" s="9">
        <f t="shared" si="17"/>
        <v>0</v>
      </c>
      <c r="AW24" s="9">
        <f t="shared" si="18"/>
        <v>0</v>
      </c>
      <c r="AX24" s="9">
        <f t="shared" si="19"/>
        <v>0</v>
      </c>
      <c r="AY24" s="9">
        <f t="shared" si="20"/>
        <v>0</v>
      </c>
      <c r="AZ24" s="9">
        <f t="shared" si="21"/>
        <v>0</v>
      </c>
      <c r="BA24" s="9">
        <f t="shared" si="22"/>
        <v>0</v>
      </c>
      <c r="BB24" s="9">
        <f t="shared" si="23"/>
        <v>0</v>
      </c>
      <c r="BC24" s="9">
        <f t="shared" si="24"/>
        <v>0</v>
      </c>
      <c r="BD24" s="9">
        <f t="shared" si="25"/>
        <v>0</v>
      </c>
      <c r="BE24" s="9">
        <f t="shared" si="26"/>
        <v>0</v>
      </c>
      <c r="BF24" s="9">
        <f t="shared" si="27"/>
        <v>0</v>
      </c>
    </row>
    <row r="25" spans="2:58" ht="17.25" thickBot="1">
      <c r="B25" s="9">
        <v>0</v>
      </c>
      <c r="C25" s="9">
        <v>0</v>
      </c>
      <c r="D25" s="9">
        <v>0</v>
      </c>
      <c r="E25" s="9">
        <v>0</v>
      </c>
      <c r="F25" s="9">
        <v>0</v>
      </c>
      <c r="G25" s="9">
        <v>0</v>
      </c>
      <c r="H25" s="9">
        <v>0</v>
      </c>
      <c r="I25" s="9">
        <v>0</v>
      </c>
      <c r="J25" s="9">
        <v>0</v>
      </c>
      <c r="K25" s="9">
        <v>0</v>
      </c>
      <c r="L25" s="9">
        <v>0</v>
      </c>
      <c r="M25" s="9">
        <v>0</v>
      </c>
      <c r="N25" s="9">
        <v>0</v>
      </c>
      <c r="O25" s="9">
        <v>0</v>
      </c>
      <c r="P25" s="9">
        <v>0</v>
      </c>
      <c r="Q25" s="187">
        <v>0</v>
      </c>
      <c r="R25" s="187">
        <v>0</v>
      </c>
      <c r="S25" s="187">
        <v>0</v>
      </c>
      <c r="T25" s="187">
        <v>0</v>
      </c>
      <c r="U25" s="187">
        <v>0</v>
      </c>
      <c r="V25" s="187">
        <v>0</v>
      </c>
      <c r="W25" s="187">
        <v>0</v>
      </c>
      <c r="X25" s="187">
        <v>0</v>
      </c>
      <c r="Y25" s="187">
        <v>0</v>
      </c>
      <c r="Z25" s="187">
        <v>0</v>
      </c>
      <c r="AA25" s="187">
        <v>0</v>
      </c>
      <c r="AB25" s="187">
        <v>0</v>
      </c>
      <c r="AC25" s="187">
        <v>0</v>
      </c>
      <c r="AE25" s="9">
        <f t="shared" si="0"/>
        <v>0</v>
      </c>
      <c r="AF25" s="9">
        <f t="shared" si="1"/>
        <v>0</v>
      </c>
      <c r="AG25" s="9">
        <f t="shared" si="2"/>
        <v>0</v>
      </c>
      <c r="AH25" s="9">
        <f t="shared" si="3"/>
        <v>0</v>
      </c>
      <c r="AI25" s="9">
        <f t="shared" si="4"/>
        <v>0</v>
      </c>
      <c r="AJ25" s="9">
        <f t="shared" si="5"/>
        <v>0</v>
      </c>
      <c r="AK25" s="9">
        <f t="shared" si="6"/>
        <v>0</v>
      </c>
      <c r="AL25" s="9">
        <f t="shared" si="7"/>
        <v>0</v>
      </c>
      <c r="AM25" s="9">
        <f t="shared" si="8"/>
        <v>0</v>
      </c>
      <c r="AN25" s="9">
        <f t="shared" si="9"/>
        <v>0</v>
      </c>
      <c r="AO25" s="9">
        <f t="shared" si="10"/>
        <v>0</v>
      </c>
      <c r="AP25" s="9">
        <f t="shared" si="11"/>
        <v>0</v>
      </c>
      <c r="AQ25" s="9">
        <f t="shared" si="12"/>
        <v>0</v>
      </c>
      <c r="AR25" s="9">
        <f t="shared" si="13"/>
        <v>0</v>
      </c>
      <c r="AS25" s="9">
        <f t="shared" si="14"/>
        <v>0</v>
      </c>
      <c r="AT25" s="9">
        <f t="shared" si="15"/>
        <v>0</v>
      </c>
      <c r="AU25" s="9">
        <f t="shared" si="16"/>
        <v>0</v>
      </c>
      <c r="AV25" s="9">
        <f t="shared" si="17"/>
        <v>0</v>
      </c>
      <c r="AW25" s="9">
        <f t="shared" si="18"/>
        <v>0</v>
      </c>
      <c r="AX25" s="9">
        <f t="shared" si="19"/>
        <v>0</v>
      </c>
      <c r="AY25" s="9">
        <f t="shared" si="20"/>
        <v>0</v>
      </c>
      <c r="AZ25" s="9">
        <f t="shared" si="21"/>
        <v>0</v>
      </c>
      <c r="BA25" s="9">
        <f t="shared" si="22"/>
        <v>0</v>
      </c>
      <c r="BB25" s="9">
        <f t="shared" si="23"/>
        <v>0</v>
      </c>
      <c r="BC25" s="9">
        <f t="shared" si="24"/>
        <v>0</v>
      </c>
      <c r="BD25" s="9">
        <f t="shared" si="25"/>
        <v>0</v>
      </c>
      <c r="BE25" s="9">
        <f t="shared" si="26"/>
        <v>0</v>
      </c>
      <c r="BF25" s="9">
        <f t="shared" si="27"/>
        <v>0</v>
      </c>
    </row>
    <row r="26" spans="2:58" ht="17.25" thickBot="1">
      <c r="B26" s="9">
        <v>0</v>
      </c>
      <c r="C26" s="9">
        <v>0</v>
      </c>
      <c r="D26" s="9">
        <v>0</v>
      </c>
      <c r="E26" s="9">
        <v>0</v>
      </c>
      <c r="F26" s="9">
        <v>0</v>
      </c>
      <c r="G26" s="9">
        <v>0</v>
      </c>
      <c r="H26" s="9">
        <v>0</v>
      </c>
      <c r="I26" s="9">
        <v>0</v>
      </c>
      <c r="J26" s="9">
        <v>0</v>
      </c>
      <c r="K26" s="9">
        <v>0</v>
      </c>
      <c r="L26" s="9">
        <v>0</v>
      </c>
      <c r="M26" s="9">
        <v>0</v>
      </c>
      <c r="N26" s="9">
        <v>0</v>
      </c>
      <c r="O26" s="9">
        <v>0</v>
      </c>
      <c r="P26" s="9">
        <v>0</v>
      </c>
      <c r="Q26" s="187">
        <v>0</v>
      </c>
      <c r="R26" s="187">
        <v>0</v>
      </c>
      <c r="S26" s="187">
        <v>0</v>
      </c>
      <c r="T26" s="187">
        <v>0</v>
      </c>
      <c r="U26" s="187">
        <v>0</v>
      </c>
      <c r="V26" s="187">
        <v>0</v>
      </c>
      <c r="W26" s="187">
        <v>0</v>
      </c>
      <c r="X26" s="187">
        <v>0</v>
      </c>
      <c r="Y26" s="187">
        <v>0</v>
      </c>
      <c r="Z26" s="187">
        <v>0</v>
      </c>
      <c r="AA26" s="187">
        <v>0</v>
      </c>
      <c r="AB26" s="187">
        <v>0</v>
      </c>
      <c r="AC26" s="187">
        <v>0</v>
      </c>
      <c r="AE26" s="9">
        <f t="shared" si="0"/>
        <v>0</v>
      </c>
      <c r="AF26" s="9">
        <f t="shared" si="1"/>
        <v>0</v>
      </c>
      <c r="AG26" s="9">
        <f t="shared" si="2"/>
        <v>0</v>
      </c>
      <c r="AH26" s="9">
        <f t="shared" si="3"/>
        <v>0</v>
      </c>
      <c r="AI26" s="9">
        <f t="shared" si="4"/>
        <v>0</v>
      </c>
      <c r="AJ26" s="9">
        <f t="shared" si="5"/>
        <v>0</v>
      </c>
      <c r="AK26" s="9">
        <f t="shared" si="6"/>
        <v>0</v>
      </c>
      <c r="AL26" s="9">
        <f t="shared" si="7"/>
        <v>0</v>
      </c>
      <c r="AM26" s="9">
        <f t="shared" si="8"/>
        <v>0</v>
      </c>
      <c r="AN26" s="9">
        <f t="shared" si="9"/>
        <v>0</v>
      </c>
      <c r="AO26" s="9">
        <f t="shared" si="10"/>
        <v>0</v>
      </c>
      <c r="AP26" s="9">
        <f t="shared" si="11"/>
        <v>0</v>
      </c>
      <c r="AQ26" s="9">
        <f t="shared" si="12"/>
        <v>0</v>
      </c>
      <c r="AR26" s="9">
        <f t="shared" si="13"/>
        <v>0</v>
      </c>
      <c r="AS26" s="9">
        <f t="shared" si="14"/>
        <v>0</v>
      </c>
      <c r="AT26" s="9">
        <f t="shared" si="15"/>
        <v>0</v>
      </c>
      <c r="AU26" s="9">
        <f t="shared" si="16"/>
        <v>0</v>
      </c>
      <c r="AV26" s="9">
        <f t="shared" si="17"/>
        <v>0</v>
      </c>
      <c r="AW26" s="9">
        <f t="shared" si="18"/>
        <v>0</v>
      </c>
      <c r="AX26" s="9">
        <f t="shared" si="19"/>
        <v>0</v>
      </c>
      <c r="AY26" s="9">
        <f t="shared" si="20"/>
        <v>0</v>
      </c>
      <c r="AZ26" s="9">
        <f t="shared" si="21"/>
        <v>0</v>
      </c>
      <c r="BA26" s="9">
        <f t="shared" si="22"/>
        <v>0</v>
      </c>
      <c r="BB26" s="9">
        <f t="shared" si="23"/>
        <v>0</v>
      </c>
      <c r="BC26" s="9">
        <f t="shared" si="24"/>
        <v>0</v>
      </c>
      <c r="BD26" s="9">
        <f t="shared" si="25"/>
        <v>0</v>
      </c>
      <c r="BE26" s="9">
        <f t="shared" si="26"/>
        <v>0</v>
      </c>
      <c r="BF26" s="9">
        <f t="shared" si="27"/>
        <v>0</v>
      </c>
    </row>
    <row r="27" spans="2:58" ht="17.25" thickBot="1">
      <c r="B27" s="9">
        <v>0</v>
      </c>
      <c r="C27" s="9">
        <v>0</v>
      </c>
      <c r="D27" s="9">
        <v>0</v>
      </c>
      <c r="E27" s="9">
        <v>0</v>
      </c>
      <c r="F27" s="9">
        <v>0</v>
      </c>
      <c r="G27" s="9">
        <v>0</v>
      </c>
      <c r="H27" s="9">
        <v>0</v>
      </c>
      <c r="I27" s="9">
        <v>0</v>
      </c>
      <c r="J27" s="9">
        <v>0</v>
      </c>
      <c r="K27" s="9">
        <v>0</v>
      </c>
      <c r="L27" s="9">
        <v>0</v>
      </c>
      <c r="M27" s="9">
        <v>0</v>
      </c>
      <c r="N27" s="9">
        <v>0</v>
      </c>
      <c r="O27" s="9">
        <v>0</v>
      </c>
      <c r="P27" s="9">
        <v>0</v>
      </c>
      <c r="Q27" s="187">
        <v>0</v>
      </c>
      <c r="R27" s="187">
        <v>0</v>
      </c>
      <c r="S27" s="187">
        <v>0</v>
      </c>
      <c r="T27" s="187">
        <v>0</v>
      </c>
      <c r="U27" s="187">
        <v>0</v>
      </c>
      <c r="V27" s="187">
        <v>0</v>
      </c>
      <c r="W27" s="187">
        <v>0</v>
      </c>
      <c r="X27" s="187">
        <v>0</v>
      </c>
      <c r="Y27" s="187">
        <v>0</v>
      </c>
      <c r="Z27" s="187">
        <v>0</v>
      </c>
      <c r="AA27" s="187">
        <v>0</v>
      </c>
      <c r="AB27" s="187">
        <v>0</v>
      </c>
      <c r="AC27" s="187">
        <v>0</v>
      </c>
      <c r="AE27" s="9">
        <f t="shared" si="0"/>
        <v>0</v>
      </c>
      <c r="AF27" s="9">
        <f t="shared" si="1"/>
        <v>0</v>
      </c>
      <c r="AG27" s="9">
        <f t="shared" si="2"/>
        <v>0</v>
      </c>
      <c r="AH27" s="9">
        <f t="shared" si="3"/>
        <v>0</v>
      </c>
      <c r="AI27" s="9">
        <f t="shared" si="4"/>
        <v>0</v>
      </c>
      <c r="AJ27" s="9">
        <f t="shared" si="5"/>
        <v>0</v>
      </c>
      <c r="AK27" s="9">
        <f t="shared" si="6"/>
        <v>0</v>
      </c>
      <c r="AL27" s="9">
        <f t="shared" si="7"/>
        <v>0</v>
      </c>
      <c r="AM27" s="9">
        <f t="shared" si="8"/>
        <v>0</v>
      </c>
      <c r="AN27" s="9">
        <f t="shared" si="9"/>
        <v>0</v>
      </c>
      <c r="AO27" s="9">
        <f t="shared" si="10"/>
        <v>0</v>
      </c>
      <c r="AP27" s="9">
        <f t="shared" si="11"/>
        <v>0</v>
      </c>
      <c r="AQ27" s="9">
        <f t="shared" si="12"/>
        <v>0</v>
      </c>
      <c r="AR27" s="9">
        <f t="shared" si="13"/>
        <v>0</v>
      </c>
      <c r="AS27" s="9">
        <f t="shared" si="14"/>
        <v>0</v>
      </c>
      <c r="AT27" s="9">
        <f t="shared" si="15"/>
        <v>0</v>
      </c>
      <c r="AU27" s="9">
        <f t="shared" si="16"/>
        <v>0</v>
      </c>
      <c r="AV27" s="9">
        <f t="shared" si="17"/>
        <v>0</v>
      </c>
      <c r="AW27" s="9">
        <f t="shared" si="18"/>
        <v>0</v>
      </c>
      <c r="AX27" s="9">
        <f t="shared" si="19"/>
        <v>0</v>
      </c>
      <c r="AY27" s="9">
        <f t="shared" si="20"/>
        <v>0</v>
      </c>
      <c r="AZ27" s="9">
        <f t="shared" si="21"/>
        <v>0</v>
      </c>
      <c r="BA27" s="9">
        <f t="shared" si="22"/>
        <v>0</v>
      </c>
      <c r="BB27" s="9">
        <f t="shared" si="23"/>
        <v>0</v>
      </c>
      <c r="BC27" s="9">
        <f t="shared" si="24"/>
        <v>0</v>
      </c>
      <c r="BD27" s="9">
        <f t="shared" si="25"/>
        <v>0</v>
      </c>
      <c r="BE27" s="9">
        <f t="shared" si="26"/>
        <v>0</v>
      </c>
      <c r="BF27" s="9">
        <f t="shared" si="27"/>
        <v>0</v>
      </c>
    </row>
    <row r="28" spans="2:58" ht="17.25" thickBot="1">
      <c r="B28" s="9">
        <v>0</v>
      </c>
      <c r="C28" s="9">
        <v>0</v>
      </c>
      <c r="D28" s="9">
        <v>0</v>
      </c>
      <c r="E28" s="9">
        <v>0</v>
      </c>
      <c r="F28" s="9">
        <v>0</v>
      </c>
      <c r="G28" s="9">
        <v>0</v>
      </c>
      <c r="H28" s="9">
        <v>0</v>
      </c>
      <c r="I28" s="9">
        <v>0</v>
      </c>
      <c r="J28" s="9">
        <v>0</v>
      </c>
      <c r="K28" s="9">
        <v>0</v>
      </c>
      <c r="L28" s="9">
        <v>0</v>
      </c>
      <c r="M28" s="9">
        <v>0</v>
      </c>
      <c r="N28" s="9">
        <v>0</v>
      </c>
      <c r="O28" s="9">
        <v>0</v>
      </c>
      <c r="P28" s="9">
        <v>0</v>
      </c>
      <c r="Q28" s="187">
        <v>0</v>
      </c>
      <c r="R28" s="187">
        <v>0</v>
      </c>
      <c r="S28" s="187">
        <v>0</v>
      </c>
      <c r="T28" s="187">
        <v>0</v>
      </c>
      <c r="U28" s="187">
        <v>0</v>
      </c>
      <c r="V28" s="187">
        <v>0</v>
      </c>
      <c r="W28" s="187">
        <v>0</v>
      </c>
      <c r="X28" s="187">
        <v>0</v>
      </c>
      <c r="Y28" s="187">
        <v>0</v>
      </c>
      <c r="Z28" s="187">
        <v>0</v>
      </c>
      <c r="AA28" s="187">
        <v>0</v>
      </c>
      <c r="AB28" s="187">
        <v>0</v>
      </c>
      <c r="AC28" s="187">
        <v>0</v>
      </c>
      <c r="AE28" s="9">
        <f t="shared" si="0"/>
        <v>0</v>
      </c>
      <c r="AF28" s="9">
        <f t="shared" si="1"/>
        <v>0</v>
      </c>
      <c r="AG28" s="9">
        <f t="shared" si="2"/>
        <v>0</v>
      </c>
      <c r="AH28" s="9">
        <f t="shared" si="3"/>
        <v>0</v>
      </c>
      <c r="AI28" s="9">
        <f t="shared" si="4"/>
        <v>0</v>
      </c>
      <c r="AJ28" s="9">
        <f t="shared" si="5"/>
        <v>0</v>
      </c>
      <c r="AK28" s="9">
        <f t="shared" si="6"/>
        <v>0</v>
      </c>
      <c r="AL28" s="9">
        <f t="shared" si="7"/>
        <v>0</v>
      </c>
      <c r="AM28" s="9">
        <f t="shared" si="8"/>
        <v>0</v>
      </c>
      <c r="AN28" s="9">
        <f t="shared" si="9"/>
        <v>0</v>
      </c>
      <c r="AO28" s="9">
        <f t="shared" si="10"/>
        <v>0</v>
      </c>
      <c r="AP28" s="9">
        <f t="shared" si="11"/>
        <v>0</v>
      </c>
      <c r="AQ28" s="9">
        <f t="shared" si="12"/>
        <v>0</v>
      </c>
      <c r="AR28" s="9">
        <f t="shared" si="13"/>
        <v>0</v>
      </c>
      <c r="AS28" s="9">
        <f t="shared" si="14"/>
        <v>0</v>
      </c>
      <c r="AT28" s="9">
        <f t="shared" si="15"/>
        <v>0</v>
      </c>
      <c r="AU28" s="9">
        <f t="shared" si="16"/>
        <v>0</v>
      </c>
      <c r="AV28" s="9">
        <f t="shared" si="17"/>
        <v>0</v>
      </c>
      <c r="AW28" s="9">
        <f t="shared" si="18"/>
        <v>0</v>
      </c>
      <c r="AX28" s="9">
        <f t="shared" si="19"/>
        <v>0</v>
      </c>
      <c r="AY28" s="9">
        <f t="shared" si="20"/>
        <v>0</v>
      </c>
      <c r="AZ28" s="9">
        <f t="shared" si="21"/>
        <v>0</v>
      </c>
      <c r="BA28" s="9">
        <f t="shared" si="22"/>
        <v>0</v>
      </c>
      <c r="BB28" s="9">
        <f t="shared" si="23"/>
        <v>0</v>
      </c>
      <c r="BC28" s="9">
        <f t="shared" si="24"/>
        <v>0</v>
      </c>
      <c r="BD28" s="9">
        <f t="shared" si="25"/>
        <v>0</v>
      </c>
      <c r="BE28" s="9">
        <f t="shared" si="26"/>
        <v>0</v>
      </c>
      <c r="BF28" s="9">
        <f t="shared" si="27"/>
        <v>0</v>
      </c>
    </row>
    <row r="29" spans="2:58" ht="17.25" thickBot="1">
      <c r="B29" s="9">
        <v>0</v>
      </c>
      <c r="C29" s="9">
        <v>0</v>
      </c>
      <c r="D29" s="9">
        <v>0</v>
      </c>
      <c r="E29" s="9">
        <v>0</v>
      </c>
      <c r="F29" s="9">
        <v>0</v>
      </c>
      <c r="G29" s="9">
        <v>0</v>
      </c>
      <c r="H29" s="9">
        <v>0</v>
      </c>
      <c r="I29" s="9">
        <v>0</v>
      </c>
      <c r="J29" s="9">
        <v>0</v>
      </c>
      <c r="K29" s="9">
        <v>0</v>
      </c>
      <c r="L29" s="9">
        <v>0</v>
      </c>
      <c r="M29" s="9">
        <v>0</v>
      </c>
      <c r="N29" s="9">
        <v>0</v>
      </c>
      <c r="O29" s="9">
        <v>0</v>
      </c>
      <c r="P29" s="9">
        <v>0</v>
      </c>
      <c r="Q29" s="187">
        <v>0</v>
      </c>
      <c r="R29" s="187">
        <v>0</v>
      </c>
      <c r="S29" s="187">
        <v>0</v>
      </c>
      <c r="T29" s="187">
        <v>0</v>
      </c>
      <c r="U29" s="187">
        <v>0</v>
      </c>
      <c r="V29" s="187">
        <v>0</v>
      </c>
      <c r="W29" s="187">
        <v>0</v>
      </c>
      <c r="X29" s="187">
        <v>0</v>
      </c>
      <c r="Y29" s="187">
        <v>0</v>
      </c>
      <c r="Z29" s="187">
        <v>0</v>
      </c>
      <c r="AA29" s="187">
        <v>0</v>
      </c>
      <c r="AB29" s="187">
        <v>0</v>
      </c>
      <c r="AC29" s="187">
        <v>0</v>
      </c>
      <c r="AE29" s="9">
        <f t="shared" si="0"/>
        <v>0</v>
      </c>
      <c r="AF29" s="9">
        <f t="shared" si="1"/>
        <v>0</v>
      </c>
      <c r="AG29" s="9">
        <f t="shared" si="2"/>
        <v>0</v>
      </c>
      <c r="AH29" s="9">
        <f t="shared" si="3"/>
        <v>0</v>
      </c>
      <c r="AI29" s="9">
        <f t="shared" si="4"/>
        <v>0</v>
      </c>
      <c r="AJ29" s="9">
        <f t="shared" si="5"/>
        <v>0</v>
      </c>
      <c r="AK29" s="9">
        <f t="shared" si="6"/>
        <v>0</v>
      </c>
      <c r="AL29" s="9">
        <f t="shared" si="7"/>
        <v>0</v>
      </c>
      <c r="AM29" s="9">
        <f t="shared" si="8"/>
        <v>0</v>
      </c>
      <c r="AN29" s="9">
        <f t="shared" si="9"/>
        <v>0</v>
      </c>
      <c r="AO29" s="9">
        <f t="shared" si="10"/>
        <v>0</v>
      </c>
      <c r="AP29" s="9">
        <f t="shared" si="11"/>
        <v>0</v>
      </c>
      <c r="AQ29" s="9">
        <f t="shared" si="12"/>
        <v>0</v>
      </c>
      <c r="AR29" s="9">
        <f t="shared" si="13"/>
        <v>0</v>
      </c>
      <c r="AS29" s="9">
        <f t="shared" si="14"/>
        <v>0</v>
      </c>
      <c r="AT29" s="9">
        <f t="shared" si="15"/>
        <v>0</v>
      </c>
      <c r="AU29" s="9">
        <f t="shared" si="16"/>
        <v>0</v>
      </c>
      <c r="AV29" s="9">
        <f t="shared" si="17"/>
        <v>0</v>
      </c>
      <c r="AW29" s="9">
        <f t="shared" si="18"/>
        <v>0</v>
      </c>
      <c r="AX29" s="9">
        <f t="shared" si="19"/>
        <v>0</v>
      </c>
      <c r="AY29" s="9">
        <f t="shared" si="20"/>
        <v>0</v>
      </c>
      <c r="AZ29" s="9">
        <f t="shared" si="21"/>
        <v>0</v>
      </c>
      <c r="BA29" s="9">
        <f t="shared" si="22"/>
        <v>0</v>
      </c>
      <c r="BB29" s="9">
        <f t="shared" si="23"/>
        <v>0</v>
      </c>
      <c r="BC29" s="9">
        <f t="shared" si="24"/>
        <v>0</v>
      </c>
      <c r="BD29" s="9">
        <f t="shared" si="25"/>
        <v>0</v>
      </c>
      <c r="BE29" s="9">
        <f t="shared" si="26"/>
        <v>0</v>
      </c>
      <c r="BF29" s="9">
        <f t="shared" si="27"/>
        <v>0</v>
      </c>
    </row>
  </sheetData>
  <phoneticPr fontId="5" type="noConversion"/>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Q46"/>
  <sheetViews>
    <sheetView topLeftCell="E1" zoomScaleNormal="100" workbookViewId="0">
      <selection activeCell="S32" sqref="S32"/>
    </sheetView>
  </sheetViews>
  <sheetFormatPr defaultRowHeight="16.5"/>
  <cols>
    <col min="2" max="29" width="9" customWidth="1"/>
    <col min="31" max="58" width="9" customWidth="1"/>
  </cols>
  <sheetData>
    <row r="4" spans="12:17">
      <c r="L4" s="145"/>
      <c r="M4" s="130"/>
      <c r="N4" s="145" t="s">
        <v>420</v>
      </c>
      <c r="O4" s="130"/>
      <c r="P4" s="130"/>
    </row>
    <row r="5" spans="12:17">
      <c r="L5" s="145"/>
      <c r="M5" s="145"/>
      <c r="N5" s="131"/>
      <c r="O5" s="130"/>
      <c r="P5" s="130"/>
    </row>
    <row r="6" spans="12:17">
      <c r="L6" s="145"/>
      <c r="M6" s="130"/>
      <c r="N6" s="131"/>
      <c r="O6" s="145"/>
      <c r="P6" s="130"/>
    </row>
    <row r="7" spans="12:17">
      <c r="L7" s="145"/>
      <c r="M7" s="130"/>
      <c r="N7" s="131"/>
      <c r="O7" s="130"/>
      <c r="P7" s="130"/>
    </row>
    <row r="8" spans="12:17" ht="18">
      <c r="L8" s="145" t="s">
        <v>374</v>
      </c>
      <c r="M8" s="130"/>
      <c r="N8" s="131"/>
      <c r="O8" s="130"/>
      <c r="P8" s="130"/>
    </row>
    <row r="9" spans="12:17">
      <c r="L9" s="145"/>
      <c r="M9" s="130"/>
      <c r="N9" s="131"/>
      <c r="O9" s="130"/>
      <c r="P9" s="130"/>
    </row>
    <row r="10" spans="12:17" ht="18">
      <c r="L10" s="145" t="s">
        <v>375</v>
      </c>
      <c r="M10" s="130"/>
      <c r="N10" s="131"/>
      <c r="O10" s="130"/>
      <c r="Q10" s="145" t="s">
        <v>706</v>
      </c>
    </row>
    <row r="11" spans="12:17">
      <c r="L11" s="145"/>
      <c r="M11" s="130"/>
      <c r="N11" s="131"/>
      <c r="O11" s="130"/>
      <c r="Q11" s="131"/>
    </row>
    <row r="12" spans="12:17" ht="18">
      <c r="L12" s="145" t="s">
        <v>431</v>
      </c>
      <c r="M12" s="130"/>
      <c r="N12" s="131"/>
      <c r="O12" s="130"/>
      <c r="Q12" s="131"/>
    </row>
    <row r="13" spans="12:17">
      <c r="L13" s="145"/>
      <c r="M13" s="130"/>
      <c r="N13" s="131"/>
      <c r="O13" s="130"/>
      <c r="Q13" s="131"/>
    </row>
    <row r="14" spans="12:17">
      <c r="L14" s="145"/>
      <c r="M14" s="130"/>
      <c r="N14" s="131"/>
      <c r="O14" s="130"/>
      <c r="Q14" s="131"/>
    </row>
    <row r="15" spans="12:17">
      <c r="L15" s="145"/>
      <c r="M15" s="130"/>
      <c r="N15" s="131"/>
      <c r="O15" s="130"/>
      <c r="P15" s="130"/>
    </row>
    <row r="16" spans="12:17">
      <c r="L16" s="145"/>
      <c r="M16" s="130"/>
      <c r="N16" s="131"/>
      <c r="O16" s="130"/>
      <c r="P16" s="130"/>
    </row>
    <row r="17" spans="12:17">
      <c r="L17" s="145"/>
      <c r="M17" s="130"/>
      <c r="N17" s="131"/>
      <c r="O17" s="130"/>
      <c r="P17" s="130"/>
    </row>
    <row r="18" spans="12:17">
      <c r="L18" s="145"/>
      <c r="M18" s="130"/>
      <c r="N18" s="131"/>
      <c r="O18" s="130"/>
      <c r="P18" s="130"/>
    </row>
    <row r="19" spans="12:17" ht="18">
      <c r="L19" s="145" t="s">
        <v>707</v>
      </c>
      <c r="M19" s="130"/>
      <c r="N19" s="131"/>
      <c r="O19" s="130"/>
      <c r="P19" s="130"/>
    </row>
    <row r="20" spans="12:17">
      <c r="L20" s="145"/>
      <c r="M20" s="130"/>
      <c r="N20" s="131"/>
      <c r="O20" s="130"/>
      <c r="P20" s="130"/>
    </row>
    <row r="21" spans="12:17">
      <c r="L21" s="145"/>
      <c r="M21" s="130"/>
      <c r="N21" s="131"/>
      <c r="O21" s="130"/>
      <c r="P21" s="130"/>
    </row>
    <row r="23" spans="12:17" s="130" customFormat="1">
      <c r="M23" s="145">
        <v>784</v>
      </c>
      <c r="N23" s="145">
        <f>784*512</f>
        <v>401408</v>
      </c>
      <c r="O23" s="145"/>
      <c r="P23" s="145">
        <v>512</v>
      </c>
      <c r="Q23" s="145">
        <f>512 * 10</f>
        <v>5120</v>
      </c>
    </row>
    <row r="24" spans="12:17" s="130" customFormat="1">
      <c r="M24" s="145" t="s">
        <v>716</v>
      </c>
      <c r="N24" s="145">
        <f>512 * 1</f>
        <v>512</v>
      </c>
      <c r="O24" s="145"/>
      <c r="P24" s="145" t="s">
        <v>716</v>
      </c>
      <c r="Q24" s="145">
        <f>10 * 1</f>
        <v>10</v>
      </c>
    </row>
    <row r="25" spans="12:17" s="130" customFormat="1">
      <c r="L25" s="145"/>
      <c r="M25" s="145"/>
      <c r="N25" s="145">
        <f>SUM(N23:N24)</f>
        <v>401920</v>
      </c>
      <c r="O25" s="145"/>
      <c r="P25" s="145"/>
      <c r="Q25" s="145">
        <f>SUM(Q23:Q24)</f>
        <v>5130</v>
      </c>
    </row>
    <row r="26" spans="12:17" s="130" customFormat="1"/>
    <row r="27" spans="12:17">
      <c r="O27" s="253">
        <f>SUM(N25,Q25)</f>
        <v>407050</v>
      </c>
      <c r="P27" s="253"/>
    </row>
    <row r="30" spans="12:17" s="130" customFormat="1"/>
    <row r="32" spans="12:17">
      <c r="L32" s="194" t="s">
        <v>713</v>
      </c>
    </row>
    <row r="33" spans="1:13">
      <c r="B33">
        <v>1</v>
      </c>
      <c r="J33">
        <v>784</v>
      </c>
      <c r="K33" s="145" t="s">
        <v>708</v>
      </c>
    </row>
    <row r="34" spans="1:13">
      <c r="A34" t="s">
        <v>709</v>
      </c>
      <c r="B34" s="140"/>
      <c r="C34" s="140"/>
      <c r="D34" s="140"/>
      <c r="E34" s="140"/>
      <c r="F34" s="140"/>
      <c r="G34" s="140"/>
      <c r="H34" s="140"/>
      <c r="I34" s="140"/>
      <c r="J34" s="140"/>
      <c r="K34" s="145">
        <v>5</v>
      </c>
      <c r="M34" s="28" t="s">
        <v>712</v>
      </c>
    </row>
    <row r="35" spans="1:13">
      <c r="A35" t="s">
        <v>710</v>
      </c>
      <c r="K35" s="145">
        <v>0</v>
      </c>
    </row>
    <row r="36" spans="1:13">
      <c r="K36" s="145"/>
    </row>
    <row r="37" spans="1:13">
      <c r="K37" s="145"/>
    </row>
    <row r="38" spans="1:13">
      <c r="K38" s="145"/>
    </row>
    <row r="39" spans="1:13">
      <c r="A39" t="s">
        <v>711</v>
      </c>
      <c r="B39" s="140"/>
      <c r="C39" s="140"/>
      <c r="D39" s="140"/>
      <c r="E39" s="140"/>
      <c r="F39" s="140"/>
      <c r="G39" s="140"/>
      <c r="H39" s="140"/>
      <c r="I39" s="140"/>
      <c r="J39" s="140"/>
      <c r="K39" s="145">
        <v>8</v>
      </c>
    </row>
    <row r="42" spans="1:13">
      <c r="A42" t="s">
        <v>714</v>
      </c>
      <c r="K42" s="145" t="s">
        <v>715</v>
      </c>
    </row>
    <row r="43" spans="1:13">
      <c r="B43" s="193"/>
      <c r="C43" s="193"/>
      <c r="D43" s="193"/>
      <c r="E43" s="193"/>
      <c r="F43" s="193"/>
      <c r="G43" s="193"/>
      <c r="H43" s="193"/>
      <c r="I43" s="193"/>
      <c r="J43" s="193"/>
      <c r="K43" s="43">
        <v>7</v>
      </c>
    </row>
    <row r="44" spans="1:13">
      <c r="B44" s="193"/>
      <c r="C44" s="193"/>
      <c r="D44" s="193"/>
      <c r="E44" s="193"/>
      <c r="F44" s="193"/>
      <c r="G44" s="193"/>
      <c r="H44" s="193"/>
      <c r="I44" s="193"/>
      <c r="J44" s="193"/>
      <c r="K44" s="43"/>
    </row>
    <row r="45" spans="1:13">
      <c r="B45" s="193"/>
      <c r="C45" s="193"/>
      <c r="D45" s="193"/>
      <c r="E45" s="193"/>
      <c r="F45" s="193"/>
      <c r="G45" s="193"/>
      <c r="H45" s="193"/>
      <c r="I45" s="193"/>
      <c r="J45" s="193"/>
      <c r="K45" s="43"/>
    </row>
    <row r="46" spans="1:13">
      <c r="B46" s="193"/>
      <c r="C46" s="193"/>
      <c r="D46" s="193"/>
      <c r="E46" s="193"/>
      <c r="F46" s="193"/>
      <c r="G46" s="193"/>
      <c r="H46" s="193"/>
      <c r="I46" s="193"/>
      <c r="J46" s="193"/>
      <c r="K46" s="43">
        <v>6</v>
      </c>
    </row>
  </sheetData>
  <mergeCells count="1">
    <mergeCell ref="O27:P27"/>
  </mergeCells>
  <phoneticPr fontId="5" type="noConversion"/>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8"/>
  <sheetViews>
    <sheetView topLeftCell="I4" zoomScale="70" zoomScaleNormal="70" workbookViewId="0">
      <selection activeCell="AQ46" sqref="AQ46"/>
    </sheetView>
  </sheetViews>
  <sheetFormatPr defaultRowHeight="16.5"/>
  <cols>
    <col min="1" max="1" width="9" style="130"/>
    <col min="2" max="14" width="9" style="130" customWidth="1"/>
    <col min="15" max="17" width="4.625" style="130" customWidth="1"/>
    <col min="18" max="19" width="9" style="130" customWidth="1"/>
    <col min="20" max="32" width="4.625" style="130" customWidth="1"/>
    <col min="33" max="33" width="9" style="130" customWidth="1"/>
    <col min="34" max="34" width="8.875" style="130" customWidth="1"/>
    <col min="35" max="35" width="9.75" style="130" customWidth="1"/>
    <col min="36" max="37" width="9" style="130" customWidth="1"/>
    <col min="38" max="38" width="4.625" style="130" customWidth="1"/>
    <col min="39" max="66" width="9" style="130" customWidth="1"/>
    <col min="67" max="16384" width="9" style="130"/>
  </cols>
  <sheetData>
    <row r="1" spans="12:41">
      <c r="O1" s="130" t="s">
        <v>736</v>
      </c>
    </row>
    <row r="3" spans="12:41">
      <c r="O3" s="130" t="s">
        <v>737</v>
      </c>
      <c r="W3" s="130" t="s">
        <v>739</v>
      </c>
      <c r="AA3" s="95">
        <v>320</v>
      </c>
    </row>
    <row r="4" spans="12:41">
      <c r="O4" s="130" t="s">
        <v>738</v>
      </c>
    </row>
    <row r="5" spans="12:41">
      <c r="O5" s="262" t="s">
        <v>742</v>
      </c>
      <c r="P5" s="262"/>
      <c r="Q5" s="262"/>
      <c r="V5" s="262" t="s">
        <v>741</v>
      </c>
      <c r="W5" s="262"/>
      <c r="X5" s="262"/>
    </row>
    <row r="6" spans="12:41">
      <c r="O6" s="196"/>
      <c r="P6" s="196"/>
      <c r="Q6" s="196"/>
      <c r="V6" s="196"/>
      <c r="W6" s="196"/>
      <c r="X6" s="196"/>
    </row>
    <row r="7" spans="12:41">
      <c r="L7" s="145"/>
      <c r="M7" s="145" t="s">
        <v>717</v>
      </c>
      <c r="O7" s="196"/>
      <c r="P7" s="196"/>
      <c r="Q7" s="196"/>
      <c r="S7" s="145" t="s">
        <v>717</v>
      </c>
      <c r="V7" s="196"/>
      <c r="W7" s="196"/>
      <c r="X7" s="196"/>
      <c r="AJ7" s="145" t="s">
        <v>723</v>
      </c>
    </row>
    <row r="8" spans="12:41">
      <c r="L8" s="145"/>
      <c r="M8" s="131"/>
      <c r="O8" s="196"/>
      <c r="P8" s="196"/>
      <c r="Q8" s="196"/>
      <c r="S8" s="131"/>
      <c r="V8" s="196"/>
      <c r="W8" s="196"/>
      <c r="X8" s="196"/>
      <c r="AJ8" s="131"/>
    </row>
    <row r="9" spans="12:41">
      <c r="L9" s="145"/>
      <c r="M9" s="131"/>
      <c r="N9" s="145"/>
      <c r="S9" s="131"/>
      <c r="AJ9" s="131"/>
    </row>
    <row r="10" spans="12:41">
      <c r="L10" s="145"/>
      <c r="M10" s="131"/>
      <c r="S10" s="131"/>
      <c r="AJ10" s="131"/>
    </row>
    <row r="11" spans="12:41">
      <c r="L11" s="145"/>
      <c r="M11" s="131"/>
      <c r="S11" s="131"/>
      <c r="W11" s="253">
        <v>24</v>
      </c>
      <c r="X11" s="253"/>
      <c r="AA11" s="253" t="s">
        <v>734</v>
      </c>
      <c r="AB11" s="253"/>
      <c r="AJ11" s="131"/>
    </row>
    <row r="12" spans="12:41">
      <c r="L12" s="145"/>
      <c r="M12" s="131"/>
      <c r="O12" s="253" t="s">
        <v>718</v>
      </c>
      <c r="P12" s="253"/>
      <c r="Q12" s="253"/>
      <c r="S12" s="131"/>
      <c r="V12" s="253" t="s">
        <v>718</v>
      </c>
      <c r="W12" s="253"/>
      <c r="X12" s="253"/>
      <c r="Y12" s="253"/>
      <c r="AA12" s="176" t="s">
        <v>724</v>
      </c>
      <c r="AE12" s="130" t="s">
        <v>719</v>
      </c>
      <c r="AG12" s="130" t="s">
        <v>720</v>
      </c>
      <c r="AJ12" s="131"/>
      <c r="AL12" s="130" t="s">
        <v>719</v>
      </c>
      <c r="AN12" s="131"/>
    </row>
    <row r="13" spans="12:41">
      <c r="L13" s="145"/>
      <c r="M13" s="131"/>
      <c r="O13" s="46"/>
      <c r="P13" s="45"/>
      <c r="Q13" s="46"/>
      <c r="S13" s="131"/>
      <c r="V13" s="46"/>
      <c r="W13" s="45"/>
      <c r="X13" s="46"/>
      <c r="Y13" s="46"/>
      <c r="AA13" s="24"/>
      <c r="AB13" s="24"/>
      <c r="AE13" s="198"/>
      <c r="AG13" s="195"/>
      <c r="AJ13" s="131"/>
      <c r="AL13" s="198"/>
      <c r="AN13" s="131"/>
      <c r="AO13" s="145">
        <v>0</v>
      </c>
    </row>
    <row r="14" spans="12:41">
      <c r="L14" s="145"/>
      <c r="M14" s="131"/>
      <c r="O14" s="46"/>
      <c r="P14" s="46"/>
      <c r="Q14" s="46"/>
      <c r="S14" s="131"/>
      <c r="V14" s="46"/>
      <c r="W14" s="46"/>
      <c r="X14" s="46"/>
      <c r="Y14" s="46"/>
      <c r="AA14" s="199"/>
      <c r="AB14" s="199"/>
      <c r="AE14" s="198"/>
      <c r="AG14" s="195"/>
      <c r="AJ14" s="131"/>
      <c r="AL14" s="198"/>
      <c r="AN14" s="131"/>
      <c r="AO14" s="145">
        <v>1</v>
      </c>
    </row>
    <row r="15" spans="12:41">
      <c r="L15" s="145"/>
      <c r="M15" s="131"/>
      <c r="O15" s="46"/>
      <c r="P15" s="46"/>
      <c r="Q15" s="46"/>
      <c r="S15" s="131"/>
      <c r="U15" s="252">
        <v>24</v>
      </c>
      <c r="V15" s="46"/>
      <c r="W15" s="46"/>
      <c r="X15" s="46"/>
      <c r="Y15" s="46"/>
      <c r="AA15" s="199"/>
      <c r="AB15" s="199"/>
      <c r="AE15" s="198"/>
      <c r="AG15" s="195"/>
      <c r="AJ15" s="131"/>
      <c r="AL15" s="198"/>
      <c r="AN15" s="131"/>
      <c r="AO15" s="145"/>
    </row>
    <row r="16" spans="12:41">
      <c r="L16" s="145"/>
      <c r="M16" s="131"/>
      <c r="O16" s="46"/>
      <c r="P16" s="46"/>
      <c r="Q16" s="46"/>
      <c r="S16" s="131"/>
      <c r="U16" s="252"/>
      <c r="V16" s="46"/>
      <c r="W16" s="46"/>
      <c r="X16" s="46"/>
      <c r="Y16" s="46"/>
      <c r="AA16" s="199"/>
      <c r="AB16" s="199"/>
      <c r="AE16" s="198"/>
      <c r="AG16" s="195"/>
      <c r="AJ16" s="131"/>
      <c r="AL16" s="198"/>
      <c r="AN16" s="131"/>
      <c r="AO16" s="145"/>
    </row>
    <row r="17" spans="12:41">
      <c r="L17" s="145"/>
      <c r="M17" s="131"/>
      <c r="O17" s="46"/>
      <c r="P17" s="46"/>
      <c r="Q17" s="46"/>
      <c r="S17" s="131"/>
      <c r="V17" s="46"/>
      <c r="W17" s="46"/>
      <c r="X17" s="46"/>
      <c r="Y17" s="46"/>
      <c r="AA17" s="24"/>
      <c r="AB17" s="24"/>
      <c r="AE17" s="198"/>
      <c r="AG17" s="195"/>
      <c r="AJ17" s="131"/>
      <c r="AL17" s="198"/>
      <c r="AN17" s="131"/>
      <c r="AO17" s="145"/>
    </row>
    <row r="18" spans="12:41">
      <c r="L18" s="145"/>
      <c r="M18" s="131"/>
      <c r="O18" s="46"/>
      <c r="P18" s="46"/>
      <c r="Q18" s="46"/>
      <c r="S18" s="131"/>
      <c r="V18" s="24"/>
      <c r="W18" s="24"/>
      <c r="X18" s="24"/>
      <c r="Y18" s="24"/>
      <c r="AA18" s="24" t="s">
        <v>735</v>
      </c>
      <c r="AB18" s="24"/>
      <c r="AE18" s="198"/>
      <c r="AG18" s="195"/>
      <c r="AJ18" s="131"/>
      <c r="AL18" s="198"/>
      <c r="AN18" s="131"/>
      <c r="AO18" s="145"/>
    </row>
    <row r="19" spans="12:41">
      <c r="L19" s="145"/>
      <c r="M19" s="131"/>
      <c r="S19" s="131"/>
      <c r="AJ19" s="131"/>
      <c r="AN19" s="131"/>
      <c r="AO19" s="145">
        <v>9</v>
      </c>
    </row>
    <row r="20" spans="12:41">
      <c r="L20" s="145"/>
      <c r="M20" s="131"/>
      <c r="O20" s="3" t="s">
        <v>726</v>
      </c>
      <c r="P20" s="145"/>
      <c r="S20" s="131"/>
      <c r="V20" s="3" t="s">
        <v>730</v>
      </c>
      <c r="AG20" s="130">
        <f>12*12*64</f>
        <v>9216</v>
      </c>
      <c r="AJ20" s="131"/>
      <c r="AN20" s="131"/>
    </row>
    <row r="21" spans="12:41">
      <c r="L21" s="145"/>
      <c r="M21" s="131"/>
      <c r="O21" s="97" t="s">
        <v>727</v>
      </c>
      <c r="S21" s="131"/>
      <c r="V21" s="97" t="s">
        <v>731</v>
      </c>
      <c r="AJ21" s="131"/>
    </row>
    <row r="22" spans="12:41">
      <c r="L22" s="145"/>
      <c r="M22" s="131"/>
      <c r="O22" s="97" t="s">
        <v>725</v>
      </c>
      <c r="S22" s="131"/>
      <c r="V22" s="97" t="s">
        <v>725</v>
      </c>
      <c r="AJ22" s="131"/>
    </row>
    <row r="23" spans="12:41">
      <c r="L23" s="145"/>
      <c r="M23" s="131"/>
      <c r="O23" s="97"/>
      <c r="S23" s="131"/>
      <c r="V23" s="97"/>
      <c r="AJ23" s="131"/>
    </row>
    <row r="24" spans="12:41">
      <c r="L24" s="145"/>
      <c r="M24" s="131"/>
      <c r="O24" s="97" t="s">
        <v>728</v>
      </c>
      <c r="S24" s="131"/>
      <c r="V24" s="97" t="s">
        <v>732</v>
      </c>
      <c r="AJ24" s="131"/>
    </row>
    <row r="25" spans="12:41">
      <c r="M25" s="130">
        <v>32</v>
      </c>
      <c r="O25" s="201" t="s">
        <v>729</v>
      </c>
      <c r="S25" s="130">
        <v>64</v>
      </c>
      <c r="V25" s="201" t="s">
        <v>733</v>
      </c>
      <c r="AJ25" s="145">
        <v>128</v>
      </c>
      <c r="AN25" s="145">
        <v>10</v>
      </c>
    </row>
    <row r="26" spans="12:41">
      <c r="M26" s="145"/>
      <c r="N26" s="145"/>
      <c r="O26" s="145"/>
      <c r="P26" s="145"/>
      <c r="Q26" s="145"/>
    </row>
    <row r="27" spans="12:41">
      <c r="M27" s="145"/>
      <c r="N27" s="145"/>
      <c r="O27" s="145"/>
      <c r="P27" s="145"/>
      <c r="Q27" s="145"/>
      <c r="S27" s="130" t="s">
        <v>740</v>
      </c>
      <c r="AH27" s="130">
        <f>AG20 * AJ25</f>
        <v>1179648</v>
      </c>
      <c r="AJ27" s="130">
        <v>128</v>
      </c>
      <c r="AM27" s="130">
        <f>128*AN25</f>
        <v>1280</v>
      </c>
      <c r="AO27" s="130">
        <f>1*AN25</f>
        <v>10</v>
      </c>
    </row>
    <row r="28" spans="12:41">
      <c r="L28" s="145"/>
      <c r="M28" s="145"/>
      <c r="O28" s="145" t="s">
        <v>743</v>
      </c>
      <c r="P28" s="145"/>
      <c r="Q28" s="145">
        <f>32 * 9</f>
        <v>288</v>
      </c>
    </row>
    <row r="29" spans="12:41">
      <c r="S29" s="130">
        <f>288*64</f>
        <v>18432</v>
      </c>
      <c r="AI29" s="130">
        <f>AH27+AJ27</f>
        <v>1179776</v>
      </c>
      <c r="AN29" s="130">
        <f>AM27+AO27</f>
        <v>1290</v>
      </c>
    </row>
    <row r="30" spans="12:41">
      <c r="O30" s="253"/>
      <c r="P30" s="253"/>
      <c r="S30" s="130">
        <v>64</v>
      </c>
    </row>
    <row r="32" spans="12:41">
      <c r="S32" s="95">
        <f>S29+S30</f>
        <v>18496</v>
      </c>
      <c r="AN32" s="95">
        <f>AI29+AN29</f>
        <v>1181066</v>
      </c>
    </row>
    <row r="33" spans="1:36">
      <c r="C33" s="130" t="s">
        <v>721</v>
      </c>
      <c r="E33" s="130" t="s">
        <v>722</v>
      </c>
    </row>
    <row r="35" spans="1:36">
      <c r="A35" s="130">
        <v>1</v>
      </c>
      <c r="B35" s="44"/>
      <c r="C35" s="44"/>
      <c r="D35" s="44"/>
      <c r="AH35" s="130" t="s">
        <v>744</v>
      </c>
      <c r="AJ35" s="95">
        <f>S32+AN32+AA3</f>
        <v>1199882</v>
      </c>
    </row>
    <row r="36" spans="1:36">
      <c r="B36" s="44"/>
      <c r="C36" s="44"/>
      <c r="D36" s="44"/>
    </row>
    <row r="37" spans="1:36">
      <c r="B37" s="44"/>
      <c r="C37" s="44"/>
      <c r="D37" s="44"/>
    </row>
    <row r="38" spans="1:36">
      <c r="B38" s="44"/>
      <c r="C38" s="44"/>
      <c r="D38" s="44"/>
    </row>
    <row r="39" spans="1:36">
      <c r="B39" s="44"/>
      <c r="C39" s="44"/>
      <c r="D39" s="44"/>
    </row>
    <row r="40" spans="1:36">
      <c r="M40" s="202" t="s">
        <v>753</v>
      </c>
      <c r="S40" s="202" t="s">
        <v>745</v>
      </c>
    </row>
    <row r="41" spans="1:36">
      <c r="A41" s="130">
        <v>2</v>
      </c>
      <c r="B41" s="44"/>
      <c r="C41" s="44"/>
      <c r="D41" s="44"/>
      <c r="M41" s="202" t="s">
        <v>754</v>
      </c>
      <c r="S41" s="202" t="s">
        <v>746</v>
      </c>
    </row>
    <row r="42" spans="1:36">
      <c r="B42" s="44"/>
      <c r="C42" s="44"/>
      <c r="D42" s="44"/>
      <c r="M42" s="202" t="s">
        <v>755</v>
      </c>
      <c r="S42" s="202" t="s">
        <v>747</v>
      </c>
    </row>
    <row r="43" spans="1:36">
      <c r="B43" s="44"/>
      <c r="C43" s="44"/>
      <c r="D43" s="44"/>
      <c r="M43" s="202" t="s">
        <v>756</v>
      </c>
      <c r="S43" s="202" t="s">
        <v>748</v>
      </c>
    </row>
    <row r="44" spans="1:36">
      <c r="B44" s="44"/>
      <c r="C44" s="44"/>
      <c r="D44" s="44"/>
      <c r="M44" s="202" t="s">
        <v>748</v>
      </c>
      <c r="S44" s="202" t="s">
        <v>749</v>
      </c>
    </row>
    <row r="45" spans="1:36">
      <c r="B45" s="44"/>
      <c r="C45" s="44"/>
      <c r="D45" s="44"/>
      <c r="M45" s="202" t="s">
        <v>749</v>
      </c>
      <c r="S45" s="202" t="s">
        <v>750</v>
      </c>
    </row>
    <row r="46" spans="1:36">
      <c r="M46" s="202" t="s">
        <v>757</v>
      </c>
      <c r="S46" s="202" t="s">
        <v>751</v>
      </c>
    </row>
    <row r="47" spans="1:36">
      <c r="M47" s="202" t="s">
        <v>758</v>
      </c>
      <c r="S47" s="202" t="s">
        <v>752</v>
      </c>
    </row>
    <row r="48" spans="1:36">
      <c r="M48" s="202" t="s">
        <v>759</v>
      </c>
    </row>
    <row r="49" spans="1:13">
      <c r="M49" s="202" t="s">
        <v>760</v>
      </c>
    </row>
    <row r="50" spans="1:13">
      <c r="M50" s="202" t="s">
        <v>761</v>
      </c>
    </row>
    <row r="51" spans="1:13">
      <c r="A51" s="130">
        <v>60000</v>
      </c>
      <c r="B51" s="44"/>
      <c r="C51" s="44"/>
      <c r="D51" s="44"/>
      <c r="M51" s="202" t="s">
        <v>762</v>
      </c>
    </row>
    <row r="52" spans="1:13">
      <c r="B52" s="44"/>
      <c r="C52" s="44"/>
      <c r="D52" s="44"/>
      <c r="M52" s="202" t="s">
        <v>763</v>
      </c>
    </row>
    <row r="53" spans="1:13">
      <c r="B53" s="44"/>
      <c r="C53" s="44"/>
      <c r="D53" s="44"/>
      <c r="M53" s="202" t="s">
        <v>764</v>
      </c>
    </row>
    <row r="54" spans="1:13">
      <c r="B54" s="44"/>
      <c r="C54" s="44"/>
      <c r="D54" s="44"/>
      <c r="M54" s="202" t="s">
        <v>765</v>
      </c>
    </row>
    <row r="55" spans="1:13">
      <c r="B55" s="44"/>
      <c r="C55" s="44"/>
      <c r="D55" s="44"/>
      <c r="M55" s="202" t="s">
        <v>766</v>
      </c>
    </row>
    <row r="56" spans="1:13">
      <c r="M56" s="202" t="s">
        <v>767</v>
      </c>
    </row>
    <row r="57" spans="1:13">
      <c r="M57" s="202" t="s">
        <v>751</v>
      </c>
    </row>
    <row r="58" spans="1:13">
      <c r="M58" s="202" t="s">
        <v>752</v>
      </c>
    </row>
  </sheetData>
  <mergeCells count="8">
    <mergeCell ref="U15:U16"/>
    <mergeCell ref="O30:P30"/>
    <mergeCell ref="O5:Q5"/>
    <mergeCell ref="V5:X5"/>
    <mergeCell ref="O12:Q12"/>
    <mergeCell ref="AA11:AB11"/>
    <mergeCell ref="V12:Y12"/>
    <mergeCell ref="W11:X11"/>
  </mergeCells>
  <phoneticPr fontId="5" type="noConversion"/>
  <pageMargins left="0.7" right="0.7" top="0.75" bottom="0.75" header="0.3" footer="0.3"/>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65"/>
  <sheetViews>
    <sheetView topLeftCell="A7" zoomScale="70" zoomScaleNormal="70" workbookViewId="0">
      <selection activeCell="E66" sqref="E66"/>
    </sheetView>
  </sheetViews>
  <sheetFormatPr defaultRowHeight="16.5"/>
  <cols>
    <col min="1" max="1" width="9" style="130"/>
    <col min="2" max="14" width="9" style="130" customWidth="1"/>
    <col min="15" max="17" width="4.625" style="130" customWidth="1"/>
    <col min="18" max="19" width="9" style="130" customWidth="1"/>
    <col min="20" max="21" width="4.625" style="130" customWidth="1"/>
    <col min="22" max="22" width="8.25" style="130" customWidth="1"/>
    <col min="23" max="32" width="4.625" style="130" customWidth="1"/>
    <col min="33" max="33" width="9" style="130" customWidth="1"/>
    <col min="34" max="34" width="8.875" style="130" customWidth="1"/>
    <col min="35" max="35" width="9.75" style="130" customWidth="1"/>
    <col min="36" max="37" width="9" style="130" customWidth="1"/>
    <col min="38" max="38" width="4.625" style="130" customWidth="1"/>
    <col min="39" max="66" width="9" style="130" customWidth="1"/>
    <col min="67" max="16384" width="9" style="130"/>
  </cols>
  <sheetData>
    <row r="1" spans="12:41">
      <c r="O1" s="130" t="s">
        <v>736</v>
      </c>
    </row>
    <row r="3" spans="12:41">
      <c r="O3" s="130" t="s">
        <v>737</v>
      </c>
      <c r="W3" s="130" t="s">
        <v>739</v>
      </c>
      <c r="AA3" s="95">
        <v>320</v>
      </c>
    </row>
    <row r="4" spans="12:41">
      <c r="O4" s="130" t="s">
        <v>738</v>
      </c>
    </row>
    <row r="5" spans="12:41">
      <c r="O5" s="262" t="s">
        <v>742</v>
      </c>
      <c r="P5" s="262"/>
      <c r="Q5" s="262"/>
      <c r="Y5" s="203" t="s">
        <v>741</v>
      </c>
      <c r="Z5" s="203"/>
      <c r="AA5" s="203"/>
    </row>
    <row r="6" spans="12:41">
      <c r="O6" s="196"/>
      <c r="P6" s="196"/>
      <c r="Q6" s="196"/>
      <c r="Y6" s="196"/>
      <c r="Z6" s="196"/>
      <c r="AA6" s="196"/>
    </row>
    <row r="7" spans="12:41">
      <c r="L7" s="145"/>
      <c r="M7" s="145" t="s">
        <v>717</v>
      </c>
      <c r="O7" s="196"/>
      <c r="P7" s="196"/>
      <c r="Q7" s="196"/>
      <c r="V7" s="145" t="s">
        <v>717</v>
      </c>
      <c r="Y7" s="196"/>
      <c r="Z7" s="196"/>
      <c r="AA7" s="196"/>
      <c r="AJ7" s="145" t="s">
        <v>723</v>
      </c>
    </row>
    <row r="8" spans="12:41">
      <c r="L8" s="145"/>
      <c r="M8" s="131"/>
      <c r="O8" s="196"/>
      <c r="P8" s="196"/>
      <c r="Q8" s="196"/>
      <c r="V8" s="131"/>
      <c r="Y8" s="196"/>
      <c r="Z8" s="196"/>
      <c r="AA8" s="196"/>
      <c r="AJ8" s="131"/>
    </row>
    <row r="9" spans="12:41">
      <c r="L9" s="145"/>
      <c r="M9" s="131"/>
      <c r="N9" s="145"/>
      <c r="V9" s="131"/>
      <c r="AJ9" s="131"/>
    </row>
    <row r="10" spans="12:41">
      <c r="L10" s="145"/>
      <c r="M10" s="131"/>
      <c r="V10" s="131"/>
      <c r="AJ10" s="131"/>
    </row>
    <row r="11" spans="12:41">
      <c r="L11" s="145"/>
      <c r="M11" s="131"/>
      <c r="V11" s="131"/>
      <c r="Z11" s="145">
        <v>24</v>
      </c>
      <c r="AA11" s="145"/>
      <c r="AJ11" s="131"/>
    </row>
    <row r="12" spans="12:41">
      <c r="L12" s="145"/>
      <c r="M12" s="131"/>
      <c r="O12" s="253" t="s">
        <v>718</v>
      </c>
      <c r="P12" s="253"/>
      <c r="Q12" s="253"/>
      <c r="S12" s="253" t="s">
        <v>734</v>
      </c>
      <c r="T12" s="253"/>
      <c r="V12" s="131"/>
      <c r="Y12" s="145" t="s">
        <v>718</v>
      </c>
      <c r="Z12" s="145"/>
      <c r="AA12" s="145"/>
      <c r="AB12" s="145"/>
      <c r="AD12" s="253" t="s">
        <v>734</v>
      </c>
      <c r="AE12" s="253"/>
      <c r="AG12" s="130" t="s">
        <v>720</v>
      </c>
      <c r="AJ12" s="131"/>
      <c r="AL12" s="130" t="s">
        <v>719</v>
      </c>
      <c r="AN12" s="131"/>
    </row>
    <row r="13" spans="12:41">
      <c r="L13" s="145"/>
      <c r="M13" s="131"/>
      <c r="O13" s="46"/>
      <c r="P13" s="45"/>
      <c r="Q13" s="46"/>
      <c r="S13" s="176" t="s">
        <v>724</v>
      </c>
      <c r="V13" s="131"/>
      <c r="Y13" s="46"/>
      <c r="Z13" s="45"/>
      <c r="AA13" s="46"/>
      <c r="AB13" s="46"/>
      <c r="AD13" s="176" t="s">
        <v>724</v>
      </c>
      <c r="AG13" s="195"/>
      <c r="AJ13" s="131"/>
      <c r="AL13" s="198"/>
      <c r="AN13" s="131"/>
      <c r="AO13" s="145">
        <v>0</v>
      </c>
    </row>
    <row r="14" spans="12:41">
      <c r="L14" s="145"/>
      <c r="M14" s="131"/>
      <c r="O14" s="46"/>
      <c r="P14" s="46"/>
      <c r="Q14" s="46"/>
      <c r="S14" s="24"/>
      <c r="T14" s="24"/>
      <c r="V14" s="131"/>
      <c r="Y14" s="46"/>
      <c r="Z14" s="46"/>
      <c r="AA14" s="46"/>
      <c r="AB14" s="46"/>
      <c r="AD14" s="24"/>
      <c r="AE14" s="24"/>
      <c r="AG14" s="195"/>
      <c r="AJ14" s="131"/>
      <c r="AL14" s="198"/>
      <c r="AN14" s="131"/>
      <c r="AO14" s="145">
        <v>1</v>
      </c>
    </row>
    <row r="15" spans="12:41">
      <c r="L15" s="145"/>
      <c r="M15" s="131"/>
      <c r="O15" s="46"/>
      <c r="P15" s="46"/>
      <c r="Q15" s="46"/>
      <c r="S15" s="199"/>
      <c r="T15" s="199"/>
      <c r="V15" s="131"/>
      <c r="X15" s="252">
        <v>24</v>
      </c>
      <c r="Y15" s="46"/>
      <c r="Z15" s="46"/>
      <c r="AA15" s="46"/>
      <c r="AB15" s="46"/>
      <c r="AD15" s="199"/>
      <c r="AE15" s="199"/>
      <c r="AG15" s="195"/>
      <c r="AJ15" s="131"/>
      <c r="AL15" s="198"/>
      <c r="AN15" s="131"/>
      <c r="AO15" s="145"/>
    </row>
    <row r="16" spans="12:41">
      <c r="L16" s="145"/>
      <c r="M16" s="131"/>
      <c r="O16" s="46"/>
      <c r="P16" s="46"/>
      <c r="Q16" s="46"/>
      <c r="S16" s="199"/>
      <c r="T16" s="199"/>
      <c r="V16" s="131"/>
      <c r="X16" s="252"/>
      <c r="Y16" s="46"/>
      <c r="Z16" s="46"/>
      <c r="AA16" s="46"/>
      <c r="AB16" s="46"/>
      <c r="AD16" s="199"/>
      <c r="AE16" s="199"/>
      <c r="AG16" s="195"/>
      <c r="AJ16" s="131"/>
      <c r="AL16" s="198"/>
      <c r="AN16" s="131"/>
      <c r="AO16" s="145"/>
    </row>
    <row r="17" spans="12:41">
      <c r="L17" s="145"/>
      <c r="M17" s="131"/>
      <c r="O17" s="46"/>
      <c r="P17" s="46"/>
      <c r="Q17" s="46"/>
      <c r="S17" s="199"/>
      <c r="T17" s="199"/>
      <c r="V17" s="131"/>
      <c r="Y17" s="46"/>
      <c r="Z17" s="46"/>
      <c r="AA17" s="46"/>
      <c r="AB17" s="46"/>
      <c r="AD17" s="199"/>
      <c r="AE17" s="199"/>
      <c r="AG17" s="195"/>
      <c r="AJ17" s="131"/>
      <c r="AL17" s="198"/>
      <c r="AN17" s="131"/>
      <c r="AO17" s="145"/>
    </row>
    <row r="18" spans="12:41">
      <c r="L18" s="145"/>
      <c r="M18" s="131"/>
      <c r="O18" s="46"/>
      <c r="P18" s="46"/>
      <c r="Q18" s="46"/>
      <c r="S18" s="24"/>
      <c r="T18" s="24"/>
      <c r="V18" s="131"/>
      <c r="Y18" s="24"/>
      <c r="Z18" s="24"/>
      <c r="AA18" s="24"/>
      <c r="AB18" s="24"/>
      <c r="AD18" s="24"/>
      <c r="AE18" s="24"/>
      <c r="AG18" s="195"/>
      <c r="AJ18" s="131"/>
      <c r="AL18" s="198"/>
      <c r="AN18" s="131"/>
      <c r="AO18" s="145"/>
    </row>
    <row r="19" spans="12:41">
      <c r="L19" s="145"/>
      <c r="M19" s="131"/>
      <c r="S19" s="24" t="s">
        <v>769</v>
      </c>
      <c r="T19" s="24"/>
      <c r="V19" s="131"/>
      <c r="AD19" s="24" t="s">
        <v>770</v>
      </c>
      <c r="AE19" s="24"/>
      <c r="AJ19" s="131"/>
      <c r="AN19" s="131"/>
      <c r="AO19" s="145">
        <v>9</v>
      </c>
    </row>
    <row r="20" spans="12:41">
      <c r="L20" s="145"/>
      <c r="M20" s="131"/>
      <c r="O20" s="3" t="s">
        <v>768</v>
      </c>
      <c r="P20" s="145"/>
      <c r="V20" s="131"/>
      <c r="Y20" s="3" t="s">
        <v>771</v>
      </c>
      <c r="AG20" s="130">
        <f>7*7*64</f>
        <v>3136</v>
      </c>
      <c r="AJ20" s="131"/>
      <c r="AN20" s="131"/>
    </row>
    <row r="21" spans="12:41">
      <c r="L21" s="145"/>
      <c r="M21" s="131"/>
      <c r="O21" s="97"/>
      <c r="V21" s="131"/>
      <c r="Y21" s="97"/>
      <c r="AJ21" s="131"/>
    </row>
    <row r="22" spans="12:41">
      <c r="L22" s="145"/>
      <c r="M22" s="131"/>
      <c r="O22" s="97"/>
      <c r="V22" s="131"/>
      <c r="Y22" s="97"/>
      <c r="AJ22" s="131"/>
    </row>
    <row r="23" spans="12:41">
      <c r="L23" s="145"/>
      <c r="M23" s="131"/>
      <c r="O23" s="97"/>
      <c r="V23" s="131"/>
      <c r="Y23" s="97"/>
      <c r="AJ23" s="131"/>
    </row>
    <row r="24" spans="12:41">
      <c r="L24" s="145"/>
      <c r="M24" s="131"/>
      <c r="O24" s="97"/>
      <c r="V24" s="131"/>
      <c r="Y24" s="97"/>
      <c r="AJ24" s="131"/>
    </row>
    <row r="25" spans="12:41">
      <c r="M25" s="130">
        <v>32</v>
      </c>
      <c r="O25" s="201"/>
      <c r="V25" s="130">
        <v>64</v>
      </c>
      <c r="Y25" s="201"/>
      <c r="AJ25" s="145">
        <v>100</v>
      </c>
      <c r="AN25" s="145">
        <v>10</v>
      </c>
    </row>
    <row r="26" spans="12:41">
      <c r="M26" s="145"/>
      <c r="N26" s="145"/>
      <c r="O26" s="145"/>
      <c r="P26" s="145"/>
      <c r="Q26" s="145"/>
    </row>
    <row r="27" spans="12:41">
      <c r="M27" s="145"/>
      <c r="N27" s="145"/>
      <c r="O27" s="145"/>
      <c r="P27" s="145"/>
      <c r="Q27" s="145"/>
      <c r="V27" s="130" t="s">
        <v>740</v>
      </c>
      <c r="AH27" s="130">
        <f>AG20 * AJ25</f>
        <v>313600</v>
      </c>
      <c r="AJ27" s="130">
        <v>100</v>
      </c>
      <c r="AM27" s="130">
        <f>100*10</f>
        <v>1000</v>
      </c>
      <c r="AO27" s="130">
        <f>1*AN25</f>
        <v>10</v>
      </c>
    </row>
    <row r="28" spans="12:41">
      <c r="L28" s="145"/>
      <c r="M28" s="145"/>
      <c r="O28" s="145" t="s">
        <v>743</v>
      </c>
      <c r="P28" s="145"/>
      <c r="Q28" s="145">
        <f>32 * 9</f>
        <v>288</v>
      </c>
    </row>
    <row r="29" spans="12:41">
      <c r="V29" s="130">
        <f>288*64</f>
        <v>18432</v>
      </c>
      <c r="AI29" s="130">
        <f>AH27+AJ27</f>
        <v>313700</v>
      </c>
      <c r="AN29" s="130">
        <f>AM27+AO27</f>
        <v>1010</v>
      </c>
    </row>
    <row r="30" spans="12:41">
      <c r="O30" s="253"/>
      <c r="P30" s="253"/>
      <c r="V30" s="130">
        <v>64</v>
      </c>
    </row>
    <row r="32" spans="12:41">
      <c r="V32" s="95">
        <f>V29+V30</f>
        <v>18496</v>
      </c>
      <c r="AN32" s="95">
        <f>AI29+AN29</f>
        <v>314710</v>
      </c>
    </row>
    <row r="33" spans="1:36">
      <c r="C33" s="130" t="s">
        <v>721</v>
      </c>
      <c r="E33" s="130" t="s">
        <v>722</v>
      </c>
    </row>
    <row r="35" spans="1:36">
      <c r="A35" s="130">
        <v>1</v>
      </c>
      <c r="B35" s="44"/>
      <c r="C35" s="44"/>
      <c r="D35" s="44"/>
      <c r="AH35" s="130" t="s">
        <v>744</v>
      </c>
      <c r="AJ35" s="95">
        <f>V32+AN32+AA3</f>
        <v>333526</v>
      </c>
    </row>
    <row r="36" spans="1:36">
      <c r="B36" s="44"/>
      <c r="C36" s="44"/>
      <c r="D36" s="44"/>
    </row>
    <row r="37" spans="1:36">
      <c r="B37" s="44"/>
      <c r="C37" s="44"/>
      <c r="D37" s="44"/>
    </row>
    <row r="38" spans="1:36">
      <c r="B38" s="44"/>
      <c r="C38" s="44"/>
      <c r="D38" s="44"/>
    </row>
    <row r="39" spans="1:36">
      <c r="B39" s="44"/>
      <c r="C39" s="44"/>
      <c r="D39" s="44"/>
    </row>
    <row r="40" spans="1:36">
      <c r="M40" s="202" t="s">
        <v>753</v>
      </c>
      <c r="S40" s="202" t="s">
        <v>745</v>
      </c>
    </row>
    <row r="41" spans="1:36">
      <c r="A41" s="130">
        <v>2</v>
      </c>
      <c r="B41" s="44"/>
      <c r="C41" s="44"/>
      <c r="D41" s="44"/>
      <c r="M41" s="202" t="s">
        <v>754</v>
      </c>
      <c r="S41" s="202" t="s">
        <v>746</v>
      </c>
    </row>
    <row r="42" spans="1:36">
      <c r="B42" s="44"/>
      <c r="C42" s="44"/>
      <c r="D42" s="44"/>
      <c r="M42" s="202" t="s">
        <v>755</v>
      </c>
      <c r="S42" s="202" t="s">
        <v>747</v>
      </c>
    </row>
    <row r="43" spans="1:36">
      <c r="B43" s="44"/>
      <c r="C43" s="44"/>
      <c r="D43" s="44"/>
      <c r="M43" s="202" t="s">
        <v>756</v>
      </c>
      <c r="S43" s="202" t="s">
        <v>748</v>
      </c>
    </row>
    <row r="44" spans="1:36">
      <c r="B44" s="44"/>
      <c r="C44" s="44"/>
      <c r="D44" s="44"/>
      <c r="M44" s="202" t="s">
        <v>748</v>
      </c>
      <c r="S44" s="202" t="s">
        <v>749</v>
      </c>
    </row>
    <row r="45" spans="1:36">
      <c r="B45" s="44"/>
      <c r="C45" s="44"/>
      <c r="D45" s="44"/>
      <c r="M45" s="202" t="s">
        <v>749</v>
      </c>
      <c r="S45" s="202" t="s">
        <v>750</v>
      </c>
    </row>
    <row r="46" spans="1:36">
      <c r="M46" s="202" t="s">
        <v>757</v>
      </c>
      <c r="S46" s="202" t="s">
        <v>751</v>
      </c>
    </row>
    <row r="47" spans="1:36">
      <c r="M47" s="202" t="s">
        <v>758</v>
      </c>
      <c r="S47" s="202" t="s">
        <v>752</v>
      </c>
    </row>
    <row r="48" spans="1:36">
      <c r="M48" s="202" t="s">
        <v>759</v>
      </c>
    </row>
    <row r="49" spans="1:13">
      <c r="M49" s="202" t="s">
        <v>760</v>
      </c>
    </row>
    <row r="50" spans="1:13">
      <c r="M50" s="202" t="s">
        <v>761</v>
      </c>
    </row>
    <row r="51" spans="1:13">
      <c r="A51" s="130">
        <v>60000</v>
      </c>
      <c r="B51" s="44"/>
      <c r="C51" s="44"/>
      <c r="D51" s="44"/>
      <c r="M51" s="202" t="s">
        <v>762</v>
      </c>
    </row>
    <row r="52" spans="1:13">
      <c r="B52" s="44"/>
      <c r="C52" s="44"/>
      <c r="D52" s="44"/>
      <c r="M52" s="202" t="s">
        <v>763</v>
      </c>
    </row>
    <row r="53" spans="1:13">
      <c r="B53" s="44"/>
      <c r="C53" s="44"/>
      <c r="D53" s="44"/>
      <c r="M53" s="202" t="s">
        <v>764</v>
      </c>
    </row>
    <row r="54" spans="1:13">
      <c r="B54" s="44"/>
      <c r="C54" s="44"/>
      <c r="D54" s="44"/>
      <c r="M54" s="202" t="s">
        <v>765</v>
      </c>
    </row>
    <row r="55" spans="1:13">
      <c r="B55" s="44"/>
      <c r="C55" s="44"/>
      <c r="D55" s="44"/>
      <c r="M55" s="202" t="s">
        <v>766</v>
      </c>
    </row>
    <row r="56" spans="1:13">
      <c r="M56" s="202" t="s">
        <v>767</v>
      </c>
    </row>
    <row r="57" spans="1:13">
      <c r="M57" s="202" t="s">
        <v>751</v>
      </c>
    </row>
    <row r="58" spans="1:13">
      <c r="M58" s="202" t="s">
        <v>752</v>
      </c>
    </row>
    <row r="62" spans="1:13" s="131" customFormat="1">
      <c r="B62" s="131" t="s">
        <v>772</v>
      </c>
    </row>
    <row r="64" spans="1:13">
      <c r="B64" s="130" t="s">
        <v>773</v>
      </c>
    </row>
    <row r="65" spans="2:5">
      <c r="B65" s="130" t="s">
        <v>774</v>
      </c>
      <c r="E65" s="130" t="s">
        <v>775</v>
      </c>
    </row>
  </sheetData>
  <mergeCells count="6">
    <mergeCell ref="X15:X16"/>
    <mergeCell ref="O30:P30"/>
    <mergeCell ref="AD12:AE12"/>
    <mergeCell ref="O5:Q5"/>
    <mergeCell ref="S12:T12"/>
    <mergeCell ref="O12:Q12"/>
  </mergeCells>
  <phoneticPr fontId="5" type="noConversion"/>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78"/>
  <sheetViews>
    <sheetView topLeftCell="H38" zoomScale="115" zoomScaleNormal="115" workbookViewId="0">
      <selection activeCell="Q59" sqref="Q59"/>
    </sheetView>
  </sheetViews>
  <sheetFormatPr defaultRowHeight="16.5"/>
  <cols>
    <col min="2" max="2" width="4.625" customWidth="1"/>
    <col min="3" max="3" width="4.625" style="130" customWidth="1"/>
    <col min="4" max="19" width="4.625" customWidth="1"/>
  </cols>
  <sheetData>
    <row r="1" spans="2:17">
      <c r="B1" t="s">
        <v>796</v>
      </c>
      <c r="D1" t="s">
        <v>795</v>
      </c>
    </row>
    <row r="2" spans="2:17">
      <c r="B2" t="s">
        <v>776</v>
      </c>
      <c r="D2" t="s">
        <v>777</v>
      </c>
    </row>
    <row r="4" spans="2:17">
      <c r="B4" s="197"/>
      <c r="C4" s="197" t="s">
        <v>794</v>
      </c>
      <c r="D4" s="197" t="s">
        <v>781</v>
      </c>
      <c r="E4" s="197" t="s">
        <v>797</v>
      </c>
      <c r="F4" s="197" t="s">
        <v>782</v>
      </c>
      <c r="G4" s="197" t="s">
        <v>783</v>
      </c>
      <c r="H4" s="197" t="s">
        <v>788</v>
      </c>
      <c r="I4" s="197" t="s">
        <v>784</v>
      </c>
      <c r="J4" s="197" t="s">
        <v>785</v>
      </c>
      <c r="K4" s="197" t="s">
        <v>786</v>
      </c>
      <c r="L4" s="197" t="s">
        <v>787</v>
      </c>
      <c r="M4" s="197" t="s">
        <v>789</v>
      </c>
      <c r="N4" s="197" t="s">
        <v>790</v>
      </c>
      <c r="O4" s="197" t="s">
        <v>791</v>
      </c>
      <c r="P4" s="204" t="s">
        <v>793</v>
      </c>
      <c r="Q4" s="204" t="s">
        <v>792</v>
      </c>
    </row>
    <row r="5" spans="2:17">
      <c r="B5" s="197" t="s">
        <v>778</v>
      </c>
      <c r="C5" s="197">
        <v>1</v>
      </c>
      <c r="D5" s="197">
        <v>1</v>
      </c>
      <c r="E5" s="197">
        <v>1</v>
      </c>
      <c r="F5" s="197">
        <v>1</v>
      </c>
      <c r="G5" s="197">
        <v>1</v>
      </c>
      <c r="H5" s="197">
        <v>1</v>
      </c>
      <c r="I5" s="197">
        <v>0</v>
      </c>
      <c r="J5" s="197">
        <v>0</v>
      </c>
      <c r="K5" s="197">
        <v>0</v>
      </c>
      <c r="L5" s="197">
        <v>0</v>
      </c>
      <c r="M5" s="197">
        <v>0</v>
      </c>
      <c r="N5" s="197">
        <v>0</v>
      </c>
      <c r="O5" s="197">
        <v>0</v>
      </c>
      <c r="P5" s="197">
        <v>0</v>
      </c>
      <c r="Q5" s="197">
        <v>0</v>
      </c>
    </row>
    <row r="6" spans="2:17">
      <c r="B6" s="197" t="s">
        <v>779</v>
      </c>
      <c r="C6" s="197">
        <v>0</v>
      </c>
      <c r="D6" s="197">
        <v>1</v>
      </c>
      <c r="E6" s="197">
        <v>0</v>
      </c>
      <c r="F6" s="197">
        <v>0</v>
      </c>
      <c r="G6" s="197">
        <v>0</v>
      </c>
      <c r="H6" s="197">
        <v>0</v>
      </c>
      <c r="I6" s="197">
        <v>1</v>
      </c>
      <c r="J6" s="197">
        <v>1</v>
      </c>
      <c r="K6" s="197">
        <v>1</v>
      </c>
      <c r="L6" s="197">
        <v>1</v>
      </c>
      <c r="M6" s="197">
        <v>0</v>
      </c>
      <c r="N6" s="197">
        <v>0</v>
      </c>
      <c r="O6" s="197">
        <v>0</v>
      </c>
      <c r="P6" s="197">
        <v>0</v>
      </c>
      <c r="Q6" s="197">
        <v>0</v>
      </c>
    </row>
    <row r="7" spans="2:17">
      <c r="B7" s="197" t="s">
        <v>780</v>
      </c>
      <c r="C7" s="197">
        <v>0</v>
      </c>
      <c r="D7" s="197">
        <v>0</v>
      </c>
      <c r="E7" s="197">
        <v>0</v>
      </c>
      <c r="F7" s="197">
        <v>0</v>
      </c>
      <c r="G7" s="197">
        <v>0</v>
      </c>
      <c r="H7" s="197">
        <v>0</v>
      </c>
      <c r="I7" s="197">
        <v>0</v>
      </c>
      <c r="J7" s="197">
        <v>0</v>
      </c>
      <c r="K7" s="197">
        <v>1</v>
      </c>
      <c r="L7" s="197">
        <v>0</v>
      </c>
      <c r="M7" s="197">
        <v>1</v>
      </c>
      <c r="N7" s="197">
        <v>1</v>
      </c>
      <c r="O7" s="197">
        <v>1</v>
      </c>
      <c r="P7" s="197">
        <v>1</v>
      </c>
      <c r="Q7" s="197">
        <v>1</v>
      </c>
    </row>
    <row r="8" spans="2:17">
      <c r="B8" s="162"/>
      <c r="C8" s="162"/>
      <c r="D8" s="162"/>
      <c r="E8" s="162">
        <v>2</v>
      </c>
      <c r="F8" s="162"/>
      <c r="G8" s="162"/>
      <c r="H8" s="162"/>
      <c r="I8" s="162"/>
      <c r="J8" s="162"/>
      <c r="K8" s="162">
        <v>2</v>
      </c>
      <c r="L8" s="162"/>
      <c r="M8" s="162"/>
    </row>
    <row r="10" spans="2:17" s="131" customFormat="1">
      <c r="B10" s="131" t="s">
        <v>798</v>
      </c>
    </row>
    <row r="12" spans="2:17">
      <c r="B12" s="205" t="s">
        <v>799</v>
      </c>
    </row>
    <row r="14" spans="2:17">
      <c r="B14" s="194" t="s">
        <v>800</v>
      </c>
    </row>
    <row r="15" spans="2:17">
      <c r="B15" s="194" t="s">
        <v>801</v>
      </c>
    </row>
    <row r="16" spans="2:17">
      <c r="B16" s="194" t="s">
        <v>802</v>
      </c>
    </row>
    <row r="17" spans="2:5">
      <c r="B17" s="194" t="s">
        <v>803</v>
      </c>
      <c r="D17" s="28" t="s">
        <v>804</v>
      </c>
    </row>
    <row r="19" spans="2:5">
      <c r="B19" s="205" t="s">
        <v>805</v>
      </c>
    </row>
    <row r="20" spans="2:5">
      <c r="B20" s="205" t="s">
        <v>807</v>
      </c>
    </row>
    <row r="22" spans="2:5">
      <c r="B22" s="194" t="s">
        <v>806</v>
      </c>
      <c r="E22" s="28" t="s">
        <v>811</v>
      </c>
    </row>
    <row r="23" spans="2:5" s="130" customFormat="1">
      <c r="B23" s="194"/>
      <c r="E23" s="28"/>
    </row>
    <row r="24" spans="2:5">
      <c r="B24" s="194" t="s">
        <v>808</v>
      </c>
    </row>
    <row r="25" spans="2:5">
      <c r="B25" s="194" t="s">
        <v>809</v>
      </c>
    </row>
    <row r="26" spans="2:5">
      <c r="B26" s="194" t="s">
        <v>810</v>
      </c>
    </row>
    <row r="28" spans="2:5">
      <c r="B28" s="28"/>
    </row>
    <row r="35" spans="2:20">
      <c r="B35" t="s">
        <v>812</v>
      </c>
    </row>
    <row r="36" spans="2:20">
      <c r="B36" t="s">
        <v>813</v>
      </c>
    </row>
    <row r="38" spans="2:20">
      <c r="B38" t="s">
        <v>814</v>
      </c>
    </row>
    <row r="40" spans="2:20">
      <c r="C40" s="104"/>
      <c r="D40" s="206"/>
      <c r="E40" s="104"/>
      <c r="F40" s="104"/>
      <c r="G40" s="104"/>
      <c r="H40" s="104"/>
      <c r="I40" s="104"/>
      <c r="J40" s="104"/>
      <c r="K40" s="104"/>
      <c r="L40" s="104"/>
      <c r="M40" s="104"/>
      <c r="N40" s="104"/>
      <c r="O40" s="104"/>
      <c r="P40" s="104"/>
      <c r="Q40" s="104"/>
      <c r="R40" s="104"/>
    </row>
    <row r="42" spans="2:20">
      <c r="C42" s="104"/>
      <c r="D42" s="207"/>
      <c r="E42" s="104"/>
      <c r="F42" s="104"/>
      <c r="G42" s="104"/>
      <c r="H42" s="104"/>
      <c r="I42" s="104"/>
      <c r="J42" s="104"/>
      <c r="K42" s="104"/>
      <c r="L42" s="104"/>
      <c r="M42" s="104"/>
      <c r="N42" s="104"/>
      <c r="O42" s="206"/>
      <c r="P42" s="104"/>
      <c r="Q42" s="104"/>
      <c r="R42" s="104"/>
      <c r="T42" t="s">
        <v>815</v>
      </c>
    </row>
    <row r="44" spans="2:20">
      <c r="C44" s="104"/>
      <c r="D44" s="104"/>
      <c r="E44" s="104"/>
      <c r="F44" s="104"/>
      <c r="G44" s="104"/>
      <c r="H44" s="104"/>
      <c r="I44" s="206"/>
      <c r="J44" s="104"/>
      <c r="K44" s="104"/>
      <c r="L44" s="104"/>
      <c r="M44" s="104"/>
      <c r="N44" s="104"/>
      <c r="O44" s="104"/>
      <c r="P44" s="104"/>
      <c r="Q44" s="104"/>
      <c r="R44" s="104"/>
    </row>
    <row r="48" spans="2:20">
      <c r="C48" s="104"/>
      <c r="D48" s="208"/>
      <c r="E48" s="206"/>
      <c r="F48" s="208"/>
      <c r="I48" s="194" t="s">
        <v>832</v>
      </c>
    </row>
    <row r="49" spans="3:22">
      <c r="V49" s="209" t="s">
        <v>818</v>
      </c>
    </row>
    <row r="50" spans="3:22">
      <c r="C50" s="104"/>
      <c r="D50" s="208"/>
      <c r="E50" s="104"/>
      <c r="F50" s="208"/>
      <c r="I50" s="194" t="s">
        <v>833</v>
      </c>
      <c r="T50" t="s">
        <v>816</v>
      </c>
      <c r="V50" s="210" t="s">
        <v>817</v>
      </c>
    </row>
    <row r="51" spans="3:22">
      <c r="I51" s="194" t="s">
        <v>369</v>
      </c>
    </row>
    <row r="52" spans="3:22">
      <c r="C52" s="206"/>
      <c r="D52" s="208"/>
      <c r="E52" s="104"/>
      <c r="F52" s="208"/>
      <c r="I52" s="194" t="s">
        <v>838</v>
      </c>
    </row>
    <row r="66" spans="2:26" s="131" customFormat="1">
      <c r="B66" s="131" t="s">
        <v>819</v>
      </c>
    </row>
    <row r="68" spans="2:26">
      <c r="C68" s="219" t="s">
        <v>820</v>
      </c>
      <c r="U68" s="202" t="s">
        <v>821</v>
      </c>
    </row>
    <row r="69" spans="2:26">
      <c r="C69" s="219" t="s">
        <v>834</v>
      </c>
      <c r="U69" s="211" t="s">
        <v>822</v>
      </c>
      <c r="Z69" s="212" t="s">
        <v>830</v>
      </c>
    </row>
    <row r="70" spans="2:26">
      <c r="C70" s="219" t="s">
        <v>835</v>
      </c>
      <c r="U70" s="211" t="s">
        <v>823</v>
      </c>
      <c r="Z70" s="212" t="s">
        <v>831</v>
      </c>
    </row>
    <row r="71" spans="2:26">
      <c r="C71" s="219" t="s">
        <v>836</v>
      </c>
      <c r="U71" s="202" t="s">
        <v>824</v>
      </c>
    </row>
    <row r="72" spans="2:26">
      <c r="C72" s="219" t="s">
        <v>837</v>
      </c>
      <c r="U72" s="202" t="s">
        <v>825</v>
      </c>
    </row>
    <row r="73" spans="2:26">
      <c r="U73" s="202" t="s">
        <v>826</v>
      </c>
    </row>
    <row r="74" spans="2:26">
      <c r="U74" s="202" t="s">
        <v>827</v>
      </c>
    </row>
    <row r="75" spans="2:26">
      <c r="U75" s="202" t="s">
        <v>828</v>
      </c>
    </row>
    <row r="76" spans="2:26">
      <c r="U76" s="202" t="s">
        <v>829</v>
      </c>
    </row>
    <row r="77" spans="2:26">
      <c r="U77" s="202" t="s">
        <v>751</v>
      </c>
    </row>
    <row r="78" spans="2:26">
      <c r="U78" s="202" t="s">
        <v>752</v>
      </c>
    </row>
  </sheetData>
  <phoneticPr fontId="5" type="noConversion"/>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U35"/>
  <sheetViews>
    <sheetView zoomScale="70" zoomScaleNormal="70" workbookViewId="0">
      <selection activeCell="Y23" sqref="Y23"/>
    </sheetView>
  </sheetViews>
  <sheetFormatPr defaultRowHeight="16.5"/>
  <cols>
    <col min="13" max="14" width="9" style="213"/>
  </cols>
  <sheetData>
    <row r="3" spans="1:1">
      <c r="A3" t="s">
        <v>839</v>
      </c>
    </row>
    <row r="4" spans="1:1">
      <c r="A4" t="s">
        <v>840</v>
      </c>
    </row>
    <row r="5" spans="1:1" s="213" customFormat="1"/>
    <row r="6" spans="1:1" s="213" customFormat="1">
      <c r="A6" s="194" t="s">
        <v>843</v>
      </c>
    </row>
    <row r="7" spans="1:1" s="213" customFormat="1">
      <c r="A7" s="213" t="s">
        <v>842</v>
      </c>
    </row>
    <row r="9" spans="1:1">
      <c r="A9" t="s">
        <v>841</v>
      </c>
    </row>
    <row r="11" spans="1:1">
      <c r="A11" t="s">
        <v>801</v>
      </c>
    </row>
    <row r="12" spans="1:1">
      <c r="A12" t="s">
        <v>844</v>
      </c>
    </row>
    <row r="13" spans="1:1">
      <c r="A13" t="s">
        <v>845</v>
      </c>
    </row>
    <row r="22" spans="1:21">
      <c r="G22" t="s">
        <v>862</v>
      </c>
      <c r="K22" t="s">
        <v>848</v>
      </c>
      <c r="O22" t="s">
        <v>849</v>
      </c>
    </row>
    <row r="23" spans="1:21">
      <c r="A23" t="s">
        <v>846</v>
      </c>
    </row>
    <row r="24" spans="1:21">
      <c r="A24" t="s">
        <v>808</v>
      </c>
      <c r="G24">
        <v>21</v>
      </c>
      <c r="O24" t="s">
        <v>857</v>
      </c>
    </row>
    <row r="26" spans="1:21">
      <c r="B26" t="s">
        <v>847</v>
      </c>
      <c r="F26" t="s">
        <v>850</v>
      </c>
      <c r="K26" t="s">
        <v>852</v>
      </c>
      <c r="O26" s="214"/>
    </row>
    <row r="27" spans="1:21">
      <c r="F27" s="215">
        <v>0</v>
      </c>
      <c r="G27" s="215">
        <v>1</v>
      </c>
      <c r="H27" s="215"/>
      <c r="I27" s="215"/>
      <c r="J27" s="215" t="s">
        <v>854</v>
      </c>
      <c r="K27" s="215">
        <v>20</v>
      </c>
      <c r="M27" s="213" t="s">
        <v>863</v>
      </c>
      <c r="O27" s="214"/>
      <c r="R27" t="s">
        <v>864</v>
      </c>
    </row>
    <row r="28" spans="1:21">
      <c r="E28" t="s">
        <v>851</v>
      </c>
      <c r="F28" s="217">
        <v>0</v>
      </c>
      <c r="G28" s="217">
        <v>0</v>
      </c>
      <c r="H28" s="217">
        <v>1</v>
      </c>
      <c r="I28" s="217">
        <v>0</v>
      </c>
      <c r="J28" s="217">
        <v>0</v>
      </c>
      <c r="K28" s="217">
        <v>0</v>
      </c>
      <c r="M28" s="213" t="s">
        <v>858</v>
      </c>
      <c r="O28" s="214"/>
      <c r="R28" s="218"/>
      <c r="U28" t="s">
        <v>865</v>
      </c>
    </row>
    <row r="29" spans="1:21">
      <c r="E29" t="s">
        <v>853</v>
      </c>
      <c r="F29" s="217">
        <v>0</v>
      </c>
      <c r="G29" s="217">
        <v>0</v>
      </c>
      <c r="H29" s="217">
        <v>0</v>
      </c>
      <c r="I29" s="217">
        <v>0</v>
      </c>
      <c r="J29" s="217">
        <v>1</v>
      </c>
      <c r="K29" s="217">
        <v>0</v>
      </c>
      <c r="M29" s="213" t="s">
        <v>859</v>
      </c>
      <c r="O29" s="214"/>
      <c r="R29" s="218"/>
      <c r="U29" s="214"/>
    </row>
    <row r="30" spans="1:21">
      <c r="E30" s="263" t="s">
        <v>856</v>
      </c>
      <c r="F30" s="217"/>
      <c r="G30" s="217"/>
      <c r="H30" s="217"/>
      <c r="I30" s="217"/>
      <c r="J30" s="217"/>
      <c r="K30" s="217"/>
      <c r="M30" s="213" t="s">
        <v>860</v>
      </c>
      <c r="O30" s="214"/>
      <c r="R30" s="218"/>
      <c r="U30" s="214"/>
    </row>
    <row r="31" spans="1:21">
      <c r="E31" s="263"/>
      <c r="F31" s="217"/>
      <c r="G31" s="217"/>
      <c r="H31" s="217"/>
      <c r="I31" s="217"/>
      <c r="J31" s="217"/>
      <c r="K31" s="217"/>
      <c r="M31" s="213" t="s">
        <v>861</v>
      </c>
      <c r="O31" s="214"/>
      <c r="R31" s="218"/>
    </row>
    <row r="32" spans="1:21">
      <c r="E32" s="263"/>
      <c r="F32" s="217"/>
      <c r="G32" s="217"/>
      <c r="H32" s="217"/>
      <c r="I32" s="217"/>
      <c r="J32" s="217"/>
      <c r="K32" s="217"/>
      <c r="O32" s="214"/>
    </row>
    <row r="33" spans="5:15">
      <c r="E33" s="216" t="s">
        <v>855</v>
      </c>
      <c r="F33" s="217">
        <v>0</v>
      </c>
      <c r="G33" s="217">
        <v>1</v>
      </c>
      <c r="H33" s="217">
        <v>0</v>
      </c>
      <c r="I33" s="217">
        <v>0</v>
      </c>
      <c r="J33" s="217">
        <v>0</v>
      </c>
      <c r="K33" s="217">
        <v>0</v>
      </c>
      <c r="O33" s="214"/>
    </row>
    <row r="34" spans="5:15">
      <c r="O34" s="214"/>
    </row>
    <row r="35" spans="5:15">
      <c r="O35" s="214"/>
    </row>
  </sheetData>
  <mergeCells count="1">
    <mergeCell ref="E30:E32"/>
  </mergeCells>
  <phoneticPr fontId="5"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8"/>
  <sheetViews>
    <sheetView zoomScale="115" zoomScaleNormal="115" workbookViewId="0">
      <selection activeCell="B2" sqref="B2:N15"/>
    </sheetView>
  </sheetViews>
  <sheetFormatPr defaultRowHeight="16.5"/>
  <cols>
    <col min="1" max="1" width="4.125" customWidth="1"/>
    <col min="2" max="13" width="2.75" customWidth="1"/>
    <col min="14" max="14" width="2.625" customWidth="1"/>
    <col min="15" max="15" width="8.625" customWidth="1"/>
  </cols>
  <sheetData>
    <row r="1" spans="1:20">
      <c r="A1" t="s">
        <v>127</v>
      </c>
    </row>
    <row r="2" spans="1:20">
      <c r="G2" s="11" t="s">
        <v>38</v>
      </c>
      <c r="H2" s="10"/>
    </row>
    <row r="3" spans="1:20">
      <c r="G3" s="11"/>
      <c r="H3" s="10"/>
    </row>
    <row r="4" spans="1:20">
      <c r="G4" s="11"/>
      <c r="H4" s="10"/>
      <c r="Q4" s="14"/>
      <c r="R4" s="14"/>
      <c r="S4" s="14"/>
      <c r="T4" s="14"/>
    </row>
    <row r="5" spans="1:20">
      <c r="G5" s="11"/>
      <c r="H5" s="10"/>
      <c r="Q5" s="14"/>
      <c r="R5" s="14"/>
      <c r="S5" s="14"/>
      <c r="T5" s="14"/>
    </row>
    <row r="6" spans="1:20">
      <c r="G6" s="11"/>
      <c r="H6" s="10"/>
    </row>
    <row r="7" spans="1:20">
      <c r="G7" s="11"/>
      <c r="H7" s="10"/>
    </row>
    <row r="8" spans="1:20" ht="17.25" thickBot="1">
      <c r="C8" s="12"/>
      <c r="D8" s="12"/>
      <c r="E8" s="12"/>
      <c r="F8" s="12"/>
      <c r="G8" s="13"/>
      <c r="H8" s="12"/>
      <c r="I8" s="12"/>
      <c r="J8" s="12"/>
      <c r="K8" s="12"/>
      <c r="L8" s="12"/>
      <c r="M8" s="12"/>
      <c r="N8" s="10"/>
    </row>
    <row r="9" spans="1:20" ht="17.25" thickTop="1">
      <c r="G9" s="11"/>
      <c r="H9" s="10"/>
      <c r="M9" t="s">
        <v>37</v>
      </c>
    </row>
    <row r="10" spans="1:20">
      <c r="G10" s="11"/>
      <c r="H10" s="10"/>
    </row>
    <row r="11" spans="1:20">
      <c r="G11" s="11"/>
      <c r="H11" s="10"/>
    </row>
    <row r="12" spans="1:20">
      <c r="G12" s="11"/>
      <c r="H12" s="10"/>
    </row>
    <row r="13" spans="1:20">
      <c r="G13" s="11"/>
      <c r="H13" s="10"/>
    </row>
    <row r="14" spans="1:20">
      <c r="G14" s="11"/>
      <c r="H14" s="10"/>
    </row>
    <row r="15" spans="1:20">
      <c r="G15" s="11"/>
      <c r="H15" s="10"/>
    </row>
    <row r="18" spans="3:20">
      <c r="G18" s="11" t="s">
        <v>38</v>
      </c>
      <c r="H18" s="10"/>
    </row>
    <row r="19" spans="3:20">
      <c r="G19" s="11"/>
      <c r="H19" s="10"/>
    </row>
    <row r="20" spans="3:20">
      <c r="G20" s="11"/>
      <c r="H20" s="10"/>
      <c r="Q20" s="14"/>
      <c r="R20" s="14"/>
      <c r="S20" s="14"/>
      <c r="T20" s="14"/>
    </row>
    <row r="21" spans="3:20">
      <c r="G21" s="11"/>
      <c r="H21" s="10"/>
      <c r="Q21" s="14"/>
      <c r="R21" s="15"/>
      <c r="S21" s="15"/>
      <c r="T21" s="15"/>
    </row>
    <row r="22" spans="3:20">
      <c r="G22" s="11"/>
      <c r="H22" s="10"/>
    </row>
    <row r="23" spans="3:20">
      <c r="G23" s="11"/>
      <c r="H23" s="10"/>
    </row>
    <row r="24" spans="3:20" ht="17.25" thickBot="1">
      <c r="C24" s="12"/>
      <c r="D24" s="12"/>
      <c r="E24" s="12"/>
      <c r="F24" s="12"/>
      <c r="G24" s="13"/>
      <c r="H24" s="12"/>
      <c r="I24" s="12"/>
      <c r="J24" s="12"/>
      <c r="K24" s="12"/>
      <c r="L24" s="12"/>
      <c r="M24" s="12"/>
      <c r="N24" s="10"/>
    </row>
    <row r="25" spans="3:20" ht="17.25" thickTop="1">
      <c r="G25" s="11"/>
      <c r="H25" s="10"/>
      <c r="M25" t="s">
        <v>37</v>
      </c>
    </row>
    <row r="26" spans="3:20">
      <c r="G26" s="11"/>
      <c r="H26" s="10"/>
    </row>
    <row r="27" spans="3:20">
      <c r="G27" s="11"/>
      <c r="H27" s="10"/>
    </row>
    <row r="28" spans="3:20">
      <c r="G28" s="11"/>
      <c r="H28" s="10"/>
    </row>
    <row r="29" spans="3:20">
      <c r="G29" s="11"/>
      <c r="H29" s="10"/>
    </row>
    <row r="30" spans="3:20">
      <c r="G30" s="11"/>
      <c r="H30" s="10"/>
    </row>
    <row r="31" spans="3:20">
      <c r="G31" s="11"/>
      <c r="H31" s="10"/>
    </row>
    <row r="35" spans="3:14">
      <c r="G35" s="11" t="s">
        <v>38</v>
      </c>
      <c r="H35" s="10"/>
    </row>
    <row r="36" spans="3:14">
      <c r="G36" s="11"/>
      <c r="H36" s="10"/>
    </row>
    <row r="37" spans="3:14">
      <c r="G37" s="11"/>
      <c r="H37" s="10"/>
    </row>
    <row r="38" spans="3:14">
      <c r="G38" s="11"/>
      <c r="H38" s="10"/>
    </row>
    <row r="39" spans="3:14">
      <c r="G39" s="11"/>
      <c r="H39" s="10"/>
    </row>
    <row r="40" spans="3:14">
      <c r="G40" s="11"/>
      <c r="H40" s="10"/>
    </row>
    <row r="41" spans="3:14" ht="17.25" thickBot="1">
      <c r="C41" s="12"/>
      <c r="D41" s="12"/>
      <c r="E41" s="12"/>
      <c r="F41" s="12"/>
      <c r="G41" s="13"/>
      <c r="H41" s="12"/>
      <c r="I41" s="12"/>
      <c r="J41" s="12"/>
      <c r="K41" s="12"/>
      <c r="L41" s="12"/>
      <c r="M41" s="12"/>
      <c r="N41" s="10"/>
    </row>
    <row r="42" spans="3:14" ht="17.25" thickTop="1">
      <c r="G42" s="11"/>
      <c r="H42" s="10"/>
      <c r="M42" t="s">
        <v>37</v>
      </c>
    </row>
    <row r="43" spans="3:14">
      <c r="G43" s="11"/>
      <c r="H43" s="10"/>
    </row>
    <row r="44" spans="3:14">
      <c r="G44" s="11"/>
      <c r="H44" s="10"/>
    </row>
    <row r="45" spans="3:14">
      <c r="G45" s="11"/>
      <c r="H45" s="10"/>
    </row>
    <row r="46" spans="3:14">
      <c r="G46" s="11"/>
      <c r="H46" s="10"/>
    </row>
    <row r="47" spans="3:14">
      <c r="G47" s="11"/>
      <c r="H47" s="10"/>
    </row>
    <row r="48" spans="3:14">
      <c r="G48" s="11"/>
      <c r="H48" s="10"/>
    </row>
  </sheetData>
  <phoneticPr fontId="5" type="noConversion"/>
  <pageMargins left="0.7" right="0.7" top="0.75" bottom="0.75" header="0.3" footer="0.3"/>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S62"/>
  <sheetViews>
    <sheetView topLeftCell="A29" zoomScale="85" zoomScaleNormal="85" workbookViewId="0">
      <selection activeCell="K51" sqref="K51"/>
    </sheetView>
  </sheetViews>
  <sheetFormatPr defaultRowHeight="16.5"/>
  <cols>
    <col min="6" max="6" width="17.875" customWidth="1"/>
  </cols>
  <sheetData>
    <row r="3" spans="1:14">
      <c r="B3" t="s">
        <v>866</v>
      </c>
      <c r="F3" t="s">
        <v>870</v>
      </c>
      <c r="G3">
        <v>11228</v>
      </c>
    </row>
    <row r="5" spans="1:14">
      <c r="B5" t="s">
        <v>867</v>
      </c>
    </row>
    <row r="6" spans="1:14">
      <c r="B6" t="s">
        <v>868</v>
      </c>
    </row>
    <row r="8" spans="1:14">
      <c r="B8" s="28" t="s">
        <v>869</v>
      </c>
    </row>
    <row r="10" spans="1:14">
      <c r="B10" t="s">
        <v>871</v>
      </c>
    </row>
    <row r="12" spans="1:14">
      <c r="B12" s="224" t="s">
        <v>899</v>
      </c>
      <c r="C12" s="224"/>
      <c r="D12" s="224"/>
      <c r="E12" s="224"/>
      <c r="F12" s="224"/>
      <c r="G12" s="224"/>
    </row>
    <row r="14" spans="1:14">
      <c r="B14" s="224" t="s">
        <v>900</v>
      </c>
      <c r="C14" s="224"/>
      <c r="D14" s="224"/>
      <c r="E14" s="224"/>
      <c r="F14" s="224"/>
      <c r="G14" s="224" t="s">
        <v>901</v>
      </c>
    </row>
    <row r="16" spans="1:14">
      <c r="A16" s="224"/>
      <c r="B16" s="224" t="s">
        <v>902</v>
      </c>
      <c r="C16" s="224"/>
      <c r="D16" s="224"/>
      <c r="E16" s="224"/>
      <c r="F16" s="224"/>
      <c r="G16" s="224"/>
      <c r="H16" s="224"/>
      <c r="I16" s="224"/>
      <c r="J16" s="224"/>
      <c r="K16" s="224"/>
      <c r="N16" t="s">
        <v>914</v>
      </c>
    </row>
    <row r="17" spans="1:17">
      <c r="N17" s="231"/>
    </row>
    <row r="18" spans="1:17">
      <c r="A18" s="224"/>
      <c r="B18" s="224" t="s">
        <v>903</v>
      </c>
      <c r="C18" s="224"/>
      <c r="D18" s="224"/>
      <c r="E18" s="224"/>
      <c r="F18" s="238" t="s">
        <v>956</v>
      </c>
      <c r="G18" s="238">
        <f>1000*100</f>
        <v>100000</v>
      </c>
      <c r="H18" s="224"/>
      <c r="I18" s="224"/>
      <c r="J18" s="224"/>
      <c r="K18" s="224"/>
      <c r="M18" s="227">
        <v>1</v>
      </c>
      <c r="N18" s="231"/>
    </row>
    <row r="19" spans="1:17">
      <c r="A19" s="224"/>
      <c r="B19" s="224" t="s">
        <v>904</v>
      </c>
      <c r="C19" s="224"/>
      <c r="D19" s="224"/>
      <c r="E19" s="224"/>
      <c r="F19" s="224"/>
      <c r="G19" s="224"/>
      <c r="H19" s="224"/>
      <c r="I19" s="224"/>
      <c r="J19" s="224"/>
      <c r="K19" s="224"/>
      <c r="N19" s="231"/>
    </row>
    <row r="20" spans="1:17">
      <c r="B20" s="264" t="s">
        <v>957</v>
      </c>
      <c r="C20" s="264"/>
      <c r="D20" s="264"/>
      <c r="E20" s="264"/>
      <c r="F20" s="264"/>
      <c r="G20" s="264"/>
      <c r="H20" s="264"/>
      <c r="I20" s="264"/>
      <c r="J20" s="264"/>
      <c r="N20" s="231"/>
      <c r="Q20" t="s">
        <v>940</v>
      </c>
    </row>
    <row r="21" spans="1:17">
      <c r="A21" s="224"/>
      <c r="B21" s="224"/>
      <c r="C21" s="224"/>
      <c r="D21" s="224"/>
      <c r="E21" s="224"/>
      <c r="F21" s="224"/>
      <c r="G21" s="224"/>
      <c r="H21" s="224"/>
      <c r="I21" s="224" t="s">
        <v>905</v>
      </c>
      <c r="J21" s="224"/>
      <c r="K21" s="224"/>
      <c r="N21" s="231"/>
      <c r="Q21" s="231"/>
    </row>
    <row r="22" spans="1:17">
      <c r="A22" s="224"/>
      <c r="B22" s="224" t="s">
        <v>906</v>
      </c>
      <c r="C22" s="224" t="s">
        <v>907</v>
      </c>
      <c r="D22" s="224" t="s">
        <v>907</v>
      </c>
      <c r="E22" s="224"/>
      <c r="F22" s="224"/>
      <c r="G22" s="224"/>
      <c r="H22" s="224"/>
      <c r="I22" s="224" t="s">
        <v>908</v>
      </c>
      <c r="J22" s="224"/>
      <c r="K22" s="224"/>
      <c r="N22" s="231"/>
      <c r="Q22" s="231"/>
    </row>
    <row r="23" spans="1:17">
      <c r="A23" s="224" t="s">
        <v>909</v>
      </c>
      <c r="B23" s="229">
        <v>0</v>
      </c>
      <c r="C23" s="229">
        <v>0</v>
      </c>
      <c r="D23" s="229">
        <v>0</v>
      </c>
      <c r="E23" s="229"/>
      <c r="F23" s="229"/>
      <c r="G23" s="229"/>
      <c r="H23" s="224"/>
      <c r="I23" s="230">
        <v>0</v>
      </c>
      <c r="J23" s="224" t="s">
        <v>910</v>
      </c>
      <c r="K23" s="224" t="s">
        <v>911</v>
      </c>
      <c r="N23" s="231"/>
      <c r="Q23" s="231"/>
    </row>
    <row r="24" spans="1:17">
      <c r="A24" s="224" t="s">
        <v>912</v>
      </c>
      <c r="B24" s="229"/>
      <c r="C24" s="229"/>
      <c r="D24" s="229"/>
      <c r="E24" s="229"/>
      <c r="F24" s="229"/>
      <c r="G24" s="229"/>
      <c r="H24" s="224"/>
      <c r="I24" s="230">
        <v>1</v>
      </c>
      <c r="J24" s="224"/>
      <c r="K24" s="224"/>
      <c r="N24" s="231"/>
      <c r="Q24" s="231"/>
    </row>
    <row r="25" spans="1:17">
      <c r="A25" s="224"/>
      <c r="B25" s="229"/>
      <c r="C25" s="229"/>
      <c r="D25" s="229"/>
      <c r="E25" s="229"/>
      <c r="F25" s="229"/>
      <c r="G25" s="229"/>
      <c r="H25" s="224"/>
      <c r="I25" s="230"/>
      <c r="J25" s="224"/>
      <c r="K25" s="224"/>
      <c r="N25" s="231"/>
      <c r="Q25" s="231"/>
    </row>
    <row r="26" spans="1:17">
      <c r="A26" s="224"/>
      <c r="B26" s="229"/>
      <c r="C26" s="229"/>
      <c r="D26" s="229"/>
      <c r="E26" s="229"/>
      <c r="F26" s="229"/>
      <c r="G26" s="229"/>
      <c r="H26" s="224"/>
      <c r="I26" s="230"/>
      <c r="J26" s="224"/>
      <c r="K26" s="224"/>
      <c r="N26" s="231"/>
      <c r="Q26" s="231"/>
    </row>
    <row r="27" spans="1:17">
      <c r="A27" s="224" t="s">
        <v>913</v>
      </c>
      <c r="B27" s="229"/>
      <c r="C27" s="229"/>
      <c r="D27" s="229"/>
      <c r="E27" s="229"/>
      <c r="F27" s="229"/>
      <c r="G27" s="229"/>
      <c r="H27" s="224"/>
      <c r="I27" s="230">
        <v>45</v>
      </c>
      <c r="J27" s="224"/>
      <c r="K27" s="224"/>
      <c r="N27" s="231"/>
      <c r="Q27" s="231"/>
    </row>
    <row r="28" spans="1:17">
      <c r="N28" s="231"/>
      <c r="Q28" s="231"/>
    </row>
    <row r="29" spans="1:17">
      <c r="N29" s="231"/>
      <c r="Q29" s="231"/>
    </row>
    <row r="30" spans="1:17">
      <c r="N30" s="231"/>
      <c r="Q30" s="227">
        <v>46</v>
      </c>
    </row>
    <row r="31" spans="1:17">
      <c r="N31" s="231"/>
      <c r="P31">
        <f>M32*Q30</f>
        <v>4600</v>
      </c>
      <c r="Q31">
        <v>46</v>
      </c>
    </row>
    <row r="32" spans="1:17">
      <c r="A32" t="s">
        <v>941</v>
      </c>
      <c r="B32" t="s">
        <v>942</v>
      </c>
      <c r="M32" s="227">
        <v>100</v>
      </c>
      <c r="N32" s="231"/>
      <c r="Q32" s="228">
        <f>P31+Q31</f>
        <v>4646</v>
      </c>
    </row>
    <row r="33" spans="3:19">
      <c r="C33" s="234"/>
      <c r="D33" s="234"/>
      <c r="E33" s="234"/>
      <c r="F33" s="234"/>
      <c r="N33" s="231"/>
    </row>
    <row r="34" spans="3:19">
      <c r="C34" s="234"/>
      <c r="D34" s="234" t="s">
        <v>943</v>
      </c>
      <c r="E34" s="234"/>
      <c r="F34" s="234"/>
      <c r="N34" t="s">
        <v>915</v>
      </c>
    </row>
    <row r="35" spans="3:19" ht="17.25" thickBot="1"/>
    <row r="36" spans="3:19" ht="17.25" thickBot="1">
      <c r="C36" s="234"/>
      <c r="D36" s="234"/>
      <c r="E36" s="234"/>
      <c r="F36" s="234"/>
      <c r="N36" s="232" t="s">
        <v>916</v>
      </c>
      <c r="S36" s="233" t="s">
        <v>933</v>
      </c>
    </row>
    <row r="37" spans="3:19" ht="17.25" thickBot="1">
      <c r="C37" s="235" t="s">
        <v>944</v>
      </c>
      <c r="D37" s="234"/>
      <c r="E37" s="234"/>
      <c r="F37" s="234"/>
      <c r="N37" s="232" t="s">
        <v>917</v>
      </c>
      <c r="S37" s="225"/>
    </row>
    <row r="38" spans="3:19" ht="17.25" thickBot="1">
      <c r="C38" s="235" t="s">
        <v>945</v>
      </c>
      <c r="D38" s="234"/>
      <c r="E38" s="234"/>
      <c r="F38" s="234"/>
      <c r="N38" s="232" t="s">
        <v>918</v>
      </c>
      <c r="S38" s="225"/>
    </row>
    <row r="39" spans="3:19" ht="17.25" thickBot="1">
      <c r="C39" s="235" t="s">
        <v>946</v>
      </c>
      <c r="D39" s="234"/>
      <c r="E39" s="234"/>
      <c r="F39" s="234"/>
      <c r="N39" s="232" t="s">
        <v>919</v>
      </c>
      <c r="S39" s="226" t="s">
        <v>934</v>
      </c>
    </row>
    <row r="40" spans="3:19" ht="17.25" thickBot="1">
      <c r="C40" s="234"/>
      <c r="D40" s="234"/>
      <c r="E40" s="234"/>
      <c r="F40" s="234"/>
      <c r="N40" s="232" t="s">
        <v>760</v>
      </c>
      <c r="S40" s="225"/>
    </row>
    <row r="41" spans="3:19" ht="17.25" thickBot="1">
      <c r="C41" s="234"/>
      <c r="D41" s="234"/>
      <c r="E41" s="234"/>
      <c r="F41" s="234"/>
      <c r="N41" s="232" t="s">
        <v>761</v>
      </c>
      <c r="S41" s="226" t="s">
        <v>935</v>
      </c>
    </row>
    <row r="42" spans="3:19" ht="17.25" thickBot="1">
      <c r="C42" s="234" t="s">
        <v>947</v>
      </c>
      <c r="D42" s="234"/>
      <c r="E42" s="234"/>
      <c r="F42" s="234"/>
      <c r="N42" s="232" t="s">
        <v>920</v>
      </c>
      <c r="S42" s="225"/>
    </row>
    <row r="43" spans="3:19" ht="17.25" thickBot="1">
      <c r="C43" s="234"/>
      <c r="D43" s="234"/>
      <c r="E43" s="234"/>
      <c r="F43" s="234"/>
      <c r="N43" s="232" t="s">
        <v>762</v>
      </c>
      <c r="S43" s="226" t="s">
        <v>936</v>
      </c>
    </row>
    <row r="44" spans="3:19" ht="17.25" thickBot="1">
      <c r="C44" s="234" t="s">
        <v>948</v>
      </c>
      <c r="D44" s="234"/>
      <c r="E44" s="234"/>
      <c r="F44" s="234"/>
      <c r="N44" s="232" t="s">
        <v>921</v>
      </c>
      <c r="S44" s="225"/>
    </row>
    <row r="45" spans="3:19" ht="17.25" thickBot="1">
      <c r="C45" s="234"/>
      <c r="D45" s="234"/>
      <c r="E45" s="234"/>
      <c r="F45" s="234"/>
      <c r="N45" s="232" t="s">
        <v>763</v>
      </c>
      <c r="S45" s="226" t="s">
        <v>937</v>
      </c>
    </row>
    <row r="46" spans="3:19" ht="17.25" thickBot="1">
      <c r="C46" s="234"/>
      <c r="D46" s="234"/>
      <c r="E46" s="234"/>
      <c r="F46" s="234"/>
      <c r="N46" s="232" t="s">
        <v>922</v>
      </c>
      <c r="S46" s="225"/>
    </row>
    <row r="47" spans="3:19" ht="18" thickBot="1">
      <c r="C47" s="237" t="s">
        <v>949</v>
      </c>
      <c r="D47" s="234"/>
      <c r="E47" s="234"/>
      <c r="F47" s="234"/>
      <c r="N47" s="232" t="s">
        <v>764</v>
      </c>
      <c r="S47" s="226" t="s">
        <v>938</v>
      </c>
    </row>
    <row r="48" spans="3:19" ht="17.25" thickBot="1">
      <c r="C48" s="234"/>
      <c r="D48" s="234"/>
      <c r="E48" s="234"/>
      <c r="F48" s="234"/>
      <c r="N48" s="232" t="s">
        <v>765</v>
      </c>
      <c r="S48" s="225"/>
    </row>
    <row r="49" spans="3:19" ht="17.25" thickBot="1">
      <c r="C49" s="234" t="s">
        <v>950</v>
      </c>
      <c r="D49" s="234"/>
      <c r="E49" s="234"/>
      <c r="F49" s="234">
        <v>40000</v>
      </c>
      <c r="N49" s="232" t="s">
        <v>766</v>
      </c>
      <c r="S49" s="226" t="s">
        <v>939</v>
      </c>
    </row>
    <row r="50" spans="3:19">
      <c r="C50" s="234"/>
      <c r="D50" s="234"/>
      <c r="E50" s="234"/>
      <c r="F50" s="234"/>
      <c r="N50" s="232" t="s">
        <v>923</v>
      </c>
    </row>
    <row r="51" spans="3:19" ht="17.25">
      <c r="C51" s="237" t="s">
        <v>951</v>
      </c>
      <c r="D51" s="234"/>
      <c r="E51" s="234"/>
      <c r="F51" s="234"/>
      <c r="N51" s="232" t="s">
        <v>767</v>
      </c>
    </row>
    <row r="52" spans="3:19">
      <c r="C52" s="234"/>
      <c r="D52" s="234"/>
      <c r="E52" s="234"/>
      <c r="F52" s="234"/>
      <c r="N52" s="232" t="s">
        <v>924</v>
      </c>
    </row>
    <row r="53" spans="3:19">
      <c r="C53" s="239" t="s">
        <v>952</v>
      </c>
      <c r="D53" s="234"/>
      <c r="E53" s="234"/>
      <c r="F53" s="234">
        <v>40000</v>
      </c>
      <c r="N53" s="232" t="s">
        <v>925</v>
      </c>
    </row>
    <row r="54" spans="3:19">
      <c r="C54" s="234"/>
      <c r="D54" s="234"/>
      <c r="E54" s="234"/>
      <c r="F54" s="234"/>
      <c r="N54" s="232" t="s">
        <v>926</v>
      </c>
    </row>
    <row r="55" spans="3:19" ht="17.25">
      <c r="C55" s="237" t="s">
        <v>953</v>
      </c>
      <c r="D55" s="234"/>
      <c r="E55" s="234"/>
      <c r="F55" s="234"/>
      <c r="N55" s="232" t="s">
        <v>927</v>
      </c>
    </row>
    <row r="56" spans="3:19">
      <c r="C56" s="234"/>
      <c r="D56" s="234"/>
      <c r="E56" s="234"/>
      <c r="F56" s="234"/>
      <c r="N56" s="232" t="s">
        <v>928</v>
      </c>
    </row>
    <row r="57" spans="3:19">
      <c r="C57" s="234" t="s">
        <v>954</v>
      </c>
      <c r="D57" s="234"/>
      <c r="E57" s="234"/>
      <c r="F57" s="234">
        <v>400</v>
      </c>
      <c r="N57" s="232" t="s">
        <v>929</v>
      </c>
    </row>
    <row r="58" spans="3:19">
      <c r="C58" s="234"/>
      <c r="D58" s="234"/>
      <c r="E58" s="234"/>
      <c r="F58" s="234"/>
      <c r="N58" s="232" t="s">
        <v>930</v>
      </c>
    </row>
    <row r="59" spans="3:19">
      <c r="C59" s="234"/>
      <c r="D59" s="234"/>
      <c r="E59" s="234"/>
      <c r="F59" s="234"/>
      <c r="N59" s="232" t="s">
        <v>931</v>
      </c>
    </row>
    <row r="60" spans="3:19">
      <c r="C60" s="234"/>
      <c r="D60" s="234" t="s">
        <v>955</v>
      </c>
      <c r="E60" s="234"/>
      <c r="F60" s="236">
        <f>F49+F53+F57+Q32+G18</f>
        <v>185046</v>
      </c>
      <c r="N60" s="232" t="s">
        <v>932</v>
      </c>
    </row>
    <row r="61" spans="3:19">
      <c r="N61" s="232" t="s">
        <v>751</v>
      </c>
    </row>
    <row r="62" spans="3:19">
      <c r="N62" s="232" t="s">
        <v>752</v>
      </c>
    </row>
  </sheetData>
  <mergeCells count="1">
    <mergeCell ref="B20:J20"/>
  </mergeCells>
  <phoneticPr fontId="5" type="noConversion"/>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C23"/>
  <sheetViews>
    <sheetView topLeftCell="G1" zoomScale="70" zoomScaleNormal="70" workbookViewId="0">
      <selection activeCell="T10" sqref="T10"/>
    </sheetView>
  </sheetViews>
  <sheetFormatPr defaultRowHeight="16.5"/>
  <cols>
    <col min="1" max="1" width="16" customWidth="1"/>
    <col min="12" max="12" width="10.125" customWidth="1"/>
  </cols>
  <sheetData>
    <row r="3" spans="1:29">
      <c r="A3" s="240"/>
      <c r="B3" s="240" t="s">
        <v>958</v>
      </c>
      <c r="C3" s="240"/>
      <c r="D3" s="240"/>
      <c r="E3" s="240"/>
      <c r="F3" s="240" t="s">
        <v>959</v>
      </c>
      <c r="G3" s="244">
        <v>25000</v>
      </c>
      <c r="H3" s="240"/>
      <c r="I3" s="240"/>
      <c r="J3" s="240"/>
      <c r="K3" s="240"/>
      <c r="L3" s="244" t="s">
        <v>960</v>
      </c>
      <c r="M3" s="240" t="s">
        <v>961</v>
      </c>
      <c r="N3" s="240"/>
      <c r="O3" s="251" t="s">
        <v>962</v>
      </c>
      <c r="P3" s="240"/>
      <c r="Q3" s="240"/>
      <c r="R3" s="265" t="s">
        <v>963</v>
      </c>
      <c r="S3" s="265"/>
      <c r="T3" s="265"/>
      <c r="U3" s="240" t="s">
        <v>964</v>
      </c>
      <c r="V3" s="240" t="s">
        <v>965</v>
      </c>
    </row>
    <row r="4" spans="1:29">
      <c r="A4" s="240"/>
      <c r="B4" s="240"/>
      <c r="C4" s="240"/>
      <c r="D4" s="240"/>
      <c r="E4" s="240"/>
      <c r="F4" s="240"/>
      <c r="G4" s="240"/>
      <c r="H4" s="240"/>
      <c r="I4" s="240"/>
      <c r="J4" s="240"/>
      <c r="K4" s="240"/>
      <c r="L4" s="240"/>
      <c r="M4" s="240"/>
      <c r="N4" s="240"/>
      <c r="O4" s="240"/>
      <c r="P4" s="240"/>
      <c r="Q4" s="247"/>
      <c r="R4" s="247"/>
      <c r="S4" s="247"/>
      <c r="T4" s="247"/>
      <c r="U4" s="247"/>
      <c r="V4" s="240"/>
    </row>
    <row r="5" spans="1:29">
      <c r="A5" s="240"/>
      <c r="B5" s="249"/>
      <c r="C5" s="240" t="s">
        <v>975</v>
      </c>
      <c r="D5" s="240"/>
      <c r="E5" s="240"/>
      <c r="F5" s="240"/>
      <c r="G5" s="240"/>
      <c r="H5" s="240"/>
      <c r="I5" s="240"/>
      <c r="J5" s="240"/>
      <c r="K5" s="240"/>
      <c r="L5" s="246"/>
      <c r="M5" s="240"/>
      <c r="N5" s="240"/>
      <c r="O5" s="240"/>
      <c r="P5" s="240"/>
      <c r="Q5" s="240"/>
      <c r="R5" s="240"/>
      <c r="S5" s="240"/>
      <c r="T5" s="240"/>
      <c r="U5" s="240"/>
      <c r="V5" s="240"/>
      <c r="W5" t="s">
        <v>976</v>
      </c>
    </row>
    <row r="6" spans="1:29">
      <c r="A6" s="240"/>
      <c r="B6" s="264" t="s">
        <v>966</v>
      </c>
      <c r="C6" s="264"/>
      <c r="D6" s="264"/>
      <c r="E6" s="264"/>
      <c r="F6" s="264"/>
      <c r="G6" s="264"/>
      <c r="H6" s="264"/>
      <c r="I6" s="264"/>
      <c r="J6" s="264"/>
      <c r="K6" s="240"/>
      <c r="L6" s="246"/>
      <c r="M6" s="240"/>
      <c r="N6" s="240"/>
      <c r="O6" s="250"/>
      <c r="P6" s="240"/>
      <c r="Q6" s="240"/>
      <c r="R6" s="240"/>
      <c r="S6" s="240"/>
      <c r="T6" s="240"/>
      <c r="U6" s="240"/>
      <c r="V6" s="240"/>
      <c r="W6" s="46"/>
    </row>
    <row r="7" spans="1:29">
      <c r="A7" s="240"/>
      <c r="B7" s="240">
        <v>1</v>
      </c>
      <c r="C7" s="240">
        <v>2</v>
      </c>
      <c r="D7" s="240"/>
      <c r="E7" s="240"/>
      <c r="F7" s="240"/>
      <c r="G7" s="240">
        <v>100</v>
      </c>
      <c r="H7" s="240"/>
      <c r="I7" s="240" t="s">
        <v>905</v>
      </c>
      <c r="J7" s="240"/>
      <c r="K7" s="240"/>
      <c r="L7" s="246"/>
      <c r="M7" s="240"/>
      <c r="N7" s="240"/>
      <c r="O7" s="250">
        <v>1</v>
      </c>
      <c r="P7" s="240"/>
      <c r="Q7" s="240"/>
      <c r="R7" s="240"/>
      <c r="S7" s="240"/>
      <c r="T7" s="240"/>
      <c r="U7" s="240"/>
      <c r="V7" s="240"/>
      <c r="W7" s="46"/>
      <c r="X7">
        <v>1</v>
      </c>
      <c r="AB7" t="s">
        <v>979</v>
      </c>
    </row>
    <row r="8" spans="1:29">
      <c r="A8" s="240"/>
      <c r="B8" s="240" t="s">
        <v>906</v>
      </c>
      <c r="C8" s="240" t="s">
        <v>907</v>
      </c>
      <c r="D8" s="240" t="s">
        <v>907</v>
      </c>
      <c r="E8" s="240"/>
      <c r="F8" s="240"/>
      <c r="G8" s="240"/>
      <c r="H8" s="240"/>
      <c r="I8" s="240" t="s">
        <v>908</v>
      </c>
      <c r="J8" s="240"/>
      <c r="K8" s="240"/>
      <c r="L8" s="246"/>
      <c r="M8" s="240"/>
      <c r="N8" s="240"/>
      <c r="O8" s="250"/>
      <c r="P8" s="240"/>
      <c r="Q8" s="240"/>
      <c r="R8" s="240"/>
      <c r="S8" s="240" t="s">
        <v>981</v>
      </c>
      <c r="T8" s="240"/>
      <c r="U8" s="240"/>
      <c r="V8" s="240"/>
      <c r="W8" s="46"/>
      <c r="AB8" s="241"/>
    </row>
    <row r="9" spans="1:29">
      <c r="A9" s="240" t="s">
        <v>967</v>
      </c>
      <c r="B9" s="243">
        <v>0</v>
      </c>
      <c r="C9" s="243">
        <v>0</v>
      </c>
      <c r="D9" s="243">
        <v>0</v>
      </c>
      <c r="E9" s="243"/>
      <c r="F9" s="243"/>
      <c r="G9" s="243"/>
      <c r="H9" s="240"/>
      <c r="I9" s="245">
        <v>0</v>
      </c>
      <c r="J9" s="240" t="s">
        <v>968</v>
      </c>
      <c r="K9" s="240"/>
      <c r="L9" s="246"/>
      <c r="M9" s="240">
        <v>100</v>
      </c>
      <c r="N9" s="240"/>
      <c r="O9" s="250"/>
      <c r="P9" s="240"/>
      <c r="Q9" s="240"/>
      <c r="R9" s="240"/>
      <c r="S9" s="248"/>
      <c r="T9" s="240"/>
      <c r="U9" s="240"/>
      <c r="V9" s="240"/>
      <c r="W9" s="46"/>
      <c r="AB9" s="241"/>
    </row>
    <row r="10" spans="1:29">
      <c r="A10" s="240" t="s">
        <v>969</v>
      </c>
      <c r="B10" s="243"/>
      <c r="C10" s="243"/>
      <c r="D10" s="243"/>
      <c r="E10" s="243"/>
      <c r="F10" s="243"/>
      <c r="G10" s="243"/>
      <c r="H10" s="240"/>
      <c r="I10" s="245">
        <v>1</v>
      </c>
      <c r="J10" s="240" t="s">
        <v>970</v>
      </c>
      <c r="K10" s="240"/>
      <c r="L10" s="246"/>
      <c r="M10" s="240"/>
      <c r="N10" s="240"/>
      <c r="O10" s="250"/>
      <c r="P10" s="240"/>
      <c r="Q10" s="240"/>
      <c r="R10" s="240"/>
      <c r="S10" s="248"/>
      <c r="T10" s="240"/>
      <c r="U10" s="240"/>
      <c r="V10" s="240"/>
      <c r="W10" s="46"/>
      <c r="AB10" s="241"/>
    </row>
    <row r="11" spans="1:29">
      <c r="A11" s="240"/>
      <c r="B11" s="243"/>
      <c r="C11" s="243"/>
      <c r="D11" s="243"/>
      <c r="E11" s="243"/>
      <c r="F11" s="243"/>
      <c r="G11" s="243"/>
      <c r="H11" s="240"/>
      <c r="I11" s="245"/>
      <c r="J11" s="240"/>
      <c r="K11" s="240"/>
      <c r="L11" s="246"/>
      <c r="M11" s="240"/>
      <c r="N11" s="240"/>
      <c r="O11" s="250"/>
      <c r="P11" s="240"/>
      <c r="Q11" s="240"/>
      <c r="R11" s="240"/>
      <c r="S11" s="248"/>
      <c r="T11" s="240"/>
      <c r="U11" s="240"/>
      <c r="V11" s="240"/>
      <c r="W11" s="46"/>
      <c r="AB11" s="241"/>
    </row>
    <row r="12" spans="1:29">
      <c r="A12" s="240"/>
      <c r="B12" s="243"/>
      <c r="C12" s="243"/>
      <c r="D12" s="243"/>
      <c r="E12" s="243"/>
      <c r="F12" s="243"/>
      <c r="G12" s="243"/>
      <c r="H12" s="240"/>
      <c r="I12" s="245"/>
      <c r="J12" s="240"/>
      <c r="K12" s="240"/>
      <c r="L12" s="246"/>
      <c r="M12" s="240"/>
      <c r="N12" s="240"/>
      <c r="O12" s="250"/>
      <c r="P12" s="240"/>
      <c r="Q12" s="240"/>
      <c r="R12" s="240"/>
      <c r="S12" s="248"/>
      <c r="T12" s="240"/>
      <c r="U12" s="240"/>
      <c r="V12" s="240"/>
      <c r="W12" s="46"/>
      <c r="AB12" s="241"/>
    </row>
    <row r="13" spans="1:29">
      <c r="A13" s="240" t="s">
        <v>971</v>
      </c>
      <c r="B13" s="243"/>
      <c r="C13" s="243"/>
      <c r="D13" s="243"/>
      <c r="E13" s="243"/>
      <c r="F13" s="243"/>
      <c r="G13" s="243"/>
      <c r="H13" s="240"/>
      <c r="I13" s="245"/>
      <c r="J13" s="240"/>
      <c r="K13" s="240"/>
      <c r="L13" s="246"/>
      <c r="M13" s="240"/>
      <c r="N13" s="240"/>
      <c r="O13" s="250">
        <v>64</v>
      </c>
      <c r="P13" s="240"/>
      <c r="Q13" s="240"/>
      <c r="R13" s="240"/>
      <c r="S13" s="240" t="s">
        <v>982</v>
      </c>
      <c r="T13" s="240"/>
      <c r="U13" s="240"/>
      <c r="V13" s="240"/>
      <c r="W13" s="46"/>
      <c r="X13">
        <v>55</v>
      </c>
    </row>
    <row r="14" spans="1:29">
      <c r="A14" s="240"/>
      <c r="B14" s="240"/>
      <c r="C14" s="240"/>
      <c r="D14" s="240"/>
      <c r="E14" s="240"/>
      <c r="F14" s="240"/>
      <c r="G14" s="240"/>
      <c r="H14" s="240"/>
      <c r="I14" s="240"/>
      <c r="J14" s="240"/>
      <c r="K14" s="240"/>
      <c r="L14" s="246"/>
      <c r="M14" s="240"/>
      <c r="N14" s="240"/>
      <c r="O14" s="250"/>
      <c r="P14" s="240"/>
      <c r="Q14" s="240"/>
      <c r="R14" s="240"/>
      <c r="S14" s="240"/>
      <c r="T14" s="240"/>
      <c r="U14" s="240"/>
      <c r="V14" s="240"/>
      <c r="W14" s="46"/>
      <c r="AB14">
        <v>55</v>
      </c>
      <c r="AC14">
        <v>1</v>
      </c>
    </row>
    <row r="15" spans="1:29">
      <c r="A15" s="240"/>
      <c r="B15" s="240"/>
      <c r="C15" s="240"/>
      <c r="D15" s="240"/>
      <c r="E15" s="240"/>
      <c r="F15" s="240"/>
      <c r="G15" s="240"/>
      <c r="H15" s="240"/>
      <c r="I15" s="240"/>
      <c r="J15" s="240"/>
      <c r="K15" s="240"/>
      <c r="L15" s="246"/>
      <c r="M15" s="240"/>
      <c r="N15" s="240"/>
      <c r="O15" s="240"/>
      <c r="P15" s="240"/>
      <c r="Q15" s="240"/>
      <c r="R15" s="240"/>
      <c r="S15" s="240"/>
      <c r="T15" s="240"/>
      <c r="U15" s="240"/>
      <c r="V15" s="240"/>
      <c r="AC15" s="242">
        <f>AB14+AC14</f>
        <v>56</v>
      </c>
    </row>
    <row r="16" spans="1:29">
      <c r="A16" s="240"/>
      <c r="B16" s="240"/>
      <c r="C16" s="240"/>
      <c r="D16" s="240"/>
      <c r="E16" s="240"/>
      <c r="F16" s="240"/>
      <c r="G16" s="240"/>
      <c r="H16" s="240"/>
      <c r="I16" s="240"/>
      <c r="J16" s="240"/>
      <c r="K16" s="240"/>
      <c r="L16" s="240"/>
      <c r="M16" s="240"/>
      <c r="N16" s="240"/>
      <c r="O16" s="240"/>
      <c r="P16" s="240" t="s">
        <v>972</v>
      </c>
      <c r="Q16" s="240" t="s">
        <v>973</v>
      </c>
      <c r="R16" s="240"/>
      <c r="S16" s="240"/>
      <c r="T16" s="240"/>
      <c r="U16" s="240"/>
      <c r="V16" s="240" t="s">
        <v>977</v>
      </c>
    </row>
    <row r="17" spans="2:28">
      <c r="L17" s="242">
        <f>5000*100</f>
        <v>500000</v>
      </c>
      <c r="M17" s="240"/>
      <c r="N17" s="240"/>
      <c r="O17" s="240">
        <v>64000</v>
      </c>
      <c r="P17" s="240">
        <f>O17/2</f>
        <v>32000</v>
      </c>
      <c r="Q17" s="240">
        <v>64</v>
      </c>
    </row>
    <row r="18" spans="2:28">
      <c r="V18">
        <f>64 * 4 * 55</f>
        <v>14080</v>
      </c>
      <c r="X18">
        <f>4*55*55</f>
        <v>12100</v>
      </c>
      <c r="Z18">
        <f>4*55</f>
        <v>220</v>
      </c>
    </row>
    <row r="19" spans="2:28">
      <c r="L19" s="240"/>
      <c r="M19" s="240"/>
      <c r="N19" s="240"/>
      <c r="O19" s="240"/>
      <c r="P19" s="240"/>
      <c r="Q19" s="242">
        <f>P17+Q17</f>
        <v>32064</v>
      </c>
      <c r="W19" s="242">
        <f>V18+X18+Z18</f>
        <v>26400</v>
      </c>
    </row>
    <row r="21" spans="2:28">
      <c r="B21" t="s">
        <v>978</v>
      </c>
      <c r="Z21" t="s">
        <v>980</v>
      </c>
      <c r="AB21" s="242">
        <f>L17+Q19+W19+AC15</f>
        <v>558520</v>
      </c>
    </row>
    <row r="23" spans="2:28">
      <c r="E23" t="s">
        <v>974</v>
      </c>
    </row>
  </sheetData>
  <mergeCells count="2">
    <mergeCell ref="B6:J6"/>
    <mergeCell ref="R3:T3"/>
  </mergeCells>
  <phoneticPr fontId="5" type="noConversion"/>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38"/>
  <sheetViews>
    <sheetView topLeftCell="A16" workbookViewId="0">
      <selection activeCell="I23" sqref="I23"/>
    </sheetView>
  </sheetViews>
  <sheetFormatPr defaultRowHeight="16.5"/>
  <sheetData>
    <row r="2" spans="1:5">
      <c r="A2" t="s">
        <v>872</v>
      </c>
      <c r="C2" t="s">
        <v>873</v>
      </c>
    </row>
    <row r="4" spans="1:5">
      <c r="A4" t="s">
        <v>874</v>
      </c>
    </row>
    <row r="5" spans="1:5">
      <c r="A5" t="s">
        <v>875</v>
      </c>
    </row>
    <row r="6" spans="1:5">
      <c r="A6" t="s">
        <v>876</v>
      </c>
    </row>
    <row r="7" spans="1:5">
      <c r="A7" t="s">
        <v>877</v>
      </c>
    </row>
    <row r="8" spans="1:5" ht="17.25" thickBot="1"/>
    <row r="9" spans="1:5" s="213" customFormat="1" ht="33.75" thickBot="1">
      <c r="A9" s="221" t="s">
        <v>880</v>
      </c>
      <c r="B9" s="220">
        <v>8.6</v>
      </c>
    </row>
    <row r="10" spans="1:5" s="213" customFormat="1"/>
    <row r="12" spans="1:5">
      <c r="A12" t="s">
        <v>878</v>
      </c>
    </row>
    <row r="13" spans="1:5">
      <c r="B13" t="s">
        <v>879</v>
      </c>
    </row>
    <row r="14" spans="1:5" s="213" customFormat="1"/>
    <row r="15" spans="1:5">
      <c r="B15" s="223" t="s">
        <v>896</v>
      </c>
      <c r="C15" s="223">
        <v>11.2</v>
      </c>
      <c r="D15" s="223"/>
      <c r="E15" s="223" t="s">
        <v>897</v>
      </c>
    </row>
    <row r="16" spans="1:5" s="213" customFormat="1">
      <c r="B16" s="223" t="s">
        <v>898</v>
      </c>
      <c r="C16" s="223">
        <v>11.2</v>
      </c>
      <c r="D16" s="223"/>
      <c r="E16" s="223"/>
    </row>
    <row r="18" spans="2:2">
      <c r="B18" t="s">
        <v>881</v>
      </c>
    </row>
    <row r="20" spans="2:2">
      <c r="B20" t="s">
        <v>882</v>
      </c>
    </row>
    <row r="22" spans="2:2">
      <c r="B22" t="s">
        <v>883</v>
      </c>
    </row>
    <row r="24" spans="2:2">
      <c r="B24" t="s">
        <v>884</v>
      </c>
    </row>
    <row r="26" spans="2:2">
      <c r="B26" t="s">
        <v>885</v>
      </c>
    </row>
    <row r="28" spans="2:2">
      <c r="B28" t="s">
        <v>886</v>
      </c>
    </row>
    <row r="30" spans="2:2">
      <c r="B30" s="222" t="s">
        <v>887</v>
      </c>
    </row>
    <row r="31" spans="2:2">
      <c r="B31" s="222" t="s">
        <v>888</v>
      </c>
    </row>
    <row r="32" spans="2:2">
      <c r="B32" s="222" t="s">
        <v>889</v>
      </c>
    </row>
    <row r="33" spans="2:2">
      <c r="B33" s="222" t="s">
        <v>890</v>
      </c>
    </row>
    <row r="34" spans="2:2">
      <c r="B34" s="222" t="s">
        <v>891</v>
      </c>
    </row>
    <row r="35" spans="2:2">
      <c r="B35" s="222" t="s">
        <v>892</v>
      </c>
    </row>
    <row r="36" spans="2:2">
      <c r="B36" s="222" t="s">
        <v>893</v>
      </c>
    </row>
    <row r="37" spans="2:2">
      <c r="B37" s="222" t="s">
        <v>894</v>
      </c>
    </row>
    <row r="38" spans="2:2">
      <c r="B38" s="222" t="s">
        <v>895</v>
      </c>
    </row>
  </sheetData>
  <phoneticPr fontId="5" type="noConversion"/>
  <hyperlinks>
    <hyperlink ref="A9" r:id="rId1" display="https://www.nvidia.com/en-us/geforce/graphics-cards/30-series/rtx-3060-3060ti/"/>
  </hyperlinks>
  <pageMargins left="0.7" right="0.7" top="0.75" bottom="0.75" header="0.3" footer="0.3"/>
  <pageSetup paperSize="9" orientation="portrait"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Y25"/>
  <sheetViews>
    <sheetView topLeftCell="A13" zoomScaleNormal="100" workbookViewId="0">
      <selection activeCell="M15" sqref="M15"/>
    </sheetView>
  </sheetViews>
  <sheetFormatPr defaultRowHeight="16.5"/>
  <cols>
    <col min="1" max="1" width="12.25" style="266" customWidth="1"/>
    <col min="2" max="2" width="6.5" style="266" customWidth="1"/>
    <col min="3" max="6" width="9" style="266"/>
    <col min="7" max="7" width="5.375" style="266" customWidth="1"/>
    <col min="8" max="11" width="9" style="266"/>
    <col min="12" max="14" width="4.5" style="266" customWidth="1"/>
    <col min="15" max="22" width="9" style="266"/>
    <col min="23" max="23" width="4.5" style="266" customWidth="1"/>
    <col min="24" max="24" width="5.125" style="266" customWidth="1"/>
    <col min="25" max="26" width="5.375" style="266" customWidth="1"/>
    <col min="27" max="30" width="9" style="266"/>
    <col min="31" max="31" width="9" style="266" customWidth="1"/>
    <col min="32" max="36" width="9" style="266"/>
    <col min="37" max="41" width="6.25" style="266" customWidth="1"/>
    <col min="42" max="16384" width="9" style="266"/>
  </cols>
  <sheetData>
    <row r="1" spans="2:77">
      <c r="BN1" s="266" t="s">
        <v>1009</v>
      </c>
    </row>
    <row r="2" spans="2:77">
      <c r="J2" s="266" t="s">
        <v>1004</v>
      </c>
      <c r="L2" s="284"/>
      <c r="M2" s="284"/>
      <c r="N2" s="284"/>
      <c r="P2" s="274"/>
      <c r="Q2" s="277">
        <v>28</v>
      </c>
      <c r="R2" s="277"/>
      <c r="S2" s="277"/>
      <c r="T2" s="277"/>
      <c r="U2" s="274"/>
      <c r="W2" s="272" t="s">
        <v>1008</v>
      </c>
      <c r="X2" s="272"/>
      <c r="Y2" s="272"/>
      <c r="Z2" s="272"/>
      <c r="AB2" s="266" t="s">
        <v>1004</v>
      </c>
      <c r="AD2" s="284"/>
      <c r="AE2" s="284"/>
      <c r="AF2" s="284"/>
      <c r="AL2" s="272" t="s">
        <v>1008</v>
      </c>
      <c r="AM2" s="272"/>
      <c r="AN2" s="272"/>
      <c r="AO2" s="272"/>
      <c r="AQ2" s="266" t="s">
        <v>1004</v>
      </c>
      <c r="AS2" s="284"/>
      <c r="AT2" s="284"/>
      <c r="AU2" s="284"/>
      <c r="BM2" s="286" t="s">
        <v>1007</v>
      </c>
    </row>
    <row r="3" spans="2:77">
      <c r="B3" s="274"/>
      <c r="C3" s="277">
        <v>28</v>
      </c>
      <c r="D3" s="277"/>
      <c r="E3" s="277"/>
      <c r="F3" s="277"/>
      <c r="G3" s="274"/>
      <c r="J3" s="273"/>
      <c r="L3" s="284"/>
      <c r="M3" s="284"/>
      <c r="N3" s="284"/>
      <c r="P3" s="277">
        <v>28</v>
      </c>
      <c r="Q3" s="275"/>
      <c r="R3" s="275"/>
      <c r="S3" s="275"/>
      <c r="T3" s="275"/>
      <c r="U3" s="274"/>
      <c r="X3" s="272">
        <v>14</v>
      </c>
      <c r="Y3" s="272"/>
      <c r="AB3" s="273"/>
      <c r="AD3" s="284"/>
      <c r="AE3" s="284"/>
      <c r="AF3" s="284"/>
      <c r="AM3" s="272">
        <v>7</v>
      </c>
      <c r="AN3" s="272"/>
      <c r="AQ3" s="273"/>
      <c r="AS3" s="284"/>
      <c r="AT3" s="284"/>
      <c r="AU3" s="284"/>
      <c r="BM3" s="285"/>
      <c r="BP3" s="285"/>
      <c r="BT3" s="272">
        <v>28</v>
      </c>
      <c r="BU3" s="272"/>
    </row>
    <row r="4" spans="2:77">
      <c r="B4" s="277">
        <v>28</v>
      </c>
      <c r="C4" s="275"/>
      <c r="D4" s="275"/>
      <c r="E4" s="275"/>
      <c r="F4" s="275"/>
      <c r="G4" s="274"/>
      <c r="J4" s="273"/>
      <c r="L4" s="284"/>
      <c r="M4" s="284"/>
      <c r="N4" s="284"/>
      <c r="P4" s="277"/>
      <c r="Q4" s="275"/>
      <c r="R4" s="275"/>
      <c r="S4" s="275"/>
      <c r="T4" s="275"/>
      <c r="U4" s="274"/>
      <c r="W4" s="275"/>
      <c r="X4" s="275"/>
      <c r="Y4" s="275"/>
      <c r="Z4" s="275"/>
      <c r="AB4" s="273"/>
      <c r="AD4" s="284"/>
      <c r="AE4" s="284"/>
      <c r="AF4" s="284"/>
      <c r="AL4" s="275"/>
      <c r="AM4" s="275"/>
      <c r="AN4" s="275"/>
      <c r="AO4" s="275"/>
      <c r="AQ4" s="273"/>
      <c r="AS4" s="284"/>
      <c r="AT4" s="284"/>
      <c r="AU4" s="284"/>
      <c r="BM4" s="282"/>
      <c r="BN4" s="282"/>
      <c r="BO4" s="282"/>
      <c r="BP4" s="282"/>
      <c r="BQ4" s="266" t="s">
        <v>1004</v>
      </c>
      <c r="BS4" s="275"/>
      <c r="BT4" s="275"/>
      <c r="BU4" s="275"/>
      <c r="BV4" s="275"/>
    </row>
    <row r="5" spans="2:77">
      <c r="B5" s="277"/>
      <c r="C5" s="275"/>
      <c r="D5" s="275"/>
      <c r="E5" s="275"/>
      <c r="F5" s="275"/>
      <c r="G5" s="274"/>
      <c r="J5" s="273"/>
      <c r="K5" s="266" t="s">
        <v>1006</v>
      </c>
      <c r="P5" s="277"/>
      <c r="Q5" s="275"/>
      <c r="R5" s="275"/>
      <c r="S5" s="275"/>
      <c r="T5" s="275"/>
      <c r="U5" s="274"/>
      <c r="W5" s="275"/>
      <c r="X5" s="275"/>
      <c r="Y5" s="275"/>
      <c r="Z5" s="275"/>
      <c r="AB5" s="273"/>
      <c r="AC5" s="266" t="s">
        <v>1005</v>
      </c>
      <c r="AL5" s="275"/>
      <c r="AM5" s="275"/>
      <c r="AN5" s="275"/>
      <c r="AO5" s="275"/>
      <c r="AQ5" s="273"/>
      <c r="AR5" s="266" t="s">
        <v>1005</v>
      </c>
      <c r="BM5" s="282"/>
      <c r="BN5" s="283">
        <v>14</v>
      </c>
      <c r="BO5" s="283"/>
      <c r="BP5" s="282"/>
      <c r="BQ5" s="273"/>
      <c r="BS5" s="275"/>
      <c r="BT5" s="275"/>
      <c r="BU5" s="275"/>
      <c r="BV5" s="275"/>
      <c r="BX5" s="266" t="s">
        <v>1004</v>
      </c>
    </row>
    <row r="6" spans="2:77">
      <c r="B6" s="277"/>
      <c r="C6" s="275"/>
      <c r="D6" s="276"/>
      <c r="E6" s="276"/>
      <c r="F6" s="275"/>
      <c r="G6" s="274"/>
      <c r="J6" s="273"/>
      <c r="K6" s="266" t="s">
        <v>1003</v>
      </c>
      <c r="P6" s="277"/>
      <c r="Q6" s="275"/>
      <c r="R6" s="275"/>
      <c r="S6" s="275"/>
      <c r="T6" s="275"/>
      <c r="U6" s="274"/>
      <c r="W6" s="275"/>
      <c r="X6" s="275"/>
      <c r="Y6" s="275"/>
      <c r="Z6" s="275"/>
      <c r="AB6" s="273"/>
      <c r="AC6" s="266" t="s">
        <v>1002</v>
      </c>
      <c r="AL6" s="275"/>
      <c r="AM6" s="275"/>
      <c r="AN6" s="275"/>
      <c r="AO6" s="275"/>
      <c r="AQ6" s="273"/>
      <c r="AR6" s="266" t="s">
        <v>1002</v>
      </c>
      <c r="BM6" s="270"/>
      <c r="BN6" s="278"/>
      <c r="BO6" s="278"/>
      <c r="BP6" s="270"/>
      <c r="BQ6" s="273"/>
      <c r="BS6" s="275"/>
      <c r="BT6" s="275"/>
      <c r="BU6" s="275"/>
      <c r="BV6" s="275"/>
      <c r="BX6" s="273"/>
    </row>
    <row r="7" spans="2:77">
      <c r="B7" s="277"/>
      <c r="C7" s="276"/>
      <c r="D7" s="275"/>
      <c r="E7" s="275"/>
      <c r="F7" s="275"/>
      <c r="G7" s="274"/>
      <c r="J7" s="273"/>
      <c r="L7" s="266">
        <f>16*9+16</f>
        <v>160</v>
      </c>
      <c r="P7" s="277"/>
      <c r="Q7" s="275"/>
      <c r="R7" s="275"/>
      <c r="S7" s="275"/>
      <c r="T7" s="275"/>
      <c r="U7" s="274"/>
      <c r="V7" s="266">
        <v>14</v>
      </c>
      <c r="W7" s="275"/>
      <c r="X7" s="275"/>
      <c r="Y7" s="275"/>
      <c r="Z7" s="275"/>
      <c r="AB7" s="273"/>
      <c r="AD7" s="266">
        <f>8*9+8</f>
        <v>80</v>
      </c>
      <c r="AK7" s="266">
        <v>7</v>
      </c>
      <c r="AL7" s="275"/>
      <c r="AM7" s="275"/>
      <c r="AN7" s="275"/>
      <c r="AO7" s="275"/>
      <c r="AQ7" s="273"/>
      <c r="AS7" s="266">
        <f>8*9+8</f>
        <v>80</v>
      </c>
      <c r="BL7" s="272"/>
      <c r="BM7" s="280">
        <v>14</v>
      </c>
      <c r="BN7" s="278"/>
      <c r="BO7" s="278"/>
      <c r="BP7" s="270"/>
      <c r="BQ7" s="273"/>
      <c r="BS7" s="275"/>
      <c r="BT7" s="275"/>
      <c r="BU7" s="275"/>
      <c r="BV7" s="275"/>
      <c r="BX7" s="273"/>
    </row>
    <row r="8" spans="2:77">
      <c r="B8" s="277"/>
      <c r="C8" s="276"/>
      <c r="D8" s="275"/>
      <c r="E8" s="275"/>
      <c r="F8" s="275"/>
      <c r="G8" s="274"/>
      <c r="J8" s="273"/>
      <c r="P8" s="277"/>
      <c r="Q8" s="275"/>
      <c r="R8" s="275"/>
      <c r="S8" s="275"/>
      <c r="T8" s="275"/>
      <c r="U8" s="274"/>
      <c r="W8" s="275"/>
      <c r="X8" s="275"/>
      <c r="Y8" s="275"/>
      <c r="Z8" s="275"/>
      <c r="AB8" s="273"/>
      <c r="AL8" s="275"/>
      <c r="AM8" s="275"/>
      <c r="AN8" s="275"/>
      <c r="AO8" s="275"/>
      <c r="AQ8" s="273"/>
      <c r="BL8" s="272"/>
      <c r="BM8" s="280"/>
      <c r="BN8" s="278"/>
      <c r="BO8" s="278"/>
      <c r="BP8" s="270"/>
      <c r="BQ8" s="273"/>
      <c r="BR8" s="266">
        <v>28</v>
      </c>
      <c r="BS8" s="275"/>
      <c r="BT8" s="275"/>
      <c r="BU8" s="275"/>
      <c r="BV8" s="275"/>
      <c r="BX8" s="273"/>
    </row>
    <row r="9" spans="2:77">
      <c r="B9" s="277"/>
      <c r="C9" s="276"/>
      <c r="D9" s="275"/>
      <c r="E9" s="275"/>
      <c r="F9" s="275"/>
      <c r="G9" s="274"/>
      <c r="J9" s="273"/>
      <c r="P9" s="277"/>
      <c r="Q9" s="275"/>
      <c r="R9" s="275"/>
      <c r="S9" s="275"/>
      <c r="T9" s="275"/>
      <c r="U9" s="274"/>
      <c r="W9" s="275"/>
      <c r="X9" s="275"/>
      <c r="Y9" s="275"/>
      <c r="Z9" s="275"/>
      <c r="AB9" s="273"/>
      <c r="AL9" s="275"/>
      <c r="AM9" s="275"/>
      <c r="AN9" s="275"/>
      <c r="AO9" s="275"/>
      <c r="AQ9" s="273"/>
      <c r="BL9" s="272"/>
      <c r="BM9" s="280"/>
      <c r="BN9" s="278"/>
      <c r="BO9" s="278"/>
      <c r="BP9" s="270"/>
      <c r="BQ9" s="273"/>
      <c r="BS9" s="275"/>
      <c r="BT9" s="275"/>
      <c r="BU9" s="275"/>
      <c r="BV9" s="275"/>
      <c r="BX9" s="270"/>
      <c r="BY9" s="271" t="s">
        <v>1001</v>
      </c>
    </row>
    <row r="10" spans="2:77">
      <c r="B10" s="277"/>
      <c r="C10" s="275"/>
      <c r="D10" s="276"/>
      <c r="E10" s="276"/>
      <c r="F10" s="275"/>
      <c r="G10" s="274"/>
      <c r="J10" s="273"/>
      <c r="P10" s="277"/>
      <c r="Q10" s="275"/>
      <c r="R10" s="275"/>
      <c r="S10" s="275"/>
      <c r="T10" s="275"/>
      <c r="U10" s="274"/>
      <c r="W10" s="275"/>
      <c r="X10" s="275"/>
      <c r="Y10" s="275"/>
      <c r="Z10" s="275"/>
      <c r="AB10" s="273"/>
      <c r="AC10" s="271" t="s">
        <v>1000</v>
      </c>
      <c r="AD10" s="271" t="s">
        <v>997</v>
      </c>
      <c r="AE10" s="271"/>
      <c r="AF10" s="271"/>
      <c r="AG10" s="271" t="s">
        <v>999</v>
      </c>
      <c r="AH10" s="271"/>
      <c r="AI10" s="281" t="s">
        <v>995</v>
      </c>
      <c r="AL10" s="275"/>
      <c r="AM10" s="275"/>
      <c r="AN10" s="275"/>
      <c r="AO10" s="275"/>
      <c r="AQ10" s="273"/>
      <c r="AR10" s="271" t="s">
        <v>998</v>
      </c>
      <c r="AS10" s="271" t="s">
        <v>997</v>
      </c>
      <c r="AT10" s="271"/>
      <c r="AU10" s="271"/>
      <c r="AV10" s="271" t="s">
        <v>996</v>
      </c>
      <c r="AW10" s="271"/>
      <c r="AX10" s="281" t="s">
        <v>995</v>
      </c>
      <c r="BL10" s="272"/>
      <c r="BM10" s="280"/>
      <c r="BN10" s="278"/>
      <c r="BO10" s="278"/>
      <c r="BP10" s="270"/>
      <c r="BQ10" s="273"/>
      <c r="BS10" s="275"/>
      <c r="BT10" s="275"/>
      <c r="BU10" s="275"/>
      <c r="BV10" s="275"/>
      <c r="BX10" s="279">
        <v>1</v>
      </c>
    </row>
    <row r="11" spans="2:77">
      <c r="B11" s="277"/>
      <c r="C11" s="275"/>
      <c r="D11" s="275"/>
      <c r="E11" s="276"/>
      <c r="F11" s="275"/>
      <c r="G11" s="274"/>
      <c r="J11" s="273"/>
      <c r="P11" s="277"/>
      <c r="Q11" s="275"/>
      <c r="R11" s="275"/>
      <c r="S11" s="275"/>
      <c r="T11" s="275"/>
      <c r="U11" s="274"/>
      <c r="AB11" s="273"/>
      <c r="AQ11" s="273"/>
      <c r="BM11" s="270"/>
      <c r="BN11" s="278"/>
      <c r="BO11" s="278"/>
      <c r="BP11" s="270"/>
      <c r="BQ11" s="273"/>
      <c r="BS11" s="275"/>
      <c r="BT11" s="275"/>
      <c r="BU11" s="275"/>
      <c r="BV11" s="275"/>
      <c r="BX11" s="270"/>
    </row>
    <row r="12" spans="2:77">
      <c r="B12" s="277"/>
      <c r="C12" s="275"/>
      <c r="D12" s="275"/>
      <c r="E12" s="276"/>
      <c r="F12" s="275"/>
      <c r="G12" s="274"/>
      <c r="J12" s="273"/>
      <c r="P12" s="277"/>
      <c r="Q12" s="275"/>
      <c r="R12" s="275"/>
      <c r="S12" s="275"/>
      <c r="T12" s="275"/>
      <c r="U12" s="274"/>
      <c r="AB12" s="273"/>
      <c r="AC12" s="266">
        <v>16</v>
      </c>
      <c r="AD12" s="266">
        <v>3</v>
      </c>
      <c r="AE12" s="266">
        <v>3</v>
      </c>
      <c r="AG12" s="266">
        <v>8</v>
      </c>
      <c r="AI12" s="266">
        <v>8</v>
      </c>
      <c r="AQ12" s="273"/>
      <c r="AR12" s="266">
        <v>8</v>
      </c>
      <c r="AS12" s="266">
        <v>3</v>
      </c>
      <c r="AT12" s="266">
        <v>3</v>
      </c>
      <c r="AV12" s="266">
        <v>8</v>
      </c>
      <c r="AX12" s="266">
        <v>8</v>
      </c>
      <c r="BM12" s="270"/>
      <c r="BN12" s="270"/>
      <c r="BO12" s="270"/>
      <c r="BP12" s="270"/>
      <c r="BQ12" s="273"/>
      <c r="BS12" s="275"/>
      <c r="BT12" s="275"/>
      <c r="BU12" s="275"/>
      <c r="BV12" s="275"/>
      <c r="BX12" s="270"/>
    </row>
    <row r="13" spans="2:77">
      <c r="B13" s="277"/>
      <c r="C13" s="275"/>
      <c r="D13" s="276"/>
      <c r="E13" s="276"/>
      <c r="F13" s="275"/>
      <c r="G13" s="274"/>
      <c r="J13" s="273"/>
      <c r="P13" s="277"/>
      <c r="Q13" s="275"/>
      <c r="R13" s="275"/>
      <c r="S13" s="275"/>
      <c r="T13" s="275"/>
      <c r="U13" s="274"/>
      <c r="AB13" s="273"/>
      <c r="AQ13" s="273"/>
      <c r="BM13" s="270"/>
      <c r="BN13" s="270"/>
      <c r="BO13" s="270"/>
      <c r="BP13" s="270"/>
      <c r="BQ13" s="273"/>
      <c r="BS13" s="275"/>
      <c r="BT13" s="275"/>
      <c r="BU13" s="275"/>
      <c r="BV13" s="275"/>
      <c r="BX13" s="270"/>
    </row>
    <row r="14" spans="2:77">
      <c r="B14" s="277"/>
      <c r="C14" s="275"/>
      <c r="D14" s="276"/>
      <c r="E14" s="276"/>
      <c r="F14" s="275"/>
      <c r="G14" s="274"/>
      <c r="J14" s="266" t="s">
        <v>994</v>
      </c>
      <c r="P14" s="274"/>
      <c r="Q14" s="274"/>
      <c r="R14" s="274"/>
      <c r="S14" s="274"/>
      <c r="T14" s="274"/>
      <c r="U14" s="274"/>
      <c r="AB14" s="266" t="s">
        <v>993</v>
      </c>
      <c r="AD14" s="266">
        <f>AC12*AD12*AE12*AG12+AI12</f>
        <v>1160</v>
      </c>
      <c r="AQ14" s="266" t="s">
        <v>993</v>
      </c>
      <c r="AS14" s="266">
        <f>AR12*AS12*AT12*AV12+AX12</f>
        <v>584</v>
      </c>
      <c r="BM14" s="270"/>
      <c r="BN14" s="270"/>
      <c r="BO14" s="270"/>
      <c r="BP14" s="270"/>
      <c r="BQ14" s="273"/>
      <c r="BS14" s="266" t="s">
        <v>992</v>
      </c>
      <c r="BX14" s="270"/>
    </row>
    <row r="15" spans="2:77">
      <c r="B15" s="274"/>
      <c r="C15" s="274"/>
      <c r="D15" s="274"/>
      <c r="E15" s="274"/>
      <c r="F15" s="274"/>
      <c r="G15" s="274"/>
      <c r="BQ15" s="273"/>
      <c r="BX15" s="270"/>
    </row>
    <row r="16" spans="2:77">
      <c r="R16" s="266" t="s">
        <v>991</v>
      </c>
      <c r="X16" s="272" t="s">
        <v>990</v>
      </c>
      <c r="Y16" s="272"/>
      <c r="AM16" s="272" t="s">
        <v>989</v>
      </c>
      <c r="AN16" s="272"/>
      <c r="BA16" s="269" t="s">
        <v>988</v>
      </c>
      <c r="BQ16" s="271">
        <v>16</v>
      </c>
      <c r="BT16" s="266" t="s">
        <v>987</v>
      </c>
      <c r="BX16" s="270"/>
    </row>
    <row r="17" spans="23:75">
      <c r="BA17" s="269" t="s">
        <v>986</v>
      </c>
    </row>
    <row r="18" spans="23:75">
      <c r="BA18" s="269" t="s">
        <v>752</v>
      </c>
      <c r="BO18" s="266">
        <v>16</v>
      </c>
      <c r="BP18" s="266">
        <v>3</v>
      </c>
      <c r="BQ18" s="266">
        <v>3</v>
      </c>
      <c r="BS18" s="266">
        <v>8</v>
      </c>
      <c r="BU18" s="266">
        <v>16</v>
      </c>
    </row>
    <row r="19" spans="23:75" ht="26.25">
      <c r="W19" s="268" t="s">
        <v>985</v>
      </c>
    </row>
    <row r="20" spans="23:75">
      <c r="AA20" s="266" t="s">
        <v>984</v>
      </c>
      <c r="BR20" s="266">
        <f>BO18*BP18*BQ18*BS18+BU18</f>
        <v>1168</v>
      </c>
      <c r="BW20" s="266">
        <f>3*3*16*1+1</f>
        <v>145</v>
      </c>
    </row>
    <row r="25" spans="23:75">
      <c r="BS25" s="267" t="s">
        <v>983</v>
      </c>
      <c r="BT25" s="267"/>
      <c r="BU25" s="267">
        <f>L7+AD14+AS14+584+584+BR20+BW20</f>
        <v>4385</v>
      </c>
    </row>
  </sheetData>
  <mergeCells count="14">
    <mergeCell ref="BT3:BU3"/>
    <mergeCell ref="X16:Y16"/>
    <mergeCell ref="AL2:AO2"/>
    <mergeCell ref="AM3:AN3"/>
    <mergeCell ref="AM16:AN16"/>
    <mergeCell ref="BN5:BO5"/>
    <mergeCell ref="BL7:BL10"/>
    <mergeCell ref="BM7:BM10"/>
    <mergeCell ref="C3:F3"/>
    <mergeCell ref="B4:B14"/>
    <mergeCell ref="Q2:T2"/>
    <mergeCell ref="P3:P13"/>
    <mergeCell ref="W2:Z2"/>
    <mergeCell ref="X3:Y3"/>
  </mergeCells>
  <phoneticPr fontId="5" type="noConversion"/>
  <pageMargins left="0.7" right="0.7" top="0.75" bottom="0.75" header="0.3" footer="0.3"/>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7:AK167"/>
  <sheetViews>
    <sheetView tabSelected="1" topLeftCell="I140" zoomScaleNormal="100" workbookViewId="0">
      <selection activeCell="P167" sqref="P167"/>
    </sheetView>
  </sheetViews>
  <sheetFormatPr defaultRowHeight="16.5"/>
  <cols>
    <col min="1" max="1" width="9" style="240"/>
    <col min="2" max="2" width="11.75" style="240" customWidth="1"/>
    <col min="3" max="7" width="9" style="240"/>
    <col min="8" max="8" width="13.75" style="240" customWidth="1"/>
    <col min="9" max="11" width="9" style="240"/>
    <col min="12" max="12" width="11" style="240" customWidth="1"/>
    <col min="13" max="21" width="9" style="240"/>
    <col min="22" max="22" width="11.625" style="240" customWidth="1"/>
    <col min="23" max="16384" width="9" style="240"/>
  </cols>
  <sheetData>
    <row r="17" spans="6:17" s="288" customFormat="1" ht="41.25">
      <c r="F17" s="289" t="s">
        <v>1110</v>
      </c>
      <c r="G17" s="289"/>
      <c r="H17" s="289"/>
      <c r="I17" s="289"/>
      <c r="J17" s="289"/>
      <c r="K17" s="289"/>
      <c r="L17" s="289"/>
      <c r="M17" s="289"/>
      <c r="N17" s="289"/>
      <c r="O17" s="289"/>
      <c r="P17" s="289"/>
    </row>
    <row r="22" spans="6:17" ht="20.25">
      <c r="Q22" s="296" t="s">
        <v>1109</v>
      </c>
    </row>
    <row r="23" spans="6:17" ht="20.25">
      <c r="Q23" s="296" t="s">
        <v>1108</v>
      </c>
    </row>
    <row r="34" spans="2:37">
      <c r="Y34" s="253" t="s">
        <v>1107</v>
      </c>
      <c r="Z34" s="253"/>
    </row>
    <row r="35" spans="2:37">
      <c r="Y35" s="214"/>
      <c r="Z35" s="214"/>
    </row>
    <row r="36" spans="2:37">
      <c r="Y36" s="214"/>
      <c r="Z36" s="214"/>
    </row>
    <row r="37" spans="2:37">
      <c r="Y37" s="214"/>
      <c r="Z37" s="214"/>
    </row>
    <row r="38" spans="2:37">
      <c r="C38" s="240" t="s">
        <v>1106</v>
      </c>
      <c r="G38" s="240" t="s">
        <v>1014</v>
      </c>
      <c r="I38" s="227" t="s">
        <v>1039</v>
      </c>
    </row>
    <row r="39" spans="2:37">
      <c r="C39" s="240" t="s">
        <v>1105</v>
      </c>
      <c r="G39" s="240">
        <v>1</v>
      </c>
      <c r="I39" s="214"/>
      <c r="W39" s="286" t="s">
        <v>1104</v>
      </c>
    </row>
    <row r="40" spans="2:37">
      <c r="G40" s="240">
        <v>2</v>
      </c>
      <c r="I40" s="214"/>
      <c r="K40" s="295" t="s">
        <v>1101</v>
      </c>
      <c r="L40" s="252"/>
      <c r="AI40" s="253" t="s">
        <v>1103</v>
      </c>
      <c r="AJ40" s="253"/>
    </row>
    <row r="41" spans="2:37">
      <c r="C41" s="240" t="s">
        <v>1102</v>
      </c>
      <c r="I41" s="214"/>
      <c r="K41" s="252"/>
      <c r="L41" s="252"/>
      <c r="AG41" s="266" t="s">
        <v>1044</v>
      </c>
      <c r="AI41" s="214"/>
      <c r="AJ41" s="214"/>
    </row>
    <row r="42" spans="2:37">
      <c r="I42" s="214"/>
      <c r="K42" s="252"/>
      <c r="L42" s="252"/>
      <c r="W42" s="266" t="s">
        <v>1044</v>
      </c>
      <c r="Y42" s="295" t="s">
        <v>1101</v>
      </c>
      <c r="Z42" s="252"/>
      <c r="AG42" s="273"/>
      <c r="AI42" s="214"/>
      <c r="AJ42" s="214"/>
    </row>
    <row r="43" spans="2:37">
      <c r="B43" s="286" t="s">
        <v>1100</v>
      </c>
      <c r="I43" s="214"/>
      <c r="K43" s="140"/>
      <c r="L43" s="140"/>
      <c r="N43" s="253" t="s">
        <v>1099</v>
      </c>
      <c r="O43" s="253"/>
      <c r="P43" s="253"/>
      <c r="Q43" s="253"/>
      <c r="R43" s="253"/>
      <c r="S43" s="253"/>
      <c r="W43" s="273"/>
      <c r="Y43" s="252"/>
      <c r="Z43" s="252"/>
      <c r="AG43" s="273"/>
      <c r="AI43" s="214"/>
      <c r="AJ43" s="214"/>
    </row>
    <row r="44" spans="2:37">
      <c r="I44" s="214"/>
      <c r="K44" s="140"/>
      <c r="L44" s="140"/>
      <c r="O44" s="253">
        <v>7</v>
      </c>
      <c r="P44" s="253"/>
      <c r="W44" s="273"/>
      <c r="Y44" s="252"/>
      <c r="Z44" s="252"/>
      <c r="AG44" s="273"/>
    </row>
    <row r="45" spans="2:37">
      <c r="I45" s="214"/>
      <c r="K45" s="140"/>
      <c r="L45" s="140"/>
      <c r="N45" s="252">
        <v>7</v>
      </c>
      <c r="O45" s="241"/>
      <c r="P45" s="241"/>
      <c r="T45" s="286" t="s">
        <v>1098</v>
      </c>
      <c r="W45" s="273"/>
      <c r="Y45" s="140"/>
      <c r="Z45" s="140"/>
      <c r="AD45" s="286" t="s">
        <v>1098</v>
      </c>
      <c r="AG45" s="273"/>
    </row>
    <row r="46" spans="2:37">
      <c r="I46" s="214"/>
      <c r="K46" s="140"/>
      <c r="L46" s="140"/>
      <c r="N46" s="252"/>
      <c r="O46" s="241"/>
      <c r="P46" s="241"/>
      <c r="W46" s="273"/>
      <c r="Y46" s="140"/>
      <c r="Z46" s="140"/>
      <c r="AG46" s="273"/>
    </row>
    <row r="47" spans="2:37">
      <c r="C47" s="240" t="s">
        <v>1097</v>
      </c>
      <c r="D47" s="240">
        <v>100</v>
      </c>
      <c r="I47" s="214"/>
      <c r="K47" s="140"/>
      <c r="L47" s="140"/>
      <c r="N47" s="252"/>
      <c r="O47" s="241"/>
      <c r="P47" s="241"/>
      <c r="W47" s="273"/>
      <c r="Y47" s="140"/>
      <c r="Z47" s="140"/>
      <c r="AG47" s="273"/>
      <c r="AJ47" s="253" t="s">
        <v>1096</v>
      </c>
      <c r="AK47" s="253"/>
    </row>
    <row r="48" spans="2:37">
      <c r="I48" s="214"/>
      <c r="J48" s="240" t="s">
        <v>1095</v>
      </c>
      <c r="K48" s="240">
        <f>I62</f>
        <v>6272</v>
      </c>
      <c r="L48" s="140"/>
      <c r="N48" s="252"/>
      <c r="O48" s="241"/>
      <c r="P48" s="241"/>
      <c r="W48" s="273"/>
      <c r="Y48" s="140"/>
      <c r="Z48" s="140"/>
      <c r="AG48" s="273"/>
      <c r="AJ48" s="140"/>
      <c r="AK48" s="140"/>
    </row>
    <row r="49" spans="1:37">
      <c r="B49" s="265">
        <v>100</v>
      </c>
      <c r="C49" s="265"/>
      <c r="D49" s="265"/>
      <c r="I49" s="214"/>
      <c r="K49" s="140"/>
      <c r="L49" s="140"/>
      <c r="W49" s="273"/>
      <c r="Y49" s="140"/>
      <c r="Z49" s="140"/>
      <c r="AG49" s="273"/>
      <c r="AJ49" s="140"/>
      <c r="AK49" s="140"/>
    </row>
    <row r="50" spans="1:37">
      <c r="A50" s="293">
        <v>32</v>
      </c>
      <c r="B50" s="294" t="s">
        <v>1094</v>
      </c>
      <c r="C50" s="243"/>
      <c r="D50" s="243"/>
      <c r="I50" s="214"/>
      <c r="K50" s="140"/>
      <c r="L50" s="140"/>
      <c r="M50" s="240" t="s">
        <v>1093</v>
      </c>
      <c r="O50" s="253" t="s">
        <v>1028</v>
      </c>
      <c r="P50" s="253"/>
      <c r="W50" s="273"/>
      <c r="Y50" s="140"/>
      <c r="Z50" s="140"/>
      <c r="AG50" s="273"/>
      <c r="AJ50" s="140"/>
      <c r="AK50" s="140"/>
    </row>
    <row r="51" spans="1:37">
      <c r="A51" s="293"/>
      <c r="B51" s="243"/>
      <c r="C51" s="243"/>
      <c r="D51" s="243"/>
      <c r="I51" s="214"/>
      <c r="K51" s="140"/>
      <c r="L51" s="140"/>
      <c r="W51" s="273"/>
      <c r="Y51" s="140"/>
      <c r="Z51" s="140"/>
      <c r="AG51" s="273"/>
      <c r="AH51" s="240" t="s">
        <v>1030</v>
      </c>
      <c r="AJ51" s="140"/>
      <c r="AK51" s="140"/>
    </row>
    <row r="52" spans="1:37">
      <c r="A52" s="293"/>
      <c r="B52" s="243"/>
      <c r="C52" s="243"/>
      <c r="D52" s="243"/>
      <c r="I52" s="214"/>
      <c r="K52" s="140"/>
      <c r="L52" s="140"/>
      <c r="M52" s="240">
        <f>6272*2</f>
        <v>12544</v>
      </c>
      <c r="Q52" s="240" t="s">
        <v>1092</v>
      </c>
      <c r="S52" s="240" t="s">
        <v>1091</v>
      </c>
      <c r="V52" s="240" t="s">
        <v>1090</v>
      </c>
      <c r="W52" s="273"/>
      <c r="Y52" s="140"/>
      <c r="Z52" s="140"/>
      <c r="AE52" s="240" t="s">
        <v>1089</v>
      </c>
      <c r="AG52" s="273"/>
    </row>
    <row r="53" spans="1:37">
      <c r="A53" s="293"/>
      <c r="B53" s="243"/>
      <c r="C53" s="243"/>
      <c r="D53" s="243"/>
      <c r="I53" s="214"/>
      <c r="K53" s="140"/>
      <c r="L53" s="140"/>
      <c r="W53" s="273"/>
      <c r="Y53" s="140"/>
      <c r="Z53" s="140"/>
      <c r="AG53" s="227" t="s">
        <v>1088</v>
      </c>
    </row>
    <row r="54" spans="1:37">
      <c r="A54" s="293"/>
      <c r="B54" s="243"/>
      <c r="C54" s="243"/>
      <c r="D54" s="243"/>
      <c r="G54" s="240">
        <v>100</v>
      </c>
      <c r="I54" s="214"/>
      <c r="K54" s="140"/>
      <c r="L54" s="140"/>
      <c r="T54" s="240">
        <f>128*5*5*64+64</f>
        <v>204864</v>
      </c>
      <c r="W54" s="227" t="s">
        <v>1029</v>
      </c>
      <c r="Y54" s="140"/>
      <c r="Z54" s="140"/>
      <c r="AA54" s="286" t="s">
        <v>1087</v>
      </c>
      <c r="AH54" s="240" t="s">
        <v>1086</v>
      </c>
    </row>
    <row r="55" spans="1:37">
      <c r="A55" s="293"/>
      <c r="B55" s="243"/>
      <c r="C55" s="243"/>
      <c r="D55" s="243"/>
      <c r="I55" s="214"/>
      <c r="V55" s="240">
        <f>64*2</f>
        <v>128</v>
      </c>
      <c r="Y55" s="140"/>
      <c r="Z55" s="140"/>
      <c r="AH55" s="240" t="s">
        <v>1085</v>
      </c>
    </row>
    <row r="56" spans="1:37">
      <c r="I56" s="214"/>
      <c r="O56" s="240">
        <f>25088/6272</f>
        <v>4</v>
      </c>
      <c r="Y56" s="140"/>
      <c r="Z56" s="140"/>
    </row>
    <row r="57" spans="1:37">
      <c r="I57" s="214"/>
      <c r="AF57" s="240">
        <f>5*5*64 +1</f>
        <v>1601</v>
      </c>
    </row>
    <row r="58" spans="1:37">
      <c r="I58" s="214"/>
    </row>
    <row r="59" spans="1:37">
      <c r="B59" s="24"/>
      <c r="C59" s="24"/>
      <c r="D59" s="24"/>
      <c r="E59" s="24"/>
      <c r="F59" s="24"/>
      <c r="K59" s="240" t="s">
        <v>1084</v>
      </c>
    </row>
    <row r="60" spans="1:37">
      <c r="B60" s="24"/>
      <c r="C60" s="24"/>
      <c r="D60" s="24"/>
      <c r="E60" s="24"/>
      <c r="F60" s="24"/>
      <c r="I60" s="240" t="s">
        <v>1083</v>
      </c>
      <c r="J60" s="240" t="s">
        <v>1082</v>
      </c>
      <c r="K60" s="240" t="s">
        <v>1081</v>
      </c>
      <c r="N60" s="240" t="s">
        <v>1080</v>
      </c>
    </row>
    <row r="61" spans="1:37">
      <c r="B61" s="24"/>
      <c r="C61" s="24"/>
      <c r="D61" s="24"/>
      <c r="E61" s="24"/>
      <c r="F61" s="24"/>
    </row>
    <row r="62" spans="1:37" ht="17.25">
      <c r="B62" s="24"/>
      <c r="C62" s="24"/>
      <c r="D62" s="24"/>
      <c r="E62" s="24"/>
      <c r="F62" s="24"/>
      <c r="I62" s="240">
        <f>128*7*7</f>
        <v>6272</v>
      </c>
      <c r="Q62" s="292" t="s">
        <v>1079</v>
      </c>
      <c r="T62" s="3">
        <f>H64+M52+T54+V55+AF57</f>
        <v>852609</v>
      </c>
    </row>
    <row r="63" spans="1:37">
      <c r="B63" s="24"/>
      <c r="C63" s="24"/>
      <c r="D63" s="24"/>
      <c r="E63" s="24"/>
      <c r="F63" s="24"/>
      <c r="H63" s="240" t="s">
        <v>1078</v>
      </c>
    </row>
    <row r="64" spans="1:37">
      <c r="B64" s="24"/>
      <c r="C64" s="24"/>
      <c r="D64" s="24"/>
      <c r="E64" s="24"/>
      <c r="F64" s="24"/>
      <c r="H64" s="240">
        <f>100*I62+I62</f>
        <v>633472</v>
      </c>
      <c r="L64" s="291" t="s">
        <v>1077</v>
      </c>
    </row>
    <row r="65" spans="2:16">
      <c r="N65" s="240" t="s">
        <v>1076</v>
      </c>
    </row>
    <row r="66" spans="2:16">
      <c r="K66" s="232" t="s">
        <v>1075</v>
      </c>
    </row>
    <row r="67" spans="2:16">
      <c r="B67" s="242" t="s">
        <v>1074</v>
      </c>
      <c r="K67" s="232" t="s">
        <v>1073</v>
      </c>
    </row>
    <row r="68" spans="2:16">
      <c r="K68" s="232" t="s">
        <v>1072</v>
      </c>
    </row>
    <row r="69" spans="2:16">
      <c r="B69" s="235" t="s">
        <v>1071</v>
      </c>
      <c r="K69" s="232" t="s">
        <v>1070</v>
      </c>
    </row>
    <row r="70" spans="2:16">
      <c r="B70" s="240" t="s">
        <v>1069</v>
      </c>
      <c r="K70" s="232" t="s">
        <v>1068</v>
      </c>
    </row>
    <row r="71" spans="2:16">
      <c r="B71" s="235" t="s">
        <v>1067</v>
      </c>
      <c r="K71" s="232" t="s">
        <v>1066</v>
      </c>
    </row>
    <row r="72" spans="2:16">
      <c r="B72" s="240" t="s">
        <v>1065</v>
      </c>
      <c r="K72" s="232" t="s">
        <v>1064</v>
      </c>
    </row>
    <row r="73" spans="2:16">
      <c r="B73" s="235" t="s">
        <v>1063</v>
      </c>
      <c r="K73" s="232" t="s">
        <v>1062</v>
      </c>
    </row>
    <row r="74" spans="2:16">
      <c r="B74" s="240" t="s">
        <v>1061</v>
      </c>
      <c r="K74" s="211" t="s">
        <v>1060</v>
      </c>
      <c r="L74" s="3"/>
      <c r="M74" s="3"/>
      <c r="N74" s="3"/>
      <c r="P74" s="252" t="s">
        <v>1059</v>
      </c>
    </row>
    <row r="75" spans="2:16">
      <c r="K75" s="211" t="s">
        <v>1058</v>
      </c>
      <c r="L75" s="3"/>
      <c r="M75" s="3"/>
      <c r="N75" s="3"/>
      <c r="P75" s="252"/>
    </row>
    <row r="76" spans="2:16">
      <c r="K76" s="232" t="s">
        <v>1057</v>
      </c>
    </row>
    <row r="77" spans="2:16">
      <c r="K77" s="232" t="s">
        <v>1056</v>
      </c>
    </row>
    <row r="78" spans="2:16">
      <c r="K78" s="232" t="s">
        <v>1055</v>
      </c>
    </row>
    <row r="79" spans="2:16">
      <c r="K79" s="232" t="s">
        <v>1054</v>
      </c>
    </row>
    <row r="80" spans="2:16">
      <c r="K80" s="232" t="s">
        <v>1053</v>
      </c>
    </row>
    <row r="81" spans="9:11">
      <c r="K81" s="232" t="s">
        <v>1052</v>
      </c>
    </row>
    <row r="82" spans="9:11">
      <c r="K82" s="232" t="s">
        <v>752</v>
      </c>
    </row>
    <row r="83" spans="9:11">
      <c r="K83" s="232"/>
    </row>
    <row r="84" spans="9:11">
      <c r="K84" s="232"/>
    </row>
    <row r="85" spans="9:11">
      <c r="K85" s="232"/>
    </row>
    <row r="86" spans="9:11">
      <c r="K86" s="232"/>
    </row>
    <row r="87" spans="9:11">
      <c r="K87" s="232"/>
    </row>
    <row r="88" spans="9:11">
      <c r="K88" s="232"/>
    </row>
    <row r="89" spans="9:11">
      <c r="K89" s="232"/>
    </row>
    <row r="90" spans="9:11">
      <c r="K90" s="232"/>
    </row>
    <row r="91" spans="9:11">
      <c r="K91" s="232"/>
    </row>
    <row r="92" spans="9:11">
      <c r="K92" s="232"/>
    </row>
    <row r="93" spans="9:11">
      <c r="K93" s="232"/>
    </row>
    <row r="94" spans="9:11">
      <c r="I94" s="240">
        <v>12672</v>
      </c>
      <c r="K94" s="232"/>
    </row>
    <row r="95" spans="9:11">
      <c r="K95" s="232"/>
    </row>
    <row r="96" spans="9:11">
      <c r="K96" s="232"/>
    </row>
    <row r="97" spans="2:29">
      <c r="K97" s="232"/>
    </row>
    <row r="102" spans="2:29" s="288" customFormat="1" ht="41.25">
      <c r="F102" s="289" t="s">
        <v>1051</v>
      </c>
      <c r="G102" s="289"/>
      <c r="H102" s="289"/>
      <c r="I102" s="289"/>
      <c r="J102" s="289"/>
      <c r="K102" s="289"/>
      <c r="L102" s="289"/>
      <c r="M102" s="289"/>
      <c r="N102" s="289"/>
      <c r="O102" s="289"/>
      <c r="P102" s="289"/>
    </row>
    <row r="103" spans="2:29">
      <c r="B103" s="286" t="s">
        <v>1050</v>
      </c>
    </row>
    <row r="104" spans="2:29">
      <c r="B104" s="286" t="s">
        <v>1049</v>
      </c>
    </row>
    <row r="105" spans="2:29">
      <c r="B105" s="286" t="s">
        <v>1048</v>
      </c>
    </row>
    <row r="106" spans="2:29">
      <c r="B106" s="286" t="s">
        <v>1042</v>
      </c>
    </row>
    <row r="107" spans="2:29">
      <c r="B107" s="286" t="s">
        <v>1041</v>
      </c>
      <c r="S107" s="253" t="s">
        <v>1047</v>
      </c>
      <c r="T107" s="253"/>
      <c r="X107" s="253" t="s">
        <v>1046</v>
      </c>
      <c r="Y107" s="253"/>
    </row>
    <row r="108" spans="2:29">
      <c r="B108" s="286" t="s">
        <v>1045</v>
      </c>
      <c r="Q108" s="266" t="s">
        <v>1044</v>
      </c>
      <c r="S108" s="253"/>
      <c r="T108" s="253"/>
      <c r="V108" s="266" t="s">
        <v>1044</v>
      </c>
      <c r="X108" s="253"/>
      <c r="Y108" s="253"/>
      <c r="AA108" s="240" t="s">
        <v>1043</v>
      </c>
    </row>
    <row r="109" spans="2:29">
      <c r="B109" s="286" t="s">
        <v>1042</v>
      </c>
      <c r="Q109" s="273"/>
      <c r="S109" s="253"/>
      <c r="T109" s="253"/>
      <c r="V109" s="273"/>
      <c r="X109" s="253"/>
      <c r="Y109" s="253"/>
      <c r="AA109" s="140">
        <v>1</v>
      </c>
    </row>
    <row r="110" spans="2:29">
      <c r="B110" s="286" t="s">
        <v>1041</v>
      </c>
      <c r="Q110" s="273"/>
      <c r="S110" s="253"/>
      <c r="T110" s="253"/>
      <c r="V110" s="273"/>
      <c r="X110" s="253"/>
      <c r="Y110" s="253"/>
      <c r="AA110" s="140"/>
    </row>
    <row r="111" spans="2:29">
      <c r="B111" s="286" t="s">
        <v>1040</v>
      </c>
      <c r="Q111" s="273"/>
      <c r="S111" s="253"/>
      <c r="T111" s="253"/>
      <c r="V111" s="273"/>
      <c r="X111" s="253"/>
      <c r="Y111" s="253"/>
      <c r="AA111" s="140"/>
      <c r="AC111" s="240" t="s">
        <v>1039</v>
      </c>
    </row>
    <row r="112" spans="2:29">
      <c r="B112" s="286" t="s">
        <v>1038</v>
      </c>
      <c r="Q112" s="273"/>
      <c r="V112" s="273"/>
      <c r="AA112" s="140"/>
      <c r="AC112" s="214"/>
    </row>
    <row r="113" spans="2:30">
      <c r="B113" s="286" t="s">
        <v>1037</v>
      </c>
      <c r="Q113" s="273"/>
      <c r="V113" s="273"/>
      <c r="AA113" s="140"/>
      <c r="AC113" s="214"/>
      <c r="AD113" s="240" t="s">
        <v>1036</v>
      </c>
    </row>
    <row r="114" spans="2:30">
      <c r="B114" s="290" t="s">
        <v>1035</v>
      </c>
      <c r="C114" s="3"/>
      <c r="D114" s="3"/>
      <c r="K114" s="253" t="s">
        <v>1034</v>
      </c>
      <c r="L114" s="253"/>
      <c r="Q114" s="273"/>
      <c r="R114" s="240" t="s">
        <v>1033</v>
      </c>
      <c r="V114" s="273"/>
      <c r="AA114" s="140"/>
      <c r="AC114" s="214"/>
    </row>
    <row r="115" spans="2:30">
      <c r="K115" s="140"/>
      <c r="L115" s="140"/>
      <c r="Q115" s="273"/>
      <c r="R115" s="240" t="s">
        <v>1032</v>
      </c>
      <c r="V115" s="273"/>
      <c r="AA115" s="140"/>
    </row>
    <row r="116" spans="2:30">
      <c r="K116" s="140"/>
      <c r="L116" s="140"/>
      <c r="M116" s="240" t="s">
        <v>1031</v>
      </c>
      <c r="Q116" s="273"/>
      <c r="V116" s="273"/>
      <c r="AA116" s="140"/>
    </row>
    <row r="117" spans="2:30">
      <c r="K117" s="140"/>
      <c r="L117" s="140"/>
      <c r="Q117" s="273"/>
      <c r="V117" s="273"/>
      <c r="AA117" s="140"/>
    </row>
    <row r="118" spans="2:30">
      <c r="K118" s="140"/>
      <c r="L118" s="140"/>
      <c r="Q118" s="273"/>
      <c r="V118" s="273"/>
      <c r="Y118" s="240">
        <f>7*7*128</f>
        <v>6272</v>
      </c>
      <c r="AA118" s="140">
        <v>6272</v>
      </c>
    </row>
    <row r="119" spans="2:30">
      <c r="K119" s="253" t="s">
        <v>1030</v>
      </c>
      <c r="L119" s="253"/>
      <c r="Q119" s="273"/>
      <c r="V119" s="273"/>
    </row>
    <row r="120" spans="2:30">
      <c r="Q120" s="227" t="s">
        <v>1029</v>
      </c>
      <c r="V120" s="227" t="s">
        <v>1028</v>
      </c>
    </row>
    <row r="121" spans="2:30">
      <c r="S121" s="240">
        <f>5*5*64+64</f>
        <v>1664</v>
      </c>
      <c r="W121" s="240">
        <f>64*5*5*128+128</f>
        <v>204928</v>
      </c>
    </row>
    <row r="135" spans="2:16">
      <c r="J135" s="240">
        <v>212865</v>
      </c>
    </row>
    <row r="137" spans="2:16" s="288" customFormat="1" ht="41.25">
      <c r="F137" s="289" t="s">
        <v>1027</v>
      </c>
      <c r="G137" s="289"/>
      <c r="H137" s="289"/>
      <c r="I137" s="289"/>
      <c r="J137" s="289"/>
      <c r="K137" s="289"/>
      <c r="L137" s="289"/>
      <c r="M137" s="289"/>
      <c r="N137" s="289"/>
      <c r="O137" s="289"/>
      <c r="P137" s="289"/>
    </row>
    <row r="139" spans="2:16">
      <c r="B139" s="249" t="s">
        <v>1026</v>
      </c>
    </row>
    <row r="140" spans="2:16">
      <c r="B140" s="286" t="s">
        <v>1025</v>
      </c>
    </row>
    <row r="141" spans="2:16">
      <c r="B141" s="286" t="s">
        <v>1024</v>
      </c>
      <c r="M141" s="232" t="s">
        <v>1023</v>
      </c>
    </row>
    <row r="142" spans="2:16">
      <c r="B142" s="286" t="s">
        <v>1022</v>
      </c>
      <c r="M142" s="232" t="s">
        <v>1021</v>
      </c>
    </row>
    <row r="143" spans="2:16">
      <c r="B143" s="286" t="s">
        <v>1020</v>
      </c>
      <c r="M143" s="232" t="s">
        <v>1019</v>
      </c>
    </row>
    <row r="144" spans="2:16">
      <c r="B144" s="286" t="s">
        <v>1018</v>
      </c>
      <c r="M144" s="232" t="s">
        <v>1017</v>
      </c>
    </row>
    <row r="145" spans="13:16">
      <c r="M145" s="232" t="s">
        <v>1016</v>
      </c>
    </row>
    <row r="146" spans="13:16">
      <c r="M146" s="232" t="s">
        <v>1015</v>
      </c>
      <c r="P146" s="240" t="s">
        <v>1014</v>
      </c>
    </row>
    <row r="147" spans="13:16">
      <c r="M147" s="232" t="s">
        <v>1013</v>
      </c>
    </row>
    <row r="148" spans="13:16">
      <c r="M148" s="232" t="s">
        <v>1012</v>
      </c>
      <c r="O148" s="240">
        <v>1</v>
      </c>
      <c r="P148" s="287"/>
    </row>
    <row r="149" spans="13:16">
      <c r="M149" s="232" t="s">
        <v>752</v>
      </c>
      <c r="P149" s="287"/>
    </row>
    <row r="150" spans="13:16">
      <c r="P150" s="287"/>
    </row>
    <row r="151" spans="13:16">
      <c r="P151" s="287"/>
    </row>
    <row r="152" spans="13:16">
      <c r="P152" s="287"/>
    </row>
    <row r="153" spans="13:16">
      <c r="P153" s="287"/>
    </row>
    <row r="154" spans="13:16">
      <c r="P154" s="287"/>
    </row>
    <row r="155" spans="13:16">
      <c r="P155" s="287"/>
    </row>
    <row r="156" spans="13:16">
      <c r="P156" s="287"/>
    </row>
    <row r="157" spans="13:16">
      <c r="P157" s="287"/>
    </row>
    <row r="158" spans="13:16">
      <c r="P158" s="287"/>
    </row>
    <row r="159" spans="13:16">
      <c r="P159" s="287"/>
    </row>
    <row r="160" spans="13:16">
      <c r="O160" s="240">
        <v>100</v>
      </c>
      <c r="P160" s="287"/>
    </row>
    <row r="161" spans="12:26">
      <c r="Y161" s="253" t="s">
        <v>1011</v>
      </c>
      <c r="Z161" s="253"/>
    </row>
    <row r="162" spans="12:26">
      <c r="T162" s="240" t="s">
        <v>1010</v>
      </c>
    </row>
    <row r="163" spans="12:26">
      <c r="V163" s="240">
        <v>852609</v>
      </c>
    </row>
    <row r="167" spans="12:26">
      <c r="L167" s="240">
        <f>J135+I94</f>
        <v>225537</v>
      </c>
    </row>
  </sheetData>
  <mergeCells count="22">
    <mergeCell ref="X107:Y107"/>
    <mergeCell ref="X108:Y111"/>
    <mergeCell ref="Y42:Z44"/>
    <mergeCell ref="AI40:AJ40"/>
    <mergeCell ref="F102:P102"/>
    <mergeCell ref="B49:D49"/>
    <mergeCell ref="F137:P137"/>
    <mergeCell ref="Y161:Z161"/>
    <mergeCell ref="K114:L114"/>
    <mergeCell ref="K119:L119"/>
    <mergeCell ref="S107:T107"/>
    <mergeCell ref="S108:T111"/>
    <mergeCell ref="A50:A55"/>
    <mergeCell ref="AJ47:AK47"/>
    <mergeCell ref="F17:P17"/>
    <mergeCell ref="P74:P75"/>
    <mergeCell ref="K40:L42"/>
    <mergeCell ref="O44:P44"/>
    <mergeCell ref="N45:N48"/>
    <mergeCell ref="O50:P50"/>
    <mergeCell ref="N43:S43"/>
    <mergeCell ref="Y34:Z34"/>
  </mergeCells>
  <phoneticPr fontId="5"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70"/>
  <sheetViews>
    <sheetView topLeftCell="A66" zoomScaleNormal="100" workbookViewId="0">
      <selection activeCell="Y128" sqref="Y128"/>
    </sheetView>
  </sheetViews>
  <sheetFormatPr defaultRowHeight="16.5"/>
  <cols>
    <col min="14" max="14" width="13.125" bestFit="1" customWidth="1"/>
    <col min="17" max="17" width="21" customWidth="1"/>
  </cols>
  <sheetData>
    <row r="1" spans="1:10">
      <c r="A1" s="18" t="s">
        <v>37</v>
      </c>
      <c r="B1" s="252" t="s">
        <v>86</v>
      </c>
      <c r="C1" s="252"/>
      <c r="D1" s="252"/>
      <c r="E1" s="252"/>
      <c r="F1" s="252"/>
      <c r="G1" s="252"/>
      <c r="H1" s="18" t="s">
        <v>85</v>
      </c>
      <c r="J1" s="18"/>
    </row>
    <row r="2" spans="1:10">
      <c r="B2" s="14">
        <v>2</v>
      </c>
      <c r="C2" s="14">
        <v>1</v>
      </c>
      <c r="D2" s="14">
        <v>0.5</v>
      </c>
      <c r="E2" s="14">
        <v>0</v>
      </c>
      <c r="F2" s="14">
        <v>-1</v>
      </c>
      <c r="G2" s="14">
        <v>-2</v>
      </c>
      <c r="J2" s="14"/>
    </row>
    <row r="3" spans="1:10">
      <c r="A3">
        <v>-1</v>
      </c>
      <c r="B3">
        <f t="shared" ref="B3:G3" si="0">B$2^$A3</f>
        <v>0.5</v>
      </c>
      <c r="C3">
        <f t="shared" si="0"/>
        <v>1</v>
      </c>
      <c r="D3">
        <f t="shared" si="0"/>
        <v>2</v>
      </c>
      <c r="E3" t="e">
        <f t="shared" si="0"/>
        <v>#DIV/0!</v>
      </c>
      <c r="F3">
        <f t="shared" si="0"/>
        <v>-1</v>
      </c>
      <c r="G3">
        <f t="shared" si="0"/>
        <v>-0.5</v>
      </c>
      <c r="J3" s="14"/>
    </row>
    <row r="4" spans="1:10">
      <c r="A4">
        <v>-0.9</v>
      </c>
      <c r="B4">
        <f t="shared" ref="B4:B23" si="1">B$2^$A4</f>
        <v>0.53588673126814657</v>
      </c>
      <c r="C4">
        <f t="shared" ref="C4:G19" si="2">C$2^$A4</f>
        <v>1</v>
      </c>
      <c r="D4">
        <f t="shared" si="2"/>
        <v>1.8660659830736148</v>
      </c>
      <c r="E4" t="e">
        <f t="shared" si="2"/>
        <v>#DIV/0!</v>
      </c>
      <c r="F4" t="e">
        <f t="shared" si="2"/>
        <v>#NUM!</v>
      </c>
      <c r="G4" t="e">
        <f t="shared" si="2"/>
        <v>#NUM!</v>
      </c>
      <c r="J4" s="14"/>
    </row>
    <row r="5" spans="1:10">
      <c r="A5">
        <v>-0.8</v>
      </c>
      <c r="B5">
        <f t="shared" si="1"/>
        <v>0.57434917749851755</v>
      </c>
      <c r="C5">
        <f t="shared" si="2"/>
        <v>1</v>
      </c>
      <c r="D5">
        <f t="shared" si="2"/>
        <v>1.7411011265922482</v>
      </c>
      <c r="E5" t="e">
        <f t="shared" si="2"/>
        <v>#DIV/0!</v>
      </c>
      <c r="F5" t="e">
        <f t="shared" si="2"/>
        <v>#NUM!</v>
      </c>
      <c r="G5" t="e">
        <f t="shared" si="2"/>
        <v>#NUM!</v>
      </c>
      <c r="J5" s="14"/>
    </row>
    <row r="6" spans="1:10">
      <c r="A6">
        <v>-0.7</v>
      </c>
      <c r="B6">
        <f t="shared" si="1"/>
        <v>0.61557220667245816</v>
      </c>
      <c r="C6">
        <f t="shared" si="2"/>
        <v>1</v>
      </c>
      <c r="D6">
        <f t="shared" si="2"/>
        <v>1.6245047927124709</v>
      </c>
      <c r="E6" t="e">
        <f t="shared" si="2"/>
        <v>#DIV/0!</v>
      </c>
      <c r="F6" t="e">
        <f t="shared" si="2"/>
        <v>#NUM!</v>
      </c>
      <c r="G6" t="e">
        <f t="shared" si="2"/>
        <v>#NUM!</v>
      </c>
    </row>
    <row r="7" spans="1:10">
      <c r="A7">
        <v>-0.6</v>
      </c>
      <c r="B7">
        <f t="shared" si="1"/>
        <v>0.65975395538644721</v>
      </c>
      <c r="C7">
        <f t="shared" si="2"/>
        <v>1</v>
      </c>
      <c r="D7">
        <f t="shared" si="2"/>
        <v>1.5157165665103982</v>
      </c>
      <c r="E7" t="e">
        <f t="shared" si="2"/>
        <v>#DIV/0!</v>
      </c>
      <c r="F7" t="e">
        <f t="shared" si="2"/>
        <v>#NUM!</v>
      </c>
      <c r="G7" t="e">
        <f t="shared" si="2"/>
        <v>#NUM!</v>
      </c>
    </row>
    <row r="8" spans="1:10">
      <c r="A8">
        <v>-0.5</v>
      </c>
      <c r="B8">
        <f t="shared" si="1"/>
        <v>0.70710678118654746</v>
      </c>
      <c r="C8">
        <f t="shared" si="2"/>
        <v>1</v>
      </c>
      <c r="D8">
        <f t="shared" si="2"/>
        <v>1.4142135623730949</v>
      </c>
      <c r="E8" t="e">
        <f t="shared" si="2"/>
        <v>#DIV/0!</v>
      </c>
      <c r="F8" t="e">
        <f t="shared" si="2"/>
        <v>#NUM!</v>
      </c>
      <c r="G8" t="e">
        <f t="shared" si="2"/>
        <v>#NUM!</v>
      </c>
    </row>
    <row r="9" spans="1:10">
      <c r="A9">
        <v>-0.4</v>
      </c>
      <c r="B9">
        <f t="shared" si="1"/>
        <v>0.75785828325519911</v>
      </c>
      <c r="C9">
        <f t="shared" si="2"/>
        <v>1</v>
      </c>
      <c r="D9">
        <f t="shared" si="2"/>
        <v>1.3195079107728942</v>
      </c>
      <c r="E9" t="e">
        <f t="shared" si="2"/>
        <v>#DIV/0!</v>
      </c>
      <c r="F9" t="e">
        <f t="shared" si="2"/>
        <v>#NUM!</v>
      </c>
      <c r="G9" t="e">
        <f t="shared" si="2"/>
        <v>#NUM!</v>
      </c>
    </row>
    <row r="10" spans="1:10">
      <c r="A10">
        <v>-0.3</v>
      </c>
      <c r="B10">
        <f t="shared" si="1"/>
        <v>0.81225239635623547</v>
      </c>
      <c r="C10">
        <f t="shared" si="2"/>
        <v>1</v>
      </c>
      <c r="D10">
        <f t="shared" si="2"/>
        <v>1.2311444133449163</v>
      </c>
      <c r="E10" t="e">
        <f t="shared" si="2"/>
        <v>#DIV/0!</v>
      </c>
      <c r="F10" t="e">
        <f t="shared" si="2"/>
        <v>#NUM!</v>
      </c>
      <c r="G10" t="e">
        <f t="shared" si="2"/>
        <v>#NUM!</v>
      </c>
    </row>
    <row r="11" spans="1:10">
      <c r="A11">
        <v>-0.2</v>
      </c>
      <c r="B11">
        <f t="shared" si="1"/>
        <v>0.87055056329612412</v>
      </c>
      <c r="C11">
        <f t="shared" si="2"/>
        <v>1</v>
      </c>
      <c r="D11">
        <f t="shared" si="2"/>
        <v>1.1486983549970351</v>
      </c>
      <c r="E11" t="e">
        <f t="shared" si="2"/>
        <v>#DIV/0!</v>
      </c>
      <c r="F11">
        <f t="shared" si="2"/>
        <v>-1</v>
      </c>
      <c r="G11">
        <f t="shared" si="2"/>
        <v>-0.87055056329612412</v>
      </c>
    </row>
    <row r="12" spans="1:10">
      <c r="A12">
        <v>-0.1</v>
      </c>
      <c r="B12">
        <f t="shared" si="1"/>
        <v>0.93303299153680741</v>
      </c>
      <c r="C12">
        <f t="shared" si="2"/>
        <v>1</v>
      </c>
      <c r="D12">
        <f t="shared" si="2"/>
        <v>1.0717734625362931</v>
      </c>
      <c r="E12" t="e">
        <f t="shared" si="2"/>
        <v>#DIV/0!</v>
      </c>
      <c r="F12" t="e">
        <f t="shared" si="2"/>
        <v>#NUM!</v>
      </c>
      <c r="G12" t="e">
        <f t="shared" si="2"/>
        <v>#NUM!</v>
      </c>
    </row>
    <row r="13" spans="1:10">
      <c r="A13">
        <v>0</v>
      </c>
      <c r="B13">
        <f t="shared" si="1"/>
        <v>1</v>
      </c>
      <c r="C13">
        <f t="shared" si="2"/>
        <v>1</v>
      </c>
      <c r="D13">
        <f t="shared" si="2"/>
        <v>1</v>
      </c>
      <c r="E13" t="e">
        <f t="shared" si="2"/>
        <v>#NUM!</v>
      </c>
      <c r="F13">
        <f t="shared" si="2"/>
        <v>1</v>
      </c>
      <c r="G13">
        <f t="shared" si="2"/>
        <v>1</v>
      </c>
    </row>
    <row r="14" spans="1:10">
      <c r="A14">
        <v>0.1</v>
      </c>
      <c r="B14">
        <f t="shared" si="1"/>
        <v>1.0717734625362931</v>
      </c>
      <c r="C14">
        <f t="shared" si="2"/>
        <v>1</v>
      </c>
      <c r="D14">
        <f t="shared" si="2"/>
        <v>0.93303299153680741</v>
      </c>
      <c r="E14">
        <f>E$2^$A14</f>
        <v>0</v>
      </c>
      <c r="F14" t="e">
        <f t="shared" si="2"/>
        <v>#NUM!</v>
      </c>
      <c r="G14" t="e">
        <f t="shared" si="2"/>
        <v>#NUM!</v>
      </c>
    </row>
    <row r="15" spans="1:10">
      <c r="A15">
        <v>0.2</v>
      </c>
      <c r="B15">
        <f t="shared" si="1"/>
        <v>1.1486983549970351</v>
      </c>
      <c r="C15">
        <f t="shared" si="2"/>
        <v>1</v>
      </c>
      <c r="D15">
        <f t="shared" si="2"/>
        <v>0.87055056329612412</v>
      </c>
      <c r="E15">
        <f t="shared" si="2"/>
        <v>0</v>
      </c>
      <c r="F15">
        <f t="shared" si="2"/>
        <v>-1</v>
      </c>
      <c r="G15">
        <f t="shared" si="2"/>
        <v>-1.1486983549970351</v>
      </c>
    </row>
    <row r="16" spans="1:10">
      <c r="A16">
        <v>0.3</v>
      </c>
      <c r="B16">
        <f t="shared" si="1"/>
        <v>1.2311444133449163</v>
      </c>
      <c r="C16">
        <f t="shared" si="2"/>
        <v>1</v>
      </c>
      <c r="D16">
        <f t="shared" si="2"/>
        <v>0.81225239635623547</v>
      </c>
      <c r="E16">
        <f t="shared" si="2"/>
        <v>0</v>
      </c>
      <c r="F16" t="e">
        <f t="shared" si="2"/>
        <v>#NUM!</v>
      </c>
      <c r="G16" t="e">
        <f t="shared" si="2"/>
        <v>#NUM!</v>
      </c>
    </row>
    <row r="17" spans="1:7">
      <c r="A17">
        <v>0.4</v>
      </c>
      <c r="B17">
        <f t="shared" si="1"/>
        <v>1.3195079107728942</v>
      </c>
      <c r="C17">
        <f t="shared" si="2"/>
        <v>1</v>
      </c>
      <c r="D17">
        <f t="shared" si="2"/>
        <v>0.75785828325519911</v>
      </c>
      <c r="E17">
        <f t="shared" si="2"/>
        <v>0</v>
      </c>
      <c r="F17" t="e">
        <f t="shared" si="2"/>
        <v>#NUM!</v>
      </c>
      <c r="G17" t="e">
        <f t="shared" si="2"/>
        <v>#NUM!</v>
      </c>
    </row>
    <row r="18" spans="1:7">
      <c r="A18">
        <v>0.5</v>
      </c>
      <c r="B18">
        <f t="shared" si="1"/>
        <v>1.4142135623730951</v>
      </c>
      <c r="C18">
        <f t="shared" si="2"/>
        <v>1</v>
      </c>
      <c r="D18">
        <f t="shared" si="2"/>
        <v>0.70710678118654757</v>
      </c>
      <c r="E18">
        <f t="shared" si="2"/>
        <v>0</v>
      </c>
      <c r="F18" t="e">
        <f t="shared" si="2"/>
        <v>#NUM!</v>
      </c>
      <c r="G18" t="e">
        <f t="shared" si="2"/>
        <v>#NUM!</v>
      </c>
    </row>
    <row r="19" spans="1:7">
      <c r="A19">
        <v>0.6</v>
      </c>
      <c r="B19">
        <f t="shared" si="1"/>
        <v>1.515716566510398</v>
      </c>
      <c r="C19">
        <f>C$2^$A19</f>
        <v>1</v>
      </c>
      <c r="D19">
        <f t="shared" si="2"/>
        <v>0.6597539553864471</v>
      </c>
      <c r="E19">
        <f t="shared" ref="E19:G23" si="3">E$2^$A19</f>
        <v>0</v>
      </c>
      <c r="F19" t="e">
        <f t="shared" si="3"/>
        <v>#NUM!</v>
      </c>
      <c r="G19" t="e">
        <f t="shared" si="3"/>
        <v>#NUM!</v>
      </c>
    </row>
    <row r="20" spans="1:7">
      <c r="A20">
        <v>0.7</v>
      </c>
      <c r="B20">
        <f t="shared" si="1"/>
        <v>1.6245047927124709</v>
      </c>
      <c r="C20">
        <f>C$2^$A20</f>
        <v>1</v>
      </c>
      <c r="D20">
        <f>D$2^$A20</f>
        <v>0.61557220667245816</v>
      </c>
      <c r="E20">
        <f t="shared" si="3"/>
        <v>0</v>
      </c>
      <c r="F20" t="e">
        <f t="shared" si="3"/>
        <v>#NUM!</v>
      </c>
      <c r="G20" t="e">
        <f t="shared" si="3"/>
        <v>#NUM!</v>
      </c>
    </row>
    <row r="21" spans="1:7">
      <c r="A21">
        <v>0.8</v>
      </c>
      <c r="B21">
        <f t="shared" si="1"/>
        <v>1.7411011265922482</v>
      </c>
      <c r="C21">
        <f>C$2^$A21</f>
        <v>1</v>
      </c>
      <c r="D21">
        <f>D$2^$A21</f>
        <v>0.57434917749851755</v>
      </c>
      <c r="E21">
        <f t="shared" si="3"/>
        <v>0</v>
      </c>
      <c r="F21" t="e">
        <f t="shared" si="3"/>
        <v>#NUM!</v>
      </c>
      <c r="G21" t="e">
        <f t="shared" si="3"/>
        <v>#NUM!</v>
      </c>
    </row>
    <row r="22" spans="1:7">
      <c r="A22">
        <v>0.9</v>
      </c>
      <c r="B22">
        <f t="shared" si="1"/>
        <v>1.8660659830736148</v>
      </c>
      <c r="C22">
        <f>C$2^$A22</f>
        <v>1</v>
      </c>
      <c r="D22">
        <f>D$2^$A22</f>
        <v>0.53588673126814657</v>
      </c>
      <c r="E22">
        <f t="shared" si="3"/>
        <v>0</v>
      </c>
      <c r="F22" t="e">
        <f t="shared" si="3"/>
        <v>#NUM!</v>
      </c>
      <c r="G22" t="e">
        <f t="shared" si="3"/>
        <v>#NUM!</v>
      </c>
    </row>
    <row r="23" spans="1:7">
      <c r="A23">
        <v>1</v>
      </c>
      <c r="B23">
        <f t="shared" si="1"/>
        <v>2</v>
      </c>
      <c r="C23">
        <f>C$2^$A23</f>
        <v>1</v>
      </c>
      <c r="D23">
        <f>D$2^$A23</f>
        <v>0.5</v>
      </c>
      <c r="E23">
        <f t="shared" si="3"/>
        <v>0</v>
      </c>
      <c r="F23">
        <f t="shared" si="3"/>
        <v>-1</v>
      </c>
      <c r="G23">
        <f t="shared" si="3"/>
        <v>-2</v>
      </c>
    </row>
    <row r="30" spans="1:7">
      <c r="A30" s="253" t="s">
        <v>95</v>
      </c>
      <c r="B30" s="253"/>
      <c r="C30" s="253"/>
      <c r="D30" s="253"/>
      <c r="E30" s="253"/>
    </row>
    <row r="32" spans="1:7">
      <c r="A32" s="18" t="s">
        <v>37</v>
      </c>
      <c r="B32" s="18" t="s">
        <v>5</v>
      </c>
      <c r="C32" s="18" t="s">
        <v>92</v>
      </c>
      <c r="D32" s="18" t="s">
        <v>93</v>
      </c>
      <c r="E32" s="18" t="s">
        <v>94</v>
      </c>
    </row>
    <row r="33" spans="1:5">
      <c r="B33" s="14">
        <v>2</v>
      </c>
      <c r="D33" s="14">
        <v>3</v>
      </c>
      <c r="E33" s="14">
        <v>3</v>
      </c>
    </row>
    <row r="34" spans="1:5">
      <c r="A34">
        <v>-1</v>
      </c>
      <c r="C34">
        <f>$B$33^A34</f>
        <v>0.5</v>
      </c>
      <c r="D34">
        <f>$B$33^A34 - $D$33</f>
        <v>-2.5</v>
      </c>
      <c r="E34">
        <f>$B$33^A34 + $E$33</f>
        <v>3.5</v>
      </c>
    </row>
    <row r="35" spans="1:5">
      <c r="A35">
        <v>-0.9</v>
      </c>
      <c r="C35">
        <f t="shared" ref="C35:C54" si="4">$B$33^A35</f>
        <v>0.53588673126814657</v>
      </c>
      <c r="D35">
        <f t="shared" ref="D35:D54" si="5">$B$33^A35 - $D$33</f>
        <v>-2.4641132687318534</v>
      </c>
      <c r="E35">
        <f t="shared" ref="E35:E54" si="6">$B$33^A35 + $E$33</f>
        <v>3.5358867312681466</v>
      </c>
    </row>
    <row r="36" spans="1:5">
      <c r="A36">
        <v>-0.8</v>
      </c>
      <c r="C36">
        <f t="shared" si="4"/>
        <v>0.57434917749851755</v>
      </c>
      <c r="D36">
        <f t="shared" si="5"/>
        <v>-2.4256508225014826</v>
      </c>
      <c r="E36">
        <f t="shared" si="6"/>
        <v>3.5743491774985174</v>
      </c>
    </row>
    <row r="37" spans="1:5">
      <c r="A37">
        <v>-0.7</v>
      </c>
      <c r="C37">
        <f t="shared" si="4"/>
        <v>0.61557220667245816</v>
      </c>
      <c r="D37">
        <f t="shared" si="5"/>
        <v>-2.384427793327542</v>
      </c>
      <c r="E37">
        <f t="shared" si="6"/>
        <v>3.615572206672458</v>
      </c>
    </row>
    <row r="38" spans="1:5">
      <c r="A38">
        <v>-0.6</v>
      </c>
      <c r="C38">
        <f t="shared" si="4"/>
        <v>0.65975395538644721</v>
      </c>
      <c r="D38">
        <f t="shared" si="5"/>
        <v>-2.3402460446135529</v>
      </c>
      <c r="E38">
        <f t="shared" si="6"/>
        <v>3.6597539553864471</v>
      </c>
    </row>
    <row r="39" spans="1:5">
      <c r="A39">
        <v>-0.5</v>
      </c>
      <c r="C39">
        <f t="shared" si="4"/>
        <v>0.70710678118654746</v>
      </c>
      <c r="D39">
        <f t="shared" si="5"/>
        <v>-2.2928932188134525</v>
      </c>
      <c r="E39">
        <f t="shared" si="6"/>
        <v>3.7071067811865475</v>
      </c>
    </row>
    <row r="40" spans="1:5">
      <c r="A40">
        <v>-0.4</v>
      </c>
      <c r="C40">
        <f t="shared" si="4"/>
        <v>0.75785828325519911</v>
      </c>
      <c r="D40">
        <f t="shared" si="5"/>
        <v>-2.242141716744801</v>
      </c>
      <c r="E40">
        <f t="shared" si="6"/>
        <v>3.757858283255199</v>
      </c>
    </row>
    <row r="41" spans="1:5">
      <c r="A41">
        <v>-0.3</v>
      </c>
      <c r="C41">
        <f t="shared" si="4"/>
        <v>0.81225239635623547</v>
      </c>
      <c r="D41">
        <f t="shared" si="5"/>
        <v>-2.1877476036437646</v>
      </c>
      <c r="E41">
        <f t="shared" si="6"/>
        <v>3.8122523963562354</v>
      </c>
    </row>
    <row r="42" spans="1:5">
      <c r="A42">
        <v>-0.2</v>
      </c>
      <c r="C42">
        <f t="shared" si="4"/>
        <v>0.87055056329612412</v>
      </c>
      <c r="D42">
        <f t="shared" si="5"/>
        <v>-2.1294494367038759</v>
      </c>
      <c r="E42">
        <f t="shared" si="6"/>
        <v>3.8705505632961241</v>
      </c>
    </row>
    <row r="43" spans="1:5">
      <c r="A43">
        <v>-0.1</v>
      </c>
      <c r="C43">
        <f t="shared" si="4"/>
        <v>0.93303299153680741</v>
      </c>
      <c r="D43">
        <f t="shared" si="5"/>
        <v>-2.0669670084631928</v>
      </c>
      <c r="E43">
        <f t="shared" si="6"/>
        <v>3.9330329915368072</v>
      </c>
    </row>
    <row r="44" spans="1:5">
      <c r="A44">
        <v>0</v>
      </c>
      <c r="C44">
        <f t="shared" si="4"/>
        <v>1</v>
      </c>
      <c r="D44">
        <f t="shared" si="5"/>
        <v>-2</v>
      </c>
      <c r="E44">
        <f t="shared" si="6"/>
        <v>4</v>
      </c>
    </row>
    <row r="45" spans="1:5">
      <c r="A45">
        <v>0.1</v>
      </c>
      <c r="C45">
        <f t="shared" si="4"/>
        <v>1.0717734625362931</v>
      </c>
      <c r="D45">
        <f t="shared" si="5"/>
        <v>-1.9282265374637069</v>
      </c>
      <c r="E45">
        <f t="shared" si="6"/>
        <v>4.0717734625362931</v>
      </c>
    </row>
    <row r="46" spans="1:5">
      <c r="A46">
        <v>0.2</v>
      </c>
      <c r="C46">
        <f t="shared" si="4"/>
        <v>1.1486983549970351</v>
      </c>
      <c r="D46">
        <f t="shared" si="5"/>
        <v>-1.8513016450029649</v>
      </c>
      <c r="E46">
        <f t="shared" si="6"/>
        <v>4.1486983549970349</v>
      </c>
    </row>
    <row r="47" spans="1:5">
      <c r="A47">
        <v>0.3</v>
      </c>
      <c r="C47">
        <f t="shared" si="4"/>
        <v>1.2311444133449163</v>
      </c>
      <c r="D47">
        <f t="shared" si="5"/>
        <v>-1.7688555866550837</v>
      </c>
      <c r="E47">
        <f t="shared" si="6"/>
        <v>4.2311444133449161</v>
      </c>
    </row>
    <row r="48" spans="1:5">
      <c r="A48">
        <v>0.4</v>
      </c>
      <c r="C48">
        <f t="shared" si="4"/>
        <v>1.3195079107728942</v>
      </c>
      <c r="D48">
        <f t="shared" si="5"/>
        <v>-1.6804920892271058</v>
      </c>
      <c r="E48">
        <f t="shared" si="6"/>
        <v>4.3195079107728942</v>
      </c>
    </row>
    <row r="49" spans="1:8">
      <c r="A49">
        <v>0.5</v>
      </c>
      <c r="C49">
        <f t="shared" si="4"/>
        <v>1.4142135623730951</v>
      </c>
      <c r="D49">
        <f t="shared" si="5"/>
        <v>-1.5857864376269049</v>
      </c>
      <c r="E49">
        <f t="shared" si="6"/>
        <v>4.4142135623730949</v>
      </c>
    </row>
    <row r="50" spans="1:8">
      <c r="A50">
        <v>0.6</v>
      </c>
      <c r="C50">
        <f t="shared" si="4"/>
        <v>1.515716566510398</v>
      </c>
      <c r="D50">
        <f t="shared" si="5"/>
        <v>-1.484283433489602</v>
      </c>
      <c r="E50">
        <f t="shared" si="6"/>
        <v>4.515716566510398</v>
      </c>
    </row>
    <row r="51" spans="1:8">
      <c r="A51">
        <v>0.7</v>
      </c>
      <c r="C51">
        <f t="shared" si="4"/>
        <v>1.6245047927124709</v>
      </c>
      <c r="D51">
        <f t="shared" si="5"/>
        <v>-1.3754952072875291</v>
      </c>
      <c r="E51">
        <f t="shared" si="6"/>
        <v>4.6245047927124707</v>
      </c>
    </row>
    <row r="52" spans="1:8">
      <c r="A52">
        <v>0.8</v>
      </c>
      <c r="C52">
        <f t="shared" si="4"/>
        <v>1.7411011265922482</v>
      </c>
      <c r="D52">
        <f t="shared" si="5"/>
        <v>-1.2588988734077518</v>
      </c>
      <c r="E52">
        <f t="shared" si="6"/>
        <v>4.7411011265922482</v>
      </c>
    </row>
    <row r="53" spans="1:8">
      <c r="A53">
        <v>0.9</v>
      </c>
      <c r="C53">
        <f t="shared" si="4"/>
        <v>1.8660659830736148</v>
      </c>
      <c r="D53">
        <f t="shared" si="5"/>
        <v>-1.1339340169263852</v>
      </c>
      <c r="E53">
        <f t="shared" si="6"/>
        <v>4.8660659830736144</v>
      </c>
    </row>
    <row r="54" spans="1:8">
      <c r="A54">
        <v>1</v>
      </c>
      <c r="C54">
        <f t="shared" si="4"/>
        <v>2</v>
      </c>
      <c r="D54">
        <f t="shared" si="5"/>
        <v>-1</v>
      </c>
      <c r="E54">
        <f t="shared" si="6"/>
        <v>5</v>
      </c>
    </row>
    <row r="60" spans="1:8">
      <c r="A60" s="253" t="s">
        <v>96</v>
      </c>
      <c r="B60" s="253"/>
      <c r="C60" s="253"/>
      <c r="D60" s="253"/>
      <c r="E60" s="253"/>
    </row>
    <row r="62" spans="1:8">
      <c r="A62" s="18" t="s">
        <v>37</v>
      </c>
      <c r="B62" s="18" t="s">
        <v>5</v>
      </c>
      <c r="C62" s="18" t="s">
        <v>92</v>
      </c>
      <c r="D62" s="27" t="s">
        <v>97</v>
      </c>
      <c r="F62" s="27" t="s">
        <v>98</v>
      </c>
      <c r="H62" t="s">
        <v>100</v>
      </c>
    </row>
    <row r="63" spans="1:8">
      <c r="B63" s="14">
        <v>2</v>
      </c>
    </row>
    <row r="64" spans="1:8">
      <c r="A64">
        <v>-1</v>
      </c>
      <c r="C64">
        <f>$B$33^A64</f>
        <v>0.5</v>
      </c>
      <c r="D64">
        <f>$B$63^-(A64)</f>
        <v>2</v>
      </c>
      <c r="F64">
        <f>-($B$63^A64)</f>
        <v>-0.5</v>
      </c>
      <c r="H64">
        <f>-($B$63^-(A64))</f>
        <v>-2</v>
      </c>
    </row>
    <row r="65" spans="1:21">
      <c r="A65">
        <v>-0.9</v>
      </c>
      <c r="C65">
        <f t="shared" ref="C65:C84" si="7">$B$33^A65</f>
        <v>0.53588673126814657</v>
      </c>
      <c r="D65">
        <f t="shared" ref="D65:D84" si="8">$B$63^-(A65)</f>
        <v>1.8660659830736148</v>
      </c>
      <c r="F65">
        <f t="shared" ref="F65:F84" si="9">-($B$63^A65)</f>
        <v>-0.53588673126814657</v>
      </c>
      <c r="H65">
        <f t="shared" ref="H65:H84" si="10">-($B$63^-(A65))</f>
        <v>-1.8660659830736148</v>
      </c>
    </row>
    <row r="66" spans="1:21">
      <c r="A66">
        <v>-0.8</v>
      </c>
      <c r="C66">
        <f t="shared" si="7"/>
        <v>0.57434917749851755</v>
      </c>
      <c r="D66">
        <f t="shared" si="8"/>
        <v>1.7411011265922482</v>
      </c>
      <c r="F66">
        <f t="shared" si="9"/>
        <v>-0.57434917749851755</v>
      </c>
      <c r="H66">
        <f t="shared" si="10"/>
        <v>-1.7411011265922482</v>
      </c>
    </row>
    <row r="67" spans="1:21">
      <c r="A67">
        <v>-0.7</v>
      </c>
      <c r="C67">
        <f t="shared" si="7"/>
        <v>0.61557220667245816</v>
      </c>
      <c r="D67">
        <f t="shared" si="8"/>
        <v>1.6245047927124709</v>
      </c>
      <c r="F67">
        <f t="shared" si="9"/>
        <v>-0.61557220667245816</v>
      </c>
      <c r="H67">
        <f t="shared" si="10"/>
        <v>-1.6245047927124709</v>
      </c>
    </row>
    <row r="68" spans="1:21">
      <c r="A68">
        <v>-0.6</v>
      </c>
      <c r="C68">
        <f t="shared" si="7"/>
        <v>0.65975395538644721</v>
      </c>
      <c r="D68">
        <f t="shared" si="8"/>
        <v>1.515716566510398</v>
      </c>
      <c r="F68">
        <f t="shared" si="9"/>
        <v>-0.65975395538644721</v>
      </c>
      <c r="H68">
        <f t="shared" si="10"/>
        <v>-1.515716566510398</v>
      </c>
    </row>
    <row r="69" spans="1:21">
      <c r="A69">
        <v>-0.5</v>
      </c>
      <c r="C69">
        <f t="shared" si="7"/>
        <v>0.70710678118654746</v>
      </c>
      <c r="D69">
        <f t="shared" si="8"/>
        <v>1.4142135623730951</v>
      </c>
      <c r="F69">
        <f t="shared" si="9"/>
        <v>-0.70710678118654746</v>
      </c>
      <c r="H69">
        <f t="shared" si="10"/>
        <v>-1.4142135623730951</v>
      </c>
    </row>
    <row r="70" spans="1:21">
      <c r="A70">
        <v>-0.4</v>
      </c>
      <c r="C70">
        <f t="shared" si="7"/>
        <v>0.75785828325519911</v>
      </c>
      <c r="D70">
        <f t="shared" si="8"/>
        <v>1.3195079107728942</v>
      </c>
      <c r="F70">
        <f t="shared" si="9"/>
        <v>-0.75785828325519911</v>
      </c>
      <c r="H70">
        <f t="shared" si="10"/>
        <v>-1.3195079107728942</v>
      </c>
    </row>
    <row r="71" spans="1:21">
      <c r="A71">
        <v>-0.3</v>
      </c>
      <c r="C71">
        <f t="shared" si="7"/>
        <v>0.81225239635623547</v>
      </c>
      <c r="D71">
        <f t="shared" si="8"/>
        <v>1.2311444133449163</v>
      </c>
      <c r="F71">
        <f t="shared" si="9"/>
        <v>-0.81225239635623547</v>
      </c>
      <c r="H71">
        <f t="shared" si="10"/>
        <v>-1.2311444133449163</v>
      </c>
    </row>
    <row r="72" spans="1:21">
      <c r="A72">
        <v>-0.2</v>
      </c>
      <c r="C72">
        <f t="shared" si="7"/>
        <v>0.87055056329612412</v>
      </c>
      <c r="D72">
        <f t="shared" si="8"/>
        <v>1.1486983549970351</v>
      </c>
      <c r="F72">
        <f t="shared" si="9"/>
        <v>-0.87055056329612412</v>
      </c>
      <c r="H72">
        <f t="shared" si="10"/>
        <v>-1.1486983549970351</v>
      </c>
    </row>
    <row r="73" spans="1:21">
      <c r="A73">
        <v>-0.1</v>
      </c>
      <c r="C73">
        <f t="shared" si="7"/>
        <v>0.93303299153680741</v>
      </c>
      <c r="D73">
        <f t="shared" si="8"/>
        <v>1.0717734625362931</v>
      </c>
      <c r="F73">
        <f t="shared" si="9"/>
        <v>-0.93303299153680741</v>
      </c>
      <c r="H73">
        <f t="shared" si="10"/>
        <v>-1.0717734625362931</v>
      </c>
    </row>
    <row r="74" spans="1:21">
      <c r="A74">
        <v>0</v>
      </c>
      <c r="C74">
        <f t="shared" si="7"/>
        <v>1</v>
      </c>
      <c r="D74">
        <f t="shared" si="8"/>
        <v>1</v>
      </c>
      <c r="F74">
        <f t="shared" si="9"/>
        <v>-1</v>
      </c>
      <c r="H74">
        <f t="shared" si="10"/>
        <v>-1</v>
      </c>
    </row>
    <row r="75" spans="1:21">
      <c r="A75">
        <v>0.1</v>
      </c>
      <c r="C75">
        <f t="shared" si="7"/>
        <v>1.0717734625362931</v>
      </c>
      <c r="D75">
        <f t="shared" si="8"/>
        <v>0.93303299153680741</v>
      </c>
      <c r="F75">
        <f t="shared" si="9"/>
        <v>-1.0717734625362931</v>
      </c>
      <c r="H75">
        <f t="shared" si="10"/>
        <v>-0.93303299153680741</v>
      </c>
    </row>
    <row r="76" spans="1:21">
      <c r="A76">
        <v>0.2</v>
      </c>
      <c r="C76">
        <f t="shared" si="7"/>
        <v>1.1486983549970351</v>
      </c>
      <c r="D76">
        <f t="shared" si="8"/>
        <v>0.87055056329612412</v>
      </c>
      <c r="F76">
        <f t="shared" si="9"/>
        <v>-1.1486983549970351</v>
      </c>
      <c r="H76">
        <f t="shared" si="10"/>
        <v>-0.87055056329612412</v>
      </c>
    </row>
    <row r="77" spans="1:21">
      <c r="A77">
        <v>0.3</v>
      </c>
      <c r="C77">
        <f t="shared" si="7"/>
        <v>1.2311444133449163</v>
      </c>
      <c r="D77">
        <f t="shared" si="8"/>
        <v>0.81225239635623547</v>
      </c>
      <c r="F77">
        <f t="shared" si="9"/>
        <v>-1.2311444133449163</v>
      </c>
      <c r="H77">
        <f t="shared" si="10"/>
        <v>-0.81225239635623547</v>
      </c>
    </row>
    <row r="78" spans="1:21">
      <c r="A78">
        <v>0.4</v>
      </c>
      <c r="C78">
        <f t="shared" si="7"/>
        <v>1.3195079107728942</v>
      </c>
      <c r="D78">
        <f t="shared" si="8"/>
        <v>0.75785828325519911</v>
      </c>
      <c r="F78">
        <f t="shared" si="9"/>
        <v>-1.3195079107728942</v>
      </c>
      <c r="H78">
        <f t="shared" si="10"/>
        <v>-0.75785828325519911</v>
      </c>
    </row>
    <row r="79" spans="1:21">
      <c r="A79">
        <v>0.5</v>
      </c>
      <c r="C79">
        <f t="shared" si="7"/>
        <v>1.4142135623730951</v>
      </c>
      <c r="D79">
        <f t="shared" si="8"/>
        <v>0.70710678118654746</v>
      </c>
      <c r="F79">
        <f t="shared" si="9"/>
        <v>-1.4142135623730951</v>
      </c>
      <c r="H79">
        <f t="shared" si="10"/>
        <v>-0.70710678118654746</v>
      </c>
    </row>
    <row r="80" spans="1:21">
      <c r="A80">
        <v>0.6</v>
      </c>
      <c r="C80">
        <f t="shared" si="7"/>
        <v>1.515716566510398</v>
      </c>
      <c r="D80">
        <f t="shared" si="8"/>
        <v>0.65975395538644721</v>
      </c>
      <c r="F80">
        <f t="shared" si="9"/>
        <v>-1.515716566510398</v>
      </c>
      <c r="H80">
        <f t="shared" si="10"/>
        <v>-0.65975395538644721</v>
      </c>
      <c r="U80" t="s">
        <v>99</v>
      </c>
    </row>
    <row r="81" spans="1:20">
      <c r="A81">
        <v>0.7</v>
      </c>
      <c r="C81">
        <f t="shared" si="7"/>
        <v>1.6245047927124709</v>
      </c>
      <c r="D81">
        <f t="shared" si="8"/>
        <v>0.61557220667245816</v>
      </c>
      <c r="F81">
        <f t="shared" si="9"/>
        <v>-1.6245047927124709</v>
      </c>
      <c r="H81">
        <f t="shared" si="10"/>
        <v>-0.61557220667245816</v>
      </c>
      <c r="T81" t="s">
        <v>55</v>
      </c>
    </row>
    <row r="82" spans="1:20">
      <c r="A82">
        <v>0.8</v>
      </c>
      <c r="C82">
        <f t="shared" si="7"/>
        <v>1.7411011265922482</v>
      </c>
      <c r="D82">
        <f t="shared" si="8"/>
        <v>0.57434917749851755</v>
      </c>
      <c r="F82">
        <f t="shared" si="9"/>
        <v>-1.7411011265922482</v>
      </c>
      <c r="H82">
        <f t="shared" si="10"/>
        <v>-0.57434917749851755</v>
      </c>
    </row>
    <row r="83" spans="1:20">
      <c r="A83">
        <v>0.9</v>
      </c>
      <c r="C83">
        <f t="shared" si="7"/>
        <v>1.8660659830736148</v>
      </c>
      <c r="D83">
        <f t="shared" si="8"/>
        <v>0.53588673126814657</v>
      </c>
      <c r="F83">
        <f t="shared" si="9"/>
        <v>-1.8660659830736148</v>
      </c>
      <c r="H83">
        <f t="shared" si="10"/>
        <v>-0.53588673126814657</v>
      </c>
    </row>
    <row r="84" spans="1:20">
      <c r="A84">
        <v>1</v>
      </c>
      <c r="C84">
        <f t="shared" si="7"/>
        <v>2</v>
      </c>
      <c r="D84">
        <f t="shared" si="8"/>
        <v>0.5</v>
      </c>
      <c r="F84">
        <f t="shared" si="9"/>
        <v>-2</v>
      </c>
      <c r="H84">
        <f t="shared" si="10"/>
        <v>-0.5</v>
      </c>
    </row>
    <row r="95" spans="1:20">
      <c r="A95" s="18" t="s">
        <v>37</v>
      </c>
      <c r="B95" s="18" t="s">
        <v>5</v>
      </c>
      <c r="C95" s="18" t="s">
        <v>92</v>
      </c>
      <c r="D95" s="18" t="s">
        <v>101</v>
      </c>
    </row>
    <row r="96" spans="1:20">
      <c r="B96" s="14">
        <v>2</v>
      </c>
      <c r="D96">
        <v>3</v>
      </c>
    </row>
    <row r="97" spans="1:5">
      <c r="A97">
        <v>-1</v>
      </c>
      <c r="C97">
        <f>$B$96^A97</f>
        <v>0.5</v>
      </c>
      <c r="D97">
        <f>$B$96^(A97-$D$96)</f>
        <v>6.25E-2</v>
      </c>
      <c r="E97">
        <f>-($B$96^(A97-$D$96))</f>
        <v>-6.25E-2</v>
      </c>
    </row>
    <row r="98" spans="1:5">
      <c r="A98">
        <v>-0.9</v>
      </c>
      <c r="C98">
        <f t="shared" ref="C98:C117" si="11">$B$96^A98</f>
        <v>0.53588673126814657</v>
      </c>
      <c r="D98">
        <f t="shared" ref="D98:D117" si="12">$B$96^(A98-$D$96)</f>
        <v>6.6985841408518335E-2</v>
      </c>
      <c r="E98">
        <f t="shared" ref="E98:E117" si="13">-($B$96^(A98-$D$96))</f>
        <v>-6.6985841408518335E-2</v>
      </c>
    </row>
    <row r="99" spans="1:5">
      <c r="A99">
        <v>-0.8</v>
      </c>
      <c r="C99">
        <f t="shared" si="11"/>
        <v>0.57434917749851755</v>
      </c>
      <c r="D99">
        <f t="shared" si="12"/>
        <v>7.1793647187314694E-2</v>
      </c>
      <c r="E99">
        <f t="shared" si="13"/>
        <v>-7.1793647187314694E-2</v>
      </c>
    </row>
    <row r="100" spans="1:5">
      <c r="A100">
        <v>-0.7</v>
      </c>
      <c r="C100">
        <f t="shared" si="11"/>
        <v>0.61557220667245816</v>
      </c>
      <c r="D100">
        <f t="shared" si="12"/>
        <v>7.6946525834057269E-2</v>
      </c>
      <c r="E100">
        <f t="shared" si="13"/>
        <v>-7.6946525834057269E-2</v>
      </c>
    </row>
    <row r="101" spans="1:5">
      <c r="A101">
        <v>-0.6</v>
      </c>
      <c r="C101">
        <f t="shared" si="11"/>
        <v>0.65975395538644721</v>
      </c>
      <c r="D101">
        <f t="shared" si="12"/>
        <v>8.2469244423305901E-2</v>
      </c>
      <c r="E101">
        <f t="shared" si="13"/>
        <v>-8.2469244423305901E-2</v>
      </c>
    </row>
    <row r="102" spans="1:5">
      <c r="A102">
        <v>-0.5</v>
      </c>
      <c r="C102">
        <f t="shared" si="11"/>
        <v>0.70710678118654746</v>
      </c>
      <c r="D102">
        <f t="shared" si="12"/>
        <v>8.8388347648318447E-2</v>
      </c>
      <c r="E102">
        <f t="shared" si="13"/>
        <v>-8.8388347648318447E-2</v>
      </c>
    </row>
    <row r="103" spans="1:5">
      <c r="A103">
        <v>-0.4</v>
      </c>
      <c r="C103">
        <f t="shared" si="11"/>
        <v>0.75785828325519911</v>
      </c>
      <c r="D103">
        <f t="shared" si="12"/>
        <v>9.4732285406899902E-2</v>
      </c>
      <c r="E103">
        <f t="shared" si="13"/>
        <v>-9.4732285406899902E-2</v>
      </c>
    </row>
    <row r="104" spans="1:5">
      <c r="A104">
        <v>-0.3</v>
      </c>
      <c r="C104">
        <f t="shared" si="11"/>
        <v>0.81225239635623547</v>
      </c>
      <c r="D104">
        <f t="shared" si="12"/>
        <v>0.10153154954452946</v>
      </c>
      <c r="E104">
        <f t="shared" si="13"/>
        <v>-0.10153154954452946</v>
      </c>
    </row>
    <row r="105" spans="1:5">
      <c r="A105">
        <v>-0.2</v>
      </c>
      <c r="C105">
        <f t="shared" si="11"/>
        <v>0.87055056329612412</v>
      </c>
      <c r="D105">
        <f t="shared" si="12"/>
        <v>0.10881882041201553</v>
      </c>
      <c r="E105">
        <f t="shared" si="13"/>
        <v>-0.10881882041201553</v>
      </c>
    </row>
    <row r="106" spans="1:5">
      <c r="A106">
        <v>-0.1</v>
      </c>
      <c r="C106">
        <f t="shared" si="11"/>
        <v>0.93303299153680741</v>
      </c>
      <c r="D106">
        <f t="shared" si="12"/>
        <v>0.11662912394210095</v>
      </c>
      <c r="E106">
        <f t="shared" si="13"/>
        <v>-0.11662912394210095</v>
      </c>
    </row>
    <row r="107" spans="1:5">
      <c r="A107">
        <v>0</v>
      </c>
      <c r="C107">
        <f t="shared" si="11"/>
        <v>1</v>
      </c>
      <c r="D107">
        <f t="shared" si="12"/>
        <v>0.125</v>
      </c>
      <c r="E107">
        <f t="shared" si="13"/>
        <v>-0.125</v>
      </c>
    </row>
    <row r="108" spans="1:5">
      <c r="A108">
        <v>0.1</v>
      </c>
      <c r="C108">
        <f t="shared" si="11"/>
        <v>1.0717734625362931</v>
      </c>
      <c r="D108">
        <f t="shared" si="12"/>
        <v>0.13397168281703667</v>
      </c>
      <c r="E108">
        <f t="shared" si="13"/>
        <v>-0.13397168281703667</v>
      </c>
    </row>
    <row r="109" spans="1:5">
      <c r="A109">
        <v>0.2</v>
      </c>
      <c r="C109">
        <f t="shared" si="11"/>
        <v>1.1486983549970351</v>
      </c>
      <c r="D109">
        <f t="shared" si="12"/>
        <v>0.14358729437462939</v>
      </c>
      <c r="E109">
        <f t="shared" si="13"/>
        <v>-0.14358729437462939</v>
      </c>
    </row>
    <row r="110" spans="1:5">
      <c r="A110">
        <v>0.3</v>
      </c>
      <c r="C110">
        <f t="shared" si="11"/>
        <v>1.2311444133449163</v>
      </c>
      <c r="D110">
        <f t="shared" si="12"/>
        <v>0.15389305166811451</v>
      </c>
      <c r="E110">
        <f t="shared" si="13"/>
        <v>-0.15389305166811451</v>
      </c>
    </row>
    <row r="111" spans="1:5">
      <c r="A111">
        <v>0.4</v>
      </c>
      <c r="C111">
        <f t="shared" si="11"/>
        <v>1.3195079107728942</v>
      </c>
      <c r="D111">
        <f t="shared" si="12"/>
        <v>0.1649384888466118</v>
      </c>
      <c r="E111">
        <f t="shared" si="13"/>
        <v>-0.1649384888466118</v>
      </c>
    </row>
    <row r="112" spans="1:5">
      <c r="A112">
        <v>0.5</v>
      </c>
      <c r="C112">
        <f t="shared" si="11"/>
        <v>1.4142135623730951</v>
      </c>
      <c r="D112">
        <f t="shared" si="12"/>
        <v>0.17677669529663687</v>
      </c>
      <c r="E112">
        <f t="shared" si="13"/>
        <v>-0.17677669529663687</v>
      </c>
    </row>
    <row r="113" spans="1:35">
      <c r="A113">
        <v>0.6</v>
      </c>
      <c r="C113">
        <f t="shared" si="11"/>
        <v>1.515716566510398</v>
      </c>
      <c r="D113">
        <f t="shared" si="12"/>
        <v>0.18946457081379978</v>
      </c>
      <c r="E113">
        <f t="shared" si="13"/>
        <v>-0.18946457081379978</v>
      </c>
    </row>
    <row r="114" spans="1:35">
      <c r="A114">
        <v>0.7</v>
      </c>
      <c r="C114">
        <f t="shared" si="11"/>
        <v>1.6245047927124709</v>
      </c>
      <c r="D114">
        <f t="shared" si="12"/>
        <v>0.20306309908905892</v>
      </c>
      <c r="E114">
        <f t="shared" si="13"/>
        <v>-0.20306309908905892</v>
      </c>
    </row>
    <row r="115" spans="1:35">
      <c r="A115">
        <v>0.8</v>
      </c>
      <c r="C115">
        <f t="shared" si="11"/>
        <v>1.7411011265922482</v>
      </c>
      <c r="D115">
        <f t="shared" si="12"/>
        <v>0.21763764082403106</v>
      </c>
      <c r="E115">
        <f t="shared" si="13"/>
        <v>-0.21763764082403106</v>
      </c>
    </row>
    <row r="116" spans="1:35">
      <c r="A116">
        <v>0.9</v>
      </c>
      <c r="C116">
        <f t="shared" si="11"/>
        <v>1.8660659830736148</v>
      </c>
      <c r="D116">
        <f t="shared" si="12"/>
        <v>0.23325824788420185</v>
      </c>
      <c r="E116">
        <f t="shared" si="13"/>
        <v>-0.23325824788420185</v>
      </c>
    </row>
    <row r="117" spans="1:35">
      <c r="A117">
        <v>1</v>
      </c>
      <c r="C117">
        <f t="shared" si="11"/>
        <v>2</v>
      </c>
      <c r="D117">
        <f t="shared" si="12"/>
        <v>0.25</v>
      </c>
      <c r="E117">
        <f t="shared" si="13"/>
        <v>-0.25</v>
      </c>
    </row>
    <row r="125" spans="1:35" s="1" customFormat="1">
      <c r="B125" s="1" t="s">
        <v>102</v>
      </c>
    </row>
    <row r="126" spans="1:35">
      <c r="P126" t="s">
        <v>104</v>
      </c>
      <c r="Q126" s="28">
        <v>2.7182818284590402</v>
      </c>
      <c r="S126">
        <f>EXP(1)</f>
        <v>2.7182818284590451</v>
      </c>
    </row>
    <row r="127" spans="1:35">
      <c r="M127" s="14" t="s">
        <v>103</v>
      </c>
      <c r="N127" s="14" t="s">
        <v>92</v>
      </c>
      <c r="X127" s="14" t="s">
        <v>103</v>
      </c>
      <c r="Y127" s="14" t="s">
        <v>92</v>
      </c>
      <c r="AH127" s="14" t="s">
        <v>103</v>
      </c>
      <c r="AI127" s="14" t="s">
        <v>92</v>
      </c>
    </row>
    <row r="128" spans="1:35">
      <c r="M128">
        <v>-100</v>
      </c>
      <c r="N128">
        <f xml:space="preserve"> 1 / (1 + $Q$126^(-M128))</f>
        <v>3.7200759760215157E-44</v>
      </c>
      <c r="X128">
        <v>-2</v>
      </c>
      <c r="Y128">
        <f>1 / (1 + $Q$126^(-X128))</f>
        <v>0.11920292202211794</v>
      </c>
      <c r="AH128">
        <v>-100</v>
      </c>
      <c r="AI128">
        <v>3.7200759760215157E-44</v>
      </c>
    </row>
    <row r="129" spans="13:35">
      <c r="M129">
        <v>-90</v>
      </c>
      <c r="N129">
        <f t="shared" ref="N129:N148" si="14" xml:space="preserve"> 1 / (1 + $Q$126^(-M129))</f>
        <v>8.1940126239918622E-40</v>
      </c>
      <c r="X129">
        <v>-1.9</v>
      </c>
      <c r="Y129">
        <f t="shared" ref="Y129:Y168" si="15">1 / (1 + $Q$126^(-X129))</f>
        <v>0.13010847436299824</v>
      </c>
      <c r="AH129">
        <v>-2</v>
      </c>
      <c r="AI129">
        <f>1 / (1 + $Q$126^(-AH129))</f>
        <v>0.11920292202211794</v>
      </c>
    </row>
    <row r="130" spans="13:35">
      <c r="M130">
        <v>-80</v>
      </c>
      <c r="N130">
        <f t="shared" si="14"/>
        <v>1.8048513878456791E-35</v>
      </c>
      <c r="X130">
        <v>-1.8</v>
      </c>
      <c r="Y130">
        <f t="shared" si="15"/>
        <v>0.14185106490048818</v>
      </c>
      <c r="AH130">
        <v>-1.9</v>
      </c>
      <c r="AI130">
        <f t="shared" ref="AI130:AI169" si="16">1 / (1 + $Q$126^(-AH130))</f>
        <v>0.13010847436299824</v>
      </c>
    </row>
    <row r="131" spans="13:35">
      <c r="M131">
        <v>-70</v>
      </c>
      <c r="N131">
        <f t="shared" si="14"/>
        <v>3.9754497359091557E-31</v>
      </c>
      <c r="X131">
        <v>-1.7</v>
      </c>
      <c r="Y131">
        <f t="shared" si="15"/>
        <v>0.15446526508353511</v>
      </c>
      <c r="AH131">
        <v>-1.8</v>
      </c>
      <c r="AI131">
        <f t="shared" si="16"/>
        <v>0.14185106490048818</v>
      </c>
    </row>
    <row r="132" spans="13:35">
      <c r="M132">
        <v>-60</v>
      </c>
      <c r="N132">
        <f t="shared" si="14"/>
        <v>8.7565107626974814E-27</v>
      </c>
      <c r="X132">
        <v>-1.6</v>
      </c>
      <c r="Y132">
        <f t="shared" si="15"/>
        <v>0.16798161486607593</v>
      </c>
      <c r="AH132">
        <v>-1.7</v>
      </c>
      <c r="AI132">
        <f t="shared" si="16"/>
        <v>0.15446526508353511</v>
      </c>
    </row>
    <row r="133" spans="13:35">
      <c r="M133">
        <v>-50</v>
      </c>
      <c r="N133">
        <f t="shared" si="14"/>
        <v>1.9287498479640941E-22</v>
      </c>
      <c r="X133">
        <v>-1.5</v>
      </c>
      <c r="Y133">
        <f t="shared" si="15"/>
        <v>0.18242552380635677</v>
      </c>
      <c r="AH133">
        <v>-1.6</v>
      </c>
      <c r="AI133">
        <f t="shared" si="16"/>
        <v>0.16798161486607593</v>
      </c>
    </row>
    <row r="134" spans="13:35">
      <c r="M134">
        <v>-40</v>
      </c>
      <c r="N134">
        <f t="shared" si="14"/>
        <v>4.2483542552918993E-18</v>
      </c>
      <c r="X134">
        <v>-1.4</v>
      </c>
      <c r="Y134">
        <f t="shared" si="15"/>
        <v>0.1978161114414187</v>
      </c>
      <c r="AH134">
        <v>-1.5</v>
      </c>
      <c r="AI134">
        <f t="shared" si="16"/>
        <v>0.18242552380635677</v>
      </c>
    </row>
    <row r="135" spans="13:35">
      <c r="M135">
        <v>-30</v>
      </c>
      <c r="N135">
        <f t="shared" si="14"/>
        <v>9.3576229688398126E-14</v>
      </c>
      <c r="X135">
        <v>-1.3</v>
      </c>
      <c r="Y135">
        <f t="shared" si="15"/>
        <v>0.21416501695744178</v>
      </c>
      <c r="AH135">
        <v>-1.4</v>
      </c>
      <c r="AI135">
        <f t="shared" si="16"/>
        <v>0.1978161114414187</v>
      </c>
    </row>
    <row r="136" spans="13:35">
      <c r="M136">
        <v>-20</v>
      </c>
      <c r="N136">
        <f t="shared" si="14"/>
        <v>2.0611536181902786E-9</v>
      </c>
      <c r="X136">
        <v>-1.2</v>
      </c>
      <c r="Y136">
        <f t="shared" si="15"/>
        <v>0.23147521650098274</v>
      </c>
      <c r="AH136">
        <v>-1.3</v>
      </c>
      <c r="AI136">
        <f t="shared" si="16"/>
        <v>0.21416501695744178</v>
      </c>
    </row>
    <row r="137" spans="13:35">
      <c r="M137">
        <v>-10</v>
      </c>
      <c r="N137">
        <f t="shared" si="14"/>
        <v>4.5397868702435221E-5</v>
      </c>
      <c r="X137">
        <v>-1.1000000000000001</v>
      </c>
      <c r="Y137">
        <f t="shared" si="15"/>
        <v>0.24973989440488278</v>
      </c>
      <c r="AH137">
        <v>-1.2</v>
      </c>
      <c r="AI137">
        <f t="shared" si="16"/>
        <v>0.23147521650098274</v>
      </c>
    </row>
    <row r="138" spans="13:35">
      <c r="M138">
        <v>0</v>
      </c>
      <c r="N138">
        <f t="shared" si="14"/>
        <v>0.5</v>
      </c>
      <c r="X138">
        <v>-1</v>
      </c>
      <c r="Y138">
        <f t="shared" si="15"/>
        <v>0.26894142136999549</v>
      </c>
      <c r="AH138">
        <v>-1.1000000000000001</v>
      </c>
      <c r="AI138">
        <f t="shared" si="16"/>
        <v>0.24973989440488278</v>
      </c>
    </row>
    <row r="139" spans="13:35">
      <c r="M139">
        <v>10</v>
      </c>
      <c r="N139">
        <f t="shared" si="14"/>
        <v>0.99995460213129761</v>
      </c>
      <c r="X139">
        <v>-0.9</v>
      </c>
      <c r="Y139">
        <f t="shared" si="15"/>
        <v>0.28905049737499638</v>
      </c>
      <c r="AH139">
        <v>-1</v>
      </c>
      <c r="AI139">
        <f t="shared" si="16"/>
        <v>0.26894142136999549</v>
      </c>
    </row>
    <row r="140" spans="13:35">
      <c r="M140">
        <v>20</v>
      </c>
      <c r="N140">
        <f t="shared" si="14"/>
        <v>0.99999999793884631</v>
      </c>
      <c r="X140">
        <v>-0.8</v>
      </c>
      <c r="Y140">
        <f t="shared" si="15"/>
        <v>0.31002551887238788</v>
      </c>
      <c r="AH140">
        <v>-0.9</v>
      </c>
      <c r="AI140">
        <f t="shared" si="16"/>
        <v>0.28905049737499638</v>
      </c>
    </row>
    <row r="141" spans="13:35">
      <c r="M141">
        <v>30</v>
      </c>
      <c r="N141">
        <f t="shared" si="14"/>
        <v>0.99999999999990652</v>
      </c>
      <c r="X141">
        <v>-0.7</v>
      </c>
      <c r="Y141">
        <f t="shared" si="15"/>
        <v>0.33181222783183417</v>
      </c>
      <c r="AH141">
        <v>-0.8</v>
      </c>
      <c r="AI141">
        <f t="shared" si="16"/>
        <v>0.31002551887238788</v>
      </c>
    </row>
    <row r="142" spans="13:35">
      <c r="M142">
        <v>40</v>
      </c>
      <c r="N142">
        <f t="shared" si="14"/>
        <v>1</v>
      </c>
      <c r="X142">
        <v>-0.6</v>
      </c>
      <c r="Y142">
        <f t="shared" si="15"/>
        <v>0.35434369377420483</v>
      </c>
      <c r="AH142">
        <v>-0.7</v>
      </c>
      <c r="AI142">
        <f t="shared" si="16"/>
        <v>0.33181222783183417</v>
      </c>
    </row>
    <row r="143" spans="13:35">
      <c r="M143">
        <v>50</v>
      </c>
      <c r="N143">
        <f t="shared" si="14"/>
        <v>1</v>
      </c>
      <c r="X143">
        <v>-0.5</v>
      </c>
      <c r="Y143">
        <f t="shared" si="15"/>
        <v>0.37754066879814568</v>
      </c>
      <c r="AH143">
        <v>-0.6</v>
      </c>
      <c r="AI143">
        <f t="shared" si="16"/>
        <v>0.35434369377420483</v>
      </c>
    </row>
    <row r="144" spans="13:35">
      <c r="M144">
        <v>60</v>
      </c>
      <c r="N144">
        <f t="shared" si="14"/>
        <v>1</v>
      </c>
      <c r="X144">
        <v>-0.4</v>
      </c>
      <c r="Y144">
        <f t="shared" si="15"/>
        <v>0.40131233988754816</v>
      </c>
      <c r="AH144">
        <v>-0.5</v>
      </c>
      <c r="AI144">
        <f t="shared" si="16"/>
        <v>0.37754066879814568</v>
      </c>
    </row>
    <row r="145" spans="13:35">
      <c r="M145">
        <v>70</v>
      </c>
      <c r="N145">
        <f t="shared" si="14"/>
        <v>1</v>
      </c>
      <c r="X145">
        <v>-0.3</v>
      </c>
      <c r="Y145">
        <f t="shared" si="15"/>
        <v>0.42555748318834113</v>
      </c>
      <c r="AH145">
        <v>-0.4</v>
      </c>
      <c r="AI145">
        <f t="shared" si="16"/>
        <v>0.40131233988754816</v>
      </c>
    </row>
    <row r="146" spans="13:35">
      <c r="M146">
        <v>80</v>
      </c>
      <c r="N146">
        <f t="shared" si="14"/>
        <v>1</v>
      </c>
      <c r="X146">
        <v>-0.2</v>
      </c>
      <c r="Y146">
        <f t="shared" si="15"/>
        <v>0.45016600268752216</v>
      </c>
      <c r="AH146">
        <v>-0.3</v>
      </c>
      <c r="AI146">
        <f t="shared" si="16"/>
        <v>0.42555748318834113</v>
      </c>
    </row>
    <row r="147" spans="13:35">
      <c r="M147">
        <v>90</v>
      </c>
      <c r="N147">
        <f t="shared" si="14"/>
        <v>1</v>
      </c>
      <c r="X147">
        <v>-0.1</v>
      </c>
      <c r="Y147">
        <f t="shared" si="15"/>
        <v>0.47502081252105999</v>
      </c>
      <c r="AH147">
        <v>-0.2</v>
      </c>
      <c r="AI147">
        <f t="shared" si="16"/>
        <v>0.45016600268752216</v>
      </c>
    </row>
    <row r="148" spans="13:35">
      <c r="M148">
        <v>100</v>
      </c>
      <c r="N148">
        <f t="shared" si="14"/>
        <v>1</v>
      </c>
      <c r="X148">
        <v>0</v>
      </c>
      <c r="Y148">
        <f t="shared" si="15"/>
        <v>0.5</v>
      </c>
      <c r="AH148">
        <v>-0.1</v>
      </c>
      <c r="AI148">
        <f t="shared" si="16"/>
        <v>0.47502081252105999</v>
      </c>
    </row>
    <row r="149" spans="13:35">
      <c r="X149">
        <v>0.1</v>
      </c>
      <c r="Y149">
        <f t="shared" si="15"/>
        <v>0.5249791874789399</v>
      </c>
      <c r="AH149">
        <v>0</v>
      </c>
      <c r="AI149">
        <f t="shared" si="16"/>
        <v>0.5</v>
      </c>
    </row>
    <row r="150" spans="13:35">
      <c r="X150">
        <v>0.2</v>
      </c>
      <c r="Y150">
        <f t="shared" si="15"/>
        <v>0.54983399731247784</v>
      </c>
      <c r="AH150">
        <v>0.1</v>
      </c>
      <c r="AI150">
        <f t="shared" si="16"/>
        <v>0.5249791874789399</v>
      </c>
    </row>
    <row r="151" spans="13:35">
      <c r="X151">
        <v>0.3</v>
      </c>
      <c r="Y151">
        <f t="shared" si="15"/>
        <v>0.57444251681165892</v>
      </c>
      <c r="AH151">
        <v>0.2</v>
      </c>
      <c r="AI151">
        <f t="shared" si="16"/>
        <v>0.54983399731247784</v>
      </c>
    </row>
    <row r="152" spans="13:35">
      <c r="X152">
        <v>0.4</v>
      </c>
      <c r="Y152">
        <f t="shared" si="15"/>
        <v>0.59868766011245178</v>
      </c>
      <c r="AH152">
        <v>0.3</v>
      </c>
      <c r="AI152">
        <f t="shared" si="16"/>
        <v>0.57444251681165892</v>
      </c>
    </row>
    <row r="153" spans="13:35">
      <c r="X153">
        <v>0.5</v>
      </c>
      <c r="Y153">
        <f t="shared" si="15"/>
        <v>0.62245933120185426</v>
      </c>
      <c r="AH153">
        <v>0.4</v>
      </c>
      <c r="AI153">
        <f t="shared" si="16"/>
        <v>0.59868766011245178</v>
      </c>
    </row>
    <row r="154" spans="13:35">
      <c r="X154">
        <v>0.6</v>
      </c>
      <c r="Y154">
        <f t="shared" si="15"/>
        <v>0.64565630622579528</v>
      </c>
      <c r="AH154">
        <v>0.5</v>
      </c>
      <c r="AI154">
        <f t="shared" si="16"/>
        <v>0.62245933120185426</v>
      </c>
    </row>
    <row r="155" spans="13:35">
      <c r="X155">
        <v>0.7</v>
      </c>
      <c r="Y155">
        <f t="shared" si="15"/>
        <v>0.66818777216816583</v>
      </c>
      <c r="AH155">
        <v>0.6</v>
      </c>
      <c r="AI155">
        <f t="shared" si="16"/>
        <v>0.64565630622579528</v>
      </c>
    </row>
    <row r="156" spans="13:35">
      <c r="X156">
        <v>0.8</v>
      </c>
      <c r="Y156">
        <f t="shared" si="15"/>
        <v>0.68997448112761217</v>
      </c>
      <c r="AH156">
        <v>0.7</v>
      </c>
      <c r="AI156">
        <f t="shared" si="16"/>
        <v>0.66818777216816583</v>
      </c>
    </row>
    <row r="157" spans="13:35">
      <c r="X157">
        <v>0.9</v>
      </c>
      <c r="Y157">
        <f t="shared" si="15"/>
        <v>0.71094950262500356</v>
      </c>
      <c r="AH157">
        <v>0.8</v>
      </c>
      <c r="AI157">
        <f t="shared" si="16"/>
        <v>0.68997448112761217</v>
      </c>
    </row>
    <row r="158" spans="13:35">
      <c r="X158">
        <v>1</v>
      </c>
      <c r="Y158">
        <f t="shared" si="15"/>
        <v>0.73105857863000456</v>
      </c>
      <c r="AH158">
        <v>0.9</v>
      </c>
      <c r="AI158">
        <f t="shared" si="16"/>
        <v>0.71094950262500356</v>
      </c>
    </row>
    <row r="159" spans="13:35">
      <c r="X159">
        <v>1.1000000000000001</v>
      </c>
      <c r="Y159">
        <f t="shared" si="15"/>
        <v>0.75026010559511724</v>
      </c>
      <c r="AH159">
        <v>1</v>
      </c>
      <c r="AI159">
        <f t="shared" si="16"/>
        <v>0.73105857863000456</v>
      </c>
    </row>
    <row r="160" spans="13:35">
      <c r="X160">
        <v>1.2</v>
      </c>
      <c r="Y160">
        <f t="shared" si="15"/>
        <v>0.76852478349901732</v>
      </c>
      <c r="AH160">
        <v>1.1000000000000001</v>
      </c>
      <c r="AI160">
        <f t="shared" si="16"/>
        <v>0.75026010559511724</v>
      </c>
    </row>
    <row r="161" spans="24:35">
      <c r="X161">
        <v>1.3</v>
      </c>
      <c r="Y161">
        <f t="shared" si="15"/>
        <v>0.78583498304255828</v>
      </c>
      <c r="AH161">
        <v>1.2</v>
      </c>
      <c r="AI161">
        <f t="shared" si="16"/>
        <v>0.76852478349901732</v>
      </c>
    </row>
    <row r="162" spans="24:35">
      <c r="X162">
        <v>1.4</v>
      </c>
      <c r="Y162">
        <f t="shared" si="15"/>
        <v>0.80218388855858125</v>
      </c>
      <c r="AH162">
        <v>1.3</v>
      </c>
      <c r="AI162">
        <f t="shared" si="16"/>
        <v>0.78583498304255828</v>
      </c>
    </row>
    <row r="163" spans="24:35">
      <c r="X163">
        <v>1.5</v>
      </c>
      <c r="Y163">
        <f t="shared" si="15"/>
        <v>0.81757447619364332</v>
      </c>
      <c r="AH163">
        <v>1.4</v>
      </c>
      <c r="AI163">
        <f t="shared" si="16"/>
        <v>0.80218388855858125</v>
      </c>
    </row>
    <row r="164" spans="24:35">
      <c r="X164">
        <v>1.6</v>
      </c>
      <c r="Y164">
        <f t="shared" si="15"/>
        <v>0.83201838513392401</v>
      </c>
      <c r="AH164">
        <v>1.5</v>
      </c>
      <c r="AI164">
        <f t="shared" si="16"/>
        <v>0.81757447619364332</v>
      </c>
    </row>
    <row r="165" spans="24:35">
      <c r="X165">
        <v>1.7</v>
      </c>
      <c r="Y165">
        <f t="shared" si="15"/>
        <v>0.8455347349164648</v>
      </c>
      <c r="AH165">
        <v>1.6</v>
      </c>
      <c r="AI165">
        <f t="shared" si="16"/>
        <v>0.83201838513392401</v>
      </c>
    </row>
    <row r="166" spans="24:35">
      <c r="X166">
        <v>1.8</v>
      </c>
      <c r="Y166">
        <f t="shared" si="15"/>
        <v>0.85814893509951173</v>
      </c>
      <c r="AH166">
        <v>1.7</v>
      </c>
      <c r="AI166">
        <f t="shared" si="16"/>
        <v>0.8455347349164648</v>
      </c>
    </row>
    <row r="167" spans="24:35">
      <c r="X167">
        <v>1.9</v>
      </c>
      <c r="Y167">
        <f t="shared" si="15"/>
        <v>0.86989152563700178</v>
      </c>
      <c r="AH167">
        <v>1.8</v>
      </c>
      <c r="AI167">
        <f t="shared" si="16"/>
        <v>0.85814893509951173</v>
      </c>
    </row>
    <row r="168" spans="24:35">
      <c r="X168">
        <v>2</v>
      </c>
      <c r="Y168">
        <f t="shared" si="15"/>
        <v>0.88079707797788198</v>
      </c>
      <c r="AH168">
        <v>1.9</v>
      </c>
      <c r="AI168">
        <f t="shared" si="16"/>
        <v>0.86989152563700178</v>
      </c>
    </row>
    <row r="169" spans="24:35">
      <c r="AH169">
        <v>2</v>
      </c>
      <c r="AI169">
        <f t="shared" si="16"/>
        <v>0.88079707797788198</v>
      </c>
    </row>
    <row r="170" spans="24:35">
      <c r="AH170">
        <v>100</v>
      </c>
      <c r="AI170">
        <v>1</v>
      </c>
    </row>
  </sheetData>
  <mergeCells count="3">
    <mergeCell ref="B1:G1"/>
    <mergeCell ref="A30:E30"/>
    <mergeCell ref="A60:E60"/>
  </mergeCells>
  <phoneticPr fontId="5"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M15" sqref="M15"/>
    </sheetView>
  </sheetViews>
  <sheetFormatPr defaultRowHeight="16.5"/>
  <sheetData/>
  <phoneticPr fontId="5"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40"/>
  <sheetViews>
    <sheetView topLeftCell="A76" zoomScale="85" zoomScaleNormal="85" workbookViewId="0">
      <selection activeCell="Q83" sqref="Q83"/>
    </sheetView>
  </sheetViews>
  <sheetFormatPr defaultRowHeight="16.5"/>
  <cols>
    <col min="14" max="14" width="16.375" customWidth="1"/>
    <col min="17" max="17" width="21" customWidth="1"/>
  </cols>
  <sheetData>
    <row r="1" spans="1:10">
      <c r="A1" s="18" t="s">
        <v>37</v>
      </c>
      <c r="B1" s="252" t="s">
        <v>86</v>
      </c>
      <c r="C1" s="252"/>
      <c r="D1" s="252"/>
      <c r="E1" s="252"/>
      <c r="F1" s="252"/>
      <c r="G1" s="252"/>
      <c r="H1" s="18" t="s">
        <v>85</v>
      </c>
      <c r="J1" s="18"/>
    </row>
    <row r="2" spans="1:10">
      <c r="B2" s="14">
        <v>2</v>
      </c>
      <c r="C2" s="14">
        <v>1</v>
      </c>
      <c r="D2" s="14">
        <v>0.5</v>
      </c>
      <c r="E2" s="14">
        <v>0</v>
      </c>
      <c r="F2" s="14">
        <v>-1</v>
      </c>
      <c r="G2" s="14">
        <v>-2</v>
      </c>
      <c r="J2" s="14"/>
    </row>
    <row r="3" spans="1:10">
      <c r="A3">
        <v>-1</v>
      </c>
      <c r="B3" t="e">
        <f>LOG(A3,$B$2)</f>
        <v>#NUM!</v>
      </c>
      <c r="J3" s="14"/>
    </row>
    <row r="4" spans="1:10">
      <c r="A4">
        <v>-0.9</v>
      </c>
      <c r="B4" t="e">
        <f t="shared" ref="B4:B43" si="0">LOG(A4,$B$2)</f>
        <v>#NUM!</v>
      </c>
      <c r="J4" s="14"/>
    </row>
    <row r="5" spans="1:10">
      <c r="A5">
        <v>-0.8</v>
      </c>
      <c r="B5" t="e">
        <f t="shared" si="0"/>
        <v>#NUM!</v>
      </c>
      <c r="J5" s="14"/>
    </row>
    <row r="6" spans="1:10">
      <c r="A6">
        <v>-0.7</v>
      </c>
      <c r="B6" t="e">
        <f t="shared" si="0"/>
        <v>#NUM!</v>
      </c>
    </row>
    <row r="7" spans="1:10">
      <c r="A7">
        <v>-0.6</v>
      </c>
      <c r="B7" t="e">
        <f t="shared" si="0"/>
        <v>#NUM!</v>
      </c>
    </row>
    <row r="8" spans="1:10">
      <c r="A8">
        <v>-0.5</v>
      </c>
      <c r="B8" t="e">
        <f t="shared" si="0"/>
        <v>#NUM!</v>
      </c>
    </row>
    <row r="9" spans="1:10">
      <c r="A9">
        <v>-0.4</v>
      </c>
      <c r="B9" t="e">
        <f t="shared" si="0"/>
        <v>#NUM!</v>
      </c>
    </row>
    <row r="10" spans="1:10">
      <c r="A10">
        <v>-0.3</v>
      </c>
      <c r="B10" t="e">
        <f t="shared" si="0"/>
        <v>#NUM!</v>
      </c>
    </row>
    <row r="11" spans="1:10">
      <c r="A11">
        <v>-0.2</v>
      </c>
      <c r="B11" t="e">
        <f t="shared" si="0"/>
        <v>#NUM!</v>
      </c>
    </row>
    <row r="12" spans="1:10">
      <c r="A12">
        <v>-0.1</v>
      </c>
      <c r="B12" t="e">
        <f t="shared" si="0"/>
        <v>#NUM!</v>
      </c>
    </row>
    <row r="13" spans="1:10">
      <c r="A13">
        <v>0</v>
      </c>
      <c r="B13" t="e">
        <f t="shared" si="0"/>
        <v>#NUM!</v>
      </c>
    </row>
    <row r="14" spans="1:10">
      <c r="A14">
        <v>0.1</v>
      </c>
      <c r="B14">
        <f t="shared" si="0"/>
        <v>-3.3219280948873622</v>
      </c>
    </row>
    <row r="15" spans="1:10">
      <c r="A15">
        <v>0.2</v>
      </c>
      <c r="B15">
        <f t="shared" si="0"/>
        <v>-2.3219280948873622</v>
      </c>
    </row>
    <row r="16" spans="1:10">
      <c r="A16">
        <v>0.3</v>
      </c>
      <c r="B16">
        <f t="shared" si="0"/>
        <v>-1.7369655941662063</v>
      </c>
    </row>
    <row r="17" spans="1:5">
      <c r="A17">
        <v>0.4</v>
      </c>
      <c r="B17">
        <f t="shared" si="0"/>
        <v>-1.3219280948873622</v>
      </c>
    </row>
    <row r="18" spans="1:5">
      <c r="A18">
        <v>0.5</v>
      </c>
      <c r="B18">
        <f t="shared" si="0"/>
        <v>-1</v>
      </c>
    </row>
    <row r="19" spans="1:5">
      <c r="A19">
        <v>0.6</v>
      </c>
      <c r="B19">
        <f t="shared" si="0"/>
        <v>-0.73696559416620622</v>
      </c>
    </row>
    <row r="20" spans="1:5">
      <c r="A20">
        <v>0.7</v>
      </c>
      <c r="B20">
        <f t="shared" si="0"/>
        <v>-0.51457317282975834</v>
      </c>
    </row>
    <row r="21" spans="1:5">
      <c r="A21">
        <v>0.8</v>
      </c>
      <c r="B21">
        <f t="shared" si="0"/>
        <v>-0.32192809488736229</v>
      </c>
    </row>
    <row r="22" spans="1:5">
      <c r="A22">
        <v>0.9</v>
      </c>
      <c r="B22">
        <f t="shared" si="0"/>
        <v>-0.15200309344504997</v>
      </c>
    </row>
    <row r="23" spans="1:5">
      <c r="A23">
        <v>1</v>
      </c>
      <c r="B23">
        <f t="shared" si="0"/>
        <v>0</v>
      </c>
    </row>
    <row r="24" spans="1:5">
      <c r="A24">
        <v>1.1000000000000001</v>
      </c>
      <c r="B24">
        <f t="shared" si="0"/>
        <v>0.13750352374993502</v>
      </c>
    </row>
    <row r="25" spans="1:5">
      <c r="A25">
        <v>1.2</v>
      </c>
      <c r="B25">
        <f t="shared" si="0"/>
        <v>0.26303440583379378</v>
      </c>
    </row>
    <row r="26" spans="1:5">
      <c r="A26">
        <v>1.3</v>
      </c>
      <c r="B26">
        <f t="shared" si="0"/>
        <v>0.37851162325372983</v>
      </c>
    </row>
    <row r="27" spans="1:5">
      <c r="A27">
        <v>1.4</v>
      </c>
      <c r="B27">
        <f t="shared" si="0"/>
        <v>0.48542682717024171</v>
      </c>
    </row>
    <row r="28" spans="1:5">
      <c r="A28">
        <v>1.5</v>
      </c>
      <c r="B28">
        <f t="shared" si="0"/>
        <v>0.58496250072115619</v>
      </c>
    </row>
    <row r="29" spans="1:5">
      <c r="A29">
        <v>1.6</v>
      </c>
      <c r="B29">
        <f t="shared" si="0"/>
        <v>0.67807190511263782</v>
      </c>
    </row>
    <row r="30" spans="1:5">
      <c r="A30">
        <v>1.7</v>
      </c>
      <c r="B30">
        <f t="shared" si="0"/>
        <v>0.76553474636297703</v>
      </c>
    </row>
    <row r="31" spans="1:5">
      <c r="A31">
        <v>1.8</v>
      </c>
      <c r="B31">
        <f t="shared" si="0"/>
        <v>0.84799690655495008</v>
      </c>
      <c r="C31" s="18"/>
      <c r="D31" s="18"/>
      <c r="E31" s="18"/>
    </row>
    <row r="32" spans="1:5">
      <c r="A32">
        <v>1.9</v>
      </c>
      <c r="B32">
        <f t="shared" si="0"/>
        <v>0.92599941855622303</v>
      </c>
      <c r="D32" s="14"/>
      <c r="E32" s="14"/>
    </row>
    <row r="33" spans="1:2">
      <c r="A33">
        <v>2</v>
      </c>
      <c r="B33">
        <f t="shared" si="0"/>
        <v>1</v>
      </c>
    </row>
    <row r="34" spans="1:2">
      <c r="A34">
        <v>2.1</v>
      </c>
      <c r="B34">
        <f t="shared" si="0"/>
        <v>1.0703893278913981</v>
      </c>
    </row>
    <row r="35" spans="1:2">
      <c r="A35">
        <v>2.2000000000000002</v>
      </c>
      <c r="B35">
        <f t="shared" si="0"/>
        <v>1.1375035237499351</v>
      </c>
    </row>
    <row r="36" spans="1:2">
      <c r="A36">
        <v>2.2999999999999998</v>
      </c>
      <c r="B36">
        <f t="shared" si="0"/>
        <v>1.2016338611696504</v>
      </c>
    </row>
    <row r="37" spans="1:2">
      <c r="A37">
        <v>2.4</v>
      </c>
      <c r="B37">
        <f t="shared" si="0"/>
        <v>1.2630344058337937</v>
      </c>
    </row>
    <row r="38" spans="1:2">
      <c r="A38">
        <v>2.5</v>
      </c>
      <c r="B38">
        <f t="shared" si="0"/>
        <v>1.3219280948873624</v>
      </c>
    </row>
    <row r="39" spans="1:2">
      <c r="A39">
        <v>2.6</v>
      </c>
      <c r="B39">
        <f t="shared" si="0"/>
        <v>1.3785116232537298</v>
      </c>
    </row>
    <row r="40" spans="1:2">
      <c r="A40">
        <v>2.7</v>
      </c>
      <c r="B40">
        <f t="shared" si="0"/>
        <v>1.4329594072761063</v>
      </c>
    </row>
    <row r="41" spans="1:2">
      <c r="A41">
        <v>2.8</v>
      </c>
      <c r="B41">
        <f t="shared" si="0"/>
        <v>1.4854268271702415</v>
      </c>
    </row>
    <row r="42" spans="1:2">
      <c r="A42">
        <v>2.9</v>
      </c>
      <c r="B42">
        <f t="shared" si="0"/>
        <v>1.5360529002402097</v>
      </c>
    </row>
    <row r="43" spans="1:2">
      <c r="A43">
        <v>3</v>
      </c>
      <c r="B43">
        <f t="shared" si="0"/>
        <v>1.5849625007211563</v>
      </c>
    </row>
    <row r="48" spans="1:2" s="1" customFormat="1">
      <c r="B48" s="1" t="s">
        <v>283</v>
      </c>
    </row>
    <row r="59" spans="1:6">
      <c r="A59" s="253"/>
      <c r="B59" s="253"/>
      <c r="C59" s="253"/>
      <c r="D59" s="253"/>
      <c r="E59" s="253"/>
    </row>
    <row r="61" spans="1:6">
      <c r="A61" s="18"/>
      <c r="B61" s="18"/>
      <c r="C61" s="18"/>
      <c r="D61" s="27"/>
      <c r="F61" s="27"/>
    </row>
    <row r="62" spans="1:6">
      <c r="B62" s="14"/>
    </row>
    <row r="72" spans="2:22" s="1" customFormat="1">
      <c r="B72" s="1" t="s">
        <v>284</v>
      </c>
      <c r="F72" s="1" t="s">
        <v>285</v>
      </c>
    </row>
    <row r="73" spans="2:22">
      <c r="J73" s="69"/>
      <c r="P73" s="69" t="s">
        <v>286</v>
      </c>
      <c r="Q73">
        <f>EXP(1)</f>
        <v>2.7182818284590451</v>
      </c>
    </row>
    <row r="74" spans="2:22">
      <c r="J74" s="69"/>
    </row>
    <row r="75" spans="2:22">
      <c r="J75" s="69"/>
    </row>
    <row r="76" spans="2:22">
      <c r="J76" s="69"/>
    </row>
    <row r="77" spans="2:22">
      <c r="J77" s="69"/>
      <c r="O77" s="69" t="s">
        <v>70</v>
      </c>
      <c r="P77" s="69" t="s">
        <v>287</v>
      </c>
      <c r="Q77" s="69" t="s">
        <v>38</v>
      </c>
      <c r="R77" s="69" t="s">
        <v>38</v>
      </c>
      <c r="V77" t="s">
        <v>288</v>
      </c>
    </row>
    <row r="78" spans="2:22">
      <c r="J78" s="69"/>
    </row>
    <row r="79" spans="2:22">
      <c r="J79" s="69"/>
    </row>
    <row r="80" spans="2:22">
      <c r="J80" s="69"/>
    </row>
    <row r="81" spans="10:18">
      <c r="J81" s="69"/>
    </row>
    <row r="82" spans="10:18">
      <c r="J82" s="69"/>
    </row>
    <row r="83" spans="10:18">
      <c r="J83" s="69"/>
      <c r="O83">
        <v>-0.2</v>
      </c>
      <c r="P83">
        <f t="shared" ref="P83:P98" si="1">1-O83</f>
        <v>1.2</v>
      </c>
      <c r="Q83">
        <f t="shared" ref="Q83:Q94" si="2">-LOG(P83)</f>
        <v>-7.9181246047624818E-2</v>
      </c>
    </row>
    <row r="84" spans="10:18">
      <c r="J84" s="69"/>
      <c r="O84">
        <v>-0.1</v>
      </c>
      <c r="P84">
        <f t="shared" si="1"/>
        <v>1.1000000000000001</v>
      </c>
      <c r="Q84">
        <f t="shared" si="2"/>
        <v>-4.1392685158225077E-2</v>
      </c>
    </row>
    <row r="85" spans="10:18">
      <c r="J85" s="69"/>
      <c r="O85">
        <v>0</v>
      </c>
      <c r="P85">
        <f t="shared" si="1"/>
        <v>1</v>
      </c>
      <c r="Q85">
        <f t="shared" si="2"/>
        <v>0</v>
      </c>
    </row>
    <row r="86" spans="10:18">
      <c r="J86" s="69"/>
      <c r="O86">
        <v>0.1</v>
      </c>
      <c r="P86">
        <f t="shared" si="1"/>
        <v>0.9</v>
      </c>
      <c r="Q86">
        <f t="shared" si="2"/>
        <v>4.5757490560675115E-2</v>
      </c>
      <c r="R86">
        <f t="shared" ref="R86:R98" si="3">-LOG(O86)</f>
        <v>1</v>
      </c>
    </row>
    <row r="87" spans="10:18">
      <c r="J87" s="69"/>
      <c r="O87">
        <v>0.2</v>
      </c>
      <c r="P87">
        <f t="shared" si="1"/>
        <v>0.8</v>
      </c>
      <c r="Q87">
        <f t="shared" si="2"/>
        <v>9.6910013008056392E-2</v>
      </c>
      <c r="R87">
        <f t="shared" si="3"/>
        <v>0.69897000433601875</v>
      </c>
    </row>
    <row r="88" spans="10:18">
      <c r="J88" s="69"/>
      <c r="O88">
        <v>0.3</v>
      </c>
      <c r="P88">
        <f t="shared" si="1"/>
        <v>0.7</v>
      </c>
      <c r="Q88">
        <f t="shared" si="2"/>
        <v>0.15490195998574319</v>
      </c>
      <c r="R88">
        <f t="shared" si="3"/>
        <v>0.52287874528033762</v>
      </c>
    </row>
    <row r="89" spans="10:18">
      <c r="J89" s="69"/>
      <c r="O89">
        <v>0.4</v>
      </c>
      <c r="P89">
        <f t="shared" si="1"/>
        <v>0.6</v>
      </c>
      <c r="Q89">
        <f t="shared" si="2"/>
        <v>0.22184874961635639</v>
      </c>
      <c r="R89">
        <f t="shared" si="3"/>
        <v>0.3979400086720376</v>
      </c>
    </row>
    <row r="90" spans="10:18">
      <c r="J90" s="69"/>
      <c r="O90">
        <v>0.5</v>
      </c>
      <c r="P90">
        <f t="shared" si="1"/>
        <v>0.5</v>
      </c>
      <c r="Q90">
        <f t="shared" si="2"/>
        <v>0.3010299956639812</v>
      </c>
      <c r="R90">
        <f t="shared" si="3"/>
        <v>0.3010299956639812</v>
      </c>
    </row>
    <row r="91" spans="10:18">
      <c r="J91" s="69"/>
      <c r="O91">
        <v>0.6</v>
      </c>
      <c r="P91">
        <f t="shared" si="1"/>
        <v>0.4</v>
      </c>
      <c r="Q91">
        <f t="shared" si="2"/>
        <v>0.3979400086720376</v>
      </c>
      <c r="R91">
        <f t="shared" si="3"/>
        <v>0.22184874961635639</v>
      </c>
    </row>
    <row r="92" spans="10:18">
      <c r="J92" s="69"/>
      <c r="O92">
        <v>0.7</v>
      </c>
      <c r="P92">
        <f t="shared" si="1"/>
        <v>0.30000000000000004</v>
      </c>
      <c r="Q92">
        <f t="shared" si="2"/>
        <v>0.52287874528033751</v>
      </c>
      <c r="R92">
        <f t="shared" si="3"/>
        <v>0.15490195998574319</v>
      </c>
    </row>
    <row r="93" spans="10:18">
      <c r="J93" s="69"/>
      <c r="O93">
        <v>0.8</v>
      </c>
      <c r="P93">
        <f t="shared" si="1"/>
        <v>0.19999999999999996</v>
      </c>
      <c r="Q93">
        <f t="shared" si="2"/>
        <v>0.69897000433601886</v>
      </c>
      <c r="R93">
        <f t="shared" si="3"/>
        <v>9.6910013008056392E-2</v>
      </c>
    </row>
    <row r="94" spans="10:18">
      <c r="J94" s="69"/>
      <c r="O94">
        <v>0.9</v>
      </c>
      <c r="P94">
        <f t="shared" si="1"/>
        <v>9.9999999999999978E-2</v>
      </c>
      <c r="Q94">
        <f t="shared" si="2"/>
        <v>1</v>
      </c>
      <c r="R94">
        <f t="shared" si="3"/>
        <v>4.5757490560675115E-2</v>
      </c>
    </row>
    <row r="95" spans="10:18">
      <c r="J95" s="69"/>
      <c r="O95">
        <v>1</v>
      </c>
      <c r="P95">
        <f t="shared" si="1"/>
        <v>0</v>
      </c>
      <c r="R95">
        <f t="shared" si="3"/>
        <v>0</v>
      </c>
    </row>
    <row r="96" spans="10:18">
      <c r="J96" s="69"/>
      <c r="O96">
        <v>1.1000000000000001</v>
      </c>
      <c r="P96">
        <f t="shared" si="1"/>
        <v>-0.10000000000000009</v>
      </c>
      <c r="R96">
        <f t="shared" si="3"/>
        <v>-4.1392685158225077E-2</v>
      </c>
    </row>
    <row r="97" spans="4:18">
      <c r="J97" s="69"/>
      <c r="O97">
        <v>1.2</v>
      </c>
      <c r="P97">
        <f t="shared" si="1"/>
        <v>-0.19999999999999996</v>
      </c>
      <c r="R97">
        <f t="shared" si="3"/>
        <v>-7.9181246047624818E-2</v>
      </c>
    </row>
    <row r="98" spans="4:18">
      <c r="J98" s="69"/>
      <c r="O98">
        <v>1.3</v>
      </c>
      <c r="P98">
        <f t="shared" si="1"/>
        <v>-0.30000000000000004</v>
      </c>
      <c r="R98">
        <f t="shared" si="3"/>
        <v>-0.11394335230683679</v>
      </c>
    </row>
    <row r="99" spans="4:18">
      <c r="J99" s="69"/>
    </row>
    <row r="100" spans="4:18" ht="20.25">
      <c r="D100" s="72" t="s">
        <v>289</v>
      </c>
      <c r="J100" s="69"/>
    </row>
    <row r="101" spans="4:18" ht="20.25">
      <c r="D101" s="72" t="s">
        <v>290</v>
      </c>
      <c r="J101" s="69"/>
    </row>
    <row r="102" spans="4:18">
      <c r="J102" s="69"/>
    </row>
    <row r="103" spans="4:18">
      <c r="J103" s="69"/>
    </row>
    <row r="104" spans="4:18" ht="20.25">
      <c r="D104" s="73" t="s">
        <v>291</v>
      </c>
      <c r="J104" s="69"/>
    </row>
    <row r="105" spans="4:18" ht="20.25">
      <c r="D105" s="73" t="s">
        <v>292</v>
      </c>
      <c r="J105" s="69"/>
    </row>
    <row r="124" spans="24:35">
      <c r="X124">
        <v>0.6</v>
      </c>
      <c r="Y124" t="e">
        <f>1 / (1 +#REF!^(- X124))</f>
        <v>#REF!</v>
      </c>
      <c r="AH124">
        <v>0.5</v>
      </c>
      <c r="AI124" t="e">
        <f>1 / (1 +#REF!^(- AH124))</f>
        <v>#REF!</v>
      </c>
    </row>
    <row r="125" spans="24:35">
      <c r="X125">
        <v>0.7</v>
      </c>
      <c r="Y125" t="e">
        <f>1 / (1 +#REF!^(- X125))</f>
        <v>#REF!</v>
      </c>
      <c r="AH125">
        <v>0.6</v>
      </c>
      <c r="AI125" t="e">
        <f>1 / (1 +#REF!^(- AH125))</f>
        <v>#REF!</v>
      </c>
    </row>
    <row r="126" spans="24:35">
      <c r="X126">
        <v>0.8</v>
      </c>
      <c r="Y126" t="e">
        <f>1 / (1 +#REF!^(- X126))</f>
        <v>#REF!</v>
      </c>
      <c r="AH126">
        <v>0.7</v>
      </c>
      <c r="AI126" t="e">
        <f>1 / (1 +#REF!^(- AH126))</f>
        <v>#REF!</v>
      </c>
    </row>
    <row r="127" spans="24:35">
      <c r="X127">
        <v>0.9</v>
      </c>
      <c r="Y127" t="e">
        <f>1 / (1 +#REF!^(- X127))</f>
        <v>#REF!</v>
      </c>
      <c r="AH127">
        <v>0.8</v>
      </c>
      <c r="AI127" t="e">
        <f>1 / (1 +#REF!^(- AH127))</f>
        <v>#REF!</v>
      </c>
    </row>
    <row r="128" spans="24:35">
      <c r="X128">
        <v>1</v>
      </c>
      <c r="Y128" t="e">
        <f>1 / (1 +#REF!^(- X128))</f>
        <v>#REF!</v>
      </c>
      <c r="AH128">
        <v>0.9</v>
      </c>
      <c r="AI128" t="e">
        <f>1 / (1 +#REF!^(- AH128))</f>
        <v>#REF!</v>
      </c>
    </row>
    <row r="129" spans="24:35">
      <c r="X129">
        <v>1.1000000000000001</v>
      </c>
      <c r="Y129" t="e">
        <f>1 / (1 +#REF!^(- X129))</f>
        <v>#REF!</v>
      </c>
      <c r="AH129">
        <v>1</v>
      </c>
      <c r="AI129" t="e">
        <f>1 / (1 +#REF!^(- AH129))</f>
        <v>#REF!</v>
      </c>
    </row>
    <row r="130" spans="24:35">
      <c r="X130">
        <v>1.2</v>
      </c>
      <c r="Y130" t="e">
        <f>1 / (1 +#REF!^(- X130))</f>
        <v>#REF!</v>
      </c>
      <c r="AH130">
        <v>1.1000000000000001</v>
      </c>
      <c r="AI130" t="e">
        <f>1 / (1 +#REF!^(- AH130))</f>
        <v>#REF!</v>
      </c>
    </row>
    <row r="131" spans="24:35">
      <c r="X131">
        <v>1.3</v>
      </c>
      <c r="Y131" t="e">
        <f>1 / (1 +#REF!^(- X131))</f>
        <v>#REF!</v>
      </c>
      <c r="AH131">
        <v>1.2</v>
      </c>
      <c r="AI131" t="e">
        <f>1 / (1 +#REF!^(- AH131))</f>
        <v>#REF!</v>
      </c>
    </row>
    <row r="132" spans="24:35">
      <c r="X132">
        <v>1.4</v>
      </c>
      <c r="Y132" t="e">
        <f>1 / (1 +#REF!^(- X132))</f>
        <v>#REF!</v>
      </c>
      <c r="AH132">
        <v>1.3</v>
      </c>
      <c r="AI132" t="e">
        <f>1 / (1 +#REF!^(- AH132))</f>
        <v>#REF!</v>
      </c>
    </row>
    <row r="133" spans="24:35">
      <c r="X133">
        <v>1.5</v>
      </c>
      <c r="Y133" t="e">
        <f>1 / (1 +#REF!^(- X133))</f>
        <v>#REF!</v>
      </c>
      <c r="AH133">
        <v>1.4</v>
      </c>
      <c r="AI133" t="e">
        <f>1 / (1 +#REF!^(- AH133))</f>
        <v>#REF!</v>
      </c>
    </row>
    <row r="134" spans="24:35">
      <c r="X134">
        <v>1.6</v>
      </c>
      <c r="Y134" t="e">
        <f>1 / (1 +#REF!^(- X134))</f>
        <v>#REF!</v>
      </c>
      <c r="AH134">
        <v>1.5</v>
      </c>
      <c r="AI134" t="e">
        <f>1 / (1 +#REF!^(- AH134))</f>
        <v>#REF!</v>
      </c>
    </row>
    <row r="135" spans="24:35">
      <c r="X135">
        <v>1.7</v>
      </c>
      <c r="Y135" t="e">
        <f>1 / (1 +#REF!^(- X135))</f>
        <v>#REF!</v>
      </c>
      <c r="AH135">
        <v>1.6</v>
      </c>
      <c r="AI135" t="e">
        <f>1 / (1 +#REF!^(- AH135))</f>
        <v>#REF!</v>
      </c>
    </row>
    <row r="136" spans="24:35">
      <c r="X136">
        <v>1.8</v>
      </c>
      <c r="Y136" t="e">
        <f>1 / (1 +#REF!^(- X136))</f>
        <v>#REF!</v>
      </c>
      <c r="AH136">
        <v>1.7</v>
      </c>
      <c r="AI136" t="e">
        <f>1 / (1 +#REF!^(- AH136))</f>
        <v>#REF!</v>
      </c>
    </row>
    <row r="137" spans="24:35">
      <c r="X137">
        <v>1.9</v>
      </c>
      <c r="Y137" t="e">
        <f>1 / (1 +#REF!^(- X137))</f>
        <v>#REF!</v>
      </c>
      <c r="AH137">
        <v>1.8</v>
      </c>
      <c r="AI137" t="e">
        <f>1 / (1 +#REF!^(- AH137))</f>
        <v>#REF!</v>
      </c>
    </row>
    <row r="138" spans="24:35">
      <c r="X138">
        <v>2</v>
      </c>
      <c r="Y138" t="e">
        <f>1 / (1 +#REF!^(- X138))</f>
        <v>#REF!</v>
      </c>
      <c r="AH138">
        <v>1.9</v>
      </c>
      <c r="AI138" t="e">
        <f>1 / (1 +#REF!^(- AH138))</f>
        <v>#REF!</v>
      </c>
    </row>
    <row r="139" spans="24:35">
      <c r="AH139">
        <v>2</v>
      </c>
      <c r="AI139" t="e">
        <f>1 / (1 +#REF!^(- AH139))</f>
        <v>#REF!</v>
      </c>
    </row>
    <row r="140" spans="24:35">
      <c r="AH140">
        <v>100</v>
      </c>
      <c r="AI140">
        <v>1</v>
      </c>
    </row>
  </sheetData>
  <mergeCells count="2">
    <mergeCell ref="B1:G1"/>
    <mergeCell ref="A59:E59"/>
  </mergeCells>
  <phoneticPr fontId="5"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7"/>
  <sheetViews>
    <sheetView workbookViewId="0">
      <selection activeCell="F7" sqref="F7"/>
    </sheetView>
  </sheetViews>
  <sheetFormatPr defaultRowHeight="16.5"/>
  <sheetData>
    <row r="3" spans="2:6" s="1" customFormat="1">
      <c r="B3" s="1" t="s">
        <v>87</v>
      </c>
    </row>
    <row r="5" spans="2:6">
      <c r="B5">
        <v>2.7182810000000002</v>
      </c>
      <c r="E5" t="s">
        <v>89</v>
      </c>
    </row>
    <row r="6" spans="2:6">
      <c r="E6" t="s">
        <v>90</v>
      </c>
      <c r="F6" s="2" t="s">
        <v>91</v>
      </c>
    </row>
    <row r="7" spans="2:6">
      <c r="B7" t="s">
        <v>88</v>
      </c>
    </row>
  </sheetData>
  <phoneticPr fontId="5"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Y83"/>
  <sheetViews>
    <sheetView workbookViewId="0">
      <selection activeCell="G23" sqref="G23"/>
    </sheetView>
  </sheetViews>
  <sheetFormatPr defaultRowHeight="16.5"/>
  <cols>
    <col min="1" max="1" width="11.25" customWidth="1"/>
    <col min="5" max="6" width="10.625" customWidth="1"/>
    <col min="7" max="7" width="20.375" customWidth="1"/>
    <col min="8" max="8" width="13.875" customWidth="1"/>
  </cols>
  <sheetData>
    <row r="4" spans="2:9">
      <c r="D4" t="s">
        <v>58</v>
      </c>
    </row>
    <row r="5" spans="2:9" ht="33">
      <c r="B5" s="18" t="s">
        <v>49</v>
      </c>
      <c r="C5" s="18" t="s">
        <v>50</v>
      </c>
      <c r="D5" s="16" t="s">
        <v>56</v>
      </c>
      <c r="E5" s="16" t="s">
        <v>57</v>
      </c>
      <c r="F5" s="16" t="s">
        <v>60</v>
      </c>
      <c r="G5" s="18" t="s">
        <v>59</v>
      </c>
    </row>
    <row r="6" spans="2:9">
      <c r="B6">
        <v>170</v>
      </c>
      <c r="C6">
        <v>65</v>
      </c>
      <c r="D6">
        <f>B6-$B$19</f>
        <v>7</v>
      </c>
      <c r="E6">
        <f>C6-$B$20</f>
        <v>8</v>
      </c>
      <c r="F6">
        <f>D6^2</f>
        <v>49</v>
      </c>
      <c r="G6">
        <f>D6*E6</f>
        <v>56</v>
      </c>
    </row>
    <row r="7" spans="2:9">
      <c r="B7">
        <v>155</v>
      </c>
      <c r="C7">
        <v>50</v>
      </c>
      <c r="D7">
        <f>B7-$B$19</f>
        <v>-8</v>
      </c>
      <c r="E7">
        <f>C7-$B$20</f>
        <v>-7</v>
      </c>
      <c r="F7">
        <f>D7^2</f>
        <v>64</v>
      </c>
      <c r="G7">
        <f>D7*E7</f>
        <v>56</v>
      </c>
    </row>
    <row r="8" spans="2:9">
      <c r="B8">
        <v>150</v>
      </c>
      <c r="C8">
        <v>45</v>
      </c>
      <c r="D8">
        <f>B8-$B$19</f>
        <v>-13</v>
      </c>
      <c r="E8">
        <f>C8-$B$20</f>
        <v>-12</v>
      </c>
      <c r="F8">
        <f>D8^2</f>
        <v>169</v>
      </c>
      <c r="G8">
        <f>D8*E8</f>
        <v>156</v>
      </c>
      <c r="I8" t="s">
        <v>62</v>
      </c>
    </row>
    <row r="9" spans="2:9">
      <c r="B9">
        <v>175</v>
      </c>
      <c r="C9">
        <v>70</v>
      </c>
      <c r="D9">
        <f>B9-$B$19</f>
        <v>12</v>
      </c>
      <c r="E9">
        <f>C9-$B$20</f>
        <v>13</v>
      </c>
      <c r="F9">
        <f>D9^2</f>
        <v>144</v>
      </c>
      <c r="G9">
        <f>D9*E9</f>
        <v>156</v>
      </c>
    </row>
    <row r="10" spans="2:9">
      <c r="B10">
        <v>165</v>
      </c>
      <c r="C10">
        <v>55</v>
      </c>
      <c r="D10">
        <f>B10-$B$19</f>
        <v>2</v>
      </c>
      <c r="E10">
        <f>C10-$B$20</f>
        <v>-2</v>
      </c>
      <c r="F10">
        <f>D10^2</f>
        <v>4</v>
      </c>
      <c r="G10">
        <f>D10*E10</f>
        <v>-4</v>
      </c>
    </row>
    <row r="17" spans="1:12">
      <c r="J17" t="s">
        <v>55</v>
      </c>
    </row>
    <row r="19" spans="1:12">
      <c r="A19" t="s">
        <v>51</v>
      </c>
      <c r="B19">
        <f>AVERAGE($B$6:$B$10)</f>
        <v>163</v>
      </c>
    </row>
    <row r="20" spans="1:12">
      <c r="A20" t="s">
        <v>52</v>
      </c>
      <c r="B20">
        <f>AVERAGE($C$6:$C$10)</f>
        <v>57</v>
      </c>
    </row>
    <row r="23" spans="1:12" ht="17.25" thickBot="1">
      <c r="A23" s="254" t="s">
        <v>63</v>
      </c>
      <c r="B23" s="255" t="s">
        <v>53</v>
      </c>
      <c r="C23" s="255"/>
      <c r="D23" s="255"/>
      <c r="E23" s="17"/>
      <c r="F23" s="17"/>
      <c r="G23" s="17">
        <f>SUM(G6:G10)</f>
        <v>420</v>
      </c>
      <c r="H23" s="257">
        <f>G23/G24</f>
        <v>0.97674418604651159</v>
      </c>
      <c r="I23" s="17"/>
    </row>
    <row r="24" spans="1:12" ht="16.5" customHeight="1">
      <c r="A24" s="254"/>
      <c r="B24" s="256" t="s">
        <v>54</v>
      </c>
      <c r="C24" s="256"/>
      <c r="D24" s="256"/>
      <c r="E24" s="17"/>
      <c r="F24" s="17"/>
      <c r="G24" s="17">
        <f>SUM(F6:F10)</f>
        <v>430</v>
      </c>
      <c r="H24" s="257"/>
      <c r="I24" s="17"/>
    </row>
    <row r="26" spans="1:12">
      <c r="A26" s="14" t="s">
        <v>64</v>
      </c>
      <c r="B26" t="s">
        <v>61</v>
      </c>
      <c r="G26">
        <f>B20-(B19 * H23)</f>
        <v>-102.20930232558138</v>
      </c>
      <c r="I26" t="s">
        <v>65</v>
      </c>
    </row>
    <row r="28" spans="1:12">
      <c r="I28" t="s">
        <v>66</v>
      </c>
      <c r="L28">
        <f>H23*163+G26</f>
        <v>57</v>
      </c>
    </row>
    <row r="31" spans="1:12">
      <c r="G31" t="s">
        <v>69</v>
      </c>
    </row>
    <row r="33" spans="2:25" s="1" customFormat="1">
      <c r="B33" s="1" t="s">
        <v>67</v>
      </c>
    </row>
    <row r="35" spans="2:25">
      <c r="B35" t="s">
        <v>68</v>
      </c>
      <c r="P35" t="s">
        <v>72</v>
      </c>
      <c r="U35" t="s">
        <v>76</v>
      </c>
      <c r="V35">
        <v>1</v>
      </c>
      <c r="W35">
        <v>2</v>
      </c>
      <c r="X35">
        <v>3</v>
      </c>
    </row>
    <row r="36" spans="2:25">
      <c r="N36" s="14" t="s">
        <v>70</v>
      </c>
      <c r="O36" s="14" t="s">
        <v>71</v>
      </c>
      <c r="R36" t="s">
        <v>74</v>
      </c>
      <c r="U36" t="s">
        <v>75</v>
      </c>
      <c r="V36" s="14" t="s">
        <v>77</v>
      </c>
      <c r="W36" s="19" t="s">
        <v>78</v>
      </c>
      <c r="X36" s="19" t="s">
        <v>79</v>
      </c>
    </row>
    <row r="37" spans="2:25">
      <c r="N37">
        <v>-10</v>
      </c>
      <c r="O37">
        <f>N37^2</f>
        <v>100</v>
      </c>
      <c r="V37" s="14" t="s">
        <v>70</v>
      </c>
      <c r="W37" s="14" t="s">
        <v>77</v>
      </c>
      <c r="X37" s="19" t="s">
        <v>78</v>
      </c>
      <c r="Y37" s="19" t="s">
        <v>79</v>
      </c>
    </row>
    <row r="38" spans="2:25">
      <c r="N38">
        <v>-9</v>
      </c>
      <c r="O38">
        <f t="shared" ref="O38:O57" si="0">N38^2</f>
        <v>81</v>
      </c>
      <c r="V38">
        <v>-10</v>
      </c>
      <c r="W38">
        <f>V38^2</f>
        <v>100</v>
      </c>
      <c r="X38">
        <f t="shared" ref="X38:X58" si="1">V38^2*2</f>
        <v>200</v>
      </c>
      <c r="Y38">
        <f t="shared" ref="Y38:Y58" si="2">V38^2*3</f>
        <v>300</v>
      </c>
    </row>
    <row r="39" spans="2:25">
      <c r="N39">
        <v>-8</v>
      </c>
      <c r="O39">
        <f t="shared" si="0"/>
        <v>64</v>
      </c>
      <c r="V39">
        <v>-9</v>
      </c>
      <c r="W39">
        <f t="shared" ref="W39:W58" si="3">V39^2</f>
        <v>81</v>
      </c>
      <c r="X39">
        <f t="shared" si="1"/>
        <v>162</v>
      </c>
      <c r="Y39">
        <f t="shared" si="2"/>
        <v>243</v>
      </c>
    </row>
    <row r="40" spans="2:25">
      <c r="N40">
        <v>-7</v>
      </c>
      <c r="O40">
        <f t="shared" si="0"/>
        <v>49</v>
      </c>
      <c r="V40">
        <v>-8</v>
      </c>
      <c r="W40">
        <f t="shared" si="3"/>
        <v>64</v>
      </c>
      <c r="X40">
        <f t="shared" si="1"/>
        <v>128</v>
      </c>
      <c r="Y40">
        <f t="shared" si="2"/>
        <v>192</v>
      </c>
    </row>
    <row r="41" spans="2:25">
      <c r="N41">
        <v>-6</v>
      </c>
      <c r="O41">
        <f t="shared" si="0"/>
        <v>36</v>
      </c>
      <c r="V41">
        <v>-7</v>
      </c>
      <c r="W41">
        <f t="shared" si="3"/>
        <v>49</v>
      </c>
      <c r="X41">
        <f t="shared" si="1"/>
        <v>98</v>
      </c>
      <c r="Y41">
        <f t="shared" si="2"/>
        <v>147</v>
      </c>
    </row>
    <row r="42" spans="2:25">
      <c r="N42">
        <v>-5</v>
      </c>
      <c r="O42">
        <f t="shared" si="0"/>
        <v>25</v>
      </c>
      <c r="V42">
        <v>-6</v>
      </c>
      <c r="W42">
        <f t="shared" si="3"/>
        <v>36</v>
      </c>
      <c r="X42">
        <f t="shared" si="1"/>
        <v>72</v>
      </c>
      <c r="Y42">
        <f t="shared" si="2"/>
        <v>108</v>
      </c>
    </row>
    <row r="43" spans="2:25">
      <c r="N43">
        <v>-4</v>
      </c>
      <c r="O43">
        <f t="shared" si="0"/>
        <v>16</v>
      </c>
      <c r="V43">
        <v>-5</v>
      </c>
      <c r="W43">
        <f t="shared" si="3"/>
        <v>25</v>
      </c>
      <c r="X43">
        <f t="shared" si="1"/>
        <v>50</v>
      </c>
      <c r="Y43">
        <f t="shared" si="2"/>
        <v>75</v>
      </c>
    </row>
    <row r="44" spans="2:25">
      <c r="N44">
        <v>-3</v>
      </c>
      <c r="O44">
        <f t="shared" si="0"/>
        <v>9</v>
      </c>
      <c r="V44">
        <v>-4</v>
      </c>
      <c r="W44">
        <f t="shared" si="3"/>
        <v>16</v>
      </c>
      <c r="X44">
        <f t="shared" si="1"/>
        <v>32</v>
      </c>
      <c r="Y44">
        <f t="shared" si="2"/>
        <v>48</v>
      </c>
    </row>
    <row r="45" spans="2:25">
      <c r="N45">
        <v>-2</v>
      </c>
      <c r="O45">
        <f t="shared" si="0"/>
        <v>4</v>
      </c>
      <c r="V45">
        <v>-3</v>
      </c>
      <c r="W45">
        <f t="shared" si="3"/>
        <v>9</v>
      </c>
      <c r="X45">
        <f t="shared" si="1"/>
        <v>18</v>
      </c>
      <c r="Y45">
        <f t="shared" si="2"/>
        <v>27</v>
      </c>
    </row>
    <row r="46" spans="2:25">
      <c r="N46">
        <v>-1</v>
      </c>
      <c r="O46">
        <f t="shared" si="0"/>
        <v>1</v>
      </c>
      <c r="V46">
        <v>-2</v>
      </c>
      <c r="W46">
        <f t="shared" si="3"/>
        <v>4</v>
      </c>
      <c r="X46">
        <f t="shared" si="1"/>
        <v>8</v>
      </c>
      <c r="Y46">
        <f t="shared" si="2"/>
        <v>12</v>
      </c>
    </row>
    <row r="47" spans="2:25">
      <c r="N47">
        <v>0</v>
      </c>
      <c r="O47">
        <f t="shared" si="0"/>
        <v>0</v>
      </c>
      <c r="V47">
        <v>-1</v>
      </c>
      <c r="W47">
        <f t="shared" si="3"/>
        <v>1</v>
      </c>
      <c r="X47">
        <f t="shared" si="1"/>
        <v>2</v>
      </c>
      <c r="Y47">
        <f t="shared" si="2"/>
        <v>3</v>
      </c>
    </row>
    <row r="48" spans="2:25">
      <c r="N48">
        <v>1</v>
      </c>
      <c r="O48">
        <f t="shared" si="0"/>
        <v>1</v>
      </c>
      <c r="V48">
        <v>0</v>
      </c>
      <c r="W48">
        <f t="shared" si="3"/>
        <v>0</v>
      </c>
      <c r="X48">
        <f t="shared" si="1"/>
        <v>0</v>
      </c>
      <c r="Y48">
        <f t="shared" si="2"/>
        <v>0</v>
      </c>
    </row>
    <row r="49" spans="14:25">
      <c r="N49">
        <v>2</v>
      </c>
      <c r="O49">
        <f t="shared" si="0"/>
        <v>4</v>
      </c>
      <c r="V49">
        <v>1</v>
      </c>
      <c r="W49">
        <f t="shared" si="3"/>
        <v>1</v>
      </c>
      <c r="X49">
        <f t="shared" si="1"/>
        <v>2</v>
      </c>
      <c r="Y49">
        <f t="shared" si="2"/>
        <v>3</v>
      </c>
    </row>
    <row r="50" spans="14:25">
      <c r="N50">
        <v>3</v>
      </c>
      <c r="O50">
        <f t="shared" si="0"/>
        <v>9</v>
      </c>
      <c r="V50">
        <v>2</v>
      </c>
      <c r="W50">
        <f t="shared" si="3"/>
        <v>4</v>
      </c>
      <c r="X50">
        <f t="shared" si="1"/>
        <v>8</v>
      </c>
      <c r="Y50">
        <f t="shared" si="2"/>
        <v>12</v>
      </c>
    </row>
    <row r="51" spans="14:25">
      <c r="N51">
        <v>4</v>
      </c>
      <c r="O51">
        <f t="shared" si="0"/>
        <v>16</v>
      </c>
      <c r="V51">
        <v>3</v>
      </c>
      <c r="W51">
        <f t="shared" si="3"/>
        <v>9</v>
      </c>
      <c r="X51">
        <f t="shared" si="1"/>
        <v>18</v>
      </c>
      <c r="Y51">
        <f t="shared" si="2"/>
        <v>27</v>
      </c>
    </row>
    <row r="52" spans="14:25">
      <c r="N52">
        <v>5</v>
      </c>
      <c r="O52">
        <f t="shared" si="0"/>
        <v>25</v>
      </c>
      <c r="V52">
        <v>4</v>
      </c>
      <c r="W52">
        <f t="shared" si="3"/>
        <v>16</v>
      </c>
      <c r="X52">
        <f t="shared" si="1"/>
        <v>32</v>
      </c>
      <c r="Y52">
        <f t="shared" si="2"/>
        <v>48</v>
      </c>
    </row>
    <row r="53" spans="14:25">
      <c r="N53">
        <v>6</v>
      </c>
      <c r="O53">
        <f t="shared" si="0"/>
        <v>36</v>
      </c>
      <c r="V53">
        <v>5</v>
      </c>
      <c r="W53">
        <f t="shared" si="3"/>
        <v>25</v>
      </c>
      <c r="X53">
        <f t="shared" si="1"/>
        <v>50</v>
      </c>
      <c r="Y53">
        <f t="shared" si="2"/>
        <v>75</v>
      </c>
    </row>
    <row r="54" spans="14:25">
      <c r="N54">
        <v>7</v>
      </c>
      <c r="O54">
        <f t="shared" si="0"/>
        <v>49</v>
      </c>
      <c r="V54">
        <v>6</v>
      </c>
      <c r="W54">
        <f t="shared" si="3"/>
        <v>36</v>
      </c>
      <c r="X54">
        <f t="shared" si="1"/>
        <v>72</v>
      </c>
      <c r="Y54">
        <f t="shared" si="2"/>
        <v>108</v>
      </c>
    </row>
    <row r="55" spans="14:25">
      <c r="N55">
        <v>8</v>
      </c>
      <c r="O55">
        <f t="shared" si="0"/>
        <v>64</v>
      </c>
      <c r="V55">
        <v>7</v>
      </c>
      <c r="W55">
        <f t="shared" si="3"/>
        <v>49</v>
      </c>
      <c r="X55">
        <f t="shared" si="1"/>
        <v>98</v>
      </c>
      <c r="Y55">
        <f t="shared" si="2"/>
        <v>147</v>
      </c>
    </row>
    <row r="56" spans="14:25">
      <c r="N56">
        <v>9</v>
      </c>
      <c r="O56">
        <f t="shared" si="0"/>
        <v>81</v>
      </c>
      <c r="V56">
        <v>8</v>
      </c>
      <c r="W56">
        <f t="shared" si="3"/>
        <v>64</v>
      </c>
      <c r="X56">
        <f t="shared" si="1"/>
        <v>128</v>
      </c>
      <c r="Y56">
        <f t="shared" si="2"/>
        <v>192</v>
      </c>
    </row>
    <row r="57" spans="14:25">
      <c r="N57">
        <v>10</v>
      </c>
      <c r="O57">
        <f t="shared" si="0"/>
        <v>100</v>
      </c>
      <c r="V57">
        <v>9</v>
      </c>
      <c r="W57">
        <f t="shared" si="3"/>
        <v>81</v>
      </c>
      <c r="X57">
        <f t="shared" si="1"/>
        <v>162</v>
      </c>
      <c r="Y57">
        <f t="shared" si="2"/>
        <v>243</v>
      </c>
    </row>
    <row r="58" spans="14:25">
      <c r="V58">
        <v>10</v>
      </c>
      <c r="W58">
        <f t="shared" si="3"/>
        <v>100</v>
      </c>
      <c r="X58">
        <f t="shared" si="1"/>
        <v>200</v>
      </c>
      <c r="Y58">
        <f t="shared" si="2"/>
        <v>300</v>
      </c>
    </row>
    <row r="59" spans="14:25">
      <c r="P59" t="s">
        <v>73</v>
      </c>
    </row>
    <row r="60" spans="14:25">
      <c r="N60" s="14" t="s">
        <v>70</v>
      </c>
      <c r="O60" s="14" t="s">
        <v>71</v>
      </c>
    </row>
    <row r="61" spans="14:25">
      <c r="N61">
        <v>-10</v>
      </c>
      <c r="O61">
        <f>-(N61^2)</f>
        <v>-100</v>
      </c>
    </row>
    <row r="62" spans="14:25">
      <c r="N62">
        <v>-9</v>
      </c>
      <c r="O62">
        <f t="shared" ref="O62:O81" si="4">-(N62^2)</f>
        <v>-81</v>
      </c>
      <c r="W62" s="14" t="s">
        <v>70</v>
      </c>
    </row>
    <row r="63" spans="14:25">
      <c r="N63">
        <v>-8</v>
      </c>
      <c r="O63">
        <f t="shared" si="4"/>
        <v>-64</v>
      </c>
      <c r="W63">
        <v>-10</v>
      </c>
      <c r="X63">
        <f>2 * ((W63 - 3)^2) + 5</f>
        <v>343</v>
      </c>
    </row>
    <row r="64" spans="14:25">
      <c r="N64">
        <v>-7</v>
      </c>
      <c r="O64">
        <f t="shared" si="4"/>
        <v>-49</v>
      </c>
      <c r="W64">
        <v>-9</v>
      </c>
      <c r="X64">
        <f t="shared" ref="X64:X83" si="5">2 * ((W64 - 3)^2) + 5</f>
        <v>293</v>
      </c>
    </row>
    <row r="65" spans="14:24">
      <c r="N65">
        <v>-6</v>
      </c>
      <c r="O65">
        <f t="shared" si="4"/>
        <v>-36</v>
      </c>
      <c r="W65">
        <v>-8</v>
      </c>
      <c r="X65">
        <f t="shared" si="5"/>
        <v>247</v>
      </c>
    </row>
    <row r="66" spans="14:24">
      <c r="N66">
        <v>-5</v>
      </c>
      <c r="O66">
        <f t="shared" si="4"/>
        <v>-25</v>
      </c>
      <c r="W66">
        <v>-7</v>
      </c>
      <c r="X66">
        <f t="shared" si="5"/>
        <v>205</v>
      </c>
    </row>
    <row r="67" spans="14:24">
      <c r="N67">
        <v>-4</v>
      </c>
      <c r="O67">
        <f t="shared" si="4"/>
        <v>-16</v>
      </c>
      <c r="W67">
        <v>-6</v>
      </c>
      <c r="X67">
        <f t="shared" si="5"/>
        <v>167</v>
      </c>
    </row>
    <row r="68" spans="14:24">
      <c r="N68">
        <v>-3</v>
      </c>
      <c r="O68">
        <f t="shared" si="4"/>
        <v>-9</v>
      </c>
      <c r="W68">
        <v>-5</v>
      </c>
      <c r="X68">
        <f t="shared" si="5"/>
        <v>133</v>
      </c>
    </row>
    <row r="69" spans="14:24">
      <c r="N69">
        <v>-2</v>
      </c>
      <c r="O69">
        <f t="shared" si="4"/>
        <v>-4</v>
      </c>
      <c r="W69">
        <v>-4</v>
      </c>
      <c r="X69">
        <f t="shared" si="5"/>
        <v>103</v>
      </c>
    </row>
    <row r="70" spans="14:24">
      <c r="N70">
        <v>-1</v>
      </c>
      <c r="O70">
        <f t="shared" si="4"/>
        <v>-1</v>
      </c>
      <c r="W70">
        <v>-3</v>
      </c>
      <c r="X70">
        <f t="shared" si="5"/>
        <v>77</v>
      </c>
    </row>
    <row r="71" spans="14:24">
      <c r="N71">
        <v>0</v>
      </c>
      <c r="O71">
        <f t="shared" si="4"/>
        <v>0</v>
      </c>
      <c r="W71">
        <v>-2</v>
      </c>
      <c r="X71">
        <f t="shared" si="5"/>
        <v>55</v>
      </c>
    </row>
    <row r="72" spans="14:24">
      <c r="N72">
        <v>1</v>
      </c>
      <c r="O72">
        <f t="shared" si="4"/>
        <v>-1</v>
      </c>
      <c r="W72">
        <v>-1</v>
      </c>
      <c r="X72">
        <f t="shared" si="5"/>
        <v>37</v>
      </c>
    </row>
    <row r="73" spans="14:24">
      <c r="N73">
        <v>2</v>
      </c>
      <c r="O73">
        <f t="shared" si="4"/>
        <v>-4</v>
      </c>
      <c r="W73">
        <v>0</v>
      </c>
      <c r="X73">
        <f t="shared" si="5"/>
        <v>23</v>
      </c>
    </row>
    <row r="74" spans="14:24">
      <c r="N74">
        <v>3</v>
      </c>
      <c r="O74">
        <f t="shared" si="4"/>
        <v>-9</v>
      </c>
      <c r="W74">
        <v>1</v>
      </c>
      <c r="X74">
        <f t="shared" si="5"/>
        <v>13</v>
      </c>
    </row>
    <row r="75" spans="14:24">
      <c r="N75">
        <v>4</v>
      </c>
      <c r="O75">
        <f t="shared" si="4"/>
        <v>-16</v>
      </c>
      <c r="W75">
        <v>2</v>
      </c>
      <c r="X75">
        <f t="shared" si="5"/>
        <v>7</v>
      </c>
    </row>
    <row r="76" spans="14:24">
      <c r="N76">
        <v>5</v>
      </c>
      <c r="O76">
        <f t="shared" si="4"/>
        <v>-25</v>
      </c>
      <c r="W76">
        <v>3</v>
      </c>
      <c r="X76">
        <f t="shared" si="5"/>
        <v>5</v>
      </c>
    </row>
    <row r="77" spans="14:24">
      <c r="N77">
        <v>6</v>
      </c>
      <c r="O77">
        <f t="shared" si="4"/>
        <v>-36</v>
      </c>
      <c r="W77">
        <v>4</v>
      </c>
      <c r="X77">
        <f t="shared" si="5"/>
        <v>7</v>
      </c>
    </row>
    <row r="78" spans="14:24">
      <c r="N78">
        <v>7</v>
      </c>
      <c r="O78">
        <f t="shared" si="4"/>
        <v>-49</v>
      </c>
      <c r="W78">
        <v>5</v>
      </c>
      <c r="X78">
        <f t="shared" si="5"/>
        <v>13</v>
      </c>
    </row>
    <row r="79" spans="14:24">
      <c r="N79">
        <v>8</v>
      </c>
      <c r="O79">
        <f t="shared" si="4"/>
        <v>-64</v>
      </c>
      <c r="W79">
        <v>6</v>
      </c>
      <c r="X79">
        <f t="shared" si="5"/>
        <v>23</v>
      </c>
    </row>
    <row r="80" spans="14:24">
      <c r="N80">
        <v>9</v>
      </c>
      <c r="O80">
        <f t="shared" si="4"/>
        <v>-81</v>
      </c>
      <c r="W80">
        <v>7</v>
      </c>
      <c r="X80">
        <f t="shared" si="5"/>
        <v>37</v>
      </c>
    </row>
    <row r="81" spans="14:24">
      <c r="N81">
        <v>10</v>
      </c>
      <c r="O81">
        <f t="shared" si="4"/>
        <v>-100</v>
      </c>
      <c r="W81">
        <v>8</v>
      </c>
      <c r="X81">
        <f t="shared" si="5"/>
        <v>55</v>
      </c>
    </row>
    <row r="82" spans="14:24">
      <c r="W82">
        <v>9</v>
      </c>
      <c r="X82">
        <f t="shared" si="5"/>
        <v>77</v>
      </c>
    </row>
    <row r="83" spans="14:24">
      <c r="W83">
        <v>10</v>
      </c>
      <c r="X83">
        <f t="shared" si="5"/>
        <v>103</v>
      </c>
    </row>
  </sheetData>
  <mergeCells count="4">
    <mergeCell ref="A23:A24"/>
    <mergeCell ref="B23:D23"/>
    <mergeCell ref="B24:D24"/>
    <mergeCell ref="H23:H24"/>
  </mergeCells>
  <phoneticPr fontId="5"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44</vt:i4>
      </vt:variant>
    </vt:vector>
  </HeadingPairs>
  <TitlesOfParts>
    <vt:vector size="44" baseType="lpstr">
      <vt:lpstr>기초수학</vt:lpstr>
      <vt:lpstr>선형대수</vt:lpstr>
      <vt:lpstr>통계</vt:lpstr>
      <vt:lpstr>기하학</vt:lpstr>
      <vt:lpstr>지수함수</vt:lpstr>
      <vt:lpstr>로그함수</vt:lpstr>
      <vt:lpstr>로그함수2</vt:lpstr>
      <vt:lpstr>자연상수</vt:lpstr>
      <vt:lpstr>머신러닝기초</vt:lpstr>
      <vt:lpstr>MNIST(데이터셋)</vt:lpstr>
      <vt:lpstr>EDA</vt:lpstr>
      <vt:lpstr>pivot_table</vt:lpstr>
      <vt:lpstr>상관_회귀</vt:lpstr>
      <vt:lpstr>확률</vt:lpstr>
      <vt:lpstr>예측모델</vt:lpstr>
      <vt:lpstr>분류모델</vt:lpstr>
      <vt:lpstr>미분공식</vt:lpstr>
      <vt:lpstr>다항회귀_다중회귀</vt:lpstr>
      <vt:lpstr>퍼셉트론</vt:lpstr>
      <vt:lpstr>다층퍼셉트론</vt:lpstr>
      <vt:lpstr>활성화함수</vt:lpstr>
      <vt:lpstr>경사하강법</vt:lpstr>
      <vt:lpstr>모델설계</vt:lpstr>
      <vt:lpstr>모델설계2</vt:lpstr>
      <vt:lpstr>모델설계3</vt:lpstr>
      <vt:lpstr>모델설계4</vt:lpstr>
      <vt:lpstr>모델설계5</vt:lpstr>
      <vt:lpstr>모델최적화</vt:lpstr>
      <vt:lpstr>희소행렬</vt:lpstr>
      <vt:lpstr>제대로된 모델 만드는 방법</vt:lpstr>
      <vt:lpstr>앙상블</vt:lpstr>
      <vt:lpstr>도커</vt:lpstr>
      <vt:lpstr>합성곱(컨볼루션)</vt:lpstr>
      <vt:lpstr>MNIST_정규화</vt:lpstr>
      <vt:lpstr>CNN모델설계_MLP_MNIST</vt:lpstr>
      <vt:lpstr>CNN모델설계_CNN_MNIST</vt:lpstr>
      <vt:lpstr>CNN모델설계_CNN_fashion_MNIST</vt:lpstr>
      <vt:lpstr>텍스트처리</vt:lpstr>
      <vt:lpstr>텍스트_MLP_설계</vt:lpstr>
      <vt:lpstr>텍스트_LSTM_모델설계</vt:lpstr>
      <vt:lpstr>텍스트_LSTM_모델설계 (2)</vt:lpstr>
      <vt:lpstr>GPU설정</vt:lpstr>
      <vt:lpstr>오토인코더</vt:lpstr>
      <vt:lpstr>GAN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2024-08-29T09:11:26Z</dcterms:modified>
</cp:coreProperties>
</file>